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ICHTIGES\Studium\3. Semester\B35.1 Data Science (SU)\Projekt\data\"/>
    </mc:Choice>
  </mc:AlternateContent>
  <xr:revisionPtr revIDLastSave="0" documentId="13_ncr:1_{8E9DB26F-8D7D-4F9D-821C-BAD94771C5BB}" xr6:coauthVersionLast="45" xr6:coauthVersionMax="45" xr10:uidLastSave="{00000000-0000-0000-0000-000000000000}"/>
  <bookViews>
    <workbookView xWindow="-12930" yWindow="6015" windowWidth="23730" windowHeight="10530" firstSheet="6" activeTab="7" xr2:uid="{4C464FD6-1496-4D48-AC17-6E2702DA0E76}"/>
  </bookViews>
  <sheets>
    <sheet name="Destatis Kartoffeln complete" sheetId="4" r:id="rId1"/>
    <sheet name="Destatis Orangen complete" sheetId="5" r:id="rId2"/>
    <sheet name="Destatis Erdbeeren complete" sheetId="6" r:id="rId3"/>
    <sheet name="Destatis Spargel complete" sheetId="7" r:id="rId4"/>
    <sheet name="Destatis Zitronen complete" sheetId="8" r:id="rId5"/>
    <sheet name="Destatis Monthly bsp Belgien" sheetId="3" r:id="rId6"/>
    <sheet name="Monthly Reports BMEL" sheetId="1" r:id="rId7"/>
    <sheet name="Stuff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B14" i="9"/>
  <c r="B13" i="9"/>
  <c r="B12" i="9"/>
  <c r="B11" i="9"/>
  <c r="B10" i="9"/>
  <c r="B9" i="9"/>
  <c r="B8" i="9"/>
  <c r="B7" i="9"/>
  <c r="B6" i="9"/>
  <c r="B5" i="9"/>
  <c r="B4" i="9"/>
  <c r="C3" i="9"/>
  <c r="D3" i="9"/>
  <c r="E3" i="9"/>
  <c r="F3" i="9"/>
  <c r="G3" i="9"/>
  <c r="B3" i="9"/>
  <c r="O163" i="8" l="1"/>
  <c r="N162" i="8"/>
  <c r="O162" i="8"/>
  <c r="M162" i="8"/>
  <c r="M161" i="8"/>
  <c r="N160" i="8"/>
  <c r="O160" i="8"/>
  <c r="M160" i="8"/>
  <c r="O159" i="8"/>
  <c r="N158" i="8"/>
  <c r="O158" i="8"/>
  <c r="M158" i="8"/>
  <c r="O157" i="8"/>
  <c r="N156" i="8"/>
  <c r="O156" i="8"/>
  <c r="M156" i="8"/>
  <c r="M155" i="8"/>
  <c r="O155" i="8"/>
  <c r="P153" i="8"/>
  <c r="N153" i="8"/>
  <c r="O153" i="8"/>
  <c r="P151" i="8"/>
  <c r="N151" i="8"/>
  <c r="O151" i="8"/>
  <c r="P149" i="8"/>
  <c r="N149" i="8"/>
  <c r="O149" i="8"/>
  <c r="P147" i="8"/>
  <c r="N147" i="8"/>
  <c r="O147" i="8"/>
  <c r="O146" i="8"/>
  <c r="P145" i="8"/>
  <c r="N145" i="8"/>
  <c r="O145" i="8"/>
  <c r="O144" i="8"/>
  <c r="P143" i="8"/>
  <c r="N143" i="8"/>
  <c r="O143" i="8"/>
  <c r="P141" i="8"/>
  <c r="M141" i="8"/>
  <c r="P139" i="8"/>
  <c r="M139" i="8"/>
  <c r="P137" i="8"/>
  <c r="M137" i="8"/>
  <c r="P135" i="8"/>
  <c r="M135" i="8"/>
  <c r="P133" i="8"/>
  <c r="M133" i="8"/>
  <c r="P131" i="8"/>
  <c r="M131" i="8"/>
  <c r="P129" i="8"/>
  <c r="N129" i="8"/>
  <c r="M129" i="8"/>
  <c r="O129" i="8"/>
  <c r="P127" i="8"/>
  <c r="N127" i="8"/>
  <c r="M127" i="8"/>
  <c r="O127" i="8"/>
  <c r="P125" i="8"/>
  <c r="N125" i="8"/>
  <c r="M125" i="8"/>
  <c r="O125" i="8"/>
  <c r="P123" i="8"/>
  <c r="N123" i="8"/>
  <c r="M123" i="8"/>
  <c r="O123" i="8"/>
  <c r="P121" i="8"/>
  <c r="N121" i="8"/>
  <c r="M121" i="8"/>
  <c r="O121" i="8"/>
  <c r="M120" i="8"/>
  <c r="O120" i="8"/>
  <c r="P119" i="8"/>
  <c r="N119" i="8"/>
  <c r="M119" i="8"/>
  <c r="O119" i="8"/>
  <c r="M117" i="8"/>
  <c r="M115" i="8"/>
  <c r="M113" i="8"/>
  <c r="M111" i="8"/>
  <c r="M109" i="8"/>
  <c r="M107" i="8"/>
  <c r="M105" i="8"/>
  <c r="M103" i="8"/>
  <c r="M101" i="8"/>
  <c r="M99" i="8"/>
  <c r="M97" i="8"/>
  <c r="M95" i="8"/>
  <c r="M93" i="8"/>
  <c r="M91" i="8"/>
  <c r="M89" i="8"/>
  <c r="M87" i="8"/>
  <c r="M86" i="8"/>
  <c r="M85" i="8"/>
  <c r="M84" i="8"/>
  <c r="M83" i="8"/>
  <c r="M81" i="8"/>
  <c r="M79" i="8"/>
  <c r="M77" i="8"/>
  <c r="M75" i="8"/>
  <c r="M73" i="8"/>
  <c r="M71" i="8"/>
  <c r="M69" i="8"/>
  <c r="M67" i="8"/>
  <c r="M65" i="8"/>
  <c r="M63" i="8"/>
  <c r="M61" i="8"/>
  <c r="M59" i="8"/>
  <c r="N57" i="8"/>
  <c r="M57" i="8"/>
  <c r="O57" i="8"/>
  <c r="N55" i="8"/>
  <c r="M55" i="8"/>
  <c r="O55" i="8"/>
  <c r="N53" i="8"/>
  <c r="M53" i="8"/>
  <c r="O53" i="8"/>
  <c r="N51" i="8"/>
  <c r="M51" i="8"/>
  <c r="O51" i="8"/>
  <c r="N49" i="8"/>
  <c r="M49" i="8"/>
  <c r="O49" i="8"/>
  <c r="N47" i="8"/>
  <c r="M47" i="8"/>
  <c r="O47" i="8"/>
  <c r="N46" i="8"/>
  <c r="M45" i="8"/>
  <c r="N44" i="8"/>
  <c r="M43" i="8"/>
  <c r="N42" i="8"/>
  <c r="M41" i="8"/>
  <c r="P40" i="8"/>
  <c r="M39" i="8"/>
  <c r="P38" i="8"/>
  <c r="P37" i="8"/>
  <c r="M37" i="8"/>
  <c r="N36" i="8"/>
  <c r="P35" i="8"/>
  <c r="M35" i="8"/>
  <c r="P33" i="8"/>
  <c r="P31" i="8"/>
  <c r="P29" i="8"/>
  <c r="M29" i="8"/>
  <c r="P27" i="8"/>
  <c r="M27" i="8"/>
  <c r="P25" i="8"/>
  <c r="M25" i="8"/>
  <c r="O25" i="8"/>
  <c r="O24" i="8"/>
  <c r="P23" i="8"/>
  <c r="M23" i="8"/>
  <c r="O23" i="8"/>
  <c r="M21" i="8"/>
  <c r="O21" i="8"/>
  <c r="O20" i="8"/>
  <c r="M19" i="8"/>
  <c r="O19" i="8"/>
  <c r="O18" i="8"/>
  <c r="M17" i="8"/>
  <c r="O17" i="8"/>
  <c r="O16" i="8"/>
  <c r="M15" i="8"/>
  <c r="O15" i="8"/>
  <c r="P14" i="8"/>
  <c r="O14" i="8"/>
  <c r="M13" i="8"/>
  <c r="O13" i="8"/>
  <c r="P12" i="8"/>
  <c r="O12" i="8"/>
  <c r="O11" i="8"/>
  <c r="M11" i="8"/>
  <c r="P163" i="8"/>
  <c r="N163" i="8"/>
  <c r="F163" i="8"/>
  <c r="B163" i="8"/>
  <c r="P162" i="8"/>
  <c r="F162" i="8"/>
  <c r="B162" i="8"/>
  <c r="P161" i="8"/>
  <c r="O161" i="8"/>
  <c r="N161" i="8"/>
  <c r="F161" i="8"/>
  <c r="B161" i="8"/>
  <c r="P160" i="8"/>
  <c r="F160" i="8"/>
  <c r="B160" i="8"/>
  <c r="P159" i="8"/>
  <c r="N159" i="8"/>
  <c r="F159" i="8"/>
  <c r="B159" i="8"/>
  <c r="P158" i="8"/>
  <c r="F158" i="8"/>
  <c r="B158" i="8"/>
  <c r="P157" i="8"/>
  <c r="N157" i="8"/>
  <c r="F157" i="8"/>
  <c r="B157" i="8"/>
  <c r="P156" i="8"/>
  <c r="F156" i="8"/>
  <c r="B156" i="8"/>
  <c r="P155" i="8"/>
  <c r="N155" i="8"/>
  <c r="F155" i="8"/>
  <c r="B155" i="8"/>
  <c r="P154" i="8"/>
  <c r="O154" i="8"/>
  <c r="N154" i="8"/>
  <c r="M154" i="8"/>
  <c r="F154" i="8"/>
  <c r="B154" i="8"/>
  <c r="F153" i="8"/>
  <c r="B153" i="8"/>
  <c r="P152" i="8"/>
  <c r="O152" i="8"/>
  <c r="N152" i="8"/>
  <c r="M152" i="8"/>
  <c r="F152" i="8"/>
  <c r="B152" i="8"/>
  <c r="F151" i="8"/>
  <c r="B151" i="8"/>
  <c r="P150" i="8"/>
  <c r="O150" i="8"/>
  <c r="N150" i="8"/>
  <c r="M150" i="8"/>
  <c r="F150" i="8"/>
  <c r="B150" i="8"/>
  <c r="F149" i="8"/>
  <c r="B149" i="8"/>
  <c r="P148" i="8"/>
  <c r="O148" i="8"/>
  <c r="N148" i="8"/>
  <c r="M148" i="8"/>
  <c r="F148" i="8"/>
  <c r="B148" i="8"/>
  <c r="F147" i="8"/>
  <c r="B147" i="8"/>
  <c r="P146" i="8"/>
  <c r="N146" i="8"/>
  <c r="M146" i="8"/>
  <c r="F146" i="8"/>
  <c r="B146" i="8"/>
  <c r="F145" i="8"/>
  <c r="B145" i="8"/>
  <c r="P144" i="8"/>
  <c r="N144" i="8"/>
  <c r="M144" i="8"/>
  <c r="F144" i="8"/>
  <c r="B144" i="8"/>
  <c r="F143" i="8"/>
  <c r="B143" i="8"/>
  <c r="P142" i="8"/>
  <c r="O142" i="8"/>
  <c r="N142" i="8"/>
  <c r="M142" i="8"/>
  <c r="F142" i="8"/>
  <c r="B142" i="8"/>
  <c r="O141" i="8"/>
  <c r="F141" i="8"/>
  <c r="B141" i="8"/>
  <c r="P140" i="8"/>
  <c r="O140" i="8"/>
  <c r="N140" i="8"/>
  <c r="M140" i="8"/>
  <c r="F140" i="8"/>
  <c r="B140" i="8"/>
  <c r="O139" i="8"/>
  <c r="F139" i="8"/>
  <c r="B139" i="8"/>
  <c r="P138" i="8"/>
  <c r="O138" i="8"/>
  <c r="N138" i="8"/>
  <c r="M138" i="8"/>
  <c r="F138" i="8"/>
  <c r="B138" i="8"/>
  <c r="O137" i="8"/>
  <c r="F137" i="8"/>
  <c r="B137" i="8"/>
  <c r="P136" i="8"/>
  <c r="O136" i="8"/>
  <c r="N136" i="8"/>
  <c r="M136" i="8"/>
  <c r="F136" i="8"/>
  <c r="B136" i="8"/>
  <c r="O135" i="8"/>
  <c r="F135" i="8"/>
  <c r="B135" i="8"/>
  <c r="P134" i="8"/>
  <c r="O134" i="8"/>
  <c r="N134" i="8"/>
  <c r="M134" i="8"/>
  <c r="F134" i="8"/>
  <c r="B134" i="8"/>
  <c r="O133" i="8"/>
  <c r="F133" i="8"/>
  <c r="B133" i="8"/>
  <c r="P132" i="8"/>
  <c r="O132" i="8"/>
  <c r="N132" i="8"/>
  <c r="M132" i="8"/>
  <c r="F132" i="8"/>
  <c r="B132" i="8"/>
  <c r="O131" i="8"/>
  <c r="F131" i="8"/>
  <c r="B131" i="8"/>
  <c r="P130" i="8"/>
  <c r="O130" i="8"/>
  <c r="N130" i="8"/>
  <c r="M130" i="8"/>
  <c r="F130" i="8"/>
  <c r="B130" i="8"/>
  <c r="F129" i="8"/>
  <c r="B129" i="8"/>
  <c r="P128" i="8"/>
  <c r="O128" i="8"/>
  <c r="N128" i="8"/>
  <c r="M128" i="8"/>
  <c r="F128" i="8"/>
  <c r="B128" i="8"/>
  <c r="F127" i="8"/>
  <c r="B127" i="8"/>
  <c r="P126" i="8"/>
  <c r="O126" i="8"/>
  <c r="N126" i="8"/>
  <c r="M126" i="8"/>
  <c r="F126" i="8"/>
  <c r="B126" i="8"/>
  <c r="F125" i="8"/>
  <c r="B125" i="8"/>
  <c r="P124" i="8"/>
  <c r="O124" i="8"/>
  <c r="N124" i="8"/>
  <c r="M124" i="8"/>
  <c r="F124" i="8"/>
  <c r="B124" i="8"/>
  <c r="F123" i="8"/>
  <c r="B123" i="8"/>
  <c r="P122" i="8"/>
  <c r="O122" i="8"/>
  <c r="N122" i="8"/>
  <c r="M122" i="8"/>
  <c r="F122" i="8"/>
  <c r="B122" i="8"/>
  <c r="F121" i="8"/>
  <c r="B121" i="8"/>
  <c r="P120" i="8"/>
  <c r="N120" i="8"/>
  <c r="F120" i="8"/>
  <c r="B120" i="8"/>
  <c r="F119" i="8"/>
  <c r="B119" i="8"/>
  <c r="P118" i="8"/>
  <c r="O118" i="8"/>
  <c r="N118" i="8"/>
  <c r="M118" i="8"/>
  <c r="F118" i="8"/>
  <c r="B118" i="8"/>
  <c r="P117" i="8"/>
  <c r="O117" i="8"/>
  <c r="N117" i="8"/>
  <c r="F117" i="8"/>
  <c r="B117" i="8"/>
  <c r="P116" i="8"/>
  <c r="O116" i="8"/>
  <c r="N116" i="8"/>
  <c r="M116" i="8"/>
  <c r="F116" i="8"/>
  <c r="B116" i="8"/>
  <c r="P115" i="8"/>
  <c r="O115" i="8"/>
  <c r="N115" i="8"/>
  <c r="F115" i="8"/>
  <c r="B115" i="8"/>
  <c r="P114" i="8"/>
  <c r="O114" i="8"/>
  <c r="N114" i="8"/>
  <c r="M114" i="8"/>
  <c r="F114" i="8"/>
  <c r="B114" i="8"/>
  <c r="P113" i="8"/>
  <c r="O113" i="8"/>
  <c r="N113" i="8"/>
  <c r="F113" i="8"/>
  <c r="B113" i="8"/>
  <c r="P112" i="8"/>
  <c r="O112" i="8"/>
  <c r="N112" i="8"/>
  <c r="M112" i="8"/>
  <c r="F112" i="8"/>
  <c r="B112" i="8"/>
  <c r="P111" i="8"/>
  <c r="O111" i="8"/>
  <c r="N111" i="8"/>
  <c r="F111" i="8"/>
  <c r="B111" i="8"/>
  <c r="P110" i="8"/>
  <c r="O110" i="8"/>
  <c r="N110" i="8"/>
  <c r="M110" i="8"/>
  <c r="F110" i="8"/>
  <c r="B110" i="8"/>
  <c r="P109" i="8"/>
  <c r="O109" i="8"/>
  <c r="N109" i="8"/>
  <c r="F109" i="8"/>
  <c r="B109" i="8"/>
  <c r="P108" i="8"/>
  <c r="O108" i="8"/>
  <c r="N108" i="8"/>
  <c r="M108" i="8"/>
  <c r="F108" i="8"/>
  <c r="B108" i="8"/>
  <c r="P107" i="8"/>
  <c r="O107" i="8"/>
  <c r="N107" i="8"/>
  <c r="F107" i="8"/>
  <c r="B107" i="8"/>
  <c r="P106" i="8"/>
  <c r="O106" i="8"/>
  <c r="N106" i="8"/>
  <c r="M106" i="8"/>
  <c r="F106" i="8"/>
  <c r="B106" i="8"/>
  <c r="P105" i="8"/>
  <c r="O105" i="8"/>
  <c r="N105" i="8"/>
  <c r="F105" i="8"/>
  <c r="B105" i="8"/>
  <c r="P104" i="8"/>
  <c r="O104" i="8"/>
  <c r="N104" i="8"/>
  <c r="M104" i="8"/>
  <c r="F104" i="8"/>
  <c r="B104" i="8"/>
  <c r="P103" i="8"/>
  <c r="O103" i="8"/>
  <c r="N103" i="8"/>
  <c r="F103" i="8"/>
  <c r="B103" i="8"/>
  <c r="P102" i="8"/>
  <c r="O102" i="8"/>
  <c r="N102" i="8"/>
  <c r="M102" i="8"/>
  <c r="F102" i="8"/>
  <c r="B102" i="8"/>
  <c r="P101" i="8"/>
  <c r="O101" i="8"/>
  <c r="N101" i="8"/>
  <c r="F101" i="8"/>
  <c r="B101" i="8"/>
  <c r="P100" i="8"/>
  <c r="O100" i="8"/>
  <c r="N100" i="8"/>
  <c r="M100" i="8"/>
  <c r="F100" i="8"/>
  <c r="B100" i="8"/>
  <c r="P99" i="8"/>
  <c r="O99" i="8"/>
  <c r="N99" i="8"/>
  <c r="F99" i="8"/>
  <c r="B99" i="8"/>
  <c r="P98" i="8"/>
  <c r="O98" i="8"/>
  <c r="N98" i="8"/>
  <c r="M98" i="8"/>
  <c r="F98" i="8"/>
  <c r="B98" i="8"/>
  <c r="P97" i="8"/>
  <c r="O97" i="8"/>
  <c r="N97" i="8"/>
  <c r="F97" i="8"/>
  <c r="B97" i="8"/>
  <c r="P96" i="8"/>
  <c r="O96" i="8"/>
  <c r="N96" i="8"/>
  <c r="M96" i="8"/>
  <c r="F96" i="8"/>
  <c r="B96" i="8"/>
  <c r="P95" i="8"/>
  <c r="O95" i="8"/>
  <c r="N95" i="8"/>
  <c r="F95" i="8"/>
  <c r="B95" i="8"/>
  <c r="P94" i="8"/>
  <c r="O94" i="8"/>
  <c r="N94" i="8"/>
  <c r="M94" i="8"/>
  <c r="F94" i="8"/>
  <c r="B94" i="8"/>
  <c r="P93" i="8"/>
  <c r="O93" i="8"/>
  <c r="N93" i="8"/>
  <c r="F93" i="8"/>
  <c r="B93" i="8"/>
  <c r="P92" i="8"/>
  <c r="O92" i="8"/>
  <c r="N92" i="8"/>
  <c r="M92" i="8"/>
  <c r="F92" i="8"/>
  <c r="B92" i="8"/>
  <c r="P91" i="8"/>
  <c r="O91" i="8"/>
  <c r="N91" i="8"/>
  <c r="F91" i="8"/>
  <c r="B91" i="8"/>
  <c r="P90" i="8"/>
  <c r="O90" i="8"/>
  <c r="N90" i="8"/>
  <c r="M90" i="8"/>
  <c r="F90" i="8"/>
  <c r="B90" i="8"/>
  <c r="P89" i="8"/>
  <c r="O89" i="8"/>
  <c r="N89" i="8"/>
  <c r="F89" i="8"/>
  <c r="B89" i="8"/>
  <c r="P88" i="8"/>
  <c r="O88" i="8"/>
  <c r="N88" i="8"/>
  <c r="M88" i="8"/>
  <c r="F88" i="8"/>
  <c r="B88" i="8"/>
  <c r="P87" i="8"/>
  <c r="O87" i="8"/>
  <c r="N87" i="8"/>
  <c r="F87" i="8"/>
  <c r="B87" i="8"/>
  <c r="P86" i="8"/>
  <c r="N86" i="8"/>
  <c r="F86" i="8"/>
  <c r="B86" i="8"/>
  <c r="P85" i="8"/>
  <c r="O85" i="8"/>
  <c r="N85" i="8"/>
  <c r="F85" i="8"/>
  <c r="B85" i="8"/>
  <c r="P84" i="8"/>
  <c r="N84" i="8"/>
  <c r="F84" i="8"/>
  <c r="B84" i="8"/>
  <c r="P83" i="8"/>
  <c r="O83" i="8"/>
  <c r="N83" i="8"/>
  <c r="F83" i="8"/>
  <c r="B83" i="8"/>
  <c r="P82" i="8"/>
  <c r="O82" i="8"/>
  <c r="N82" i="8"/>
  <c r="M82" i="8"/>
  <c r="F82" i="8"/>
  <c r="B82" i="8"/>
  <c r="P81" i="8"/>
  <c r="O81" i="8"/>
  <c r="N81" i="8"/>
  <c r="F81" i="8"/>
  <c r="B81" i="8"/>
  <c r="P80" i="8"/>
  <c r="O80" i="8"/>
  <c r="N80" i="8"/>
  <c r="M80" i="8"/>
  <c r="F80" i="8"/>
  <c r="B80" i="8"/>
  <c r="P79" i="8"/>
  <c r="O79" i="8"/>
  <c r="N79" i="8"/>
  <c r="F79" i="8"/>
  <c r="B79" i="8"/>
  <c r="P78" i="8"/>
  <c r="O78" i="8"/>
  <c r="N78" i="8"/>
  <c r="M78" i="8"/>
  <c r="F78" i="8"/>
  <c r="B78" i="8"/>
  <c r="P77" i="8"/>
  <c r="O77" i="8"/>
  <c r="N77" i="8"/>
  <c r="F77" i="8"/>
  <c r="B77" i="8"/>
  <c r="P76" i="8"/>
  <c r="O76" i="8"/>
  <c r="N76" i="8"/>
  <c r="M76" i="8"/>
  <c r="F76" i="8"/>
  <c r="B76" i="8"/>
  <c r="P75" i="8"/>
  <c r="O75" i="8"/>
  <c r="N75" i="8"/>
  <c r="F75" i="8"/>
  <c r="B75" i="8"/>
  <c r="P74" i="8"/>
  <c r="O74" i="8"/>
  <c r="N74" i="8"/>
  <c r="M74" i="8"/>
  <c r="F74" i="8"/>
  <c r="B74" i="8"/>
  <c r="P73" i="8"/>
  <c r="O73" i="8"/>
  <c r="N73" i="8"/>
  <c r="F73" i="8"/>
  <c r="B73" i="8"/>
  <c r="P72" i="8"/>
  <c r="O72" i="8"/>
  <c r="N72" i="8"/>
  <c r="M72" i="8"/>
  <c r="F72" i="8"/>
  <c r="B72" i="8"/>
  <c r="P71" i="8"/>
  <c r="O71" i="8"/>
  <c r="N71" i="8"/>
  <c r="F71" i="8"/>
  <c r="B71" i="8"/>
  <c r="P70" i="8"/>
  <c r="O70" i="8"/>
  <c r="N70" i="8"/>
  <c r="M70" i="8"/>
  <c r="F70" i="8"/>
  <c r="B70" i="8"/>
  <c r="P69" i="8"/>
  <c r="O69" i="8"/>
  <c r="N69" i="8"/>
  <c r="F69" i="8"/>
  <c r="B69" i="8"/>
  <c r="P68" i="8"/>
  <c r="O68" i="8"/>
  <c r="N68" i="8"/>
  <c r="M68" i="8"/>
  <c r="F68" i="8"/>
  <c r="B68" i="8"/>
  <c r="P67" i="8"/>
  <c r="O67" i="8"/>
  <c r="N67" i="8"/>
  <c r="F67" i="8"/>
  <c r="B67" i="8"/>
  <c r="P66" i="8"/>
  <c r="O66" i="8"/>
  <c r="N66" i="8"/>
  <c r="M66" i="8"/>
  <c r="F66" i="8"/>
  <c r="B66" i="8"/>
  <c r="P65" i="8"/>
  <c r="O65" i="8"/>
  <c r="N65" i="8"/>
  <c r="F65" i="8"/>
  <c r="B65" i="8"/>
  <c r="P64" i="8"/>
  <c r="O64" i="8"/>
  <c r="N64" i="8"/>
  <c r="M64" i="8"/>
  <c r="F64" i="8"/>
  <c r="B64" i="8"/>
  <c r="P63" i="8"/>
  <c r="O63" i="8"/>
  <c r="N63" i="8"/>
  <c r="F63" i="8"/>
  <c r="B63" i="8"/>
  <c r="P62" i="8"/>
  <c r="O62" i="8"/>
  <c r="N62" i="8"/>
  <c r="M62" i="8"/>
  <c r="F62" i="8"/>
  <c r="B62" i="8"/>
  <c r="P61" i="8"/>
  <c r="O61" i="8"/>
  <c r="N61" i="8"/>
  <c r="F61" i="8"/>
  <c r="B61" i="8"/>
  <c r="P60" i="8"/>
  <c r="O60" i="8"/>
  <c r="N60" i="8"/>
  <c r="M60" i="8"/>
  <c r="F60" i="8"/>
  <c r="B60" i="8"/>
  <c r="P59" i="8"/>
  <c r="O59" i="8"/>
  <c r="N59" i="8"/>
  <c r="F59" i="8"/>
  <c r="B59" i="8"/>
  <c r="P58" i="8"/>
  <c r="O58" i="8"/>
  <c r="N58" i="8"/>
  <c r="M58" i="8"/>
  <c r="F58" i="8"/>
  <c r="B58" i="8"/>
  <c r="P57" i="8"/>
  <c r="F57" i="8"/>
  <c r="B57" i="8"/>
  <c r="P56" i="8"/>
  <c r="O56" i="8"/>
  <c r="N56" i="8"/>
  <c r="M56" i="8"/>
  <c r="F56" i="8"/>
  <c r="B56" i="8"/>
  <c r="P55" i="8"/>
  <c r="F55" i="8"/>
  <c r="B55" i="8"/>
  <c r="P54" i="8"/>
  <c r="O54" i="8"/>
  <c r="N54" i="8"/>
  <c r="M54" i="8"/>
  <c r="F54" i="8"/>
  <c r="B54" i="8"/>
  <c r="P53" i="8"/>
  <c r="F53" i="8"/>
  <c r="B53" i="8"/>
  <c r="P52" i="8"/>
  <c r="O52" i="8"/>
  <c r="N52" i="8"/>
  <c r="M52" i="8"/>
  <c r="F52" i="8"/>
  <c r="B52" i="8"/>
  <c r="P51" i="8"/>
  <c r="F51" i="8"/>
  <c r="B51" i="8"/>
  <c r="P50" i="8"/>
  <c r="O50" i="8"/>
  <c r="N50" i="8"/>
  <c r="M50" i="8"/>
  <c r="F50" i="8"/>
  <c r="B50" i="8"/>
  <c r="P49" i="8"/>
  <c r="F49" i="8"/>
  <c r="B49" i="8"/>
  <c r="P48" i="8"/>
  <c r="O48" i="8"/>
  <c r="N48" i="8"/>
  <c r="M48" i="8"/>
  <c r="F48" i="8"/>
  <c r="B48" i="8"/>
  <c r="P47" i="8"/>
  <c r="F47" i="8"/>
  <c r="B47" i="8"/>
  <c r="P46" i="8"/>
  <c r="O46" i="8"/>
  <c r="M46" i="8"/>
  <c r="F46" i="8"/>
  <c r="B46" i="8"/>
  <c r="P45" i="8"/>
  <c r="O45" i="8"/>
  <c r="N45" i="8"/>
  <c r="F45" i="8"/>
  <c r="B45" i="8"/>
  <c r="P44" i="8"/>
  <c r="O44" i="8"/>
  <c r="M44" i="8"/>
  <c r="F44" i="8"/>
  <c r="B44" i="8"/>
  <c r="P43" i="8"/>
  <c r="O43" i="8"/>
  <c r="N43" i="8"/>
  <c r="F43" i="8"/>
  <c r="B43" i="8"/>
  <c r="P42" i="8"/>
  <c r="O42" i="8"/>
  <c r="M42" i="8"/>
  <c r="F42" i="8"/>
  <c r="B42" i="8"/>
  <c r="P41" i="8"/>
  <c r="O41" i="8"/>
  <c r="N41" i="8"/>
  <c r="F41" i="8"/>
  <c r="B41" i="8"/>
  <c r="O40" i="8"/>
  <c r="M40" i="8"/>
  <c r="F40" i="8"/>
  <c r="B40" i="8"/>
  <c r="P39" i="8"/>
  <c r="O39" i="8"/>
  <c r="N39" i="8"/>
  <c r="F39" i="8"/>
  <c r="B39" i="8"/>
  <c r="O38" i="8"/>
  <c r="M38" i="8"/>
  <c r="F38" i="8"/>
  <c r="B38" i="8"/>
  <c r="O37" i="8"/>
  <c r="N37" i="8"/>
  <c r="F37" i="8"/>
  <c r="B37" i="8"/>
  <c r="P36" i="8"/>
  <c r="O36" i="8"/>
  <c r="M36" i="8"/>
  <c r="F36" i="8"/>
  <c r="B36" i="8"/>
  <c r="O35" i="8"/>
  <c r="N35" i="8"/>
  <c r="F35" i="8"/>
  <c r="B35" i="8"/>
  <c r="P34" i="8"/>
  <c r="O34" i="8"/>
  <c r="N34" i="8"/>
  <c r="M34" i="8"/>
  <c r="F34" i="8"/>
  <c r="B34" i="8"/>
  <c r="O33" i="8"/>
  <c r="M33" i="8"/>
  <c r="F33" i="8"/>
  <c r="B33" i="8"/>
  <c r="P32" i="8"/>
  <c r="O32" i="8"/>
  <c r="N32" i="8"/>
  <c r="M32" i="8"/>
  <c r="F32" i="8"/>
  <c r="B32" i="8"/>
  <c r="O31" i="8"/>
  <c r="M31" i="8"/>
  <c r="F31" i="8"/>
  <c r="B31" i="8"/>
  <c r="P30" i="8"/>
  <c r="O30" i="8"/>
  <c r="N30" i="8"/>
  <c r="M30" i="8"/>
  <c r="F30" i="8"/>
  <c r="B30" i="8"/>
  <c r="O29" i="8"/>
  <c r="F29" i="8"/>
  <c r="B29" i="8"/>
  <c r="P28" i="8"/>
  <c r="O28" i="8"/>
  <c r="N28" i="8"/>
  <c r="M28" i="8"/>
  <c r="F28" i="8"/>
  <c r="B28" i="8"/>
  <c r="O27" i="8"/>
  <c r="F27" i="8"/>
  <c r="B27" i="8"/>
  <c r="P26" i="8"/>
  <c r="O26" i="8"/>
  <c r="N26" i="8"/>
  <c r="M26" i="8"/>
  <c r="F26" i="8"/>
  <c r="B26" i="8"/>
  <c r="F25" i="8"/>
  <c r="B25" i="8"/>
  <c r="P24" i="8"/>
  <c r="N24" i="8"/>
  <c r="F24" i="8"/>
  <c r="B24" i="8"/>
  <c r="F23" i="8"/>
  <c r="B23" i="8"/>
  <c r="P22" i="8"/>
  <c r="O22" i="8"/>
  <c r="N22" i="8"/>
  <c r="M22" i="8"/>
  <c r="F22" i="8"/>
  <c r="B22" i="8"/>
  <c r="P21" i="8"/>
  <c r="N21" i="8"/>
  <c r="F21" i="8"/>
  <c r="B21" i="8"/>
  <c r="P20" i="8"/>
  <c r="N20" i="8"/>
  <c r="M20" i="8"/>
  <c r="F20" i="8"/>
  <c r="B20" i="8"/>
  <c r="P19" i="8"/>
  <c r="N19" i="8"/>
  <c r="F19" i="8"/>
  <c r="B19" i="8"/>
  <c r="P18" i="8"/>
  <c r="N18" i="8"/>
  <c r="M18" i="8"/>
  <c r="F18" i="8"/>
  <c r="B18" i="8"/>
  <c r="P17" i="8"/>
  <c r="N17" i="8"/>
  <c r="F17" i="8"/>
  <c r="B17" i="8"/>
  <c r="P16" i="8"/>
  <c r="N16" i="8"/>
  <c r="M16" i="8"/>
  <c r="F16" i="8"/>
  <c r="B16" i="8"/>
  <c r="P15" i="8"/>
  <c r="N15" i="8"/>
  <c r="F15" i="8"/>
  <c r="B15" i="8"/>
  <c r="N14" i="8"/>
  <c r="M14" i="8"/>
  <c r="F14" i="8"/>
  <c r="B14" i="8"/>
  <c r="P13" i="8"/>
  <c r="N13" i="8"/>
  <c r="F13" i="8"/>
  <c r="B13" i="8"/>
  <c r="N12" i="8"/>
  <c r="M12" i="8"/>
  <c r="F12" i="8"/>
  <c r="B12" i="8"/>
  <c r="P11" i="8"/>
  <c r="N11" i="8"/>
  <c r="F11" i="8"/>
  <c r="B11" i="8"/>
  <c r="M163" i="7"/>
  <c r="M162" i="7"/>
  <c r="M161" i="7"/>
  <c r="M160" i="7"/>
  <c r="M159" i="7"/>
  <c r="M158" i="7"/>
  <c r="N157" i="7"/>
  <c r="M157" i="7"/>
  <c r="M156" i="7"/>
  <c r="P155" i="7"/>
  <c r="N155" i="7"/>
  <c r="M155" i="7"/>
  <c r="O155" i="7"/>
  <c r="M153" i="7"/>
  <c r="M151" i="7"/>
  <c r="M149" i="7"/>
  <c r="O148" i="7"/>
  <c r="M147" i="7"/>
  <c r="N146" i="7"/>
  <c r="M146" i="7"/>
  <c r="M145" i="7"/>
  <c r="N144" i="7"/>
  <c r="M144" i="7"/>
  <c r="N143" i="7"/>
  <c r="M143" i="7"/>
  <c r="M141" i="7"/>
  <c r="O141" i="7"/>
  <c r="M139" i="7"/>
  <c r="O139" i="7"/>
  <c r="M137" i="7"/>
  <c r="O137" i="7"/>
  <c r="M135" i="7"/>
  <c r="O135" i="7"/>
  <c r="M133" i="7"/>
  <c r="O133" i="7"/>
  <c r="M131" i="7"/>
  <c r="O131" i="7"/>
  <c r="M129" i="7"/>
  <c r="M127" i="7"/>
  <c r="O126" i="7"/>
  <c r="M125" i="7"/>
  <c r="O124" i="7"/>
  <c r="M123" i="7"/>
  <c r="O122" i="7"/>
  <c r="M121" i="7"/>
  <c r="O120" i="7"/>
  <c r="M119" i="7"/>
  <c r="M117" i="7"/>
  <c r="O116" i="7"/>
  <c r="M115" i="7"/>
  <c r="O114" i="7"/>
  <c r="M113" i="7"/>
  <c r="O112" i="7"/>
  <c r="M111" i="7"/>
  <c r="O110" i="7"/>
  <c r="M109" i="7"/>
  <c r="P108" i="7"/>
  <c r="O108" i="7"/>
  <c r="O107" i="7"/>
  <c r="M107" i="7"/>
  <c r="M106" i="7"/>
  <c r="M105" i="7"/>
  <c r="M104" i="7"/>
  <c r="M103" i="7"/>
  <c r="M102" i="7"/>
  <c r="M101" i="7"/>
  <c r="M100" i="7"/>
  <c r="M99" i="7"/>
  <c r="M98" i="7"/>
  <c r="M97" i="7"/>
  <c r="M96" i="7"/>
  <c r="P95" i="7"/>
  <c r="M95" i="7"/>
  <c r="M93" i="7"/>
  <c r="O93" i="7"/>
  <c r="M91" i="7"/>
  <c r="O91" i="7"/>
  <c r="M89" i="7"/>
  <c r="O89" i="7"/>
  <c r="M87" i="7"/>
  <c r="O87" i="7"/>
  <c r="O85" i="7"/>
  <c r="M85" i="7"/>
  <c r="O83" i="7"/>
  <c r="M83" i="7"/>
  <c r="M81" i="7"/>
  <c r="M79" i="7"/>
  <c r="O79" i="7"/>
  <c r="M77" i="7"/>
  <c r="O77" i="7"/>
  <c r="M75" i="7"/>
  <c r="O75" i="7"/>
  <c r="M74" i="7"/>
  <c r="M73" i="7"/>
  <c r="O73" i="7"/>
  <c r="M72" i="7"/>
  <c r="O72" i="7"/>
  <c r="P71" i="7"/>
  <c r="N71" i="7"/>
  <c r="M71" i="7"/>
  <c r="O71" i="7"/>
  <c r="N69" i="7"/>
  <c r="P67" i="7"/>
  <c r="P65" i="7"/>
  <c r="N63" i="7"/>
  <c r="P61" i="7"/>
  <c r="N59" i="7"/>
  <c r="M57" i="7"/>
  <c r="O57" i="7"/>
  <c r="M55" i="7"/>
  <c r="O55" i="7"/>
  <c r="M53" i="7"/>
  <c r="O53" i="7"/>
  <c r="M51" i="7"/>
  <c r="O51" i="7"/>
  <c r="M49" i="7"/>
  <c r="O49" i="7"/>
  <c r="N48" i="7"/>
  <c r="M47" i="7"/>
  <c r="O47" i="7"/>
  <c r="N45" i="7"/>
  <c r="O45" i="7"/>
  <c r="M45" i="7"/>
  <c r="N43" i="7"/>
  <c r="O43" i="7"/>
  <c r="M43" i="7"/>
  <c r="N41" i="7"/>
  <c r="O41" i="7"/>
  <c r="M41" i="7"/>
  <c r="N39" i="7"/>
  <c r="O39" i="7"/>
  <c r="M39" i="7"/>
  <c r="N37" i="7"/>
  <c r="O37" i="7"/>
  <c r="M37" i="7"/>
  <c r="N36" i="7"/>
  <c r="N35" i="7"/>
  <c r="O35" i="7"/>
  <c r="M35" i="7"/>
  <c r="M33" i="7"/>
  <c r="M31" i="7"/>
  <c r="M29" i="7"/>
  <c r="M27" i="7"/>
  <c r="P26" i="7"/>
  <c r="M25" i="7"/>
  <c r="P24" i="7"/>
  <c r="N24" i="7"/>
  <c r="O24" i="7"/>
  <c r="M23" i="7"/>
  <c r="O22" i="7"/>
  <c r="M21" i="7"/>
  <c r="O20" i="7"/>
  <c r="M19" i="7"/>
  <c r="O18" i="7"/>
  <c r="M17" i="7"/>
  <c r="O16" i="7"/>
  <c r="M15" i="7"/>
  <c r="O14" i="7"/>
  <c r="M13" i="7"/>
  <c r="O12" i="7"/>
  <c r="M11" i="7"/>
  <c r="P163" i="7"/>
  <c r="N163" i="7"/>
  <c r="F163" i="7"/>
  <c r="B163" i="7"/>
  <c r="P162" i="7"/>
  <c r="O162" i="7"/>
  <c r="N162" i="7"/>
  <c r="F162" i="7"/>
  <c r="B162" i="7"/>
  <c r="P161" i="7"/>
  <c r="N161" i="7"/>
  <c r="F161" i="7"/>
  <c r="B161" i="7"/>
  <c r="P160" i="7"/>
  <c r="O160" i="7"/>
  <c r="N160" i="7"/>
  <c r="F160" i="7"/>
  <c r="B160" i="7"/>
  <c r="P159" i="7"/>
  <c r="N159" i="7"/>
  <c r="F159" i="7"/>
  <c r="B159" i="7"/>
  <c r="P158" i="7"/>
  <c r="O158" i="7"/>
  <c r="N158" i="7"/>
  <c r="F158" i="7"/>
  <c r="B158" i="7"/>
  <c r="F157" i="7"/>
  <c r="B157" i="7"/>
  <c r="P156" i="7"/>
  <c r="N156" i="7"/>
  <c r="F156" i="7"/>
  <c r="B156" i="7"/>
  <c r="F155" i="7"/>
  <c r="B155" i="7"/>
  <c r="P154" i="7"/>
  <c r="O154" i="7"/>
  <c r="N154" i="7"/>
  <c r="M154" i="7"/>
  <c r="F154" i="7"/>
  <c r="B154" i="7"/>
  <c r="P153" i="7"/>
  <c r="O153" i="7"/>
  <c r="N153" i="7"/>
  <c r="F153" i="7"/>
  <c r="B153" i="7"/>
  <c r="P152" i="7"/>
  <c r="O152" i="7"/>
  <c r="N152" i="7"/>
  <c r="M152" i="7"/>
  <c r="F152" i="7"/>
  <c r="B152" i="7"/>
  <c r="P151" i="7"/>
  <c r="O151" i="7"/>
  <c r="N151" i="7"/>
  <c r="F151" i="7"/>
  <c r="B151" i="7"/>
  <c r="P150" i="7"/>
  <c r="O150" i="7"/>
  <c r="N150" i="7"/>
  <c r="M150" i="7"/>
  <c r="F150" i="7"/>
  <c r="B150" i="7"/>
  <c r="P149" i="7"/>
  <c r="O149" i="7"/>
  <c r="N149" i="7"/>
  <c r="F149" i="7"/>
  <c r="B149" i="7"/>
  <c r="P148" i="7"/>
  <c r="N148" i="7"/>
  <c r="M148" i="7"/>
  <c r="F148" i="7"/>
  <c r="B148" i="7"/>
  <c r="P147" i="7"/>
  <c r="O147" i="7"/>
  <c r="N147" i="7"/>
  <c r="F147" i="7"/>
  <c r="B147" i="7"/>
  <c r="P146" i="7"/>
  <c r="F146" i="7"/>
  <c r="B146" i="7"/>
  <c r="P145" i="7"/>
  <c r="O145" i="7"/>
  <c r="N145" i="7"/>
  <c r="F145" i="7"/>
  <c r="B145" i="7"/>
  <c r="P144" i="7"/>
  <c r="F144" i="7"/>
  <c r="B144" i="7"/>
  <c r="P143" i="7"/>
  <c r="O143" i="7"/>
  <c r="F143" i="7"/>
  <c r="B143" i="7"/>
  <c r="P142" i="7"/>
  <c r="O142" i="7"/>
  <c r="N142" i="7"/>
  <c r="M142" i="7"/>
  <c r="F142" i="7"/>
  <c r="B142" i="7"/>
  <c r="P141" i="7"/>
  <c r="N141" i="7"/>
  <c r="F141" i="7"/>
  <c r="B141" i="7"/>
  <c r="P140" i="7"/>
  <c r="O140" i="7"/>
  <c r="N140" i="7"/>
  <c r="M140" i="7"/>
  <c r="F140" i="7"/>
  <c r="B140" i="7"/>
  <c r="P139" i="7"/>
  <c r="N139" i="7"/>
  <c r="F139" i="7"/>
  <c r="B139" i="7"/>
  <c r="P138" i="7"/>
  <c r="O138" i="7"/>
  <c r="N138" i="7"/>
  <c r="M138" i="7"/>
  <c r="F138" i="7"/>
  <c r="B138" i="7"/>
  <c r="P137" i="7"/>
  <c r="N137" i="7"/>
  <c r="F137" i="7"/>
  <c r="B137" i="7"/>
  <c r="P136" i="7"/>
  <c r="O136" i="7"/>
  <c r="N136" i="7"/>
  <c r="M136" i="7"/>
  <c r="F136" i="7"/>
  <c r="B136" i="7"/>
  <c r="P135" i="7"/>
  <c r="N135" i="7"/>
  <c r="F135" i="7"/>
  <c r="B135" i="7"/>
  <c r="P134" i="7"/>
  <c r="O134" i="7"/>
  <c r="N134" i="7"/>
  <c r="M134" i="7"/>
  <c r="F134" i="7"/>
  <c r="B134" i="7"/>
  <c r="P133" i="7"/>
  <c r="N133" i="7"/>
  <c r="F133" i="7"/>
  <c r="B133" i="7"/>
  <c r="P132" i="7"/>
  <c r="O132" i="7"/>
  <c r="N132" i="7"/>
  <c r="M132" i="7"/>
  <c r="F132" i="7"/>
  <c r="B132" i="7"/>
  <c r="P131" i="7"/>
  <c r="N131" i="7"/>
  <c r="F131" i="7"/>
  <c r="B131" i="7"/>
  <c r="P130" i="7"/>
  <c r="O130" i="7"/>
  <c r="N130" i="7"/>
  <c r="M130" i="7"/>
  <c r="F130" i="7"/>
  <c r="B130" i="7"/>
  <c r="P129" i="7"/>
  <c r="O129" i="7"/>
  <c r="N129" i="7"/>
  <c r="F129" i="7"/>
  <c r="B129" i="7"/>
  <c r="P128" i="7"/>
  <c r="O128" i="7"/>
  <c r="N128" i="7"/>
  <c r="M128" i="7"/>
  <c r="F128" i="7"/>
  <c r="B128" i="7"/>
  <c r="P127" i="7"/>
  <c r="O127" i="7"/>
  <c r="N127" i="7"/>
  <c r="F127" i="7"/>
  <c r="B127" i="7"/>
  <c r="P126" i="7"/>
  <c r="N126" i="7"/>
  <c r="M126" i="7"/>
  <c r="F126" i="7"/>
  <c r="B126" i="7"/>
  <c r="P125" i="7"/>
  <c r="O125" i="7"/>
  <c r="N125" i="7"/>
  <c r="F125" i="7"/>
  <c r="B125" i="7"/>
  <c r="P124" i="7"/>
  <c r="N124" i="7"/>
  <c r="M124" i="7"/>
  <c r="F124" i="7"/>
  <c r="B124" i="7"/>
  <c r="P123" i="7"/>
  <c r="O123" i="7"/>
  <c r="N123" i="7"/>
  <c r="F123" i="7"/>
  <c r="B123" i="7"/>
  <c r="P122" i="7"/>
  <c r="N122" i="7"/>
  <c r="M122" i="7"/>
  <c r="F122" i="7"/>
  <c r="B122" i="7"/>
  <c r="P121" i="7"/>
  <c r="O121" i="7"/>
  <c r="N121" i="7"/>
  <c r="F121" i="7"/>
  <c r="B121" i="7"/>
  <c r="P120" i="7"/>
  <c r="N120" i="7"/>
  <c r="M120" i="7"/>
  <c r="F120" i="7"/>
  <c r="B120" i="7"/>
  <c r="P119" i="7"/>
  <c r="O119" i="7"/>
  <c r="N119" i="7"/>
  <c r="F119" i="7"/>
  <c r="B119" i="7"/>
  <c r="P118" i="7"/>
  <c r="O118" i="7"/>
  <c r="N118" i="7"/>
  <c r="M118" i="7"/>
  <c r="F118" i="7"/>
  <c r="B118" i="7"/>
  <c r="P117" i="7"/>
  <c r="O117" i="7"/>
  <c r="N117" i="7"/>
  <c r="F117" i="7"/>
  <c r="B117" i="7"/>
  <c r="P116" i="7"/>
  <c r="N116" i="7"/>
  <c r="F116" i="7"/>
  <c r="B116" i="7"/>
  <c r="P115" i="7"/>
  <c r="O115" i="7"/>
  <c r="N115" i="7"/>
  <c r="F115" i="7"/>
  <c r="B115" i="7"/>
  <c r="P114" i="7"/>
  <c r="N114" i="7"/>
  <c r="F114" i="7"/>
  <c r="B114" i="7"/>
  <c r="P113" i="7"/>
  <c r="O113" i="7"/>
  <c r="N113" i="7"/>
  <c r="F113" i="7"/>
  <c r="B113" i="7"/>
  <c r="P112" i="7"/>
  <c r="N112" i="7"/>
  <c r="F112" i="7"/>
  <c r="B112" i="7"/>
  <c r="P111" i="7"/>
  <c r="O111" i="7"/>
  <c r="N111" i="7"/>
  <c r="F111" i="7"/>
  <c r="B111" i="7"/>
  <c r="P110" i="7"/>
  <c r="N110" i="7"/>
  <c r="F110" i="7"/>
  <c r="B110" i="7"/>
  <c r="P109" i="7"/>
  <c r="O109" i="7"/>
  <c r="N109" i="7"/>
  <c r="F109" i="7"/>
  <c r="B109" i="7"/>
  <c r="N108" i="7"/>
  <c r="F108" i="7"/>
  <c r="B108" i="7"/>
  <c r="P107" i="7"/>
  <c r="N107" i="7"/>
  <c r="F107" i="7"/>
  <c r="B107" i="7"/>
  <c r="P106" i="7"/>
  <c r="N106" i="7"/>
  <c r="F106" i="7"/>
  <c r="B106" i="7"/>
  <c r="P105" i="7"/>
  <c r="O105" i="7"/>
  <c r="N105" i="7"/>
  <c r="F105" i="7"/>
  <c r="B105" i="7"/>
  <c r="P104" i="7"/>
  <c r="N104" i="7"/>
  <c r="F104" i="7"/>
  <c r="B104" i="7"/>
  <c r="P103" i="7"/>
  <c r="O103" i="7"/>
  <c r="N103" i="7"/>
  <c r="F103" i="7"/>
  <c r="B103" i="7"/>
  <c r="P102" i="7"/>
  <c r="N102" i="7"/>
  <c r="F102" i="7"/>
  <c r="B102" i="7"/>
  <c r="P101" i="7"/>
  <c r="O101" i="7"/>
  <c r="N101" i="7"/>
  <c r="F101" i="7"/>
  <c r="B101" i="7"/>
  <c r="P100" i="7"/>
  <c r="N100" i="7"/>
  <c r="F100" i="7"/>
  <c r="B100" i="7"/>
  <c r="P99" i="7"/>
  <c r="O99" i="7"/>
  <c r="N99" i="7"/>
  <c r="F99" i="7"/>
  <c r="B99" i="7"/>
  <c r="P98" i="7"/>
  <c r="N98" i="7"/>
  <c r="F98" i="7"/>
  <c r="B98" i="7"/>
  <c r="P97" i="7"/>
  <c r="O97" i="7"/>
  <c r="N97" i="7"/>
  <c r="F97" i="7"/>
  <c r="B97" i="7"/>
  <c r="P96" i="7"/>
  <c r="N96" i="7"/>
  <c r="F96" i="7"/>
  <c r="B96" i="7"/>
  <c r="O95" i="7"/>
  <c r="F95" i="7"/>
  <c r="B95" i="7"/>
  <c r="P94" i="7"/>
  <c r="O94" i="7"/>
  <c r="N94" i="7"/>
  <c r="M94" i="7"/>
  <c r="F94" i="7"/>
  <c r="B94" i="7"/>
  <c r="P93" i="7"/>
  <c r="N93" i="7"/>
  <c r="F93" i="7"/>
  <c r="B93" i="7"/>
  <c r="P92" i="7"/>
  <c r="O92" i="7"/>
  <c r="N92" i="7"/>
  <c r="M92" i="7"/>
  <c r="F92" i="7"/>
  <c r="B92" i="7"/>
  <c r="P91" i="7"/>
  <c r="N91" i="7"/>
  <c r="F91" i="7"/>
  <c r="B91" i="7"/>
  <c r="P90" i="7"/>
  <c r="O90" i="7"/>
  <c r="N90" i="7"/>
  <c r="M90" i="7"/>
  <c r="F90" i="7"/>
  <c r="B90" i="7"/>
  <c r="P89" i="7"/>
  <c r="N89" i="7"/>
  <c r="F89" i="7"/>
  <c r="B89" i="7"/>
  <c r="P88" i="7"/>
  <c r="O88" i="7"/>
  <c r="N88" i="7"/>
  <c r="M88" i="7"/>
  <c r="F88" i="7"/>
  <c r="B88" i="7"/>
  <c r="P87" i="7"/>
  <c r="N87" i="7"/>
  <c r="F87" i="7"/>
  <c r="B87" i="7"/>
  <c r="P86" i="7"/>
  <c r="O86" i="7"/>
  <c r="N86" i="7"/>
  <c r="M86" i="7"/>
  <c r="F86" i="7"/>
  <c r="B86" i="7"/>
  <c r="P85" i="7"/>
  <c r="N85" i="7"/>
  <c r="F85" i="7"/>
  <c r="B85" i="7"/>
  <c r="P84" i="7"/>
  <c r="O84" i="7"/>
  <c r="N84" i="7"/>
  <c r="M84" i="7"/>
  <c r="F84" i="7"/>
  <c r="B84" i="7"/>
  <c r="P83" i="7"/>
  <c r="N83" i="7"/>
  <c r="F83" i="7"/>
  <c r="B83" i="7"/>
  <c r="P82" i="7"/>
  <c r="O82" i="7"/>
  <c r="N82" i="7"/>
  <c r="M82" i="7"/>
  <c r="F82" i="7"/>
  <c r="B82" i="7"/>
  <c r="P81" i="7"/>
  <c r="O81" i="7"/>
  <c r="N81" i="7"/>
  <c r="F81" i="7"/>
  <c r="B81" i="7"/>
  <c r="P80" i="7"/>
  <c r="O80" i="7"/>
  <c r="N80" i="7"/>
  <c r="M80" i="7"/>
  <c r="F80" i="7"/>
  <c r="B80" i="7"/>
  <c r="P79" i="7"/>
  <c r="N79" i="7"/>
  <c r="F79" i="7"/>
  <c r="B79" i="7"/>
  <c r="P78" i="7"/>
  <c r="O78" i="7"/>
  <c r="N78" i="7"/>
  <c r="M78" i="7"/>
  <c r="F78" i="7"/>
  <c r="B78" i="7"/>
  <c r="P77" i="7"/>
  <c r="N77" i="7"/>
  <c r="F77" i="7"/>
  <c r="B77" i="7"/>
  <c r="P76" i="7"/>
  <c r="O76" i="7"/>
  <c r="N76" i="7"/>
  <c r="M76" i="7"/>
  <c r="F76" i="7"/>
  <c r="B76" i="7"/>
  <c r="P75" i="7"/>
  <c r="N75" i="7"/>
  <c r="F75" i="7"/>
  <c r="B75" i="7"/>
  <c r="P74" i="7"/>
  <c r="O74" i="7"/>
  <c r="N74" i="7"/>
  <c r="F74" i="7"/>
  <c r="B74" i="7"/>
  <c r="P73" i="7"/>
  <c r="N73" i="7"/>
  <c r="F73" i="7"/>
  <c r="B73" i="7"/>
  <c r="P72" i="7"/>
  <c r="N72" i="7"/>
  <c r="F72" i="7"/>
  <c r="B72" i="7"/>
  <c r="F71" i="7"/>
  <c r="B71" i="7"/>
  <c r="P70" i="7"/>
  <c r="O70" i="7"/>
  <c r="N70" i="7"/>
  <c r="M70" i="7"/>
  <c r="F70" i="7"/>
  <c r="B70" i="7"/>
  <c r="O69" i="7"/>
  <c r="M69" i="7"/>
  <c r="F69" i="7"/>
  <c r="B69" i="7"/>
  <c r="P68" i="7"/>
  <c r="O68" i="7"/>
  <c r="N68" i="7"/>
  <c r="M68" i="7"/>
  <c r="F68" i="7"/>
  <c r="B68" i="7"/>
  <c r="O67" i="7"/>
  <c r="M67" i="7"/>
  <c r="F67" i="7"/>
  <c r="B67" i="7"/>
  <c r="P66" i="7"/>
  <c r="O66" i="7"/>
  <c r="N66" i="7"/>
  <c r="M66" i="7"/>
  <c r="F66" i="7"/>
  <c r="B66" i="7"/>
  <c r="O65" i="7"/>
  <c r="M65" i="7"/>
  <c r="F65" i="7"/>
  <c r="B65" i="7"/>
  <c r="P64" i="7"/>
  <c r="O64" i="7"/>
  <c r="N64" i="7"/>
  <c r="M64" i="7"/>
  <c r="F64" i="7"/>
  <c r="B64" i="7"/>
  <c r="O63" i="7"/>
  <c r="M63" i="7"/>
  <c r="F63" i="7"/>
  <c r="B63" i="7"/>
  <c r="P62" i="7"/>
  <c r="O62" i="7"/>
  <c r="N62" i="7"/>
  <c r="M62" i="7"/>
  <c r="F62" i="7"/>
  <c r="B62" i="7"/>
  <c r="O61" i="7"/>
  <c r="M61" i="7"/>
  <c r="F61" i="7"/>
  <c r="B61" i="7"/>
  <c r="P60" i="7"/>
  <c r="O60" i="7"/>
  <c r="N60" i="7"/>
  <c r="M60" i="7"/>
  <c r="F60" i="7"/>
  <c r="B60" i="7"/>
  <c r="O59" i="7"/>
  <c r="M59" i="7"/>
  <c r="F59" i="7"/>
  <c r="B59" i="7"/>
  <c r="P58" i="7"/>
  <c r="O58" i="7"/>
  <c r="N58" i="7"/>
  <c r="M58" i="7"/>
  <c r="F58" i="7"/>
  <c r="B58" i="7"/>
  <c r="P57" i="7"/>
  <c r="N57" i="7"/>
  <c r="F57" i="7"/>
  <c r="B57" i="7"/>
  <c r="P56" i="7"/>
  <c r="O56" i="7"/>
  <c r="N56" i="7"/>
  <c r="M56" i="7"/>
  <c r="F56" i="7"/>
  <c r="B56" i="7"/>
  <c r="P55" i="7"/>
  <c r="N55" i="7"/>
  <c r="F55" i="7"/>
  <c r="B55" i="7"/>
  <c r="P54" i="7"/>
  <c r="O54" i="7"/>
  <c r="N54" i="7"/>
  <c r="M54" i="7"/>
  <c r="F54" i="7"/>
  <c r="B54" i="7"/>
  <c r="P53" i="7"/>
  <c r="N53" i="7"/>
  <c r="F53" i="7"/>
  <c r="B53" i="7"/>
  <c r="P52" i="7"/>
  <c r="O52" i="7"/>
  <c r="N52" i="7"/>
  <c r="M52" i="7"/>
  <c r="F52" i="7"/>
  <c r="B52" i="7"/>
  <c r="P51" i="7"/>
  <c r="N51" i="7"/>
  <c r="F51" i="7"/>
  <c r="B51" i="7"/>
  <c r="P50" i="7"/>
  <c r="O50" i="7"/>
  <c r="N50" i="7"/>
  <c r="M50" i="7"/>
  <c r="F50" i="7"/>
  <c r="B50" i="7"/>
  <c r="P49" i="7"/>
  <c r="N49" i="7"/>
  <c r="F49" i="7"/>
  <c r="B49" i="7"/>
  <c r="O48" i="7"/>
  <c r="M48" i="7"/>
  <c r="F48" i="7"/>
  <c r="B48" i="7"/>
  <c r="P47" i="7"/>
  <c r="N47" i="7"/>
  <c r="F47" i="7"/>
  <c r="B47" i="7"/>
  <c r="P46" i="7"/>
  <c r="O46" i="7"/>
  <c r="N46" i="7"/>
  <c r="M46" i="7"/>
  <c r="F46" i="7"/>
  <c r="B46" i="7"/>
  <c r="P45" i="7"/>
  <c r="F45" i="7"/>
  <c r="B45" i="7"/>
  <c r="P44" i="7"/>
  <c r="O44" i="7"/>
  <c r="N44" i="7"/>
  <c r="M44" i="7"/>
  <c r="F44" i="7"/>
  <c r="B44" i="7"/>
  <c r="P43" i="7"/>
  <c r="F43" i="7"/>
  <c r="B43" i="7"/>
  <c r="P42" i="7"/>
  <c r="O42" i="7"/>
  <c r="N42" i="7"/>
  <c r="M42" i="7"/>
  <c r="F42" i="7"/>
  <c r="B42" i="7"/>
  <c r="P41" i="7"/>
  <c r="F41" i="7"/>
  <c r="B41" i="7"/>
  <c r="P40" i="7"/>
  <c r="O40" i="7"/>
  <c r="N40" i="7"/>
  <c r="M40" i="7"/>
  <c r="F40" i="7"/>
  <c r="B40" i="7"/>
  <c r="P39" i="7"/>
  <c r="F39" i="7"/>
  <c r="B39" i="7"/>
  <c r="P38" i="7"/>
  <c r="O38" i="7"/>
  <c r="N38" i="7"/>
  <c r="M38" i="7"/>
  <c r="F38" i="7"/>
  <c r="B38" i="7"/>
  <c r="P37" i="7"/>
  <c r="F37" i="7"/>
  <c r="B37" i="7"/>
  <c r="P36" i="7"/>
  <c r="O36" i="7"/>
  <c r="M36" i="7"/>
  <c r="F36" i="7"/>
  <c r="B36" i="7"/>
  <c r="P35" i="7"/>
  <c r="F35" i="7"/>
  <c r="B35" i="7"/>
  <c r="P34" i="7"/>
  <c r="O34" i="7"/>
  <c r="N34" i="7"/>
  <c r="M34" i="7"/>
  <c r="F34" i="7"/>
  <c r="B34" i="7"/>
  <c r="P33" i="7"/>
  <c r="O33" i="7"/>
  <c r="N33" i="7"/>
  <c r="F33" i="7"/>
  <c r="B33" i="7"/>
  <c r="P32" i="7"/>
  <c r="O32" i="7"/>
  <c r="N32" i="7"/>
  <c r="M32" i="7"/>
  <c r="F32" i="7"/>
  <c r="B32" i="7"/>
  <c r="P31" i="7"/>
  <c r="O31" i="7"/>
  <c r="N31" i="7"/>
  <c r="F31" i="7"/>
  <c r="B31" i="7"/>
  <c r="P30" i="7"/>
  <c r="O30" i="7"/>
  <c r="N30" i="7"/>
  <c r="M30" i="7"/>
  <c r="F30" i="7"/>
  <c r="B30" i="7"/>
  <c r="P29" i="7"/>
  <c r="O29" i="7"/>
  <c r="N29" i="7"/>
  <c r="F29" i="7"/>
  <c r="B29" i="7"/>
  <c r="P28" i="7"/>
  <c r="O28" i="7"/>
  <c r="N28" i="7"/>
  <c r="M28" i="7"/>
  <c r="F28" i="7"/>
  <c r="B28" i="7"/>
  <c r="P27" i="7"/>
  <c r="O27" i="7"/>
  <c r="N27" i="7"/>
  <c r="F27" i="7"/>
  <c r="B27" i="7"/>
  <c r="O26" i="7"/>
  <c r="N26" i="7"/>
  <c r="M26" i="7"/>
  <c r="F26" i="7"/>
  <c r="B26" i="7"/>
  <c r="P25" i="7"/>
  <c r="O25" i="7"/>
  <c r="N25" i="7"/>
  <c r="F25" i="7"/>
  <c r="B25" i="7"/>
  <c r="F24" i="7"/>
  <c r="B24" i="7"/>
  <c r="P23" i="7"/>
  <c r="O23" i="7"/>
  <c r="N23" i="7"/>
  <c r="F23" i="7"/>
  <c r="B23" i="7"/>
  <c r="P22" i="7"/>
  <c r="N22" i="7"/>
  <c r="F22" i="7"/>
  <c r="B22" i="7"/>
  <c r="P21" i="7"/>
  <c r="O21" i="7"/>
  <c r="N21" i="7"/>
  <c r="F21" i="7"/>
  <c r="B21" i="7"/>
  <c r="P20" i="7"/>
  <c r="N20" i="7"/>
  <c r="F20" i="7"/>
  <c r="B20" i="7"/>
  <c r="P19" i="7"/>
  <c r="O19" i="7"/>
  <c r="N19" i="7"/>
  <c r="F19" i="7"/>
  <c r="B19" i="7"/>
  <c r="P18" i="7"/>
  <c r="N18" i="7"/>
  <c r="F18" i="7"/>
  <c r="B18" i="7"/>
  <c r="P17" i="7"/>
  <c r="O17" i="7"/>
  <c r="N17" i="7"/>
  <c r="F17" i="7"/>
  <c r="B17" i="7"/>
  <c r="P16" i="7"/>
  <c r="N16" i="7"/>
  <c r="F16" i="7"/>
  <c r="B16" i="7"/>
  <c r="P15" i="7"/>
  <c r="O15" i="7"/>
  <c r="N15" i="7"/>
  <c r="F15" i="7"/>
  <c r="B15" i="7"/>
  <c r="P14" i="7"/>
  <c r="N14" i="7"/>
  <c r="F14" i="7"/>
  <c r="B14" i="7"/>
  <c r="P13" i="7"/>
  <c r="O13" i="7"/>
  <c r="N13" i="7"/>
  <c r="F13" i="7"/>
  <c r="B13" i="7"/>
  <c r="P12" i="7"/>
  <c r="N12" i="7"/>
  <c r="F12" i="7"/>
  <c r="B12" i="7"/>
  <c r="P11" i="7"/>
  <c r="O11" i="7"/>
  <c r="N11" i="7"/>
  <c r="F11" i="7"/>
  <c r="B11" i="7"/>
  <c r="P162" i="6"/>
  <c r="P160" i="6"/>
  <c r="O160" i="6"/>
  <c r="P158" i="6"/>
  <c r="O158" i="6"/>
  <c r="O157" i="6"/>
  <c r="M157" i="6"/>
  <c r="P156" i="6"/>
  <c r="O156" i="6"/>
  <c r="N155" i="6"/>
  <c r="O155" i="6"/>
  <c r="M155" i="6"/>
  <c r="M153" i="6"/>
  <c r="M151" i="6"/>
  <c r="M149" i="6"/>
  <c r="M147" i="6"/>
  <c r="M145" i="6"/>
  <c r="O144" i="6"/>
  <c r="P143" i="6"/>
  <c r="N143" i="6"/>
  <c r="M143" i="6"/>
  <c r="O143" i="6"/>
  <c r="M141" i="6"/>
  <c r="M139" i="6"/>
  <c r="M137" i="6"/>
  <c r="M135" i="6"/>
  <c r="O134" i="6"/>
  <c r="M133" i="6"/>
  <c r="O132" i="6"/>
  <c r="M131" i="6"/>
  <c r="N130" i="6"/>
  <c r="M129" i="6"/>
  <c r="N128" i="6"/>
  <c r="M127" i="6"/>
  <c r="N126" i="6"/>
  <c r="M126" i="6"/>
  <c r="M125" i="6"/>
  <c r="N124" i="6"/>
  <c r="M124" i="6"/>
  <c r="M123" i="6"/>
  <c r="N122" i="6"/>
  <c r="O122" i="6"/>
  <c r="M122" i="6"/>
  <c r="M121" i="6"/>
  <c r="N120" i="6"/>
  <c r="P120" i="6"/>
  <c r="O120" i="6"/>
  <c r="M120" i="6"/>
  <c r="O119" i="6"/>
  <c r="M119" i="6"/>
  <c r="M117" i="6"/>
  <c r="M115" i="6"/>
  <c r="M113" i="6"/>
  <c r="M111" i="6"/>
  <c r="M109" i="6"/>
  <c r="M107" i="6"/>
  <c r="O117" i="6"/>
  <c r="P116" i="6"/>
  <c r="O115" i="6"/>
  <c r="P114" i="6"/>
  <c r="O113" i="6"/>
  <c r="P112" i="6"/>
  <c r="O111" i="6"/>
  <c r="P110" i="6"/>
  <c r="O109" i="6"/>
  <c r="P108" i="6"/>
  <c r="O108" i="6"/>
  <c r="N107" i="6"/>
  <c r="O107" i="6"/>
  <c r="O105" i="6"/>
  <c r="O103" i="6"/>
  <c r="O101" i="6"/>
  <c r="M100" i="6"/>
  <c r="O99" i="6"/>
  <c r="M98" i="6"/>
  <c r="M97" i="6"/>
  <c r="O97" i="6"/>
  <c r="M96" i="6"/>
  <c r="P95" i="6"/>
  <c r="M95" i="6"/>
  <c r="O95" i="6"/>
  <c r="M93" i="6"/>
  <c r="M91" i="6"/>
  <c r="M89" i="6"/>
  <c r="M87" i="6"/>
  <c r="M85" i="6"/>
  <c r="O84" i="6"/>
  <c r="M83" i="6"/>
  <c r="M81" i="6"/>
  <c r="M79" i="6"/>
  <c r="M77" i="6"/>
  <c r="M75" i="6"/>
  <c r="M73" i="6"/>
  <c r="M71" i="6"/>
  <c r="N75" i="6"/>
  <c r="N73" i="6"/>
  <c r="N71" i="6"/>
  <c r="M69" i="6"/>
  <c r="M67" i="6"/>
  <c r="M65" i="6"/>
  <c r="M63" i="6"/>
  <c r="M61" i="6"/>
  <c r="M59" i="6"/>
  <c r="M57" i="6"/>
  <c r="M55" i="6"/>
  <c r="M53" i="6"/>
  <c r="M51" i="6"/>
  <c r="O49" i="6"/>
  <c r="M49" i="6"/>
  <c r="O47" i="6"/>
  <c r="M47" i="6"/>
  <c r="M45" i="6"/>
  <c r="M43" i="6"/>
  <c r="M41" i="6"/>
  <c r="M39" i="6"/>
  <c r="M37" i="6"/>
  <c r="M35" i="6"/>
  <c r="P33" i="6"/>
  <c r="M33" i="6"/>
  <c r="P31" i="6"/>
  <c r="M31" i="6"/>
  <c r="P29" i="6"/>
  <c r="M29" i="6"/>
  <c r="P27" i="6"/>
  <c r="M27" i="6"/>
  <c r="N25" i="6"/>
  <c r="M25" i="6"/>
  <c r="M24" i="6"/>
  <c r="O24" i="6"/>
  <c r="N23" i="6"/>
  <c r="M23" i="6"/>
  <c r="O33" i="6"/>
  <c r="O31" i="6"/>
  <c r="O29" i="6"/>
  <c r="O27" i="6"/>
  <c r="O26" i="6"/>
  <c r="O25" i="6"/>
  <c r="O23" i="6"/>
  <c r="O21" i="6"/>
  <c r="O19" i="6"/>
  <c r="O17" i="6"/>
  <c r="O15" i="6"/>
  <c r="O13" i="6"/>
  <c r="O11" i="6"/>
  <c r="P163" i="6"/>
  <c r="O163" i="6"/>
  <c r="N163" i="6"/>
  <c r="M163" i="6"/>
  <c r="F163" i="6"/>
  <c r="B163" i="6"/>
  <c r="O162" i="6"/>
  <c r="N162" i="6"/>
  <c r="M162" i="6"/>
  <c r="F162" i="6"/>
  <c r="B162" i="6"/>
  <c r="P161" i="6"/>
  <c r="O161" i="6"/>
  <c r="N161" i="6"/>
  <c r="M161" i="6"/>
  <c r="F161" i="6"/>
  <c r="B161" i="6"/>
  <c r="N160" i="6"/>
  <c r="M160" i="6"/>
  <c r="F160" i="6"/>
  <c r="B160" i="6"/>
  <c r="P159" i="6"/>
  <c r="O159" i="6"/>
  <c r="N159" i="6"/>
  <c r="M159" i="6"/>
  <c r="F159" i="6"/>
  <c r="B159" i="6"/>
  <c r="N158" i="6"/>
  <c r="F158" i="6"/>
  <c r="B158" i="6"/>
  <c r="P157" i="6"/>
  <c r="N157" i="6"/>
  <c r="F157" i="6"/>
  <c r="B157" i="6"/>
  <c r="N156" i="6"/>
  <c r="F156" i="6"/>
  <c r="B156" i="6"/>
  <c r="P155" i="6"/>
  <c r="F155" i="6"/>
  <c r="B155" i="6"/>
  <c r="P154" i="6"/>
  <c r="O154" i="6"/>
  <c r="N154" i="6"/>
  <c r="M154" i="6"/>
  <c r="F154" i="6"/>
  <c r="B154" i="6"/>
  <c r="P153" i="6"/>
  <c r="O153" i="6"/>
  <c r="N153" i="6"/>
  <c r="F153" i="6"/>
  <c r="B153" i="6"/>
  <c r="P152" i="6"/>
  <c r="O152" i="6"/>
  <c r="N152" i="6"/>
  <c r="M152" i="6"/>
  <c r="F152" i="6"/>
  <c r="B152" i="6"/>
  <c r="P151" i="6"/>
  <c r="O151" i="6"/>
  <c r="N151" i="6"/>
  <c r="F151" i="6"/>
  <c r="B151" i="6"/>
  <c r="P150" i="6"/>
  <c r="O150" i="6"/>
  <c r="N150" i="6"/>
  <c r="M150" i="6"/>
  <c r="F150" i="6"/>
  <c r="B150" i="6"/>
  <c r="P149" i="6"/>
  <c r="O149" i="6"/>
  <c r="N149" i="6"/>
  <c r="F149" i="6"/>
  <c r="B149" i="6"/>
  <c r="P148" i="6"/>
  <c r="O148" i="6"/>
  <c r="N148" i="6"/>
  <c r="M148" i="6"/>
  <c r="F148" i="6"/>
  <c r="B148" i="6"/>
  <c r="P147" i="6"/>
  <c r="O147" i="6"/>
  <c r="N147" i="6"/>
  <c r="F147" i="6"/>
  <c r="B147" i="6"/>
  <c r="P146" i="6"/>
  <c r="O146" i="6"/>
  <c r="N146" i="6"/>
  <c r="M146" i="6"/>
  <c r="F146" i="6"/>
  <c r="B146" i="6"/>
  <c r="P145" i="6"/>
  <c r="O145" i="6"/>
  <c r="N145" i="6"/>
  <c r="F145" i="6"/>
  <c r="B145" i="6"/>
  <c r="P144" i="6"/>
  <c r="N144" i="6"/>
  <c r="M144" i="6"/>
  <c r="F144" i="6"/>
  <c r="B144" i="6"/>
  <c r="F143" i="6"/>
  <c r="B143" i="6"/>
  <c r="P142" i="6"/>
  <c r="O142" i="6"/>
  <c r="N142" i="6"/>
  <c r="M142" i="6"/>
  <c r="F142" i="6"/>
  <c r="B142" i="6"/>
  <c r="P141" i="6"/>
  <c r="O141" i="6"/>
  <c r="N141" i="6"/>
  <c r="F141" i="6"/>
  <c r="B141" i="6"/>
  <c r="P140" i="6"/>
  <c r="O140" i="6"/>
  <c r="N140" i="6"/>
  <c r="M140" i="6"/>
  <c r="F140" i="6"/>
  <c r="B140" i="6"/>
  <c r="P139" i="6"/>
  <c r="O139" i="6"/>
  <c r="N139" i="6"/>
  <c r="F139" i="6"/>
  <c r="B139" i="6"/>
  <c r="P138" i="6"/>
  <c r="O138" i="6"/>
  <c r="N138" i="6"/>
  <c r="M138" i="6"/>
  <c r="F138" i="6"/>
  <c r="B138" i="6"/>
  <c r="P137" i="6"/>
  <c r="O137" i="6"/>
  <c r="N137" i="6"/>
  <c r="F137" i="6"/>
  <c r="B137" i="6"/>
  <c r="P136" i="6"/>
  <c r="O136" i="6"/>
  <c r="N136" i="6"/>
  <c r="M136" i="6"/>
  <c r="F136" i="6"/>
  <c r="B136" i="6"/>
  <c r="P135" i="6"/>
  <c r="O135" i="6"/>
  <c r="N135" i="6"/>
  <c r="F135" i="6"/>
  <c r="B135" i="6"/>
  <c r="P134" i="6"/>
  <c r="N134" i="6"/>
  <c r="F134" i="6"/>
  <c r="B134" i="6"/>
  <c r="P133" i="6"/>
  <c r="O133" i="6"/>
  <c r="N133" i="6"/>
  <c r="F133" i="6"/>
  <c r="B133" i="6"/>
  <c r="P132" i="6"/>
  <c r="N132" i="6"/>
  <c r="F132" i="6"/>
  <c r="B132" i="6"/>
  <c r="P131" i="6"/>
  <c r="O131" i="6"/>
  <c r="N131" i="6"/>
  <c r="F131" i="6"/>
  <c r="B131" i="6"/>
  <c r="P130" i="6"/>
  <c r="O130" i="6"/>
  <c r="M130" i="6"/>
  <c r="F130" i="6"/>
  <c r="B130" i="6"/>
  <c r="P129" i="6"/>
  <c r="O129" i="6"/>
  <c r="N129" i="6"/>
  <c r="F129" i="6"/>
  <c r="B129" i="6"/>
  <c r="P128" i="6"/>
  <c r="O128" i="6"/>
  <c r="M128" i="6"/>
  <c r="F128" i="6"/>
  <c r="B128" i="6"/>
  <c r="P127" i="6"/>
  <c r="O127" i="6"/>
  <c r="N127" i="6"/>
  <c r="F127" i="6"/>
  <c r="B127" i="6"/>
  <c r="P126" i="6"/>
  <c r="O126" i="6"/>
  <c r="F126" i="6"/>
  <c r="B126" i="6"/>
  <c r="P125" i="6"/>
  <c r="O125" i="6"/>
  <c r="N125" i="6"/>
  <c r="F125" i="6"/>
  <c r="B125" i="6"/>
  <c r="P124" i="6"/>
  <c r="O124" i="6"/>
  <c r="F124" i="6"/>
  <c r="B124" i="6"/>
  <c r="P123" i="6"/>
  <c r="O123" i="6"/>
  <c r="N123" i="6"/>
  <c r="F123" i="6"/>
  <c r="B123" i="6"/>
  <c r="P122" i="6"/>
  <c r="F122" i="6"/>
  <c r="B122" i="6"/>
  <c r="P121" i="6"/>
  <c r="O121" i="6"/>
  <c r="N121" i="6"/>
  <c r="F121" i="6"/>
  <c r="B121" i="6"/>
  <c r="F120" i="6"/>
  <c r="B120" i="6"/>
  <c r="P119" i="6"/>
  <c r="N119" i="6"/>
  <c r="F119" i="6"/>
  <c r="B119" i="6"/>
  <c r="P118" i="6"/>
  <c r="O118" i="6"/>
  <c r="N118" i="6"/>
  <c r="M118" i="6"/>
  <c r="F118" i="6"/>
  <c r="B118" i="6"/>
  <c r="P117" i="6"/>
  <c r="N117" i="6"/>
  <c r="F117" i="6"/>
  <c r="B117" i="6"/>
  <c r="O116" i="6"/>
  <c r="N116" i="6"/>
  <c r="M116" i="6"/>
  <c r="F116" i="6"/>
  <c r="B116" i="6"/>
  <c r="P115" i="6"/>
  <c r="N115" i="6"/>
  <c r="F115" i="6"/>
  <c r="B115" i="6"/>
  <c r="O114" i="6"/>
  <c r="N114" i="6"/>
  <c r="M114" i="6"/>
  <c r="F114" i="6"/>
  <c r="B114" i="6"/>
  <c r="P113" i="6"/>
  <c r="N113" i="6"/>
  <c r="F113" i="6"/>
  <c r="B113" i="6"/>
  <c r="O112" i="6"/>
  <c r="N112" i="6"/>
  <c r="M112" i="6"/>
  <c r="F112" i="6"/>
  <c r="B112" i="6"/>
  <c r="P111" i="6"/>
  <c r="N111" i="6"/>
  <c r="F111" i="6"/>
  <c r="B111" i="6"/>
  <c r="O110" i="6"/>
  <c r="N110" i="6"/>
  <c r="M110" i="6"/>
  <c r="F110" i="6"/>
  <c r="B110" i="6"/>
  <c r="P109" i="6"/>
  <c r="N109" i="6"/>
  <c r="F109" i="6"/>
  <c r="B109" i="6"/>
  <c r="N108" i="6"/>
  <c r="M108" i="6"/>
  <c r="F108" i="6"/>
  <c r="B108" i="6"/>
  <c r="P107" i="6"/>
  <c r="F107" i="6"/>
  <c r="B107" i="6"/>
  <c r="P106" i="6"/>
  <c r="O106" i="6"/>
  <c r="N106" i="6"/>
  <c r="M106" i="6"/>
  <c r="F106" i="6"/>
  <c r="B106" i="6"/>
  <c r="P105" i="6"/>
  <c r="N105" i="6"/>
  <c r="F105" i="6"/>
  <c r="B105" i="6"/>
  <c r="P104" i="6"/>
  <c r="O104" i="6"/>
  <c r="N104" i="6"/>
  <c r="M104" i="6"/>
  <c r="F104" i="6"/>
  <c r="B104" i="6"/>
  <c r="P103" i="6"/>
  <c r="N103" i="6"/>
  <c r="F103" i="6"/>
  <c r="B103" i="6"/>
  <c r="P102" i="6"/>
  <c r="O102" i="6"/>
  <c r="N102" i="6"/>
  <c r="M102" i="6"/>
  <c r="F102" i="6"/>
  <c r="B102" i="6"/>
  <c r="P101" i="6"/>
  <c r="N101" i="6"/>
  <c r="F101" i="6"/>
  <c r="B101" i="6"/>
  <c r="P100" i="6"/>
  <c r="O100" i="6"/>
  <c r="N100" i="6"/>
  <c r="F100" i="6"/>
  <c r="B100" i="6"/>
  <c r="P99" i="6"/>
  <c r="N99" i="6"/>
  <c r="F99" i="6"/>
  <c r="B99" i="6"/>
  <c r="P98" i="6"/>
  <c r="O98" i="6"/>
  <c r="N98" i="6"/>
  <c r="F98" i="6"/>
  <c r="B98" i="6"/>
  <c r="P97" i="6"/>
  <c r="N97" i="6"/>
  <c r="F97" i="6"/>
  <c r="B97" i="6"/>
  <c r="P96" i="6"/>
  <c r="O96" i="6"/>
  <c r="N96" i="6"/>
  <c r="F96" i="6"/>
  <c r="B96" i="6"/>
  <c r="N95" i="6"/>
  <c r="F95" i="6"/>
  <c r="B95" i="6"/>
  <c r="P94" i="6"/>
  <c r="O94" i="6"/>
  <c r="N94" i="6"/>
  <c r="M94" i="6"/>
  <c r="F94" i="6"/>
  <c r="B94" i="6"/>
  <c r="P93" i="6"/>
  <c r="O93" i="6"/>
  <c r="N93" i="6"/>
  <c r="F93" i="6"/>
  <c r="B93" i="6"/>
  <c r="P92" i="6"/>
  <c r="O92" i="6"/>
  <c r="N92" i="6"/>
  <c r="M92" i="6"/>
  <c r="F92" i="6"/>
  <c r="B92" i="6"/>
  <c r="P91" i="6"/>
  <c r="O91" i="6"/>
  <c r="N91" i="6"/>
  <c r="F91" i="6"/>
  <c r="B91" i="6"/>
  <c r="P90" i="6"/>
  <c r="O90" i="6"/>
  <c r="N90" i="6"/>
  <c r="M90" i="6"/>
  <c r="F90" i="6"/>
  <c r="B90" i="6"/>
  <c r="P89" i="6"/>
  <c r="O89" i="6"/>
  <c r="N89" i="6"/>
  <c r="F89" i="6"/>
  <c r="B89" i="6"/>
  <c r="P88" i="6"/>
  <c r="O88" i="6"/>
  <c r="N88" i="6"/>
  <c r="M88" i="6"/>
  <c r="F88" i="6"/>
  <c r="B88" i="6"/>
  <c r="P87" i="6"/>
  <c r="O87" i="6"/>
  <c r="N87" i="6"/>
  <c r="F87" i="6"/>
  <c r="B87" i="6"/>
  <c r="P86" i="6"/>
  <c r="O86" i="6"/>
  <c r="N86" i="6"/>
  <c r="M86" i="6"/>
  <c r="F86" i="6"/>
  <c r="B86" i="6"/>
  <c r="P85" i="6"/>
  <c r="O85" i="6"/>
  <c r="N85" i="6"/>
  <c r="F85" i="6"/>
  <c r="B85" i="6"/>
  <c r="P84" i="6"/>
  <c r="N84" i="6"/>
  <c r="M84" i="6"/>
  <c r="F84" i="6"/>
  <c r="B84" i="6"/>
  <c r="P83" i="6"/>
  <c r="O83" i="6"/>
  <c r="N83" i="6"/>
  <c r="F83" i="6"/>
  <c r="B83" i="6"/>
  <c r="P82" i="6"/>
  <c r="O82" i="6"/>
  <c r="N82" i="6"/>
  <c r="M82" i="6"/>
  <c r="F82" i="6"/>
  <c r="B82" i="6"/>
  <c r="P81" i="6"/>
  <c r="O81" i="6"/>
  <c r="N81" i="6"/>
  <c r="F81" i="6"/>
  <c r="B81" i="6"/>
  <c r="P80" i="6"/>
  <c r="O80" i="6"/>
  <c r="N80" i="6"/>
  <c r="M80" i="6"/>
  <c r="F80" i="6"/>
  <c r="B80" i="6"/>
  <c r="P79" i="6"/>
  <c r="O79" i="6"/>
  <c r="N79" i="6"/>
  <c r="F79" i="6"/>
  <c r="B79" i="6"/>
  <c r="P78" i="6"/>
  <c r="O78" i="6"/>
  <c r="N78" i="6"/>
  <c r="M78" i="6"/>
  <c r="F78" i="6"/>
  <c r="B78" i="6"/>
  <c r="P77" i="6"/>
  <c r="O77" i="6"/>
  <c r="N77" i="6"/>
  <c r="F77" i="6"/>
  <c r="B77" i="6"/>
  <c r="P76" i="6"/>
  <c r="O76" i="6"/>
  <c r="N76" i="6"/>
  <c r="M76" i="6"/>
  <c r="F76" i="6"/>
  <c r="B76" i="6"/>
  <c r="O75" i="6"/>
  <c r="F75" i="6"/>
  <c r="B75" i="6"/>
  <c r="P74" i="6"/>
  <c r="O74" i="6"/>
  <c r="N74" i="6"/>
  <c r="M74" i="6"/>
  <c r="F74" i="6"/>
  <c r="B74" i="6"/>
  <c r="O73" i="6"/>
  <c r="F73" i="6"/>
  <c r="B73" i="6"/>
  <c r="P72" i="6"/>
  <c r="O72" i="6"/>
  <c r="N72" i="6"/>
  <c r="M72" i="6"/>
  <c r="F72" i="6"/>
  <c r="B72" i="6"/>
  <c r="O71" i="6"/>
  <c r="F71" i="6"/>
  <c r="B71" i="6"/>
  <c r="P70" i="6"/>
  <c r="O70" i="6"/>
  <c r="N70" i="6"/>
  <c r="M70" i="6"/>
  <c r="F70" i="6"/>
  <c r="B70" i="6"/>
  <c r="P69" i="6"/>
  <c r="O69" i="6"/>
  <c r="N69" i="6"/>
  <c r="F69" i="6"/>
  <c r="B69" i="6"/>
  <c r="P68" i="6"/>
  <c r="O68" i="6"/>
  <c r="N68" i="6"/>
  <c r="M68" i="6"/>
  <c r="F68" i="6"/>
  <c r="B68" i="6"/>
  <c r="P67" i="6"/>
  <c r="O67" i="6"/>
  <c r="N67" i="6"/>
  <c r="F67" i="6"/>
  <c r="B67" i="6"/>
  <c r="P66" i="6"/>
  <c r="O66" i="6"/>
  <c r="N66" i="6"/>
  <c r="M66" i="6"/>
  <c r="F66" i="6"/>
  <c r="B66" i="6"/>
  <c r="P65" i="6"/>
  <c r="O65" i="6"/>
  <c r="N65" i="6"/>
  <c r="F65" i="6"/>
  <c r="B65" i="6"/>
  <c r="P64" i="6"/>
  <c r="O64" i="6"/>
  <c r="N64" i="6"/>
  <c r="M64" i="6"/>
  <c r="F64" i="6"/>
  <c r="B64" i="6"/>
  <c r="P63" i="6"/>
  <c r="O63" i="6"/>
  <c r="N63" i="6"/>
  <c r="F63" i="6"/>
  <c r="B63" i="6"/>
  <c r="P62" i="6"/>
  <c r="O62" i="6"/>
  <c r="N62" i="6"/>
  <c r="M62" i="6"/>
  <c r="F62" i="6"/>
  <c r="B62" i="6"/>
  <c r="P61" i="6"/>
  <c r="O61" i="6"/>
  <c r="N61" i="6"/>
  <c r="F61" i="6"/>
  <c r="B61" i="6"/>
  <c r="P60" i="6"/>
  <c r="O60" i="6"/>
  <c r="N60" i="6"/>
  <c r="M60" i="6"/>
  <c r="F60" i="6"/>
  <c r="B60" i="6"/>
  <c r="P59" i="6"/>
  <c r="O59" i="6"/>
  <c r="N59" i="6"/>
  <c r="F59" i="6"/>
  <c r="B59" i="6"/>
  <c r="P58" i="6"/>
  <c r="O58" i="6"/>
  <c r="N58" i="6"/>
  <c r="M58" i="6"/>
  <c r="F58" i="6"/>
  <c r="B58" i="6"/>
  <c r="P57" i="6"/>
  <c r="O57" i="6"/>
  <c r="N57" i="6"/>
  <c r="F57" i="6"/>
  <c r="B57" i="6"/>
  <c r="P56" i="6"/>
  <c r="O56" i="6"/>
  <c r="N56" i="6"/>
  <c r="M56" i="6"/>
  <c r="F56" i="6"/>
  <c r="B56" i="6"/>
  <c r="P55" i="6"/>
  <c r="O55" i="6"/>
  <c r="N55" i="6"/>
  <c r="F55" i="6"/>
  <c r="B55" i="6"/>
  <c r="P54" i="6"/>
  <c r="O54" i="6"/>
  <c r="N54" i="6"/>
  <c r="M54" i="6"/>
  <c r="F54" i="6"/>
  <c r="B54" i="6"/>
  <c r="P53" i="6"/>
  <c r="O53" i="6"/>
  <c r="N53" i="6"/>
  <c r="F53" i="6"/>
  <c r="B53" i="6"/>
  <c r="P52" i="6"/>
  <c r="O52" i="6"/>
  <c r="N52" i="6"/>
  <c r="M52" i="6"/>
  <c r="F52" i="6"/>
  <c r="B52" i="6"/>
  <c r="P51" i="6"/>
  <c r="O51" i="6"/>
  <c r="N51" i="6"/>
  <c r="F51" i="6"/>
  <c r="B51" i="6"/>
  <c r="P50" i="6"/>
  <c r="O50" i="6"/>
  <c r="N50" i="6"/>
  <c r="M50" i="6"/>
  <c r="F50" i="6"/>
  <c r="B50" i="6"/>
  <c r="P49" i="6"/>
  <c r="N49" i="6"/>
  <c r="F49" i="6"/>
  <c r="B49" i="6"/>
  <c r="P48" i="6"/>
  <c r="O48" i="6"/>
  <c r="N48" i="6"/>
  <c r="M48" i="6"/>
  <c r="F48" i="6"/>
  <c r="B48" i="6"/>
  <c r="P47" i="6"/>
  <c r="N47" i="6"/>
  <c r="F47" i="6"/>
  <c r="B47" i="6"/>
  <c r="P46" i="6"/>
  <c r="O46" i="6"/>
  <c r="N46" i="6"/>
  <c r="M46" i="6"/>
  <c r="F46" i="6"/>
  <c r="B46" i="6"/>
  <c r="P45" i="6"/>
  <c r="O45" i="6"/>
  <c r="N45" i="6"/>
  <c r="F45" i="6"/>
  <c r="B45" i="6"/>
  <c r="P44" i="6"/>
  <c r="O44" i="6"/>
  <c r="N44" i="6"/>
  <c r="M44" i="6"/>
  <c r="F44" i="6"/>
  <c r="B44" i="6"/>
  <c r="P43" i="6"/>
  <c r="O43" i="6"/>
  <c r="N43" i="6"/>
  <c r="F43" i="6"/>
  <c r="B43" i="6"/>
  <c r="P42" i="6"/>
  <c r="O42" i="6"/>
  <c r="N42" i="6"/>
  <c r="M42" i="6"/>
  <c r="F42" i="6"/>
  <c r="B42" i="6"/>
  <c r="P41" i="6"/>
  <c r="O41" i="6"/>
  <c r="N41" i="6"/>
  <c r="F41" i="6"/>
  <c r="B41" i="6"/>
  <c r="P40" i="6"/>
  <c r="O40" i="6"/>
  <c r="N40" i="6"/>
  <c r="M40" i="6"/>
  <c r="F40" i="6"/>
  <c r="B40" i="6"/>
  <c r="P39" i="6"/>
  <c r="O39" i="6"/>
  <c r="N39" i="6"/>
  <c r="F39" i="6"/>
  <c r="B39" i="6"/>
  <c r="P38" i="6"/>
  <c r="O38" i="6"/>
  <c r="N38" i="6"/>
  <c r="M38" i="6"/>
  <c r="F38" i="6"/>
  <c r="B38" i="6"/>
  <c r="P37" i="6"/>
  <c r="O37" i="6"/>
  <c r="N37" i="6"/>
  <c r="F37" i="6"/>
  <c r="B37" i="6"/>
  <c r="P36" i="6"/>
  <c r="O36" i="6"/>
  <c r="N36" i="6"/>
  <c r="M36" i="6"/>
  <c r="F36" i="6"/>
  <c r="B36" i="6"/>
  <c r="P35" i="6"/>
  <c r="O35" i="6"/>
  <c r="N35" i="6"/>
  <c r="F35" i="6"/>
  <c r="B35" i="6"/>
  <c r="P34" i="6"/>
  <c r="O34" i="6"/>
  <c r="N34" i="6"/>
  <c r="M34" i="6"/>
  <c r="F34" i="6"/>
  <c r="B34" i="6"/>
  <c r="N33" i="6"/>
  <c r="F33" i="6"/>
  <c r="B33" i="6"/>
  <c r="P32" i="6"/>
  <c r="O32" i="6"/>
  <c r="N32" i="6"/>
  <c r="M32" i="6"/>
  <c r="F32" i="6"/>
  <c r="B32" i="6"/>
  <c r="F31" i="6"/>
  <c r="B31" i="6"/>
  <c r="P30" i="6"/>
  <c r="O30" i="6"/>
  <c r="N30" i="6"/>
  <c r="M30" i="6"/>
  <c r="F30" i="6"/>
  <c r="B30" i="6"/>
  <c r="F29" i="6"/>
  <c r="B29" i="6"/>
  <c r="P28" i="6"/>
  <c r="O28" i="6"/>
  <c r="N28" i="6"/>
  <c r="M28" i="6"/>
  <c r="F28" i="6"/>
  <c r="B28" i="6"/>
  <c r="F27" i="6"/>
  <c r="B27" i="6"/>
  <c r="P26" i="6"/>
  <c r="N26" i="6"/>
  <c r="F26" i="6"/>
  <c r="B26" i="6"/>
  <c r="F25" i="6"/>
  <c r="B25" i="6"/>
  <c r="P24" i="6"/>
  <c r="N24" i="6"/>
  <c r="F24" i="6"/>
  <c r="B24" i="6"/>
  <c r="F23" i="6"/>
  <c r="B23" i="6"/>
  <c r="P22" i="6"/>
  <c r="O22" i="6"/>
  <c r="N22" i="6"/>
  <c r="M22" i="6"/>
  <c r="F22" i="6"/>
  <c r="B22" i="6"/>
  <c r="P21" i="6"/>
  <c r="N21" i="6"/>
  <c r="F21" i="6"/>
  <c r="B21" i="6"/>
  <c r="P20" i="6"/>
  <c r="O20" i="6"/>
  <c r="N20" i="6"/>
  <c r="M20" i="6"/>
  <c r="F20" i="6"/>
  <c r="B20" i="6"/>
  <c r="P19" i="6"/>
  <c r="N19" i="6"/>
  <c r="F19" i="6"/>
  <c r="B19" i="6"/>
  <c r="P18" i="6"/>
  <c r="O18" i="6"/>
  <c r="N18" i="6"/>
  <c r="M18" i="6"/>
  <c r="F18" i="6"/>
  <c r="B18" i="6"/>
  <c r="P17" i="6"/>
  <c r="N17" i="6"/>
  <c r="F17" i="6"/>
  <c r="B17" i="6"/>
  <c r="P16" i="6"/>
  <c r="O16" i="6"/>
  <c r="N16" i="6"/>
  <c r="M16" i="6"/>
  <c r="F16" i="6"/>
  <c r="B16" i="6"/>
  <c r="P15" i="6"/>
  <c r="N15" i="6"/>
  <c r="F15" i="6"/>
  <c r="B15" i="6"/>
  <c r="P14" i="6"/>
  <c r="O14" i="6"/>
  <c r="N14" i="6"/>
  <c r="M14" i="6"/>
  <c r="F14" i="6"/>
  <c r="B14" i="6"/>
  <c r="P13" i="6"/>
  <c r="N13" i="6"/>
  <c r="F13" i="6"/>
  <c r="B13" i="6"/>
  <c r="P12" i="6"/>
  <c r="O12" i="6"/>
  <c r="N12" i="6"/>
  <c r="M12" i="6"/>
  <c r="F12" i="6"/>
  <c r="B12" i="6"/>
  <c r="P11" i="6"/>
  <c r="N11" i="6"/>
  <c r="F11" i="6"/>
  <c r="B11" i="6"/>
  <c r="O162" i="5"/>
  <c r="M162" i="5"/>
  <c r="O160" i="5"/>
  <c r="M160" i="5"/>
  <c r="O158" i="5"/>
  <c r="M158" i="5"/>
  <c r="O156" i="5"/>
  <c r="M156" i="5"/>
  <c r="O153" i="5"/>
  <c r="M153" i="5"/>
  <c r="O151" i="5"/>
  <c r="M151" i="5"/>
  <c r="O149" i="5"/>
  <c r="M149" i="5"/>
  <c r="O147" i="5"/>
  <c r="M147" i="5"/>
  <c r="N146" i="5"/>
  <c r="O145" i="5"/>
  <c r="M145" i="5"/>
  <c r="N144" i="5"/>
  <c r="O144" i="5"/>
  <c r="O143" i="5"/>
  <c r="M143" i="5"/>
  <c r="M141" i="5"/>
  <c r="M139" i="5"/>
  <c r="M137" i="5"/>
  <c r="M135" i="5"/>
  <c r="M133" i="5"/>
  <c r="M131" i="5"/>
  <c r="M129" i="5"/>
  <c r="M127" i="5"/>
  <c r="M125" i="5"/>
  <c r="M123" i="5"/>
  <c r="M121" i="5"/>
  <c r="M119" i="5"/>
  <c r="M117" i="5"/>
  <c r="M115" i="5"/>
  <c r="M113" i="5"/>
  <c r="M111" i="5"/>
  <c r="M109" i="5"/>
  <c r="M107" i="5"/>
  <c r="M105" i="5"/>
  <c r="M103" i="5"/>
  <c r="M101" i="5"/>
  <c r="M99" i="5"/>
  <c r="M97" i="5"/>
  <c r="M95" i="5"/>
  <c r="M93" i="5"/>
  <c r="M91" i="5"/>
  <c r="M89" i="5"/>
  <c r="M87" i="5"/>
  <c r="M85" i="5"/>
  <c r="N84" i="5"/>
  <c r="M83" i="5"/>
  <c r="M81" i="5"/>
  <c r="M79" i="5"/>
  <c r="M77" i="5"/>
  <c r="M75" i="5"/>
  <c r="M73" i="5"/>
  <c r="O72" i="5"/>
  <c r="M71" i="5"/>
  <c r="M69" i="5"/>
  <c r="M67" i="5"/>
  <c r="M65" i="5"/>
  <c r="M63" i="5"/>
  <c r="M61" i="5"/>
  <c r="M59" i="5"/>
  <c r="O57" i="5"/>
  <c r="M57" i="5"/>
  <c r="O55" i="5"/>
  <c r="M55" i="5"/>
  <c r="O53" i="5"/>
  <c r="M53" i="5"/>
  <c r="O51" i="5"/>
  <c r="M51" i="5"/>
  <c r="O49" i="5"/>
  <c r="M49" i="5"/>
  <c r="O47" i="5"/>
  <c r="M47" i="5"/>
  <c r="M45" i="5"/>
  <c r="M43" i="5"/>
  <c r="M41" i="5"/>
  <c r="M39" i="5"/>
  <c r="P38" i="5"/>
  <c r="O38" i="5"/>
  <c r="M37" i="5"/>
  <c r="P36" i="5"/>
  <c r="N36" i="5"/>
  <c r="O36" i="5"/>
  <c r="M35" i="5"/>
  <c r="M33" i="5"/>
  <c r="N31" i="5"/>
  <c r="M31" i="5"/>
  <c r="O30" i="5"/>
  <c r="N29" i="5"/>
  <c r="M29" i="5"/>
  <c r="O28" i="5"/>
  <c r="N27" i="5"/>
  <c r="M27" i="5"/>
  <c r="O26" i="5"/>
  <c r="N25" i="5"/>
  <c r="M25" i="5"/>
  <c r="O24" i="5"/>
  <c r="N23" i="5"/>
  <c r="M23" i="5"/>
  <c r="M21" i="5"/>
  <c r="M19" i="5"/>
  <c r="M17" i="5"/>
  <c r="M15" i="5"/>
  <c r="M13" i="5"/>
  <c r="M11" i="5"/>
  <c r="P163" i="5"/>
  <c r="O163" i="5"/>
  <c r="N163" i="5"/>
  <c r="M163" i="5"/>
  <c r="F163" i="5"/>
  <c r="B163" i="5"/>
  <c r="P162" i="5"/>
  <c r="N162" i="5"/>
  <c r="F162" i="5"/>
  <c r="B162" i="5"/>
  <c r="P161" i="5"/>
  <c r="O161" i="5"/>
  <c r="N161" i="5"/>
  <c r="M161" i="5"/>
  <c r="F161" i="5"/>
  <c r="B161" i="5"/>
  <c r="P160" i="5"/>
  <c r="N160" i="5"/>
  <c r="F160" i="5"/>
  <c r="B160" i="5"/>
  <c r="P159" i="5"/>
  <c r="O159" i="5"/>
  <c r="N159" i="5"/>
  <c r="M159" i="5"/>
  <c r="F159" i="5"/>
  <c r="B159" i="5"/>
  <c r="P158" i="5"/>
  <c r="N158" i="5"/>
  <c r="F158" i="5"/>
  <c r="B158" i="5"/>
  <c r="P157" i="5"/>
  <c r="O157" i="5"/>
  <c r="N157" i="5"/>
  <c r="M157" i="5"/>
  <c r="F157" i="5"/>
  <c r="B157" i="5"/>
  <c r="P156" i="5"/>
  <c r="N156" i="5"/>
  <c r="F156" i="5"/>
  <c r="B156" i="5"/>
  <c r="P155" i="5"/>
  <c r="O155" i="5"/>
  <c r="N155" i="5"/>
  <c r="M155" i="5"/>
  <c r="F155" i="5"/>
  <c r="B155" i="5"/>
  <c r="P154" i="5"/>
  <c r="O154" i="5"/>
  <c r="N154" i="5"/>
  <c r="M154" i="5"/>
  <c r="F154" i="5"/>
  <c r="B154" i="5"/>
  <c r="P153" i="5"/>
  <c r="N153" i="5"/>
  <c r="F153" i="5"/>
  <c r="B153" i="5"/>
  <c r="P152" i="5"/>
  <c r="O152" i="5"/>
  <c r="N152" i="5"/>
  <c r="M152" i="5"/>
  <c r="F152" i="5"/>
  <c r="B152" i="5"/>
  <c r="P151" i="5"/>
  <c r="N151" i="5"/>
  <c r="F151" i="5"/>
  <c r="B151" i="5"/>
  <c r="P150" i="5"/>
  <c r="O150" i="5"/>
  <c r="N150" i="5"/>
  <c r="M150" i="5"/>
  <c r="F150" i="5"/>
  <c r="B150" i="5"/>
  <c r="P149" i="5"/>
  <c r="N149" i="5"/>
  <c r="F149" i="5"/>
  <c r="B149" i="5"/>
  <c r="P148" i="5"/>
  <c r="O148" i="5"/>
  <c r="N148" i="5"/>
  <c r="M148" i="5"/>
  <c r="F148" i="5"/>
  <c r="B148" i="5"/>
  <c r="P147" i="5"/>
  <c r="N147" i="5"/>
  <c r="F147" i="5"/>
  <c r="B147" i="5"/>
  <c r="P146" i="5"/>
  <c r="O146" i="5"/>
  <c r="M146" i="5"/>
  <c r="F146" i="5"/>
  <c r="B146" i="5"/>
  <c r="P145" i="5"/>
  <c r="N145" i="5"/>
  <c r="F145" i="5"/>
  <c r="B145" i="5"/>
  <c r="P144" i="5"/>
  <c r="M144" i="5"/>
  <c r="F144" i="5"/>
  <c r="B144" i="5"/>
  <c r="P143" i="5"/>
  <c r="N143" i="5"/>
  <c r="F143" i="5"/>
  <c r="B143" i="5"/>
  <c r="P142" i="5"/>
  <c r="O142" i="5"/>
  <c r="N142" i="5"/>
  <c r="M142" i="5"/>
  <c r="F142" i="5"/>
  <c r="B142" i="5"/>
  <c r="P141" i="5"/>
  <c r="O141" i="5"/>
  <c r="N141" i="5"/>
  <c r="F141" i="5"/>
  <c r="B141" i="5"/>
  <c r="P140" i="5"/>
  <c r="O140" i="5"/>
  <c r="N140" i="5"/>
  <c r="M140" i="5"/>
  <c r="F140" i="5"/>
  <c r="B140" i="5"/>
  <c r="P139" i="5"/>
  <c r="O139" i="5"/>
  <c r="N139" i="5"/>
  <c r="F139" i="5"/>
  <c r="B139" i="5"/>
  <c r="P138" i="5"/>
  <c r="O138" i="5"/>
  <c r="N138" i="5"/>
  <c r="M138" i="5"/>
  <c r="F138" i="5"/>
  <c r="B138" i="5"/>
  <c r="P137" i="5"/>
  <c r="O137" i="5"/>
  <c r="N137" i="5"/>
  <c r="F137" i="5"/>
  <c r="B137" i="5"/>
  <c r="P136" i="5"/>
  <c r="O136" i="5"/>
  <c r="N136" i="5"/>
  <c r="M136" i="5"/>
  <c r="F136" i="5"/>
  <c r="B136" i="5"/>
  <c r="P135" i="5"/>
  <c r="O135" i="5"/>
  <c r="N135" i="5"/>
  <c r="F135" i="5"/>
  <c r="B135" i="5"/>
  <c r="P134" i="5"/>
  <c r="O134" i="5"/>
  <c r="N134" i="5"/>
  <c r="M134" i="5"/>
  <c r="F134" i="5"/>
  <c r="B134" i="5"/>
  <c r="P133" i="5"/>
  <c r="O133" i="5"/>
  <c r="N133" i="5"/>
  <c r="F133" i="5"/>
  <c r="B133" i="5"/>
  <c r="P132" i="5"/>
  <c r="O132" i="5"/>
  <c r="N132" i="5"/>
  <c r="M132" i="5"/>
  <c r="F132" i="5"/>
  <c r="B132" i="5"/>
  <c r="P131" i="5"/>
  <c r="O131" i="5"/>
  <c r="N131" i="5"/>
  <c r="F131" i="5"/>
  <c r="B131" i="5"/>
  <c r="P130" i="5"/>
  <c r="O130" i="5"/>
  <c r="N130" i="5"/>
  <c r="M130" i="5"/>
  <c r="F130" i="5"/>
  <c r="B130" i="5"/>
  <c r="P129" i="5"/>
  <c r="O129" i="5"/>
  <c r="N129" i="5"/>
  <c r="F129" i="5"/>
  <c r="B129" i="5"/>
  <c r="P128" i="5"/>
  <c r="O128" i="5"/>
  <c r="N128" i="5"/>
  <c r="M128" i="5"/>
  <c r="F128" i="5"/>
  <c r="B128" i="5"/>
  <c r="P127" i="5"/>
  <c r="O127" i="5"/>
  <c r="N127" i="5"/>
  <c r="F127" i="5"/>
  <c r="B127" i="5"/>
  <c r="P126" i="5"/>
  <c r="O126" i="5"/>
  <c r="N126" i="5"/>
  <c r="M126" i="5"/>
  <c r="F126" i="5"/>
  <c r="B126" i="5"/>
  <c r="P125" i="5"/>
  <c r="O125" i="5"/>
  <c r="N125" i="5"/>
  <c r="F125" i="5"/>
  <c r="B125" i="5"/>
  <c r="P124" i="5"/>
  <c r="O124" i="5"/>
  <c r="N124" i="5"/>
  <c r="M124" i="5"/>
  <c r="F124" i="5"/>
  <c r="B124" i="5"/>
  <c r="P123" i="5"/>
  <c r="O123" i="5"/>
  <c r="N123" i="5"/>
  <c r="F123" i="5"/>
  <c r="B123" i="5"/>
  <c r="P122" i="5"/>
  <c r="O122" i="5"/>
  <c r="N122" i="5"/>
  <c r="M122" i="5"/>
  <c r="F122" i="5"/>
  <c r="B122" i="5"/>
  <c r="P121" i="5"/>
  <c r="O121" i="5"/>
  <c r="N121" i="5"/>
  <c r="F121" i="5"/>
  <c r="B121" i="5"/>
  <c r="P120" i="5"/>
  <c r="O120" i="5"/>
  <c r="N120" i="5"/>
  <c r="M120" i="5"/>
  <c r="F120" i="5"/>
  <c r="B120" i="5"/>
  <c r="P119" i="5"/>
  <c r="O119" i="5"/>
  <c r="N119" i="5"/>
  <c r="F119" i="5"/>
  <c r="B119" i="5"/>
  <c r="P118" i="5"/>
  <c r="O118" i="5"/>
  <c r="N118" i="5"/>
  <c r="M118" i="5"/>
  <c r="F118" i="5"/>
  <c r="B118" i="5"/>
  <c r="P117" i="5"/>
  <c r="O117" i="5"/>
  <c r="N117" i="5"/>
  <c r="F117" i="5"/>
  <c r="B117" i="5"/>
  <c r="P116" i="5"/>
  <c r="O116" i="5"/>
  <c r="N116" i="5"/>
  <c r="M116" i="5"/>
  <c r="F116" i="5"/>
  <c r="B116" i="5"/>
  <c r="P115" i="5"/>
  <c r="O115" i="5"/>
  <c r="N115" i="5"/>
  <c r="F115" i="5"/>
  <c r="B115" i="5"/>
  <c r="P114" i="5"/>
  <c r="O114" i="5"/>
  <c r="N114" i="5"/>
  <c r="M114" i="5"/>
  <c r="F114" i="5"/>
  <c r="B114" i="5"/>
  <c r="P113" i="5"/>
  <c r="O113" i="5"/>
  <c r="N113" i="5"/>
  <c r="F113" i="5"/>
  <c r="B113" i="5"/>
  <c r="P112" i="5"/>
  <c r="O112" i="5"/>
  <c r="N112" i="5"/>
  <c r="M112" i="5"/>
  <c r="F112" i="5"/>
  <c r="B112" i="5"/>
  <c r="P111" i="5"/>
  <c r="O111" i="5"/>
  <c r="N111" i="5"/>
  <c r="F111" i="5"/>
  <c r="B111" i="5"/>
  <c r="P110" i="5"/>
  <c r="O110" i="5"/>
  <c r="N110" i="5"/>
  <c r="M110" i="5"/>
  <c r="F110" i="5"/>
  <c r="B110" i="5"/>
  <c r="P109" i="5"/>
  <c r="O109" i="5"/>
  <c r="N109" i="5"/>
  <c r="F109" i="5"/>
  <c r="B109" i="5"/>
  <c r="P108" i="5"/>
  <c r="O108" i="5"/>
  <c r="N108" i="5"/>
  <c r="M108" i="5"/>
  <c r="F108" i="5"/>
  <c r="B108" i="5"/>
  <c r="P107" i="5"/>
  <c r="O107" i="5"/>
  <c r="N107" i="5"/>
  <c r="F107" i="5"/>
  <c r="B107" i="5"/>
  <c r="P106" i="5"/>
  <c r="O106" i="5"/>
  <c r="N106" i="5"/>
  <c r="M106" i="5"/>
  <c r="F106" i="5"/>
  <c r="B106" i="5"/>
  <c r="P105" i="5"/>
  <c r="O105" i="5"/>
  <c r="N105" i="5"/>
  <c r="F105" i="5"/>
  <c r="B105" i="5"/>
  <c r="P104" i="5"/>
  <c r="O104" i="5"/>
  <c r="N104" i="5"/>
  <c r="M104" i="5"/>
  <c r="F104" i="5"/>
  <c r="B104" i="5"/>
  <c r="P103" i="5"/>
  <c r="O103" i="5"/>
  <c r="N103" i="5"/>
  <c r="F103" i="5"/>
  <c r="B103" i="5"/>
  <c r="P102" i="5"/>
  <c r="O102" i="5"/>
  <c r="N102" i="5"/>
  <c r="M102" i="5"/>
  <c r="F102" i="5"/>
  <c r="B102" i="5"/>
  <c r="P101" i="5"/>
  <c r="O101" i="5"/>
  <c r="N101" i="5"/>
  <c r="F101" i="5"/>
  <c r="B101" i="5"/>
  <c r="P100" i="5"/>
  <c r="O100" i="5"/>
  <c r="N100" i="5"/>
  <c r="M100" i="5"/>
  <c r="F100" i="5"/>
  <c r="B100" i="5"/>
  <c r="P99" i="5"/>
  <c r="O99" i="5"/>
  <c r="N99" i="5"/>
  <c r="F99" i="5"/>
  <c r="B99" i="5"/>
  <c r="P98" i="5"/>
  <c r="O98" i="5"/>
  <c r="N98" i="5"/>
  <c r="M98" i="5"/>
  <c r="F98" i="5"/>
  <c r="B98" i="5"/>
  <c r="P97" i="5"/>
  <c r="O97" i="5"/>
  <c r="N97" i="5"/>
  <c r="F97" i="5"/>
  <c r="B97" i="5"/>
  <c r="P96" i="5"/>
  <c r="O96" i="5"/>
  <c r="N96" i="5"/>
  <c r="M96" i="5"/>
  <c r="F96" i="5"/>
  <c r="B96" i="5"/>
  <c r="P95" i="5"/>
  <c r="O95" i="5"/>
  <c r="N95" i="5"/>
  <c r="F95" i="5"/>
  <c r="B95" i="5"/>
  <c r="P94" i="5"/>
  <c r="O94" i="5"/>
  <c r="N94" i="5"/>
  <c r="M94" i="5"/>
  <c r="F94" i="5"/>
  <c r="B94" i="5"/>
  <c r="P93" i="5"/>
  <c r="O93" i="5"/>
  <c r="N93" i="5"/>
  <c r="F93" i="5"/>
  <c r="B93" i="5"/>
  <c r="P92" i="5"/>
  <c r="O92" i="5"/>
  <c r="N92" i="5"/>
  <c r="M92" i="5"/>
  <c r="F92" i="5"/>
  <c r="B92" i="5"/>
  <c r="P91" i="5"/>
  <c r="O91" i="5"/>
  <c r="N91" i="5"/>
  <c r="F91" i="5"/>
  <c r="B91" i="5"/>
  <c r="P90" i="5"/>
  <c r="O90" i="5"/>
  <c r="N90" i="5"/>
  <c r="M90" i="5"/>
  <c r="F90" i="5"/>
  <c r="B90" i="5"/>
  <c r="P89" i="5"/>
  <c r="O89" i="5"/>
  <c r="N89" i="5"/>
  <c r="F89" i="5"/>
  <c r="B89" i="5"/>
  <c r="P88" i="5"/>
  <c r="O88" i="5"/>
  <c r="N88" i="5"/>
  <c r="M88" i="5"/>
  <c r="F88" i="5"/>
  <c r="B88" i="5"/>
  <c r="P87" i="5"/>
  <c r="O87" i="5"/>
  <c r="N87" i="5"/>
  <c r="F87" i="5"/>
  <c r="B87" i="5"/>
  <c r="P86" i="5"/>
  <c r="O86" i="5"/>
  <c r="N86" i="5"/>
  <c r="M86" i="5"/>
  <c r="F86" i="5"/>
  <c r="B86" i="5"/>
  <c r="P85" i="5"/>
  <c r="O85" i="5"/>
  <c r="N85" i="5"/>
  <c r="F85" i="5"/>
  <c r="B85" i="5"/>
  <c r="P84" i="5"/>
  <c r="O84" i="5"/>
  <c r="M84" i="5"/>
  <c r="F84" i="5"/>
  <c r="B84" i="5"/>
  <c r="P83" i="5"/>
  <c r="O83" i="5"/>
  <c r="N83" i="5"/>
  <c r="F83" i="5"/>
  <c r="B83" i="5"/>
  <c r="P82" i="5"/>
  <c r="O82" i="5"/>
  <c r="N82" i="5"/>
  <c r="M82" i="5"/>
  <c r="F82" i="5"/>
  <c r="B82" i="5"/>
  <c r="P81" i="5"/>
  <c r="O81" i="5"/>
  <c r="N81" i="5"/>
  <c r="F81" i="5"/>
  <c r="B81" i="5"/>
  <c r="P80" i="5"/>
  <c r="O80" i="5"/>
  <c r="N80" i="5"/>
  <c r="M80" i="5"/>
  <c r="F80" i="5"/>
  <c r="B80" i="5"/>
  <c r="P79" i="5"/>
  <c r="O79" i="5"/>
  <c r="N79" i="5"/>
  <c r="F79" i="5"/>
  <c r="B79" i="5"/>
  <c r="P78" i="5"/>
  <c r="O78" i="5"/>
  <c r="N78" i="5"/>
  <c r="M78" i="5"/>
  <c r="F78" i="5"/>
  <c r="B78" i="5"/>
  <c r="P77" i="5"/>
  <c r="O77" i="5"/>
  <c r="N77" i="5"/>
  <c r="F77" i="5"/>
  <c r="B77" i="5"/>
  <c r="P76" i="5"/>
  <c r="O76" i="5"/>
  <c r="N76" i="5"/>
  <c r="M76" i="5"/>
  <c r="F76" i="5"/>
  <c r="B76" i="5"/>
  <c r="P75" i="5"/>
  <c r="O75" i="5"/>
  <c r="N75" i="5"/>
  <c r="F75" i="5"/>
  <c r="B75" i="5"/>
  <c r="P74" i="5"/>
  <c r="O74" i="5"/>
  <c r="N74" i="5"/>
  <c r="M74" i="5"/>
  <c r="F74" i="5"/>
  <c r="B74" i="5"/>
  <c r="P73" i="5"/>
  <c r="O73" i="5"/>
  <c r="N73" i="5"/>
  <c r="F73" i="5"/>
  <c r="B73" i="5"/>
  <c r="P72" i="5"/>
  <c r="N72" i="5"/>
  <c r="M72" i="5"/>
  <c r="F72" i="5"/>
  <c r="B72" i="5"/>
  <c r="P71" i="5"/>
  <c r="O71" i="5"/>
  <c r="N71" i="5"/>
  <c r="F71" i="5"/>
  <c r="B71" i="5"/>
  <c r="P70" i="5"/>
  <c r="O70" i="5"/>
  <c r="N70" i="5"/>
  <c r="M70" i="5"/>
  <c r="F70" i="5"/>
  <c r="B70" i="5"/>
  <c r="P69" i="5"/>
  <c r="O69" i="5"/>
  <c r="N69" i="5"/>
  <c r="F69" i="5"/>
  <c r="B69" i="5"/>
  <c r="P68" i="5"/>
  <c r="O68" i="5"/>
  <c r="N68" i="5"/>
  <c r="M68" i="5"/>
  <c r="F68" i="5"/>
  <c r="B68" i="5"/>
  <c r="P67" i="5"/>
  <c r="O67" i="5"/>
  <c r="N67" i="5"/>
  <c r="F67" i="5"/>
  <c r="B67" i="5"/>
  <c r="P66" i="5"/>
  <c r="O66" i="5"/>
  <c r="N66" i="5"/>
  <c r="M66" i="5"/>
  <c r="F66" i="5"/>
  <c r="B66" i="5"/>
  <c r="P65" i="5"/>
  <c r="O65" i="5"/>
  <c r="N65" i="5"/>
  <c r="F65" i="5"/>
  <c r="B65" i="5"/>
  <c r="P64" i="5"/>
  <c r="O64" i="5"/>
  <c r="N64" i="5"/>
  <c r="M64" i="5"/>
  <c r="F64" i="5"/>
  <c r="B64" i="5"/>
  <c r="P63" i="5"/>
  <c r="O63" i="5"/>
  <c r="N63" i="5"/>
  <c r="F63" i="5"/>
  <c r="B63" i="5"/>
  <c r="P62" i="5"/>
  <c r="O62" i="5"/>
  <c r="N62" i="5"/>
  <c r="M62" i="5"/>
  <c r="F62" i="5"/>
  <c r="B62" i="5"/>
  <c r="P61" i="5"/>
  <c r="O61" i="5"/>
  <c r="N61" i="5"/>
  <c r="F61" i="5"/>
  <c r="B61" i="5"/>
  <c r="P60" i="5"/>
  <c r="O60" i="5"/>
  <c r="N60" i="5"/>
  <c r="M60" i="5"/>
  <c r="F60" i="5"/>
  <c r="B60" i="5"/>
  <c r="P59" i="5"/>
  <c r="O59" i="5"/>
  <c r="N59" i="5"/>
  <c r="F59" i="5"/>
  <c r="B59" i="5"/>
  <c r="P58" i="5"/>
  <c r="O58" i="5"/>
  <c r="N58" i="5"/>
  <c r="M58" i="5"/>
  <c r="F58" i="5"/>
  <c r="B58" i="5"/>
  <c r="P57" i="5"/>
  <c r="N57" i="5"/>
  <c r="F57" i="5"/>
  <c r="B57" i="5"/>
  <c r="P56" i="5"/>
  <c r="O56" i="5"/>
  <c r="N56" i="5"/>
  <c r="M56" i="5"/>
  <c r="F56" i="5"/>
  <c r="B56" i="5"/>
  <c r="P55" i="5"/>
  <c r="N55" i="5"/>
  <c r="F55" i="5"/>
  <c r="B55" i="5"/>
  <c r="P54" i="5"/>
  <c r="O54" i="5"/>
  <c r="N54" i="5"/>
  <c r="M54" i="5"/>
  <c r="F54" i="5"/>
  <c r="B54" i="5"/>
  <c r="P53" i="5"/>
  <c r="N53" i="5"/>
  <c r="F53" i="5"/>
  <c r="B53" i="5"/>
  <c r="P52" i="5"/>
  <c r="O52" i="5"/>
  <c r="N52" i="5"/>
  <c r="M52" i="5"/>
  <c r="F52" i="5"/>
  <c r="B52" i="5"/>
  <c r="P51" i="5"/>
  <c r="N51" i="5"/>
  <c r="F51" i="5"/>
  <c r="B51" i="5"/>
  <c r="P50" i="5"/>
  <c r="O50" i="5"/>
  <c r="N50" i="5"/>
  <c r="M50" i="5"/>
  <c r="F50" i="5"/>
  <c r="B50" i="5"/>
  <c r="P49" i="5"/>
  <c r="N49" i="5"/>
  <c r="F49" i="5"/>
  <c r="B49" i="5"/>
  <c r="P48" i="5"/>
  <c r="O48" i="5"/>
  <c r="N48" i="5"/>
  <c r="M48" i="5"/>
  <c r="F48" i="5"/>
  <c r="B48" i="5"/>
  <c r="P47" i="5"/>
  <c r="N47" i="5"/>
  <c r="F47" i="5"/>
  <c r="B47" i="5"/>
  <c r="P46" i="5"/>
  <c r="O46" i="5"/>
  <c r="N46" i="5"/>
  <c r="M46" i="5"/>
  <c r="F46" i="5"/>
  <c r="B46" i="5"/>
  <c r="P45" i="5"/>
  <c r="O45" i="5"/>
  <c r="N45" i="5"/>
  <c r="F45" i="5"/>
  <c r="B45" i="5"/>
  <c r="P44" i="5"/>
  <c r="O44" i="5"/>
  <c r="N44" i="5"/>
  <c r="M44" i="5"/>
  <c r="F44" i="5"/>
  <c r="B44" i="5"/>
  <c r="P43" i="5"/>
  <c r="O43" i="5"/>
  <c r="N43" i="5"/>
  <c r="F43" i="5"/>
  <c r="B43" i="5"/>
  <c r="P42" i="5"/>
  <c r="O42" i="5"/>
  <c r="N42" i="5"/>
  <c r="M42" i="5"/>
  <c r="F42" i="5"/>
  <c r="B42" i="5"/>
  <c r="P41" i="5"/>
  <c r="O41" i="5"/>
  <c r="N41" i="5"/>
  <c r="F41" i="5"/>
  <c r="B41" i="5"/>
  <c r="P40" i="5"/>
  <c r="O40" i="5"/>
  <c r="N40" i="5"/>
  <c r="M40" i="5"/>
  <c r="F40" i="5"/>
  <c r="B40" i="5"/>
  <c r="P39" i="5"/>
  <c r="O39" i="5"/>
  <c r="N39" i="5"/>
  <c r="F39" i="5"/>
  <c r="B39" i="5"/>
  <c r="N38" i="5"/>
  <c r="F38" i="5"/>
  <c r="B38" i="5"/>
  <c r="P37" i="5"/>
  <c r="O37" i="5"/>
  <c r="N37" i="5"/>
  <c r="F37" i="5"/>
  <c r="B37" i="5"/>
  <c r="F36" i="5"/>
  <c r="B36" i="5"/>
  <c r="P35" i="5"/>
  <c r="O35" i="5"/>
  <c r="N35" i="5"/>
  <c r="F35" i="5"/>
  <c r="B35" i="5"/>
  <c r="P34" i="5"/>
  <c r="O34" i="5"/>
  <c r="N34" i="5"/>
  <c r="M34" i="5"/>
  <c r="F34" i="5"/>
  <c r="B34" i="5"/>
  <c r="P33" i="5"/>
  <c r="O33" i="5"/>
  <c r="N33" i="5"/>
  <c r="F33" i="5"/>
  <c r="B33" i="5"/>
  <c r="P32" i="5"/>
  <c r="O32" i="5"/>
  <c r="N32" i="5"/>
  <c r="M32" i="5"/>
  <c r="F32" i="5"/>
  <c r="B32" i="5"/>
  <c r="P31" i="5"/>
  <c r="O31" i="5"/>
  <c r="F31" i="5"/>
  <c r="B31" i="5"/>
  <c r="P30" i="5"/>
  <c r="N30" i="5"/>
  <c r="M30" i="5"/>
  <c r="F30" i="5"/>
  <c r="B30" i="5"/>
  <c r="P29" i="5"/>
  <c r="O29" i="5"/>
  <c r="F29" i="5"/>
  <c r="B29" i="5"/>
  <c r="P28" i="5"/>
  <c r="N28" i="5"/>
  <c r="M28" i="5"/>
  <c r="F28" i="5"/>
  <c r="B28" i="5"/>
  <c r="P27" i="5"/>
  <c r="O27" i="5"/>
  <c r="F27" i="5"/>
  <c r="B27" i="5"/>
  <c r="P26" i="5"/>
  <c r="N26" i="5"/>
  <c r="M26" i="5"/>
  <c r="F26" i="5"/>
  <c r="B26" i="5"/>
  <c r="P25" i="5"/>
  <c r="O25" i="5"/>
  <c r="F25" i="5"/>
  <c r="B25" i="5"/>
  <c r="P24" i="5"/>
  <c r="N24" i="5"/>
  <c r="M24" i="5"/>
  <c r="F24" i="5"/>
  <c r="B24" i="5"/>
  <c r="P23" i="5"/>
  <c r="O23" i="5"/>
  <c r="F23" i="5"/>
  <c r="B23" i="5"/>
  <c r="P22" i="5"/>
  <c r="O22" i="5"/>
  <c r="N22" i="5"/>
  <c r="M22" i="5"/>
  <c r="F22" i="5"/>
  <c r="B22" i="5"/>
  <c r="P21" i="5"/>
  <c r="O21" i="5"/>
  <c r="N21" i="5"/>
  <c r="F21" i="5"/>
  <c r="B21" i="5"/>
  <c r="P20" i="5"/>
  <c r="O20" i="5"/>
  <c r="N20" i="5"/>
  <c r="M20" i="5"/>
  <c r="F20" i="5"/>
  <c r="B20" i="5"/>
  <c r="P19" i="5"/>
  <c r="O19" i="5"/>
  <c r="N19" i="5"/>
  <c r="F19" i="5"/>
  <c r="B19" i="5"/>
  <c r="P18" i="5"/>
  <c r="O18" i="5"/>
  <c r="N18" i="5"/>
  <c r="M18" i="5"/>
  <c r="F18" i="5"/>
  <c r="B18" i="5"/>
  <c r="P17" i="5"/>
  <c r="O17" i="5"/>
  <c r="N17" i="5"/>
  <c r="F17" i="5"/>
  <c r="B17" i="5"/>
  <c r="P16" i="5"/>
  <c r="O16" i="5"/>
  <c r="N16" i="5"/>
  <c r="M16" i="5"/>
  <c r="F16" i="5"/>
  <c r="B16" i="5"/>
  <c r="P15" i="5"/>
  <c r="O15" i="5"/>
  <c r="N15" i="5"/>
  <c r="F15" i="5"/>
  <c r="B15" i="5"/>
  <c r="P14" i="5"/>
  <c r="O14" i="5"/>
  <c r="N14" i="5"/>
  <c r="M14" i="5"/>
  <c r="F14" i="5"/>
  <c r="B14" i="5"/>
  <c r="P13" i="5"/>
  <c r="O13" i="5"/>
  <c r="N13" i="5"/>
  <c r="F13" i="5"/>
  <c r="B13" i="5"/>
  <c r="P12" i="5"/>
  <c r="O12" i="5"/>
  <c r="N12" i="5"/>
  <c r="M12" i="5"/>
  <c r="F12" i="5"/>
  <c r="B12" i="5"/>
  <c r="P11" i="5"/>
  <c r="O11" i="5"/>
  <c r="N11" i="5"/>
  <c r="F11" i="5"/>
  <c r="B11" i="5"/>
  <c r="M162" i="4"/>
  <c r="M158" i="4"/>
  <c r="O156" i="4"/>
  <c r="M156" i="4"/>
  <c r="O155" i="4"/>
  <c r="O160" i="4"/>
  <c r="M153" i="4"/>
  <c r="O151" i="4"/>
  <c r="O149" i="4"/>
  <c r="M147" i="4"/>
  <c r="M145" i="4"/>
  <c r="O143" i="4"/>
  <c r="M141" i="4"/>
  <c r="M139" i="4"/>
  <c r="M137" i="4"/>
  <c r="M135" i="4"/>
  <c r="M133" i="4"/>
  <c r="M131" i="4"/>
  <c r="M129" i="4"/>
  <c r="M127" i="4"/>
  <c r="M125" i="4"/>
  <c r="M123" i="4"/>
  <c r="M121" i="4"/>
  <c r="P119" i="4"/>
  <c r="M119" i="4"/>
  <c r="M117" i="4"/>
  <c r="M115" i="4"/>
  <c r="M113" i="4"/>
  <c r="M111" i="4"/>
  <c r="M109" i="4"/>
  <c r="O108" i="4"/>
  <c r="M107" i="4"/>
  <c r="M105" i="4"/>
  <c r="M103" i="4"/>
  <c r="M101" i="4"/>
  <c r="M99" i="4"/>
  <c r="M97" i="4"/>
  <c r="O96" i="4"/>
  <c r="M95" i="4"/>
  <c r="M93" i="4"/>
  <c r="N91" i="4"/>
  <c r="M91" i="4"/>
  <c r="N89" i="4"/>
  <c r="M89" i="4"/>
  <c r="O88" i="4"/>
  <c r="M87" i="4"/>
  <c r="M86" i="4"/>
  <c r="N85" i="4"/>
  <c r="M85" i="4"/>
  <c r="O84" i="4"/>
  <c r="M83" i="4"/>
  <c r="O82" i="4"/>
  <c r="M69" i="4"/>
  <c r="M67" i="4"/>
  <c r="M65" i="4"/>
  <c r="M63" i="4"/>
  <c r="M61" i="4"/>
  <c r="O60" i="4"/>
  <c r="O59" i="4"/>
  <c r="M59" i="4"/>
  <c r="O64" i="4"/>
  <c r="O62" i="4"/>
  <c r="M50" i="4"/>
  <c r="M48" i="4"/>
  <c r="O45" i="4"/>
  <c r="M43" i="4"/>
  <c r="O41" i="4"/>
  <c r="O39" i="4"/>
  <c r="O37" i="4"/>
  <c r="N35" i="4"/>
  <c r="M35" i="4"/>
  <c r="O35" i="4"/>
  <c r="O33" i="4"/>
  <c r="M31" i="4"/>
  <c r="O29" i="4"/>
  <c r="O27" i="4"/>
  <c r="M26" i="4"/>
  <c r="O25" i="4"/>
  <c r="N24" i="4"/>
  <c r="M24" i="4"/>
  <c r="M21" i="4"/>
  <c r="O19" i="4"/>
  <c r="O17" i="4"/>
  <c r="M15" i="4"/>
  <c r="M13" i="4"/>
  <c r="N22" i="4"/>
  <c r="M22" i="4"/>
  <c r="N21" i="4"/>
  <c r="N20" i="4"/>
  <c r="M20" i="4"/>
  <c r="N19" i="4"/>
  <c r="P18" i="4"/>
  <c r="N18" i="4"/>
  <c r="M18" i="4"/>
  <c r="N17" i="4"/>
  <c r="M16" i="4"/>
  <c r="N15" i="4"/>
  <c r="N14" i="4"/>
  <c r="P15" i="4"/>
  <c r="P14" i="4"/>
  <c r="M14" i="4"/>
  <c r="N13" i="4"/>
  <c r="P13" i="4"/>
  <c r="N95" i="4"/>
  <c r="N99" i="4"/>
  <c r="N101" i="4"/>
  <c r="N103" i="4"/>
  <c r="N107" i="4"/>
  <c r="N109" i="4"/>
  <c r="N111" i="4"/>
  <c r="M112" i="4"/>
  <c r="N113" i="4"/>
  <c r="M114" i="4"/>
  <c r="N115" i="4"/>
  <c r="M116" i="4"/>
  <c r="M118" i="4"/>
  <c r="N119" i="4"/>
  <c r="O122" i="4"/>
  <c r="N123" i="4"/>
  <c r="M124" i="4"/>
  <c r="N125" i="4"/>
  <c r="O126" i="4"/>
  <c r="N127" i="4"/>
  <c r="M128" i="4"/>
  <c r="N129" i="4"/>
  <c r="O130" i="4"/>
  <c r="N131" i="4"/>
  <c r="M132" i="4"/>
  <c r="N133" i="4"/>
  <c r="O134" i="4"/>
  <c r="N135" i="4"/>
  <c r="O136" i="4"/>
  <c r="N137" i="4"/>
  <c r="M138" i="4"/>
  <c r="N139" i="4"/>
  <c r="O140" i="4"/>
  <c r="N141" i="4"/>
  <c r="M142" i="4"/>
  <c r="P143" i="4"/>
  <c r="N143" i="4"/>
  <c r="M144" i="4"/>
  <c r="P145" i="4"/>
  <c r="N145" i="4"/>
  <c r="O146" i="4"/>
  <c r="N147" i="4"/>
  <c r="M148" i="4"/>
  <c r="N149" i="4"/>
  <c r="O150" i="4"/>
  <c r="P151" i="4"/>
  <c r="N151" i="4"/>
  <c r="M152" i="4"/>
  <c r="P153" i="4"/>
  <c r="N153" i="4"/>
  <c r="O154" i="4"/>
  <c r="P155" i="4"/>
  <c r="O157" i="4"/>
  <c r="P157" i="4"/>
  <c r="O159" i="4"/>
  <c r="P159" i="4"/>
  <c r="O161" i="4"/>
  <c r="N161" i="4"/>
  <c r="P163" i="4"/>
  <c r="N23" i="4"/>
  <c r="N25" i="4"/>
  <c r="O12" i="4"/>
  <c r="M12" i="4"/>
  <c r="P11" i="4"/>
  <c r="N11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59" i="4"/>
  <c r="P60" i="4"/>
  <c r="P61" i="4"/>
  <c r="P62" i="4"/>
  <c r="P63" i="4"/>
  <c r="P64" i="4"/>
  <c r="P65" i="4"/>
  <c r="P66" i="4"/>
  <c r="P67" i="4"/>
  <c r="P68" i="4"/>
  <c r="P69" i="4"/>
  <c r="P70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7" i="4"/>
  <c r="P149" i="4"/>
  <c r="P152" i="4"/>
  <c r="O26" i="4"/>
  <c r="O28" i="4"/>
  <c r="O30" i="4"/>
  <c r="O32" i="4"/>
  <c r="O34" i="4"/>
  <c r="O36" i="4"/>
  <c r="O38" i="4"/>
  <c r="O40" i="4"/>
  <c r="O42" i="4"/>
  <c r="O44" i="4"/>
  <c r="O46" i="4"/>
  <c r="O47" i="4"/>
  <c r="O52" i="4"/>
  <c r="O54" i="4"/>
  <c r="O58" i="4"/>
  <c r="O61" i="4"/>
  <c r="O63" i="4"/>
  <c r="O65" i="4"/>
  <c r="O66" i="4"/>
  <c r="O67" i="4"/>
  <c r="O68" i="4"/>
  <c r="O69" i="4"/>
  <c r="O70" i="4"/>
  <c r="O74" i="4"/>
  <c r="O80" i="4"/>
  <c r="O83" i="4"/>
  <c r="O85" i="4"/>
  <c r="O86" i="4"/>
  <c r="O87" i="4"/>
  <c r="O89" i="4"/>
  <c r="O90" i="4"/>
  <c r="O91" i="4"/>
  <c r="O92" i="4"/>
  <c r="O93" i="4"/>
  <c r="O94" i="4"/>
  <c r="O95" i="4"/>
  <c r="O97" i="4"/>
  <c r="O98" i="4"/>
  <c r="O99" i="4"/>
  <c r="O100" i="4"/>
  <c r="O101" i="4"/>
  <c r="O102" i="4"/>
  <c r="O103" i="4"/>
  <c r="O104" i="4"/>
  <c r="O105" i="4"/>
  <c r="O106" i="4"/>
  <c r="O107" i="4"/>
  <c r="O109" i="4"/>
  <c r="O110" i="4"/>
  <c r="O111" i="4"/>
  <c r="O112" i="4"/>
  <c r="O113" i="4"/>
  <c r="O115" i="4"/>
  <c r="O116" i="4"/>
  <c r="O117" i="4"/>
  <c r="O119" i="4"/>
  <c r="O120" i="4"/>
  <c r="O121" i="4"/>
  <c r="O123" i="4"/>
  <c r="O125" i="4"/>
  <c r="O127" i="4"/>
  <c r="O128" i="4"/>
  <c r="O129" i="4"/>
  <c r="O131" i="4"/>
  <c r="O132" i="4"/>
  <c r="O133" i="4"/>
  <c r="O135" i="4"/>
  <c r="O137" i="4"/>
  <c r="O139" i="4"/>
  <c r="O141" i="4"/>
  <c r="O144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1" i="4"/>
  <c r="M163" i="4"/>
  <c r="F163" i="4"/>
  <c r="F162" i="4"/>
  <c r="M161" i="4"/>
  <c r="F161" i="4"/>
  <c r="F160" i="4"/>
  <c r="M159" i="4"/>
  <c r="F159" i="4"/>
  <c r="F158" i="4"/>
  <c r="M157" i="4"/>
  <c r="F157" i="4"/>
  <c r="N156" i="4"/>
  <c r="F156" i="4"/>
  <c r="M155" i="4"/>
  <c r="F155" i="4"/>
  <c r="N154" i="4"/>
  <c r="F154" i="4"/>
  <c r="F153" i="4"/>
  <c r="N152" i="4"/>
  <c r="F152" i="4"/>
  <c r="F151" i="4"/>
  <c r="N150" i="4"/>
  <c r="F150" i="4"/>
  <c r="F149" i="4"/>
  <c r="N148" i="4"/>
  <c r="F148" i="4"/>
  <c r="F147" i="4"/>
  <c r="N146" i="4"/>
  <c r="F146" i="4"/>
  <c r="F145" i="4"/>
  <c r="N144" i="4"/>
  <c r="F144" i="4"/>
  <c r="F143" i="4"/>
  <c r="N142" i="4"/>
  <c r="F142" i="4"/>
  <c r="F141" i="4"/>
  <c r="N140" i="4"/>
  <c r="F140" i="4"/>
  <c r="F139" i="4"/>
  <c r="N138" i="4"/>
  <c r="F138" i="4"/>
  <c r="F137" i="4"/>
  <c r="N136" i="4"/>
  <c r="F136" i="4"/>
  <c r="F135" i="4"/>
  <c r="N134" i="4"/>
  <c r="M134" i="4"/>
  <c r="F134" i="4"/>
  <c r="F133" i="4"/>
  <c r="N132" i="4"/>
  <c r="F132" i="4"/>
  <c r="F131" i="4"/>
  <c r="N130" i="4"/>
  <c r="F130" i="4"/>
  <c r="F129" i="4"/>
  <c r="N128" i="4"/>
  <c r="F128" i="4"/>
  <c r="F127" i="4"/>
  <c r="N126" i="4"/>
  <c r="M126" i="4"/>
  <c r="F126" i="4"/>
  <c r="F125" i="4"/>
  <c r="N124" i="4"/>
  <c r="F124" i="4"/>
  <c r="F123" i="4"/>
  <c r="N122" i="4"/>
  <c r="F122" i="4"/>
  <c r="N121" i="4"/>
  <c r="F121" i="4"/>
  <c r="N120" i="4"/>
  <c r="M120" i="4"/>
  <c r="F120" i="4"/>
  <c r="F119" i="4"/>
  <c r="N118" i="4"/>
  <c r="F118" i="4"/>
  <c r="N117" i="4"/>
  <c r="F117" i="4"/>
  <c r="N116" i="4"/>
  <c r="F116" i="4"/>
  <c r="F115" i="4"/>
  <c r="N114" i="4"/>
  <c r="F114" i="4"/>
  <c r="F113" i="4"/>
  <c r="N112" i="4"/>
  <c r="F112" i="4"/>
  <c r="F111" i="4"/>
  <c r="N110" i="4"/>
  <c r="M110" i="4"/>
  <c r="F110" i="4"/>
  <c r="F109" i="4"/>
  <c r="N108" i="4"/>
  <c r="F108" i="4"/>
  <c r="F107" i="4"/>
  <c r="N106" i="4"/>
  <c r="M106" i="4"/>
  <c r="F106" i="4"/>
  <c r="N105" i="4"/>
  <c r="F105" i="4"/>
  <c r="N104" i="4"/>
  <c r="M104" i="4"/>
  <c r="F104" i="4"/>
  <c r="F103" i="4"/>
  <c r="N102" i="4"/>
  <c r="M102" i="4"/>
  <c r="F102" i="4"/>
  <c r="F101" i="4"/>
  <c r="N100" i="4"/>
  <c r="M100" i="4"/>
  <c r="F100" i="4"/>
  <c r="F99" i="4"/>
  <c r="N98" i="4"/>
  <c r="M98" i="4"/>
  <c r="F98" i="4"/>
  <c r="N97" i="4"/>
  <c r="F97" i="4"/>
  <c r="N96" i="4"/>
  <c r="F96" i="4"/>
  <c r="F95" i="4"/>
  <c r="N94" i="4"/>
  <c r="M94" i="4"/>
  <c r="F94" i="4"/>
  <c r="N93" i="4"/>
  <c r="F93" i="4"/>
  <c r="N92" i="4"/>
  <c r="M92" i="4"/>
  <c r="F92" i="4"/>
  <c r="F91" i="4"/>
  <c r="N90" i="4"/>
  <c r="M90" i="4"/>
  <c r="F90" i="4"/>
  <c r="F89" i="4"/>
  <c r="N88" i="4"/>
  <c r="F88" i="4"/>
  <c r="N87" i="4"/>
  <c r="F87" i="4"/>
  <c r="N86" i="4"/>
  <c r="F86" i="4"/>
  <c r="F85" i="4"/>
  <c r="N84" i="4"/>
  <c r="F84" i="4"/>
  <c r="N83" i="4"/>
  <c r="F83" i="4"/>
  <c r="M82" i="4"/>
  <c r="F82" i="4"/>
  <c r="F81" i="4"/>
  <c r="N80" i="4"/>
  <c r="M80" i="4"/>
  <c r="F80" i="4"/>
  <c r="F79" i="4"/>
  <c r="M78" i="4"/>
  <c r="F78" i="4"/>
  <c r="F77" i="4"/>
  <c r="M76" i="4"/>
  <c r="F76" i="4"/>
  <c r="F75" i="4"/>
  <c r="M74" i="4"/>
  <c r="F74" i="4"/>
  <c r="F73" i="4"/>
  <c r="M72" i="4"/>
  <c r="F72" i="4"/>
  <c r="F71" i="4"/>
  <c r="N70" i="4"/>
  <c r="M70" i="4"/>
  <c r="F70" i="4"/>
  <c r="N69" i="4"/>
  <c r="F69" i="4"/>
  <c r="N68" i="4"/>
  <c r="M68" i="4"/>
  <c r="F68" i="4"/>
  <c r="N67" i="4"/>
  <c r="F67" i="4"/>
  <c r="N66" i="4"/>
  <c r="M66" i="4"/>
  <c r="F66" i="4"/>
  <c r="N65" i="4"/>
  <c r="F65" i="4"/>
  <c r="N64" i="4"/>
  <c r="F64" i="4"/>
  <c r="N63" i="4"/>
  <c r="F63" i="4"/>
  <c r="N62" i="4"/>
  <c r="F62" i="4"/>
  <c r="N61" i="4"/>
  <c r="F61" i="4"/>
  <c r="N60" i="4"/>
  <c r="F60" i="4"/>
  <c r="N59" i="4"/>
  <c r="F59" i="4"/>
  <c r="M58" i="4"/>
  <c r="F58" i="4"/>
  <c r="F57" i="4"/>
  <c r="M56" i="4"/>
  <c r="F56" i="4"/>
  <c r="F55" i="4"/>
  <c r="M54" i="4"/>
  <c r="F54" i="4"/>
  <c r="F53" i="4"/>
  <c r="M52" i="4"/>
  <c r="F52" i="4"/>
  <c r="F51" i="4"/>
  <c r="F50" i="4"/>
  <c r="F49" i="4"/>
  <c r="F48" i="4"/>
  <c r="F47" i="4"/>
  <c r="N46" i="4"/>
  <c r="M46" i="4"/>
  <c r="F46" i="4"/>
  <c r="N45" i="4"/>
  <c r="F45" i="4"/>
  <c r="N44" i="4"/>
  <c r="M44" i="4"/>
  <c r="F44" i="4"/>
  <c r="N43" i="4"/>
  <c r="F43" i="4"/>
  <c r="N42" i="4"/>
  <c r="M42" i="4"/>
  <c r="F42" i="4"/>
  <c r="N41" i="4"/>
  <c r="F41" i="4"/>
  <c r="N40" i="4"/>
  <c r="M40" i="4"/>
  <c r="F40" i="4"/>
  <c r="N39" i="4"/>
  <c r="F39" i="4"/>
  <c r="N38" i="4"/>
  <c r="M38" i="4"/>
  <c r="F38" i="4"/>
  <c r="N37" i="4"/>
  <c r="F37" i="4"/>
  <c r="N36" i="4"/>
  <c r="M36" i="4"/>
  <c r="F36" i="4"/>
  <c r="F35" i="4"/>
  <c r="N34" i="4"/>
  <c r="M34" i="4"/>
  <c r="F34" i="4"/>
  <c r="N33" i="4"/>
  <c r="F33" i="4"/>
  <c r="N32" i="4"/>
  <c r="M32" i="4"/>
  <c r="F32" i="4"/>
  <c r="N31" i="4"/>
  <c r="F31" i="4"/>
  <c r="N30" i="4"/>
  <c r="M30" i="4"/>
  <c r="F30" i="4"/>
  <c r="N29" i="4"/>
  <c r="F29" i="4"/>
  <c r="N28" i="4"/>
  <c r="M28" i="4"/>
  <c r="F28" i="4"/>
  <c r="N27" i="4"/>
  <c r="F27" i="4"/>
  <c r="N26" i="4"/>
  <c r="F26" i="4"/>
  <c r="F25" i="4"/>
  <c r="F24" i="4"/>
  <c r="F23" i="4"/>
  <c r="F22" i="4"/>
  <c r="F21" i="4"/>
  <c r="F20" i="4"/>
  <c r="F19" i="4"/>
  <c r="F18" i="4"/>
  <c r="F17" i="4"/>
  <c r="N16" i="4"/>
  <c r="F16" i="4"/>
  <c r="F15" i="4"/>
  <c r="F14" i="4"/>
  <c r="F13" i="4"/>
  <c r="F12" i="4"/>
  <c r="F11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5" i="3"/>
  <c r="M157" i="8" l="1"/>
  <c r="M159" i="8"/>
  <c r="M163" i="8"/>
  <c r="M143" i="8"/>
  <c r="M145" i="8"/>
  <c r="M149" i="8"/>
  <c r="M151" i="8"/>
  <c r="M153" i="8"/>
  <c r="M147" i="8"/>
  <c r="N131" i="8"/>
  <c r="N133" i="8"/>
  <c r="N135" i="8"/>
  <c r="N137" i="8"/>
  <c r="N139" i="8"/>
  <c r="N141" i="8"/>
  <c r="O84" i="8"/>
  <c r="O86" i="8"/>
  <c r="N38" i="8"/>
  <c r="N40" i="8"/>
  <c r="N23" i="8"/>
  <c r="N25" i="8"/>
  <c r="N27" i="8"/>
  <c r="N29" i="8"/>
  <c r="N31" i="8"/>
  <c r="N33" i="8"/>
  <c r="M24" i="8"/>
  <c r="O156" i="7"/>
  <c r="O157" i="7"/>
  <c r="O159" i="7"/>
  <c r="O161" i="7"/>
  <c r="O163" i="7"/>
  <c r="P157" i="7"/>
  <c r="O144" i="7"/>
  <c r="O146" i="7"/>
  <c r="M108" i="7"/>
  <c r="M110" i="7"/>
  <c r="M112" i="7"/>
  <c r="M114" i="7"/>
  <c r="M116" i="7"/>
  <c r="O96" i="7"/>
  <c r="O98" i="7"/>
  <c r="O100" i="7"/>
  <c r="O102" i="7"/>
  <c r="O104" i="7"/>
  <c r="O106" i="7"/>
  <c r="N95" i="7"/>
  <c r="N65" i="7"/>
  <c r="N67" i="7"/>
  <c r="N61" i="7"/>
  <c r="P59" i="7"/>
  <c r="P63" i="7"/>
  <c r="P69" i="7"/>
  <c r="P48" i="7"/>
  <c r="M24" i="7"/>
  <c r="M12" i="7"/>
  <c r="M14" i="7"/>
  <c r="M16" i="7"/>
  <c r="M18" i="7"/>
  <c r="M20" i="7"/>
  <c r="M22" i="7"/>
  <c r="M156" i="6"/>
  <c r="M158" i="6"/>
  <c r="M132" i="6"/>
  <c r="M134" i="6"/>
  <c r="M99" i="6"/>
  <c r="M101" i="6"/>
  <c r="M103" i="6"/>
  <c r="M105" i="6"/>
  <c r="P71" i="6"/>
  <c r="P73" i="6"/>
  <c r="P75" i="6"/>
  <c r="N31" i="6"/>
  <c r="P25" i="6"/>
  <c r="P23" i="6"/>
  <c r="N29" i="6"/>
  <c r="N27" i="6"/>
  <c r="M26" i="6"/>
  <c r="M11" i="6"/>
  <c r="M13" i="6"/>
  <c r="M15" i="6"/>
  <c r="M17" i="6"/>
  <c r="M19" i="6"/>
  <c r="M21" i="6"/>
  <c r="M36" i="5"/>
  <c r="M38" i="5"/>
  <c r="N81" i="4"/>
  <c r="N157" i="4"/>
  <c r="N159" i="4"/>
  <c r="N163" i="4"/>
  <c r="P161" i="4"/>
  <c r="N72" i="4"/>
  <c r="N74" i="4"/>
  <c r="N76" i="4"/>
  <c r="N78" i="4"/>
  <c r="N155" i="4"/>
  <c r="P72" i="4"/>
  <c r="P74" i="4"/>
  <c r="P76" i="4"/>
  <c r="P78" i="4"/>
  <c r="P80" i="4"/>
  <c r="N82" i="4"/>
  <c r="M81" i="4"/>
  <c r="O71" i="4"/>
  <c r="O73" i="4"/>
  <c r="O75" i="4"/>
  <c r="O77" i="4"/>
  <c r="O79" i="4"/>
  <c r="O81" i="4"/>
  <c r="O147" i="4"/>
  <c r="M143" i="4"/>
  <c r="M149" i="4"/>
  <c r="O153" i="4"/>
  <c r="O145" i="4"/>
  <c r="M151" i="4"/>
  <c r="P82" i="4"/>
  <c r="M73" i="4"/>
  <c r="M77" i="4"/>
  <c r="M79" i="4"/>
  <c r="O72" i="4"/>
  <c r="O76" i="4"/>
  <c r="O78" i="4"/>
  <c r="P71" i="4"/>
  <c r="P73" i="4"/>
  <c r="N75" i="4"/>
  <c r="N77" i="4"/>
  <c r="P79" i="4"/>
  <c r="P81" i="4"/>
  <c r="M108" i="4"/>
  <c r="M96" i="4"/>
  <c r="P77" i="4"/>
  <c r="N73" i="4"/>
  <c r="P75" i="4"/>
  <c r="N79" i="4"/>
  <c r="N71" i="4"/>
  <c r="M84" i="4"/>
  <c r="M88" i="4"/>
  <c r="M71" i="4"/>
  <c r="M75" i="4"/>
  <c r="M62" i="4"/>
  <c r="M60" i="4"/>
  <c r="M64" i="4"/>
  <c r="O56" i="4"/>
  <c r="O50" i="4"/>
  <c r="O48" i="4"/>
  <c r="P54" i="4"/>
  <c r="P56" i="4"/>
  <c r="P58" i="4"/>
  <c r="N54" i="4"/>
  <c r="N56" i="4"/>
  <c r="N58" i="4"/>
  <c r="O49" i="4"/>
  <c r="O51" i="4"/>
  <c r="O53" i="4"/>
  <c r="O55" i="4"/>
  <c r="O57" i="4"/>
  <c r="M47" i="4"/>
  <c r="M49" i="4"/>
  <c r="M51" i="4"/>
  <c r="M53" i="4"/>
  <c r="M55" i="4"/>
  <c r="M57" i="4"/>
  <c r="N57" i="4"/>
  <c r="P47" i="4"/>
  <c r="P49" i="4"/>
  <c r="P57" i="4"/>
  <c r="N52" i="4"/>
  <c r="P50" i="4"/>
  <c r="P52" i="4"/>
  <c r="N47" i="4"/>
  <c r="N49" i="4"/>
  <c r="N51" i="4"/>
  <c r="N53" i="4"/>
  <c r="N55" i="4"/>
  <c r="P51" i="4"/>
  <c r="P53" i="4"/>
  <c r="P55" i="4"/>
  <c r="N48" i="4"/>
  <c r="N50" i="4"/>
  <c r="P48" i="4"/>
  <c r="M37" i="4"/>
  <c r="M41" i="4"/>
  <c r="M45" i="4"/>
  <c r="O43" i="4"/>
  <c r="M39" i="4"/>
  <c r="M29" i="4"/>
  <c r="M33" i="4"/>
  <c r="M27" i="4"/>
  <c r="O31" i="4"/>
  <c r="O15" i="4"/>
  <c r="M19" i="4"/>
  <c r="O13" i="4"/>
  <c r="M17" i="4"/>
  <c r="P21" i="4"/>
  <c r="M130" i="4"/>
  <c r="M154" i="4"/>
  <c r="O142" i="4"/>
  <c r="O118" i="4"/>
  <c r="M140" i="4"/>
  <c r="O14" i="4"/>
  <c r="M150" i="4"/>
  <c r="M160" i="4"/>
  <c r="O152" i="4"/>
  <c r="M136" i="4"/>
  <c r="N12" i="4"/>
  <c r="M122" i="4"/>
  <c r="M146" i="4"/>
  <c r="O138" i="4"/>
  <c r="O114" i="4"/>
  <c r="P12" i="4"/>
  <c r="O23" i="4"/>
  <c r="O162" i="4"/>
  <c r="P24" i="4"/>
  <c r="P22" i="4"/>
  <c r="P20" i="4"/>
  <c r="P16" i="4"/>
  <c r="P162" i="4"/>
  <c r="O148" i="4"/>
  <c r="O124" i="4"/>
  <c r="N158" i="4"/>
  <c r="P25" i="4"/>
  <c r="P23" i="4"/>
  <c r="P19" i="4"/>
  <c r="P17" i="4"/>
  <c r="M23" i="4"/>
  <c r="O163" i="4"/>
  <c r="O21" i="4"/>
  <c r="M25" i="4"/>
  <c r="P160" i="4"/>
  <c r="P158" i="4"/>
  <c r="P156" i="4"/>
  <c r="P154" i="4"/>
  <c r="P150" i="4"/>
  <c r="P148" i="4"/>
  <c r="P146" i="4"/>
  <c r="P144" i="4"/>
  <c r="P142" i="4"/>
  <c r="M11" i="4"/>
  <c r="N162" i="4"/>
  <c r="N160" i="4"/>
  <c r="O24" i="4"/>
  <c r="O22" i="4"/>
  <c r="O20" i="4"/>
  <c r="O18" i="4"/>
  <c r="O16" i="4"/>
  <c r="O158" i="4"/>
  <c r="O11" i="4"/>
</calcChain>
</file>

<file path=xl/sharedStrings.xml><?xml version="1.0" encoding="utf-8"?>
<sst xmlns="http://schemas.openxmlformats.org/spreadsheetml/2006/main" count="1081" uniqueCount="55">
  <si>
    <t>Kartoffelverarbeitung</t>
  </si>
  <si>
    <t>Monat</t>
  </si>
  <si>
    <t>Inland</t>
  </si>
  <si>
    <t>Ausland</t>
  </si>
  <si>
    <t>Insgesamt</t>
  </si>
  <si>
    <t>Umsatz in Mio. €</t>
  </si>
  <si>
    <t>Exportquote in %</t>
  </si>
  <si>
    <t>Jahr</t>
  </si>
  <si>
    <t>Belgien</t>
  </si>
  <si>
    <t>Ausfuhr: Gewicht</t>
  </si>
  <si>
    <t>Ausfuhr: Wert</t>
  </si>
  <si>
    <t>Einfuhr: Gewicht</t>
  </si>
  <si>
    <t>Einfuhr: Wert</t>
  </si>
  <si>
    <t>Januar</t>
  </si>
  <si>
    <t>Februar</t>
  </si>
  <si>
    <t>März</t>
  </si>
  <si>
    <t>April</t>
  </si>
  <si>
    <t>August</t>
  </si>
  <si>
    <t>September</t>
  </si>
  <si>
    <t>November</t>
  </si>
  <si>
    <t>Mai</t>
  </si>
  <si>
    <t>Juni</t>
  </si>
  <si>
    <t>Juli</t>
  </si>
  <si>
    <t>Oktober</t>
  </si>
  <si>
    <t>Dezember</t>
  </si>
  <si>
    <t>Gewicht in t</t>
  </si>
  <si>
    <t>Wert in Tsd. EUR.</t>
  </si>
  <si>
    <t>Month nr</t>
  </si>
  <si>
    <t>Date Text</t>
  </si>
  <si>
    <t>Order</t>
  </si>
  <si>
    <t>Start year</t>
  </si>
  <si>
    <t>Ausfuhr: Wert/Gewicht</t>
  </si>
  <si>
    <t>Einfuhr: Wert/Gewicht</t>
  </si>
  <si>
    <t>Angaben in € pro Tonne</t>
  </si>
  <si>
    <t>GENESIS-Tabelle: 51000-0011</t>
  </si>
  <si>
    <t>Aus- und Einfuhr (Außenhandel): Deutschland, Monate, Land,</t>
  </si>
  <si>
    <t>Warenverzeichnis (4-/6-Steller)</t>
  </si>
  <si>
    <t>Außenhandel</t>
  </si>
  <si>
    <t>Deutschland</t>
  </si>
  <si>
    <t>© Statistisches Bundesamt (Destatis), 2020</t>
  </si>
  <si>
    <t>Stand: 08.12.2020 / 22:43:40</t>
  </si>
  <si>
    <t>Ausfuhr: Wert €</t>
  </si>
  <si>
    <t>Ausfuhr: Wert $</t>
  </si>
  <si>
    <t>Einfuhr: Wert €</t>
  </si>
  <si>
    <t>Einfuhr: Wert $</t>
  </si>
  <si>
    <t>Angaben in $ pro Tonne</t>
  </si>
  <si>
    <t>Ausfuhr: Wert €/Gewicht</t>
  </si>
  <si>
    <t>Einfuhr: Wert €/Gewicht</t>
  </si>
  <si>
    <t>Ausfuhr: Wert $/Gewicht</t>
  </si>
  <si>
    <t>Einfuhr: Wert $/Gewicht</t>
  </si>
  <si>
    <t>Kartoffeln</t>
  </si>
  <si>
    <t>Erdbeeren</t>
  </si>
  <si>
    <t>Spargel</t>
  </si>
  <si>
    <t>Zitronen und Limetten, frisch oder getrocknet</t>
  </si>
  <si>
    <t>Orangen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</si>
</sst>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17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Belgien'!$G$5:$G$157</c:f>
              <c:numCache>
                <c:formatCode>General</c:formatCode>
                <c:ptCount val="153"/>
                <c:pt idx="0">
                  <c:v>5891.2</c:v>
                </c:pt>
                <c:pt idx="1">
                  <c:v>5312.5</c:v>
                </c:pt>
                <c:pt idx="2">
                  <c:v>6531.5</c:v>
                </c:pt>
                <c:pt idx="3">
                  <c:v>7117.7</c:v>
                </c:pt>
                <c:pt idx="4">
                  <c:v>5241.5</c:v>
                </c:pt>
                <c:pt idx="5">
                  <c:v>857.2</c:v>
                </c:pt>
                <c:pt idx="6">
                  <c:v>12249.4</c:v>
                </c:pt>
                <c:pt idx="7">
                  <c:v>21341.1</c:v>
                </c:pt>
                <c:pt idx="8">
                  <c:v>18268.8</c:v>
                </c:pt>
                <c:pt idx="9">
                  <c:v>25197.599999999999</c:v>
                </c:pt>
                <c:pt idx="10">
                  <c:v>11933.7</c:v>
                </c:pt>
                <c:pt idx="11">
                  <c:v>8182.6</c:v>
                </c:pt>
                <c:pt idx="12">
                  <c:v>8538.7000000000007</c:v>
                </c:pt>
                <c:pt idx="13">
                  <c:v>15173.7</c:v>
                </c:pt>
                <c:pt idx="14">
                  <c:v>7861.9</c:v>
                </c:pt>
                <c:pt idx="15">
                  <c:v>13025.8</c:v>
                </c:pt>
                <c:pt idx="16">
                  <c:v>13802.5</c:v>
                </c:pt>
                <c:pt idx="17">
                  <c:v>7951.2</c:v>
                </c:pt>
                <c:pt idx="18">
                  <c:v>24429.200000000001</c:v>
                </c:pt>
                <c:pt idx="19">
                  <c:v>13757.9</c:v>
                </c:pt>
                <c:pt idx="20">
                  <c:v>14598.6</c:v>
                </c:pt>
                <c:pt idx="21">
                  <c:v>17983.900000000001</c:v>
                </c:pt>
                <c:pt idx="22">
                  <c:v>10354.5</c:v>
                </c:pt>
                <c:pt idx="23">
                  <c:v>4243.7</c:v>
                </c:pt>
                <c:pt idx="24">
                  <c:v>5557.3</c:v>
                </c:pt>
                <c:pt idx="25">
                  <c:v>8705.7000000000007</c:v>
                </c:pt>
                <c:pt idx="26">
                  <c:v>7424.5</c:v>
                </c:pt>
                <c:pt idx="27">
                  <c:v>5298.1</c:v>
                </c:pt>
                <c:pt idx="28">
                  <c:v>3920.8</c:v>
                </c:pt>
                <c:pt idx="29">
                  <c:v>12261.5</c:v>
                </c:pt>
                <c:pt idx="30">
                  <c:v>22885.599999999999</c:v>
                </c:pt>
                <c:pt idx="31">
                  <c:v>31871.5</c:v>
                </c:pt>
                <c:pt idx="32">
                  <c:v>19761.5</c:v>
                </c:pt>
                <c:pt idx="33">
                  <c:v>30862.799999999999</c:v>
                </c:pt>
                <c:pt idx="34">
                  <c:v>5581.4</c:v>
                </c:pt>
                <c:pt idx="35">
                  <c:v>12395.4</c:v>
                </c:pt>
                <c:pt idx="36">
                  <c:v>4134.1000000000004</c:v>
                </c:pt>
                <c:pt idx="37">
                  <c:v>5632.3</c:v>
                </c:pt>
                <c:pt idx="38">
                  <c:v>14678.6</c:v>
                </c:pt>
                <c:pt idx="39">
                  <c:v>8404.2000000000007</c:v>
                </c:pt>
                <c:pt idx="40">
                  <c:v>7840.9</c:v>
                </c:pt>
                <c:pt idx="41">
                  <c:v>12702</c:v>
                </c:pt>
                <c:pt idx="42">
                  <c:v>36519.800000000003</c:v>
                </c:pt>
                <c:pt idx="43">
                  <c:v>23609.1</c:v>
                </c:pt>
                <c:pt idx="44">
                  <c:v>11633.3</c:v>
                </c:pt>
                <c:pt idx="45">
                  <c:v>15117.6</c:v>
                </c:pt>
                <c:pt idx="46">
                  <c:v>1859.7</c:v>
                </c:pt>
                <c:pt idx="47">
                  <c:v>23200.400000000001</c:v>
                </c:pt>
                <c:pt idx="48">
                  <c:v>432.7</c:v>
                </c:pt>
                <c:pt idx="49">
                  <c:v>7308.4</c:v>
                </c:pt>
                <c:pt idx="50">
                  <c:v>11235.1</c:v>
                </c:pt>
                <c:pt idx="51">
                  <c:v>17123.3</c:v>
                </c:pt>
                <c:pt idx="52">
                  <c:v>11377.5</c:v>
                </c:pt>
                <c:pt idx="53">
                  <c:v>13344.7</c:v>
                </c:pt>
                <c:pt idx="54">
                  <c:v>14343.9</c:v>
                </c:pt>
                <c:pt idx="55">
                  <c:v>34028.800000000003</c:v>
                </c:pt>
                <c:pt idx="56">
                  <c:v>31518.6</c:v>
                </c:pt>
                <c:pt idx="57">
                  <c:v>72902.2</c:v>
                </c:pt>
                <c:pt idx="58">
                  <c:v>22540.3</c:v>
                </c:pt>
                <c:pt idx="59">
                  <c:v>4272.6000000000004</c:v>
                </c:pt>
                <c:pt idx="60">
                  <c:v>32546.1</c:v>
                </c:pt>
                <c:pt idx="61">
                  <c:v>14821.1</c:v>
                </c:pt>
                <c:pt idx="62">
                  <c:v>25283.7</c:v>
                </c:pt>
                <c:pt idx="63">
                  <c:v>25544.9</c:v>
                </c:pt>
                <c:pt idx="64">
                  <c:v>16567</c:v>
                </c:pt>
                <c:pt idx="65">
                  <c:v>20735.7</c:v>
                </c:pt>
                <c:pt idx="66">
                  <c:v>47008.4</c:v>
                </c:pt>
                <c:pt idx="67">
                  <c:v>30117.3</c:v>
                </c:pt>
                <c:pt idx="68">
                  <c:v>24523.5</c:v>
                </c:pt>
                <c:pt idx="69">
                  <c:v>1259.4000000000001</c:v>
                </c:pt>
                <c:pt idx="70">
                  <c:v>24788.9</c:v>
                </c:pt>
                <c:pt idx="71">
                  <c:v>11782.9</c:v>
                </c:pt>
                <c:pt idx="72">
                  <c:v>2721.5</c:v>
                </c:pt>
                <c:pt idx="73">
                  <c:v>9614.5</c:v>
                </c:pt>
                <c:pt idx="74">
                  <c:v>11631.1</c:v>
                </c:pt>
                <c:pt idx="75">
                  <c:v>3501.1</c:v>
                </c:pt>
                <c:pt idx="76">
                  <c:v>18744.099999999999</c:v>
                </c:pt>
                <c:pt idx="77">
                  <c:v>20244.2</c:v>
                </c:pt>
                <c:pt idx="78">
                  <c:v>25003.1</c:v>
                </c:pt>
                <c:pt idx="79">
                  <c:v>20785.400000000001</c:v>
                </c:pt>
                <c:pt idx="80">
                  <c:v>18283.099999999999</c:v>
                </c:pt>
                <c:pt idx="81">
                  <c:v>10841.3</c:v>
                </c:pt>
                <c:pt idx="82">
                  <c:v>11266.1</c:v>
                </c:pt>
                <c:pt idx="83">
                  <c:v>11127.8</c:v>
                </c:pt>
                <c:pt idx="84">
                  <c:v>7827.4</c:v>
                </c:pt>
                <c:pt idx="85">
                  <c:v>14249.8</c:v>
                </c:pt>
                <c:pt idx="86">
                  <c:v>15700.5</c:v>
                </c:pt>
                <c:pt idx="87">
                  <c:v>1580.8</c:v>
                </c:pt>
                <c:pt idx="88">
                  <c:v>30284.400000000001</c:v>
                </c:pt>
                <c:pt idx="89">
                  <c:v>11776.9</c:v>
                </c:pt>
                <c:pt idx="90">
                  <c:v>21947</c:v>
                </c:pt>
                <c:pt idx="91">
                  <c:v>5966.8</c:v>
                </c:pt>
                <c:pt idx="92">
                  <c:v>21325</c:v>
                </c:pt>
                <c:pt idx="93">
                  <c:v>23358.799999999999</c:v>
                </c:pt>
                <c:pt idx="94">
                  <c:v>28735.599999999999</c:v>
                </c:pt>
                <c:pt idx="95">
                  <c:v>174</c:v>
                </c:pt>
                <c:pt idx="96">
                  <c:v>14936.8</c:v>
                </c:pt>
                <c:pt idx="97">
                  <c:v>17376.7</c:v>
                </c:pt>
                <c:pt idx="98">
                  <c:v>3755.1</c:v>
                </c:pt>
                <c:pt idx="99">
                  <c:v>23486.1</c:v>
                </c:pt>
                <c:pt idx="100">
                  <c:v>3974.3</c:v>
                </c:pt>
                <c:pt idx="101">
                  <c:v>9736.5</c:v>
                </c:pt>
                <c:pt idx="102">
                  <c:v>19370.3</c:v>
                </c:pt>
                <c:pt idx="103">
                  <c:v>30323.1</c:v>
                </c:pt>
                <c:pt idx="104">
                  <c:v>19588.8</c:v>
                </c:pt>
                <c:pt idx="105">
                  <c:v>3073.4</c:v>
                </c:pt>
                <c:pt idx="106">
                  <c:v>23501.1</c:v>
                </c:pt>
                <c:pt idx="107">
                  <c:v>24619.3</c:v>
                </c:pt>
                <c:pt idx="108">
                  <c:v>31041.1</c:v>
                </c:pt>
                <c:pt idx="109">
                  <c:v>2433.6999999999998</c:v>
                </c:pt>
                <c:pt idx="110">
                  <c:v>19308</c:v>
                </c:pt>
                <c:pt idx="111">
                  <c:v>30345.200000000001</c:v>
                </c:pt>
                <c:pt idx="112">
                  <c:v>9623.2000000000007</c:v>
                </c:pt>
                <c:pt idx="113">
                  <c:v>18029.3</c:v>
                </c:pt>
                <c:pt idx="114">
                  <c:v>33492.1</c:v>
                </c:pt>
                <c:pt idx="115">
                  <c:v>31256.400000000001</c:v>
                </c:pt>
                <c:pt idx="116">
                  <c:v>66480.100000000006</c:v>
                </c:pt>
                <c:pt idx="117">
                  <c:v>23792.7</c:v>
                </c:pt>
                <c:pt idx="118">
                  <c:v>736.4</c:v>
                </c:pt>
                <c:pt idx="119">
                  <c:v>35420.699999999997</c:v>
                </c:pt>
                <c:pt idx="120">
                  <c:v>12324.5</c:v>
                </c:pt>
                <c:pt idx="121">
                  <c:v>24444.400000000001</c:v>
                </c:pt>
                <c:pt idx="122">
                  <c:v>22370</c:v>
                </c:pt>
                <c:pt idx="123">
                  <c:v>16390.3</c:v>
                </c:pt>
                <c:pt idx="124">
                  <c:v>2309.6</c:v>
                </c:pt>
                <c:pt idx="125">
                  <c:v>43412.6</c:v>
                </c:pt>
                <c:pt idx="126">
                  <c:v>26296.1</c:v>
                </c:pt>
                <c:pt idx="127">
                  <c:v>36565.1</c:v>
                </c:pt>
                <c:pt idx="128">
                  <c:v>39107.199999999997</c:v>
                </c:pt>
                <c:pt idx="129">
                  <c:v>6242.5</c:v>
                </c:pt>
                <c:pt idx="130">
                  <c:v>49478.7</c:v>
                </c:pt>
                <c:pt idx="131">
                  <c:v>20169.099999999999</c:v>
                </c:pt>
                <c:pt idx="132">
                  <c:v>8629.7999999999993</c:v>
                </c:pt>
                <c:pt idx="133">
                  <c:v>34233.199999999997</c:v>
                </c:pt>
                <c:pt idx="134">
                  <c:v>35588.199999999997</c:v>
                </c:pt>
                <c:pt idx="135">
                  <c:v>4245.7</c:v>
                </c:pt>
                <c:pt idx="136">
                  <c:v>103303.1</c:v>
                </c:pt>
                <c:pt idx="137">
                  <c:v>29941.9</c:v>
                </c:pt>
                <c:pt idx="138">
                  <c:v>67439.899999999994</c:v>
                </c:pt>
                <c:pt idx="139">
                  <c:v>47373.8</c:v>
                </c:pt>
                <c:pt idx="140">
                  <c:v>32481.599999999999</c:v>
                </c:pt>
                <c:pt idx="141">
                  <c:v>2162.1</c:v>
                </c:pt>
                <c:pt idx="142">
                  <c:v>47922.6</c:v>
                </c:pt>
                <c:pt idx="143">
                  <c:v>1179.3</c:v>
                </c:pt>
                <c:pt idx="144">
                  <c:v>17300.400000000001</c:v>
                </c:pt>
                <c:pt idx="145">
                  <c:v>27259.8</c:v>
                </c:pt>
                <c:pt idx="146">
                  <c:v>46755.3</c:v>
                </c:pt>
                <c:pt idx="147">
                  <c:v>34763.1</c:v>
                </c:pt>
                <c:pt idx="148">
                  <c:v>24618.7</c:v>
                </c:pt>
                <c:pt idx="149">
                  <c:v>505.5</c:v>
                </c:pt>
                <c:pt idx="150">
                  <c:v>26303</c:v>
                </c:pt>
                <c:pt idx="151">
                  <c:v>76275.899999999994</c:v>
                </c:pt>
                <c:pt idx="152">
                  <c:v>32859.9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4-4615-91C9-421F6EC3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10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BMEL'!$E$4</c:f>
              <c:strCache>
                <c:ptCount val="1"/>
                <c:pt idx="0">
                  <c:v>Exportquote 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BMEL'!$E$5:$E$61</c:f>
              <c:numCache>
                <c:formatCode>General</c:formatCode>
                <c:ptCount val="57"/>
                <c:pt idx="0">
                  <c:v>18.7</c:v>
                </c:pt>
                <c:pt idx="1">
                  <c:v>15.7</c:v>
                </c:pt>
                <c:pt idx="2">
                  <c:v>17.600000000000001</c:v>
                </c:pt>
                <c:pt idx="4">
                  <c:v>17.399999999999999</c:v>
                </c:pt>
                <c:pt idx="5">
                  <c:v>15.6</c:v>
                </c:pt>
                <c:pt idx="6">
                  <c:v>16.899999999999999</c:v>
                </c:pt>
                <c:pt idx="7">
                  <c:v>18</c:v>
                </c:pt>
                <c:pt idx="8">
                  <c:v>17.2</c:v>
                </c:pt>
                <c:pt idx="9">
                  <c:v>15.7</c:v>
                </c:pt>
                <c:pt idx="10">
                  <c:v>18.399999999999999</c:v>
                </c:pt>
                <c:pt idx="11">
                  <c:v>16.399999999999999</c:v>
                </c:pt>
                <c:pt idx="12">
                  <c:v>16.100000000000001</c:v>
                </c:pt>
                <c:pt idx="13">
                  <c:v>15.2</c:v>
                </c:pt>
                <c:pt idx="14">
                  <c:v>16.399999999999999</c:v>
                </c:pt>
                <c:pt idx="15">
                  <c:v>14.9</c:v>
                </c:pt>
                <c:pt idx="16">
                  <c:v>17</c:v>
                </c:pt>
                <c:pt idx="17">
                  <c:v>14.9</c:v>
                </c:pt>
                <c:pt idx="18">
                  <c:v>16.899999999999999</c:v>
                </c:pt>
                <c:pt idx="19">
                  <c:v>17.5</c:v>
                </c:pt>
                <c:pt idx="20">
                  <c:v>17.899999999999999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17.8</c:v>
                </c:pt>
                <c:pt idx="24">
                  <c:v>17</c:v>
                </c:pt>
                <c:pt idx="25">
                  <c:v>13</c:v>
                </c:pt>
                <c:pt idx="26">
                  <c:v>18.3</c:v>
                </c:pt>
                <c:pt idx="27">
                  <c:v>18.2</c:v>
                </c:pt>
                <c:pt idx="28">
                  <c:v>19.3</c:v>
                </c:pt>
                <c:pt idx="32">
                  <c:v>19.399999999999999</c:v>
                </c:pt>
                <c:pt idx="34">
                  <c:v>20</c:v>
                </c:pt>
                <c:pt idx="35">
                  <c:v>21.4</c:v>
                </c:pt>
                <c:pt idx="36">
                  <c:v>21.3</c:v>
                </c:pt>
                <c:pt idx="37">
                  <c:v>19.399999999999999</c:v>
                </c:pt>
                <c:pt idx="38">
                  <c:v>20.2</c:v>
                </c:pt>
                <c:pt idx="39">
                  <c:v>21.7</c:v>
                </c:pt>
                <c:pt idx="40">
                  <c:v>24.5</c:v>
                </c:pt>
                <c:pt idx="41">
                  <c:v>21</c:v>
                </c:pt>
                <c:pt idx="42">
                  <c:v>21.5</c:v>
                </c:pt>
                <c:pt idx="43">
                  <c:v>22.5</c:v>
                </c:pt>
                <c:pt idx="44">
                  <c:v>20</c:v>
                </c:pt>
                <c:pt idx="45">
                  <c:v>19.399999999999999</c:v>
                </c:pt>
                <c:pt idx="46">
                  <c:v>19.100000000000001</c:v>
                </c:pt>
                <c:pt idx="48">
                  <c:v>17.600000000000001</c:v>
                </c:pt>
                <c:pt idx="49">
                  <c:v>15.8</c:v>
                </c:pt>
                <c:pt idx="50">
                  <c:v>20.5</c:v>
                </c:pt>
                <c:pt idx="51">
                  <c:v>19.899999999999999</c:v>
                </c:pt>
                <c:pt idx="52">
                  <c:v>19.7</c:v>
                </c:pt>
                <c:pt idx="53">
                  <c:v>22.9</c:v>
                </c:pt>
                <c:pt idx="54">
                  <c:v>19.5</c:v>
                </c:pt>
                <c:pt idx="55">
                  <c:v>20.7</c:v>
                </c:pt>
                <c:pt idx="56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9-4CD4-9ACC-C8F0279E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ax val="2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Belgien'!$H$4</c:f>
              <c:strCache>
                <c:ptCount val="1"/>
                <c:pt idx="0">
                  <c:v>Ausfuhr: 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Belgien'!$H$5:$H$157</c:f>
              <c:numCache>
                <c:formatCode>General</c:formatCode>
                <c:ptCount val="153"/>
                <c:pt idx="0">
                  <c:v>887</c:v>
                </c:pt>
                <c:pt idx="1">
                  <c:v>836</c:v>
                </c:pt>
                <c:pt idx="2">
                  <c:v>1078</c:v>
                </c:pt>
                <c:pt idx="3">
                  <c:v>1211</c:v>
                </c:pt>
                <c:pt idx="4">
                  <c:v>918</c:v>
                </c:pt>
                <c:pt idx="5">
                  <c:v>445</c:v>
                </c:pt>
                <c:pt idx="6">
                  <c:v>2009</c:v>
                </c:pt>
                <c:pt idx="7">
                  <c:v>3250</c:v>
                </c:pt>
                <c:pt idx="8">
                  <c:v>2457</c:v>
                </c:pt>
                <c:pt idx="9">
                  <c:v>3181</c:v>
                </c:pt>
                <c:pt idx="10">
                  <c:v>1875</c:v>
                </c:pt>
                <c:pt idx="11">
                  <c:v>1192</c:v>
                </c:pt>
                <c:pt idx="12">
                  <c:v>1319</c:v>
                </c:pt>
                <c:pt idx="13">
                  <c:v>2273</c:v>
                </c:pt>
                <c:pt idx="14">
                  <c:v>1134</c:v>
                </c:pt>
                <c:pt idx="15">
                  <c:v>1820</c:v>
                </c:pt>
                <c:pt idx="16">
                  <c:v>1746</c:v>
                </c:pt>
                <c:pt idx="17">
                  <c:v>1183</c:v>
                </c:pt>
                <c:pt idx="18">
                  <c:v>3722</c:v>
                </c:pt>
                <c:pt idx="19">
                  <c:v>1529</c:v>
                </c:pt>
                <c:pt idx="20">
                  <c:v>1465</c:v>
                </c:pt>
                <c:pt idx="21">
                  <c:v>2209</c:v>
                </c:pt>
                <c:pt idx="22">
                  <c:v>1195</c:v>
                </c:pt>
                <c:pt idx="23">
                  <c:v>599</c:v>
                </c:pt>
                <c:pt idx="24">
                  <c:v>1190</c:v>
                </c:pt>
                <c:pt idx="25">
                  <c:v>1097</c:v>
                </c:pt>
                <c:pt idx="26">
                  <c:v>930</c:v>
                </c:pt>
                <c:pt idx="27">
                  <c:v>930</c:v>
                </c:pt>
                <c:pt idx="28">
                  <c:v>673</c:v>
                </c:pt>
                <c:pt idx="29">
                  <c:v>1556</c:v>
                </c:pt>
                <c:pt idx="30">
                  <c:v>3966</c:v>
                </c:pt>
                <c:pt idx="31">
                  <c:v>5136</c:v>
                </c:pt>
                <c:pt idx="32">
                  <c:v>2774</c:v>
                </c:pt>
                <c:pt idx="33">
                  <c:v>4442</c:v>
                </c:pt>
                <c:pt idx="34">
                  <c:v>840</c:v>
                </c:pt>
                <c:pt idx="35">
                  <c:v>1980</c:v>
                </c:pt>
                <c:pt idx="36">
                  <c:v>758</c:v>
                </c:pt>
                <c:pt idx="37">
                  <c:v>1255</c:v>
                </c:pt>
                <c:pt idx="38">
                  <c:v>3475</c:v>
                </c:pt>
                <c:pt idx="39">
                  <c:v>1731</c:v>
                </c:pt>
                <c:pt idx="40">
                  <c:v>1750</c:v>
                </c:pt>
                <c:pt idx="41">
                  <c:v>2886</c:v>
                </c:pt>
                <c:pt idx="42">
                  <c:v>5942</c:v>
                </c:pt>
                <c:pt idx="43">
                  <c:v>3187</c:v>
                </c:pt>
                <c:pt idx="44">
                  <c:v>1869</c:v>
                </c:pt>
                <c:pt idx="45">
                  <c:v>1832</c:v>
                </c:pt>
                <c:pt idx="46">
                  <c:v>169</c:v>
                </c:pt>
                <c:pt idx="47">
                  <c:v>2278</c:v>
                </c:pt>
                <c:pt idx="48">
                  <c:v>139</c:v>
                </c:pt>
                <c:pt idx="49">
                  <c:v>764</c:v>
                </c:pt>
                <c:pt idx="50">
                  <c:v>1097</c:v>
                </c:pt>
                <c:pt idx="51">
                  <c:v>1577</c:v>
                </c:pt>
                <c:pt idx="52">
                  <c:v>951</c:v>
                </c:pt>
                <c:pt idx="53">
                  <c:v>1321</c:v>
                </c:pt>
                <c:pt idx="54">
                  <c:v>1774</c:v>
                </c:pt>
                <c:pt idx="55">
                  <c:v>4367</c:v>
                </c:pt>
                <c:pt idx="56">
                  <c:v>4313</c:v>
                </c:pt>
                <c:pt idx="57">
                  <c:v>11166</c:v>
                </c:pt>
                <c:pt idx="58">
                  <c:v>4410</c:v>
                </c:pt>
                <c:pt idx="59">
                  <c:v>731</c:v>
                </c:pt>
                <c:pt idx="60">
                  <c:v>6858</c:v>
                </c:pt>
                <c:pt idx="61">
                  <c:v>3093</c:v>
                </c:pt>
                <c:pt idx="62">
                  <c:v>5161</c:v>
                </c:pt>
                <c:pt idx="63">
                  <c:v>5647</c:v>
                </c:pt>
                <c:pt idx="64">
                  <c:v>3548</c:v>
                </c:pt>
                <c:pt idx="65">
                  <c:v>4624</c:v>
                </c:pt>
                <c:pt idx="66">
                  <c:v>11686</c:v>
                </c:pt>
                <c:pt idx="67">
                  <c:v>5678</c:v>
                </c:pt>
                <c:pt idx="68">
                  <c:v>3413</c:v>
                </c:pt>
                <c:pt idx="69">
                  <c:v>221</c:v>
                </c:pt>
                <c:pt idx="70">
                  <c:v>3561</c:v>
                </c:pt>
                <c:pt idx="71">
                  <c:v>1708</c:v>
                </c:pt>
                <c:pt idx="72">
                  <c:v>506</c:v>
                </c:pt>
                <c:pt idx="73">
                  <c:v>1387</c:v>
                </c:pt>
                <c:pt idx="74">
                  <c:v>1912</c:v>
                </c:pt>
                <c:pt idx="75">
                  <c:v>716</c:v>
                </c:pt>
                <c:pt idx="76">
                  <c:v>2708</c:v>
                </c:pt>
                <c:pt idx="77">
                  <c:v>2885</c:v>
                </c:pt>
                <c:pt idx="78">
                  <c:v>3360</c:v>
                </c:pt>
                <c:pt idx="79">
                  <c:v>2587</c:v>
                </c:pt>
                <c:pt idx="80">
                  <c:v>2165</c:v>
                </c:pt>
                <c:pt idx="81">
                  <c:v>1274</c:v>
                </c:pt>
                <c:pt idx="82">
                  <c:v>1134</c:v>
                </c:pt>
                <c:pt idx="83">
                  <c:v>1043</c:v>
                </c:pt>
                <c:pt idx="84">
                  <c:v>840</c:v>
                </c:pt>
                <c:pt idx="85">
                  <c:v>1251</c:v>
                </c:pt>
                <c:pt idx="86">
                  <c:v>1775</c:v>
                </c:pt>
                <c:pt idx="87">
                  <c:v>327</c:v>
                </c:pt>
                <c:pt idx="88">
                  <c:v>2618</c:v>
                </c:pt>
                <c:pt idx="89">
                  <c:v>1189</c:v>
                </c:pt>
                <c:pt idx="90">
                  <c:v>3864</c:v>
                </c:pt>
                <c:pt idx="91">
                  <c:v>1390</c:v>
                </c:pt>
                <c:pt idx="92">
                  <c:v>2942</c:v>
                </c:pt>
                <c:pt idx="93">
                  <c:v>4002</c:v>
                </c:pt>
                <c:pt idx="94">
                  <c:v>3803</c:v>
                </c:pt>
                <c:pt idx="95">
                  <c:v>68</c:v>
                </c:pt>
                <c:pt idx="96">
                  <c:v>2009</c:v>
                </c:pt>
                <c:pt idx="97">
                  <c:v>2487</c:v>
                </c:pt>
                <c:pt idx="98">
                  <c:v>700</c:v>
                </c:pt>
                <c:pt idx="99">
                  <c:v>3770</c:v>
                </c:pt>
                <c:pt idx="100">
                  <c:v>965</c:v>
                </c:pt>
                <c:pt idx="101">
                  <c:v>1706</c:v>
                </c:pt>
                <c:pt idx="102">
                  <c:v>3974</c:v>
                </c:pt>
                <c:pt idx="103">
                  <c:v>5520</c:v>
                </c:pt>
                <c:pt idx="104">
                  <c:v>3106</c:v>
                </c:pt>
                <c:pt idx="105">
                  <c:v>672</c:v>
                </c:pt>
                <c:pt idx="106">
                  <c:v>3949</c:v>
                </c:pt>
                <c:pt idx="107">
                  <c:v>4226</c:v>
                </c:pt>
                <c:pt idx="108">
                  <c:v>6382</c:v>
                </c:pt>
                <c:pt idx="109">
                  <c:v>611</c:v>
                </c:pt>
                <c:pt idx="110">
                  <c:v>3851</c:v>
                </c:pt>
                <c:pt idx="111">
                  <c:v>6020</c:v>
                </c:pt>
                <c:pt idx="112">
                  <c:v>2135</c:v>
                </c:pt>
                <c:pt idx="113">
                  <c:v>3578</c:v>
                </c:pt>
                <c:pt idx="114">
                  <c:v>7616</c:v>
                </c:pt>
                <c:pt idx="115">
                  <c:v>7316</c:v>
                </c:pt>
                <c:pt idx="116">
                  <c:v>11071</c:v>
                </c:pt>
                <c:pt idx="117">
                  <c:v>3048</c:v>
                </c:pt>
                <c:pt idx="118">
                  <c:v>249</c:v>
                </c:pt>
                <c:pt idx="119">
                  <c:v>4093</c:v>
                </c:pt>
                <c:pt idx="120">
                  <c:v>1501</c:v>
                </c:pt>
                <c:pt idx="121">
                  <c:v>2520</c:v>
                </c:pt>
                <c:pt idx="122">
                  <c:v>2687</c:v>
                </c:pt>
                <c:pt idx="123">
                  <c:v>2282</c:v>
                </c:pt>
                <c:pt idx="124">
                  <c:v>601</c:v>
                </c:pt>
                <c:pt idx="125">
                  <c:v>6090</c:v>
                </c:pt>
                <c:pt idx="126">
                  <c:v>3378</c:v>
                </c:pt>
                <c:pt idx="127">
                  <c:v>5994</c:v>
                </c:pt>
                <c:pt idx="128">
                  <c:v>6821</c:v>
                </c:pt>
                <c:pt idx="129">
                  <c:v>1354</c:v>
                </c:pt>
                <c:pt idx="130">
                  <c:v>10541</c:v>
                </c:pt>
                <c:pt idx="131">
                  <c:v>4383</c:v>
                </c:pt>
                <c:pt idx="132">
                  <c:v>2384</c:v>
                </c:pt>
                <c:pt idx="133">
                  <c:v>7693</c:v>
                </c:pt>
                <c:pt idx="134">
                  <c:v>7474</c:v>
                </c:pt>
                <c:pt idx="135">
                  <c:v>1025</c:v>
                </c:pt>
                <c:pt idx="136">
                  <c:v>23583</c:v>
                </c:pt>
                <c:pt idx="137">
                  <c:v>6649</c:v>
                </c:pt>
                <c:pt idx="138">
                  <c:v>16871</c:v>
                </c:pt>
                <c:pt idx="139">
                  <c:v>9279</c:v>
                </c:pt>
                <c:pt idx="140">
                  <c:v>4755</c:v>
                </c:pt>
                <c:pt idx="141">
                  <c:v>648</c:v>
                </c:pt>
                <c:pt idx="142">
                  <c:v>7141</c:v>
                </c:pt>
                <c:pt idx="143">
                  <c:v>284</c:v>
                </c:pt>
                <c:pt idx="144">
                  <c:v>2687</c:v>
                </c:pt>
                <c:pt idx="145">
                  <c:v>4641</c:v>
                </c:pt>
                <c:pt idx="146">
                  <c:v>7643</c:v>
                </c:pt>
                <c:pt idx="147">
                  <c:v>5807</c:v>
                </c:pt>
                <c:pt idx="148">
                  <c:v>4260</c:v>
                </c:pt>
                <c:pt idx="149">
                  <c:v>351</c:v>
                </c:pt>
                <c:pt idx="150">
                  <c:v>4810</c:v>
                </c:pt>
                <c:pt idx="151">
                  <c:v>11191</c:v>
                </c:pt>
                <c:pt idx="152">
                  <c:v>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B-40C8-B82B-3C0B699B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Wert pro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/>
              <a:t>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Belgien'!$K$4</c:f>
              <c:strCache>
                <c:ptCount val="1"/>
                <c:pt idx="0">
                  <c:v>Ausfuhr: Wert/Gewicht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Belgien'!$K$5:$K$157</c:f>
              <c:numCache>
                <c:formatCode>0.00</c:formatCode>
                <c:ptCount val="153"/>
                <c:pt idx="0">
                  <c:v>150.5635524171646</c:v>
                </c:pt>
                <c:pt idx="1">
                  <c:v>157.36470588235295</c:v>
                </c:pt>
                <c:pt idx="2">
                  <c:v>165.04631401668837</c:v>
                </c:pt>
                <c:pt idx="3">
                  <c:v>170.13923036936089</c:v>
                </c:pt>
                <c:pt idx="4">
                  <c:v>175.14070399694745</c:v>
                </c:pt>
                <c:pt idx="5">
                  <c:v>519.13205786280912</c:v>
                </c:pt>
                <c:pt idx="6">
                  <c:v>164.00803304651657</c:v>
                </c:pt>
                <c:pt idx="7">
                  <c:v>152.28830753803695</c:v>
                </c:pt>
                <c:pt idx="8">
                  <c:v>134.4915922228061</c:v>
                </c:pt>
                <c:pt idx="9">
                  <c:v>126.2421817950916</c:v>
                </c:pt>
                <c:pt idx="10">
                  <c:v>157.11807737751073</c:v>
                </c:pt>
                <c:pt idx="11">
                  <c:v>145.67496883631119</c:v>
                </c:pt>
                <c:pt idx="12">
                  <c:v>154.47316336210429</c:v>
                </c:pt>
                <c:pt idx="13">
                  <c:v>149.79866479500714</c:v>
                </c:pt>
                <c:pt idx="14">
                  <c:v>144.23994199875349</c:v>
                </c:pt>
                <c:pt idx="15">
                  <c:v>139.72270417172075</c:v>
                </c:pt>
                <c:pt idx="16">
                  <c:v>126.49882267705127</c:v>
                </c:pt>
                <c:pt idx="17">
                  <c:v>148.78257369956737</c:v>
                </c:pt>
                <c:pt idx="18">
                  <c:v>152.35865275981203</c:v>
                </c:pt>
                <c:pt idx="19">
                  <c:v>111.1361472317723</c:v>
                </c:pt>
                <c:pt idx="20">
                  <c:v>100.35208855643691</c:v>
                </c:pt>
                <c:pt idx="21">
                  <c:v>122.83208870156083</c:v>
                </c:pt>
                <c:pt idx="22">
                  <c:v>115.40875947655609</c:v>
                </c:pt>
                <c:pt idx="23">
                  <c:v>141.15041119777553</c:v>
                </c:pt>
                <c:pt idx="24">
                  <c:v>214.13276231263382</c:v>
                </c:pt>
                <c:pt idx="25">
                  <c:v>126.00939614275704</c:v>
                </c:pt>
                <c:pt idx="26">
                  <c:v>125.26096033402922</c:v>
                </c:pt>
                <c:pt idx="27">
                  <c:v>175.53462562050547</c:v>
                </c:pt>
                <c:pt idx="28">
                  <c:v>171.64864313405425</c:v>
                </c:pt>
                <c:pt idx="29">
                  <c:v>126.90127635281165</c:v>
                </c:pt>
                <c:pt idx="30">
                  <c:v>173.29674555178804</c:v>
                </c:pt>
                <c:pt idx="31">
                  <c:v>161.14710634893243</c:v>
                </c:pt>
                <c:pt idx="32">
                  <c:v>140.37395946663969</c:v>
                </c:pt>
                <c:pt idx="33">
                  <c:v>143.92731702891507</c:v>
                </c:pt>
                <c:pt idx="34">
                  <c:v>150.49987458343784</c:v>
                </c:pt>
                <c:pt idx="35">
                  <c:v>159.73667650902755</c:v>
                </c:pt>
                <c:pt idx="36">
                  <c:v>183.3530877337268</c:v>
                </c:pt>
                <c:pt idx="37">
                  <c:v>222.82193775189532</c:v>
                </c:pt>
                <c:pt idx="38">
                  <c:v>236.73919856117067</c:v>
                </c:pt>
                <c:pt idx="39">
                  <c:v>205.96844434925393</c:v>
                </c:pt>
                <c:pt idx="40">
                  <c:v>223.18866456656761</c:v>
                </c:pt>
                <c:pt idx="41">
                  <c:v>227.20831365139347</c:v>
                </c:pt>
                <c:pt idx="42">
                  <c:v>162.70625797512582</c:v>
                </c:pt>
                <c:pt idx="43">
                  <c:v>134.99032152856316</c:v>
                </c:pt>
                <c:pt idx="44">
                  <c:v>160.65948613033277</c:v>
                </c:pt>
                <c:pt idx="45">
                  <c:v>121.18325660157697</c:v>
                </c:pt>
                <c:pt idx="46">
                  <c:v>90.874872291229764</c:v>
                </c:pt>
                <c:pt idx="47">
                  <c:v>98.187962276512465</c:v>
                </c:pt>
                <c:pt idx="48">
                  <c:v>321.23873353362609</c:v>
                </c:pt>
                <c:pt idx="49">
                  <c:v>104.53724481418642</c:v>
                </c:pt>
                <c:pt idx="50">
                  <c:v>97.640430436756233</c:v>
                </c:pt>
                <c:pt idx="51">
                  <c:v>92.096733690351741</c:v>
                </c:pt>
                <c:pt idx="52">
                  <c:v>83.586025049439684</c:v>
                </c:pt>
                <c:pt idx="53">
                  <c:v>98.990610504544875</c:v>
                </c:pt>
                <c:pt idx="54">
                  <c:v>123.67626656627556</c:v>
                </c:pt>
                <c:pt idx="55">
                  <c:v>128.33247131841262</c:v>
                </c:pt>
                <c:pt idx="56">
                  <c:v>136.8398342565977</c:v>
                </c:pt>
                <c:pt idx="57">
                  <c:v>153.16410204355972</c:v>
                </c:pt>
                <c:pt idx="58">
                  <c:v>195.64956988150115</c:v>
                </c:pt>
                <c:pt idx="59">
                  <c:v>171.09020268688852</c:v>
                </c:pt>
                <c:pt idx="60">
                  <c:v>210.71649137684702</c:v>
                </c:pt>
                <c:pt idx="61">
                  <c:v>208.68896370714722</c:v>
                </c:pt>
                <c:pt idx="62">
                  <c:v>204.123605326752</c:v>
                </c:pt>
                <c:pt idx="63">
                  <c:v>221.06173835090368</c:v>
                </c:pt>
                <c:pt idx="64">
                  <c:v>214.16068087161224</c:v>
                </c:pt>
                <c:pt idx="65">
                  <c:v>222.99705339101163</c:v>
                </c:pt>
                <c:pt idx="66">
                  <c:v>248.59386832991549</c:v>
                </c:pt>
                <c:pt idx="67">
                  <c:v>188.52951625809752</c:v>
                </c:pt>
                <c:pt idx="68">
                  <c:v>139.17263033416927</c:v>
                </c:pt>
                <c:pt idx="69">
                  <c:v>175.48038748610449</c:v>
                </c:pt>
                <c:pt idx="70">
                  <c:v>143.65300598251636</c:v>
                </c:pt>
                <c:pt idx="71">
                  <c:v>144.95582581537653</c:v>
                </c:pt>
                <c:pt idx="72">
                  <c:v>185.92687855961785</c:v>
                </c:pt>
                <c:pt idx="73">
                  <c:v>144.2612720370274</c:v>
                </c:pt>
                <c:pt idx="74">
                  <c:v>164.38685936841742</c:v>
                </c:pt>
                <c:pt idx="75">
                  <c:v>204.50715489417613</c:v>
                </c:pt>
                <c:pt idx="76">
                  <c:v>144.4721272293682</c:v>
                </c:pt>
                <c:pt idx="77">
                  <c:v>142.50995346815384</c:v>
                </c:pt>
                <c:pt idx="78">
                  <c:v>134.38333646627819</c:v>
                </c:pt>
                <c:pt idx="79">
                  <c:v>124.46236300480143</c:v>
                </c:pt>
                <c:pt idx="80">
                  <c:v>118.41536719702896</c:v>
                </c:pt>
                <c:pt idx="81">
                  <c:v>117.51358231946354</c:v>
                </c:pt>
                <c:pt idx="82">
                  <c:v>100.65595015133897</c:v>
                </c:pt>
                <c:pt idx="83">
                  <c:v>93.729218713492344</c:v>
                </c:pt>
                <c:pt idx="84">
                  <c:v>107.31532820604544</c:v>
                </c:pt>
                <c:pt idx="85">
                  <c:v>87.790705834467857</c:v>
                </c:pt>
                <c:pt idx="86">
                  <c:v>113.05372440368141</c:v>
                </c:pt>
                <c:pt idx="87">
                  <c:v>206.85728744939271</c:v>
                </c:pt>
                <c:pt idx="88">
                  <c:v>86.447147706409893</c:v>
                </c:pt>
                <c:pt idx="89">
                  <c:v>100.96035459246491</c:v>
                </c:pt>
                <c:pt idx="90">
                  <c:v>176.06050940903086</c:v>
                </c:pt>
                <c:pt idx="91">
                  <c:v>232.95568814104712</c:v>
                </c:pt>
                <c:pt idx="92">
                  <c:v>137.9601406799531</c:v>
                </c:pt>
                <c:pt idx="93">
                  <c:v>171.32729421031902</c:v>
                </c:pt>
                <c:pt idx="94">
                  <c:v>132.34454822589402</c:v>
                </c:pt>
                <c:pt idx="95">
                  <c:v>390.80459770114942</c:v>
                </c:pt>
                <c:pt idx="96">
                  <c:v>134.50002677949763</c:v>
                </c:pt>
                <c:pt idx="97">
                  <c:v>143.12268727664056</c:v>
                </c:pt>
                <c:pt idx="98">
                  <c:v>186.41314478975261</c:v>
                </c:pt>
                <c:pt idx="99">
                  <c:v>160.52047807000739</c:v>
                </c:pt>
                <c:pt idx="100">
                  <c:v>242.81005460081019</c:v>
                </c:pt>
                <c:pt idx="101">
                  <c:v>175.21696708262724</c:v>
                </c:pt>
                <c:pt idx="102">
                  <c:v>205.15944512991538</c:v>
                </c:pt>
                <c:pt idx="103">
                  <c:v>182.03943528201273</c:v>
                </c:pt>
                <c:pt idx="104">
                  <c:v>158.55999346565386</c:v>
                </c:pt>
                <c:pt idx="105">
                  <c:v>218.65035465608122</c:v>
                </c:pt>
                <c:pt idx="106">
                  <c:v>168.03468773802078</c:v>
                </c:pt>
                <c:pt idx="107">
                  <c:v>171.65394629416758</c:v>
                </c:pt>
                <c:pt idx="108">
                  <c:v>205.59838407788385</c:v>
                </c:pt>
                <c:pt idx="109">
                  <c:v>251.05805974442208</c:v>
                </c:pt>
                <c:pt idx="110">
                  <c:v>199.45100476486431</c:v>
                </c:pt>
                <c:pt idx="111">
                  <c:v>198.38392892450864</c:v>
                </c:pt>
                <c:pt idx="112">
                  <c:v>221.85967245822593</c:v>
                </c:pt>
                <c:pt idx="113">
                  <c:v>198.45473756607302</c:v>
                </c:pt>
                <c:pt idx="114">
                  <c:v>227.39690852469687</c:v>
                </c:pt>
                <c:pt idx="115">
                  <c:v>234.06406367975836</c:v>
                </c:pt>
                <c:pt idx="116">
                  <c:v>166.5310371073449</c:v>
                </c:pt>
                <c:pt idx="117">
                  <c:v>128.1065200670794</c:v>
                </c:pt>
                <c:pt idx="118">
                  <c:v>338.13145029875068</c:v>
                </c:pt>
                <c:pt idx="119">
                  <c:v>115.55389927358861</c:v>
                </c:pt>
                <c:pt idx="120">
                  <c:v>121.78993062598889</c:v>
                </c:pt>
                <c:pt idx="121">
                  <c:v>103.09109652926641</c:v>
                </c:pt>
                <c:pt idx="122">
                  <c:v>120.11622708985249</c:v>
                </c:pt>
                <c:pt idx="123">
                  <c:v>139.22869013989981</c:v>
                </c:pt>
                <c:pt idx="124">
                  <c:v>260.21821960512642</c:v>
                </c:pt>
                <c:pt idx="125">
                  <c:v>140.28185365539036</c:v>
                </c:pt>
                <c:pt idx="126">
                  <c:v>128.46011385718796</c:v>
                </c:pt>
                <c:pt idx="127">
                  <c:v>163.92680452125114</c:v>
                </c:pt>
                <c:pt idx="128">
                  <c:v>174.41800998281647</c:v>
                </c:pt>
                <c:pt idx="129">
                  <c:v>216.90028033640368</c:v>
                </c:pt>
                <c:pt idx="130">
                  <c:v>213.04116720932444</c:v>
                </c:pt>
                <c:pt idx="131">
                  <c:v>217.31262178282623</c:v>
                </c:pt>
                <c:pt idx="132">
                  <c:v>276.25205682634595</c:v>
                </c:pt>
                <c:pt idx="133">
                  <c:v>224.72336795858993</c:v>
                </c:pt>
                <c:pt idx="134">
                  <c:v>210.01343141827911</c:v>
                </c:pt>
                <c:pt idx="135">
                  <c:v>241.42073156369975</c:v>
                </c:pt>
                <c:pt idx="136">
                  <c:v>228.28937369740112</c:v>
                </c:pt>
                <c:pt idx="137">
                  <c:v>222.06339611046727</c:v>
                </c:pt>
                <c:pt idx="138">
                  <c:v>250.16347889009327</c:v>
                </c:pt>
                <c:pt idx="139">
                  <c:v>195.86775812791035</c:v>
                </c:pt>
                <c:pt idx="140">
                  <c:v>146.39057189301019</c:v>
                </c:pt>
                <c:pt idx="141">
                  <c:v>299.7086166227279</c:v>
                </c:pt>
                <c:pt idx="142">
                  <c:v>149.01111375426208</c:v>
                </c:pt>
                <c:pt idx="143">
                  <c:v>240.82082591367762</c:v>
                </c:pt>
                <c:pt idx="144">
                  <c:v>155.31432799241634</c:v>
                </c:pt>
                <c:pt idx="145">
                  <c:v>170.25069883124601</c:v>
                </c:pt>
                <c:pt idx="146">
                  <c:v>163.46809880377197</c:v>
                </c:pt>
                <c:pt idx="147">
                  <c:v>167.04494133146929</c:v>
                </c:pt>
                <c:pt idx="148">
                  <c:v>173.03919378358728</c:v>
                </c:pt>
                <c:pt idx="149">
                  <c:v>694.36201780415433</c:v>
                </c:pt>
                <c:pt idx="150">
                  <c:v>182.86887427289662</c:v>
                </c:pt>
                <c:pt idx="151">
                  <c:v>146.71737731052667</c:v>
                </c:pt>
                <c:pt idx="152">
                  <c:v>120.90724560939016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188-AD83-1302D2FE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Einfuhr: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Belgien'!$I$4</c:f>
              <c:strCache>
                <c:ptCount val="1"/>
                <c:pt idx="0">
                  <c:v>Einfuhr: 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Belgien'!$I$5:$I$157</c:f>
              <c:numCache>
                <c:formatCode>General</c:formatCode>
                <c:ptCount val="153"/>
                <c:pt idx="0">
                  <c:v>110.1</c:v>
                </c:pt>
                <c:pt idx="1">
                  <c:v>927.4</c:v>
                </c:pt>
                <c:pt idx="2">
                  <c:v>418.2</c:v>
                </c:pt>
                <c:pt idx="3">
                  <c:v>1504.8</c:v>
                </c:pt>
                <c:pt idx="4">
                  <c:v>1686.2</c:v>
                </c:pt>
                <c:pt idx="5">
                  <c:v>1311.5</c:v>
                </c:pt>
                <c:pt idx="6">
                  <c:v>1206.2</c:v>
                </c:pt>
                <c:pt idx="7">
                  <c:v>382.9</c:v>
                </c:pt>
                <c:pt idx="8">
                  <c:v>3934.6</c:v>
                </c:pt>
                <c:pt idx="9">
                  <c:v>302.10000000000002</c:v>
                </c:pt>
                <c:pt idx="10">
                  <c:v>266.2</c:v>
                </c:pt>
                <c:pt idx="11">
                  <c:v>1909.4</c:v>
                </c:pt>
                <c:pt idx="12">
                  <c:v>3310.6</c:v>
                </c:pt>
                <c:pt idx="13">
                  <c:v>542.1</c:v>
                </c:pt>
                <c:pt idx="14">
                  <c:v>1181.3</c:v>
                </c:pt>
                <c:pt idx="15">
                  <c:v>2746.9</c:v>
                </c:pt>
                <c:pt idx="16">
                  <c:v>2916.5</c:v>
                </c:pt>
                <c:pt idx="17">
                  <c:v>3249.7</c:v>
                </c:pt>
                <c:pt idx="18">
                  <c:v>6285</c:v>
                </c:pt>
                <c:pt idx="19">
                  <c:v>6387.4</c:v>
                </c:pt>
                <c:pt idx="20">
                  <c:v>1684.9</c:v>
                </c:pt>
                <c:pt idx="21">
                  <c:v>1687.1</c:v>
                </c:pt>
                <c:pt idx="22">
                  <c:v>311.8</c:v>
                </c:pt>
                <c:pt idx="23">
                  <c:v>257.7</c:v>
                </c:pt>
                <c:pt idx="24">
                  <c:v>2100.1999999999998</c:v>
                </c:pt>
                <c:pt idx="25">
                  <c:v>1185.4000000000001</c:v>
                </c:pt>
                <c:pt idx="26">
                  <c:v>1401.4</c:v>
                </c:pt>
                <c:pt idx="27">
                  <c:v>1083.8</c:v>
                </c:pt>
                <c:pt idx="28">
                  <c:v>2904.6</c:v>
                </c:pt>
                <c:pt idx="29">
                  <c:v>2336</c:v>
                </c:pt>
                <c:pt idx="30">
                  <c:v>946.7</c:v>
                </c:pt>
                <c:pt idx="31">
                  <c:v>868.5</c:v>
                </c:pt>
                <c:pt idx="32">
                  <c:v>259.10000000000002</c:v>
                </c:pt>
                <c:pt idx="33">
                  <c:v>338.3</c:v>
                </c:pt>
                <c:pt idx="34">
                  <c:v>3435.9</c:v>
                </c:pt>
                <c:pt idx="35">
                  <c:v>3149.7</c:v>
                </c:pt>
                <c:pt idx="36">
                  <c:v>3191</c:v>
                </c:pt>
                <c:pt idx="37">
                  <c:v>636.5</c:v>
                </c:pt>
                <c:pt idx="38">
                  <c:v>2531.9</c:v>
                </c:pt>
                <c:pt idx="39">
                  <c:v>1208.9000000000001</c:v>
                </c:pt>
                <c:pt idx="40">
                  <c:v>1065.5</c:v>
                </c:pt>
                <c:pt idx="41">
                  <c:v>1431.9</c:v>
                </c:pt>
                <c:pt idx="42">
                  <c:v>1156.8</c:v>
                </c:pt>
                <c:pt idx="43">
                  <c:v>680.7</c:v>
                </c:pt>
                <c:pt idx="44">
                  <c:v>514</c:v>
                </c:pt>
                <c:pt idx="45">
                  <c:v>744.9</c:v>
                </c:pt>
                <c:pt idx="46">
                  <c:v>611.6</c:v>
                </c:pt>
                <c:pt idx="47">
                  <c:v>8172.5</c:v>
                </c:pt>
                <c:pt idx="48">
                  <c:v>486.5</c:v>
                </c:pt>
                <c:pt idx="49">
                  <c:v>1979.5</c:v>
                </c:pt>
                <c:pt idx="50">
                  <c:v>1504.6</c:v>
                </c:pt>
                <c:pt idx="51">
                  <c:v>5990.8</c:v>
                </c:pt>
                <c:pt idx="52">
                  <c:v>3868.5</c:v>
                </c:pt>
                <c:pt idx="53">
                  <c:v>6575.1</c:v>
                </c:pt>
                <c:pt idx="54">
                  <c:v>1225.9000000000001</c:v>
                </c:pt>
                <c:pt idx="55">
                  <c:v>1959.2</c:v>
                </c:pt>
                <c:pt idx="56">
                  <c:v>7583.4</c:v>
                </c:pt>
                <c:pt idx="57">
                  <c:v>18987.099999999999</c:v>
                </c:pt>
                <c:pt idx="58">
                  <c:v>4085.7</c:v>
                </c:pt>
                <c:pt idx="59">
                  <c:v>324.7</c:v>
                </c:pt>
                <c:pt idx="60">
                  <c:v>3548.1</c:v>
                </c:pt>
                <c:pt idx="61">
                  <c:v>1087.4000000000001</c:v>
                </c:pt>
                <c:pt idx="62">
                  <c:v>2647.4</c:v>
                </c:pt>
                <c:pt idx="63">
                  <c:v>2646.6</c:v>
                </c:pt>
                <c:pt idx="64">
                  <c:v>2938.1</c:v>
                </c:pt>
                <c:pt idx="65">
                  <c:v>4131.8</c:v>
                </c:pt>
                <c:pt idx="66">
                  <c:v>4974</c:v>
                </c:pt>
                <c:pt idx="67">
                  <c:v>8925.1</c:v>
                </c:pt>
                <c:pt idx="68">
                  <c:v>16886.599999999999</c:v>
                </c:pt>
                <c:pt idx="69">
                  <c:v>460.2</c:v>
                </c:pt>
                <c:pt idx="70">
                  <c:v>13469</c:v>
                </c:pt>
                <c:pt idx="71">
                  <c:v>12632.9</c:v>
                </c:pt>
                <c:pt idx="72">
                  <c:v>2442.1999999999998</c:v>
                </c:pt>
                <c:pt idx="73">
                  <c:v>6607.7</c:v>
                </c:pt>
                <c:pt idx="74">
                  <c:v>278.8</c:v>
                </c:pt>
                <c:pt idx="75">
                  <c:v>1239.8</c:v>
                </c:pt>
                <c:pt idx="76">
                  <c:v>2244.8000000000002</c:v>
                </c:pt>
                <c:pt idx="77">
                  <c:v>1726.7</c:v>
                </c:pt>
                <c:pt idx="78">
                  <c:v>919.6</c:v>
                </c:pt>
                <c:pt idx="79">
                  <c:v>284.5</c:v>
                </c:pt>
                <c:pt idx="80">
                  <c:v>708.8</c:v>
                </c:pt>
                <c:pt idx="81">
                  <c:v>1514.3</c:v>
                </c:pt>
                <c:pt idx="82">
                  <c:v>404.8</c:v>
                </c:pt>
                <c:pt idx="83">
                  <c:v>1057.3</c:v>
                </c:pt>
                <c:pt idx="84">
                  <c:v>1796.6</c:v>
                </c:pt>
                <c:pt idx="85">
                  <c:v>1121.5</c:v>
                </c:pt>
                <c:pt idx="86">
                  <c:v>221</c:v>
                </c:pt>
                <c:pt idx="87">
                  <c:v>1893.2</c:v>
                </c:pt>
                <c:pt idx="88">
                  <c:v>1088.5</c:v>
                </c:pt>
                <c:pt idx="89">
                  <c:v>4366.7</c:v>
                </c:pt>
                <c:pt idx="90">
                  <c:v>1238.5999999999999</c:v>
                </c:pt>
                <c:pt idx="91">
                  <c:v>1273.4000000000001</c:v>
                </c:pt>
                <c:pt idx="92">
                  <c:v>597.9</c:v>
                </c:pt>
                <c:pt idx="93">
                  <c:v>1038.4000000000001</c:v>
                </c:pt>
                <c:pt idx="94">
                  <c:v>996</c:v>
                </c:pt>
                <c:pt idx="95">
                  <c:v>1678.7</c:v>
                </c:pt>
                <c:pt idx="96">
                  <c:v>1181.8</c:v>
                </c:pt>
                <c:pt idx="97">
                  <c:v>982</c:v>
                </c:pt>
                <c:pt idx="98">
                  <c:v>1300.3</c:v>
                </c:pt>
                <c:pt idx="99">
                  <c:v>2800.4</c:v>
                </c:pt>
                <c:pt idx="100">
                  <c:v>2590.6999999999998</c:v>
                </c:pt>
                <c:pt idx="101">
                  <c:v>1933.1</c:v>
                </c:pt>
                <c:pt idx="102">
                  <c:v>3060.2</c:v>
                </c:pt>
                <c:pt idx="103">
                  <c:v>1792.8</c:v>
                </c:pt>
                <c:pt idx="104">
                  <c:v>1047.4000000000001</c:v>
                </c:pt>
                <c:pt idx="105">
                  <c:v>763.7</c:v>
                </c:pt>
                <c:pt idx="106">
                  <c:v>372.8</c:v>
                </c:pt>
                <c:pt idx="107">
                  <c:v>2429.4</c:v>
                </c:pt>
                <c:pt idx="108">
                  <c:v>2486.6999999999998</c:v>
                </c:pt>
                <c:pt idx="109">
                  <c:v>839.2</c:v>
                </c:pt>
                <c:pt idx="110">
                  <c:v>1461.1</c:v>
                </c:pt>
                <c:pt idx="111">
                  <c:v>1128</c:v>
                </c:pt>
                <c:pt idx="112">
                  <c:v>1391.5</c:v>
                </c:pt>
                <c:pt idx="113">
                  <c:v>212</c:v>
                </c:pt>
                <c:pt idx="114">
                  <c:v>1359.7</c:v>
                </c:pt>
                <c:pt idx="115">
                  <c:v>2255</c:v>
                </c:pt>
                <c:pt idx="116">
                  <c:v>1054.4000000000001</c:v>
                </c:pt>
                <c:pt idx="117">
                  <c:v>2570.4</c:v>
                </c:pt>
                <c:pt idx="118">
                  <c:v>1196.5999999999999</c:v>
                </c:pt>
                <c:pt idx="119">
                  <c:v>2609.9</c:v>
                </c:pt>
                <c:pt idx="120">
                  <c:v>1221.2</c:v>
                </c:pt>
                <c:pt idx="121">
                  <c:v>1204</c:v>
                </c:pt>
                <c:pt idx="122">
                  <c:v>1553</c:v>
                </c:pt>
                <c:pt idx="123">
                  <c:v>2246.1</c:v>
                </c:pt>
                <c:pt idx="124">
                  <c:v>1378.1</c:v>
                </c:pt>
                <c:pt idx="125">
                  <c:v>1263.5</c:v>
                </c:pt>
                <c:pt idx="126">
                  <c:v>1248.5999999999999</c:v>
                </c:pt>
                <c:pt idx="127">
                  <c:v>1011.9</c:v>
                </c:pt>
                <c:pt idx="128">
                  <c:v>1331.7</c:v>
                </c:pt>
                <c:pt idx="129">
                  <c:v>787.1</c:v>
                </c:pt>
                <c:pt idx="130">
                  <c:v>4220.3999999999996</c:v>
                </c:pt>
                <c:pt idx="131">
                  <c:v>2504.3000000000002</c:v>
                </c:pt>
                <c:pt idx="132">
                  <c:v>1663.4</c:v>
                </c:pt>
                <c:pt idx="133">
                  <c:v>1030.9000000000001</c:v>
                </c:pt>
                <c:pt idx="134">
                  <c:v>2294.1999999999998</c:v>
                </c:pt>
                <c:pt idx="135">
                  <c:v>79.900000000000006</c:v>
                </c:pt>
                <c:pt idx="136">
                  <c:v>5306.7</c:v>
                </c:pt>
                <c:pt idx="137">
                  <c:v>2022.3</c:v>
                </c:pt>
                <c:pt idx="138">
                  <c:v>2794</c:v>
                </c:pt>
                <c:pt idx="139">
                  <c:v>1247.4000000000001</c:v>
                </c:pt>
                <c:pt idx="140">
                  <c:v>1726.3</c:v>
                </c:pt>
                <c:pt idx="141">
                  <c:v>1104.4000000000001</c:v>
                </c:pt>
                <c:pt idx="142">
                  <c:v>1837.1</c:v>
                </c:pt>
                <c:pt idx="143">
                  <c:v>1509.5</c:v>
                </c:pt>
                <c:pt idx="144">
                  <c:v>1466.1</c:v>
                </c:pt>
                <c:pt idx="145">
                  <c:v>966.8</c:v>
                </c:pt>
                <c:pt idx="146">
                  <c:v>1182.5999999999999</c:v>
                </c:pt>
                <c:pt idx="147">
                  <c:v>791</c:v>
                </c:pt>
                <c:pt idx="148">
                  <c:v>1807.6</c:v>
                </c:pt>
                <c:pt idx="149">
                  <c:v>1869.5</c:v>
                </c:pt>
                <c:pt idx="150">
                  <c:v>1604.4</c:v>
                </c:pt>
                <c:pt idx="151">
                  <c:v>2106.1</c:v>
                </c:pt>
                <c:pt idx="152">
                  <c:v>1162.7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7-4262-9FF5-22B35154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Einfuhr</a:t>
            </a:r>
            <a:r>
              <a:rPr lang="de-DE"/>
              <a:t>: 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Belgien'!$J$4</c:f>
              <c:strCache>
                <c:ptCount val="1"/>
                <c:pt idx="0">
                  <c:v>Einfuhr: 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Belgien'!$J$5:$J$157</c:f>
              <c:numCache>
                <c:formatCode>General</c:formatCode>
                <c:ptCount val="153"/>
                <c:pt idx="0">
                  <c:v>51</c:v>
                </c:pt>
                <c:pt idx="1">
                  <c:v>225</c:v>
                </c:pt>
                <c:pt idx="2">
                  <c:v>75</c:v>
                </c:pt>
                <c:pt idx="3">
                  <c:v>375</c:v>
                </c:pt>
                <c:pt idx="4">
                  <c:v>364</c:v>
                </c:pt>
                <c:pt idx="5">
                  <c:v>702</c:v>
                </c:pt>
                <c:pt idx="6">
                  <c:v>504</c:v>
                </c:pt>
                <c:pt idx="7">
                  <c:v>218</c:v>
                </c:pt>
                <c:pt idx="8">
                  <c:v>940</c:v>
                </c:pt>
                <c:pt idx="9">
                  <c:v>201</c:v>
                </c:pt>
                <c:pt idx="10">
                  <c:v>152</c:v>
                </c:pt>
                <c:pt idx="11">
                  <c:v>819</c:v>
                </c:pt>
                <c:pt idx="12">
                  <c:v>597</c:v>
                </c:pt>
                <c:pt idx="13">
                  <c:v>282</c:v>
                </c:pt>
                <c:pt idx="14">
                  <c:v>309</c:v>
                </c:pt>
                <c:pt idx="15">
                  <c:v>876</c:v>
                </c:pt>
                <c:pt idx="16">
                  <c:v>1249</c:v>
                </c:pt>
                <c:pt idx="17">
                  <c:v>923</c:v>
                </c:pt>
                <c:pt idx="18">
                  <c:v>1417</c:v>
                </c:pt>
                <c:pt idx="19">
                  <c:v>888</c:v>
                </c:pt>
                <c:pt idx="20">
                  <c:v>202</c:v>
                </c:pt>
                <c:pt idx="21">
                  <c:v>239</c:v>
                </c:pt>
                <c:pt idx="22">
                  <c:v>108</c:v>
                </c:pt>
                <c:pt idx="23">
                  <c:v>95</c:v>
                </c:pt>
                <c:pt idx="24">
                  <c:v>455</c:v>
                </c:pt>
                <c:pt idx="25">
                  <c:v>260</c:v>
                </c:pt>
                <c:pt idx="26">
                  <c:v>237</c:v>
                </c:pt>
                <c:pt idx="27">
                  <c:v>511</c:v>
                </c:pt>
                <c:pt idx="28">
                  <c:v>1111</c:v>
                </c:pt>
                <c:pt idx="29">
                  <c:v>801</c:v>
                </c:pt>
                <c:pt idx="30">
                  <c:v>500</c:v>
                </c:pt>
                <c:pt idx="31">
                  <c:v>442</c:v>
                </c:pt>
                <c:pt idx="32">
                  <c:v>240</c:v>
                </c:pt>
                <c:pt idx="33">
                  <c:v>228</c:v>
                </c:pt>
                <c:pt idx="34">
                  <c:v>656</c:v>
                </c:pt>
                <c:pt idx="35">
                  <c:v>850</c:v>
                </c:pt>
                <c:pt idx="36">
                  <c:v>684</c:v>
                </c:pt>
                <c:pt idx="37">
                  <c:v>264</c:v>
                </c:pt>
                <c:pt idx="38">
                  <c:v>595</c:v>
                </c:pt>
                <c:pt idx="39">
                  <c:v>407</c:v>
                </c:pt>
                <c:pt idx="40">
                  <c:v>390</c:v>
                </c:pt>
                <c:pt idx="41">
                  <c:v>557</c:v>
                </c:pt>
                <c:pt idx="42">
                  <c:v>323</c:v>
                </c:pt>
                <c:pt idx="43">
                  <c:v>279</c:v>
                </c:pt>
                <c:pt idx="44">
                  <c:v>263</c:v>
                </c:pt>
                <c:pt idx="45">
                  <c:v>219</c:v>
                </c:pt>
                <c:pt idx="46">
                  <c:v>424</c:v>
                </c:pt>
                <c:pt idx="47">
                  <c:v>788</c:v>
                </c:pt>
                <c:pt idx="48">
                  <c:v>215</c:v>
                </c:pt>
                <c:pt idx="49">
                  <c:v>254</c:v>
                </c:pt>
                <c:pt idx="50">
                  <c:v>492</c:v>
                </c:pt>
                <c:pt idx="51">
                  <c:v>740</c:v>
                </c:pt>
                <c:pt idx="52">
                  <c:v>833</c:v>
                </c:pt>
                <c:pt idx="53">
                  <c:v>702</c:v>
                </c:pt>
                <c:pt idx="54">
                  <c:v>420</c:v>
                </c:pt>
                <c:pt idx="55">
                  <c:v>411</c:v>
                </c:pt>
                <c:pt idx="56">
                  <c:v>810</c:v>
                </c:pt>
                <c:pt idx="57">
                  <c:v>2492</c:v>
                </c:pt>
                <c:pt idx="58">
                  <c:v>774</c:v>
                </c:pt>
                <c:pt idx="59">
                  <c:v>238</c:v>
                </c:pt>
                <c:pt idx="60">
                  <c:v>924</c:v>
                </c:pt>
                <c:pt idx="61">
                  <c:v>385</c:v>
                </c:pt>
                <c:pt idx="62">
                  <c:v>981</c:v>
                </c:pt>
                <c:pt idx="63">
                  <c:v>707</c:v>
                </c:pt>
                <c:pt idx="64">
                  <c:v>931</c:v>
                </c:pt>
                <c:pt idx="65">
                  <c:v>1252</c:v>
                </c:pt>
                <c:pt idx="66">
                  <c:v>1239</c:v>
                </c:pt>
                <c:pt idx="67">
                  <c:v>2303</c:v>
                </c:pt>
                <c:pt idx="68">
                  <c:v>2560</c:v>
                </c:pt>
                <c:pt idx="69">
                  <c:v>282</c:v>
                </c:pt>
                <c:pt idx="70">
                  <c:v>2094</c:v>
                </c:pt>
                <c:pt idx="71">
                  <c:v>1919</c:v>
                </c:pt>
                <c:pt idx="72">
                  <c:v>790</c:v>
                </c:pt>
                <c:pt idx="73">
                  <c:v>1730</c:v>
                </c:pt>
                <c:pt idx="74">
                  <c:v>91</c:v>
                </c:pt>
                <c:pt idx="75">
                  <c:v>953</c:v>
                </c:pt>
                <c:pt idx="76">
                  <c:v>1027</c:v>
                </c:pt>
                <c:pt idx="77">
                  <c:v>822</c:v>
                </c:pt>
                <c:pt idx="78">
                  <c:v>537</c:v>
                </c:pt>
                <c:pt idx="79">
                  <c:v>50</c:v>
                </c:pt>
                <c:pt idx="80">
                  <c:v>530</c:v>
                </c:pt>
                <c:pt idx="81">
                  <c:v>1058</c:v>
                </c:pt>
                <c:pt idx="82">
                  <c:v>65</c:v>
                </c:pt>
                <c:pt idx="83">
                  <c:v>679</c:v>
                </c:pt>
                <c:pt idx="84">
                  <c:v>1432</c:v>
                </c:pt>
                <c:pt idx="85">
                  <c:v>789</c:v>
                </c:pt>
                <c:pt idx="86">
                  <c:v>101</c:v>
                </c:pt>
                <c:pt idx="87">
                  <c:v>1556</c:v>
                </c:pt>
                <c:pt idx="88">
                  <c:v>254</c:v>
                </c:pt>
                <c:pt idx="89">
                  <c:v>2338</c:v>
                </c:pt>
                <c:pt idx="90">
                  <c:v>1064</c:v>
                </c:pt>
                <c:pt idx="91">
                  <c:v>1402</c:v>
                </c:pt>
                <c:pt idx="92">
                  <c:v>581</c:v>
                </c:pt>
                <c:pt idx="93">
                  <c:v>852</c:v>
                </c:pt>
                <c:pt idx="94">
                  <c:v>758</c:v>
                </c:pt>
                <c:pt idx="95">
                  <c:v>1482</c:v>
                </c:pt>
                <c:pt idx="96">
                  <c:v>934</c:v>
                </c:pt>
                <c:pt idx="97">
                  <c:v>935</c:v>
                </c:pt>
                <c:pt idx="98">
                  <c:v>1116</c:v>
                </c:pt>
                <c:pt idx="99">
                  <c:v>1414</c:v>
                </c:pt>
                <c:pt idx="100">
                  <c:v>1466</c:v>
                </c:pt>
                <c:pt idx="101">
                  <c:v>1243</c:v>
                </c:pt>
                <c:pt idx="102">
                  <c:v>1489</c:v>
                </c:pt>
                <c:pt idx="103">
                  <c:v>1148</c:v>
                </c:pt>
                <c:pt idx="104">
                  <c:v>1104</c:v>
                </c:pt>
                <c:pt idx="105">
                  <c:v>848</c:v>
                </c:pt>
                <c:pt idx="106">
                  <c:v>270</c:v>
                </c:pt>
                <c:pt idx="107">
                  <c:v>2124</c:v>
                </c:pt>
                <c:pt idx="108">
                  <c:v>1410</c:v>
                </c:pt>
                <c:pt idx="109">
                  <c:v>859</c:v>
                </c:pt>
                <c:pt idx="110">
                  <c:v>1276</c:v>
                </c:pt>
                <c:pt idx="111">
                  <c:v>1037</c:v>
                </c:pt>
                <c:pt idx="112">
                  <c:v>1243</c:v>
                </c:pt>
                <c:pt idx="113">
                  <c:v>99</c:v>
                </c:pt>
                <c:pt idx="114">
                  <c:v>995</c:v>
                </c:pt>
                <c:pt idx="115">
                  <c:v>1840</c:v>
                </c:pt>
                <c:pt idx="116">
                  <c:v>713</c:v>
                </c:pt>
                <c:pt idx="117">
                  <c:v>1152</c:v>
                </c:pt>
                <c:pt idx="118">
                  <c:v>877</c:v>
                </c:pt>
                <c:pt idx="119">
                  <c:v>1201</c:v>
                </c:pt>
                <c:pt idx="120">
                  <c:v>858</c:v>
                </c:pt>
                <c:pt idx="121">
                  <c:v>817</c:v>
                </c:pt>
                <c:pt idx="122">
                  <c:v>1037</c:v>
                </c:pt>
                <c:pt idx="123">
                  <c:v>971</c:v>
                </c:pt>
                <c:pt idx="124">
                  <c:v>1014</c:v>
                </c:pt>
                <c:pt idx="125">
                  <c:v>1011</c:v>
                </c:pt>
                <c:pt idx="126">
                  <c:v>946</c:v>
                </c:pt>
                <c:pt idx="127">
                  <c:v>913</c:v>
                </c:pt>
                <c:pt idx="128">
                  <c:v>894</c:v>
                </c:pt>
                <c:pt idx="129">
                  <c:v>854</c:v>
                </c:pt>
                <c:pt idx="130">
                  <c:v>1250</c:v>
                </c:pt>
                <c:pt idx="131">
                  <c:v>1413</c:v>
                </c:pt>
                <c:pt idx="132">
                  <c:v>1045</c:v>
                </c:pt>
                <c:pt idx="133">
                  <c:v>909</c:v>
                </c:pt>
                <c:pt idx="134">
                  <c:v>1239</c:v>
                </c:pt>
                <c:pt idx="135">
                  <c:v>61</c:v>
                </c:pt>
                <c:pt idx="136">
                  <c:v>2911</c:v>
                </c:pt>
                <c:pt idx="137">
                  <c:v>1560</c:v>
                </c:pt>
                <c:pt idx="138">
                  <c:v>1303</c:v>
                </c:pt>
                <c:pt idx="139">
                  <c:v>1008</c:v>
                </c:pt>
                <c:pt idx="140">
                  <c:v>967</c:v>
                </c:pt>
                <c:pt idx="141">
                  <c:v>997</c:v>
                </c:pt>
                <c:pt idx="142">
                  <c:v>613</c:v>
                </c:pt>
                <c:pt idx="143">
                  <c:v>1329</c:v>
                </c:pt>
                <c:pt idx="144">
                  <c:v>747</c:v>
                </c:pt>
                <c:pt idx="145">
                  <c:v>804</c:v>
                </c:pt>
                <c:pt idx="146">
                  <c:v>1024</c:v>
                </c:pt>
                <c:pt idx="147">
                  <c:v>674</c:v>
                </c:pt>
                <c:pt idx="148">
                  <c:v>1644</c:v>
                </c:pt>
                <c:pt idx="149">
                  <c:v>1345</c:v>
                </c:pt>
                <c:pt idx="150">
                  <c:v>1158</c:v>
                </c:pt>
                <c:pt idx="151">
                  <c:v>1113</c:v>
                </c:pt>
                <c:pt idx="152">
                  <c:v>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0-4F63-8157-FB887BF7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Einfuhr</a:t>
            </a:r>
            <a:r>
              <a:rPr lang="de-DE"/>
              <a:t>: Wert pro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/>
              <a:t>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Belgien'!$L$4</c:f>
              <c:strCache>
                <c:ptCount val="1"/>
                <c:pt idx="0">
                  <c:v>Einfuhr: Wert/Gewicht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Belgien'!$L$5:$L$157</c:f>
              <c:numCache>
                <c:formatCode>0.00</c:formatCode>
                <c:ptCount val="153"/>
                <c:pt idx="0">
                  <c:v>463.21525885558583</c:v>
                </c:pt>
                <c:pt idx="1">
                  <c:v>242.61375889583783</c:v>
                </c:pt>
                <c:pt idx="2">
                  <c:v>179.34002869440459</c:v>
                </c:pt>
                <c:pt idx="3">
                  <c:v>249.20255183413079</c:v>
                </c:pt>
                <c:pt idx="4">
                  <c:v>215.87000355829676</c:v>
                </c:pt>
                <c:pt idx="5">
                  <c:v>535.26496378192905</c:v>
                </c:pt>
                <c:pt idx="6">
                  <c:v>417.84115403747302</c:v>
                </c:pt>
                <c:pt idx="7">
                  <c:v>569.33925306868639</c:v>
                </c:pt>
                <c:pt idx="8">
                  <c:v>238.90611497992174</c:v>
                </c:pt>
                <c:pt idx="9">
                  <c:v>665.34260178748752</c:v>
                </c:pt>
                <c:pt idx="10">
                  <c:v>570.99924868519918</c:v>
                </c:pt>
                <c:pt idx="11">
                  <c:v>428.9305541007646</c:v>
                </c:pt>
                <c:pt idx="12">
                  <c:v>180.32984957409533</c:v>
                </c:pt>
                <c:pt idx="13">
                  <c:v>520.19922523519642</c:v>
                </c:pt>
                <c:pt idx="14">
                  <c:v>261.576229577584</c:v>
                </c:pt>
                <c:pt idx="15">
                  <c:v>318.90494739524553</c:v>
                </c:pt>
                <c:pt idx="16">
                  <c:v>428.25304303103036</c:v>
                </c:pt>
                <c:pt idx="17">
                  <c:v>284.02621780472043</c:v>
                </c:pt>
                <c:pt idx="18">
                  <c:v>225.4574383452665</c:v>
                </c:pt>
                <c:pt idx="19">
                  <c:v>139.02370291511414</c:v>
                </c:pt>
                <c:pt idx="20">
                  <c:v>119.88842067778502</c:v>
                </c:pt>
                <c:pt idx="21">
                  <c:v>141.66320905696165</c:v>
                </c:pt>
                <c:pt idx="22">
                  <c:v>346.37588197562536</c:v>
                </c:pt>
                <c:pt idx="23">
                  <c:v>368.64571206829646</c:v>
                </c:pt>
                <c:pt idx="24">
                  <c:v>216.64603371107515</c:v>
                </c:pt>
                <c:pt idx="25">
                  <c:v>219.3352454867555</c:v>
                </c:pt>
                <c:pt idx="26">
                  <c:v>169.11659768802625</c:v>
                </c:pt>
                <c:pt idx="27">
                  <c:v>471.48920465030449</c:v>
                </c:pt>
                <c:pt idx="28">
                  <c:v>382.49672932589687</c:v>
                </c:pt>
                <c:pt idx="29">
                  <c:v>342.89383561643837</c:v>
                </c:pt>
                <c:pt idx="30">
                  <c:v>528.15041723882962</c:v>
                </c:pt>
                <c:pt idx="31">
                  <c:v>508.92343120322397</c:v>
                </c:pt>
                <c:pt idx="32">
                  <c:v>926.28328830567341</c:v>
                </c:pt>
                <c:pt idx="33">
                  <c:v>673.95802542122374</c:v>
                </c:pt>
                <c:pt idx="34">
                  <c:v>190.92523065281293</c:v>
                </c:pt>
                <c:pt idx="35">
                  <c:v>269.86697145759916</c:v>
                </c:pt>
                <c:pt idx="36">
                  <c:v>214.35286743967407</c:v>
                </c:pt>
                <c:pt idx="37">
                  <c:v>414.76826394344067</c:v>
                </c:pt>
                <c:pt idx="38">
                  <c:v>235.0013823610727</c:v>
                </c:pt>
                <c:pt idx="39">
                  <c:v>336.66969972702452</c:v>
                </c:pt>
                <c:pt idx="40">
                  <c:v>366.02534021586109</c:v>
                </c:pt>
                <c:pt idx="41">
                  <c:v>388.99364480759829</c:v>
                </c:pt>
                <c:pt idx="42">
                  <c:v>279.21853388658371</c:v>
                </c:pt>
                <c:pt idx="43">
                  <c:v>409.87219039224323</c:v>
                </c:pt>
                <c:pt idx="44">
                  <c:v>511.67315175097275</c:v>
                </c:pt>
                <c:pt idx="45">
                  <c:v>293.99919452275475</c:v>
                </c:pt>
                <c:pt idx="46">
                  <c:v>693.26357096141271</c:v>
                </c:pt>
                <c:pt idx="47">
                  <c:v>96.420923829917399</c:v>
                </c:pt>
                <c:pt idx="48">
                  <c:v>441.9321685508736</c:v>
                </c:pt>
                <c:pt idx="49">
                  <c:v>128.31523111896945</c:v>
                </c:pt>
                <c:pt idx="50">
                  <c:v>326.99720856041472</c:v>
                </c:pt>
                <c:pt idx="51">
                  <c:v>123.52273486011885</c:v>
                </c:pt>
                <c:pt idx="52">
                  <c:v>215.32893886519324</c:v>
                </c:pt>
                <c:pt idx="53">
                  <c:v>106.76643701236482</c:v>
                </c:pt>
                <c:pt idx="54">
                  <c:v>342.60543274329063</c:v>
                </c:pt>
                <c:pt idx="55">
                  <c:v>209.77950183748467</c:v>
                </c:pt>
                <c:pt idx="56">
                  <c:v>106.81224780441491</c:v>
                </c:pt>
                <c:pt idx="57">
                  <c:v>131.24700454519123</c:v>
                </c:pt>
                <c:pt idx="58">
                  <c:v>189.44122182245394</c:v>
                </c:pt>
                <c:pt idx="59">
                  <c:v>732.98429319371735</c:v>
                </c:pt>
                <c:pt idx="60">
                  <c:v>260.42107043206227</c:v>
                </c:pt>
                <c:pt idx="61">
                  <c:v>354.05554533750228</c:v>
                </c:pt>
                <c:pt idx="62">
                  <c:v>370.55223993351967</c:v>
                </c:pt>
                <c:pt idx="63">
                  <c:v>267.13519232222473</c:v>
                </c:pt>
                <c:pt idx="64">
                  <c:v>316.8714475341207</c:v>
                </c:pt>
                <c:pt idx="65">
                  <c:v>303.01563483227648</c:v>
                </c:pt>
                <c:pt idx="66">
                  <c:v>249.09529553679133</c:v>
                </c:pt>
                <c:pt idx="67">
                  <c:v>258.0363245229745</c:v>
                </c:pt>
                <c:pt idx="68">
                  <c:v>151.59949308919499</c:v>
                </c:pt>
                <c:pt idx="69">
                  <c:v>612.77705345501954</c:v>
                </c:pt>
                <c:pt idx="70">
                  <c:v>155.46811196079886</c:v>
                </c:pt>
                <c:pt idx="71">
                  <c:v>151.90494660766728</c:v>
                </c:pt>
                <c:pt idx="72">
                  <c:v>323.47883056260753</c:v>
                </c:pt>
                <c:pt idx="73">
                  <c:v>261.81576040074458</c:v>
                </c:pt>
                <c:pt idx="74">
                  <c:v>326.39885222381633</c:v>
                </c:pt>
                <c:pt idx="75">
                  <c:v>768.67236651072756</c:v>
                </c:pt>
                <c:pt idx="76">
                  <c:v>457.50178189593726</c:v>
                </c:pt>
                <c:pt idx="77">
                  <c:v>476.05258585741586</c:v>
                </c:pt>
                <c:pt idx="78">
                  <c:v>583.94954327968685</c:v>
                </c:pt>
                <c:pt idx="79">
                  <c:v>175.7469244288225</c:v>
                </c:pt>
                <c:pt idx="80">
                  <c:v>747.74266365688493</c:v>
                </c:pt>
                <c:pt idx="81">
                  <c:v>698.6726540315658</c:v>
                </c:pt>
                <c:pt idx="82">
                  <c:v>160.57312252964425</c:v>
                </c:pt>
                <c:pt idx="83">
                  <c:v>642.20183486238534</c:v>
                </c:pt>
                <c:pt idx="84">
                  <c:v>797.06111544027613</c:v>
                </c:pt>
                <c:pt idx="85">
                  <c:v>703.52206865804726</c:v>
                </c:pt>
                <c:pt idx="86">
                  <c:v>457.01357466063348</c:v>
                </c:pt>
                <c:pt idx="87">
                  <c:v>821.88886541305726</c:v>
                </c:pt>
                <c:pt idx="88">
                  <c:v>233.34864492420763</c:v>
                </c:pt>
                <c:pt idx="89">
                  <c:v>535.41576018503679</c:v>
                </c:pt>
                <c:pt idx="90">
                  <c:v>859.03439367027295</c:v>
                </c:pt>
                <c:pt idx="91">
                  <c:v>1100.9894769907335</c:v>
                </c:pt>
                <c:pt idx="92">
                  <c:v>971.73440374644588</c:v>
                </c:pt>
                <c:pt idx="93">
                  <c:v>820.4930662557781</c:v>
                </c:pt>
                <c:pt idx="94">
                  <c:v>761.04417670682733</c:v>
                </c:pt>
                <c:pt idx="95">
                  <c:v>882.82599630666584</c:v>
                </c:pt>
                <c:pt idx="96">
                  <c:v>790.31985107463197</c:v>
                </c:pt>
                <c:pt idx="97">
                  <c:v>952.13849287169046</c:v>
                </c:pt>
                <c:pt idx="98">
                  <c:v>858.26347765900175</c:v>
                </c:pt>
                <c:pt idx="99">
                  <c:v>504.92786744750748</c:v>
                </c:pt>
                <c:pt idx="100">
                  <c:v>565.8702281236732</c:v>
                </c:pt>
                <c:pt idx="101">
                  <c:v>643.00863897366924</c:v>
                </c:pt>
                <c:pt idx="102">
                  <c:v>486.56950526109409</c:v>
                </c:pt>
                <c:pt idx="103">
                  <c:v>640.339134315038</c:v>
                </c:pt>
                <c:pt idx="104">
                  <c:v>1054.0385717013557</c:v>
                </c:pt>
                <c:pt idx="105">
                  <c:v>1110.3836585046483</c:v>
                </c:pt>
                <c:pt idx="106">
                  <c:v>724.24892703862656</c:v>
                </c:pt>
                <c:pt idx="107">
                  <c:v>874.289948135342</c:v>
                </c:pt>
                <c:pt idx="108">
                  <c:v>567.0165279285801</c:v>
                </c:pt>
                <c:pt idx="109">
                  <c:v>1023.5938989513822</c:v>
                </c:pt>
                <c:pt idx="110">
                  <c:v>873.31462596673748</c:v>
                </c:pt>
                <c:pt idx="111">
                  <c:v>919.32624113475174</c:v>
                </c:pt>
                <c:pt idx="112">
                  <c:v>893.28063241106724</c:v>
                </c:pt>
                <c:pt idx="113">
                  <c:v>466.98113207547169</c:v>
                </c:pt>
                <c:pt idx="114">
                  <c:v>731.77906891226007</c:v>
                </c:pt>
                <c:pt idx="115">
                  <c:v>815.96452328159648</c:v>
                </c:pt>
                <c:pt idx="116">
                  <c:v>676.21396054628224</c:v>
                </c:pt>
                <c:pt idx="117">
                  <c:v>448.17927170868347</c:v>
                </c:pt>
                <c:pt idx="118">
                  <c:v>732.90991141567781</c:v>
                </c:pt>
                <c:pt idx="119">
                  <c:v>460.17088777347789</c:v>
                </c:pt>
                <c:pt idx="120">
                  <c:v>702.58761873566982</c:v>
                </c:pt>
                <c:pt idx="121">
                  <c:v>678.57142857142856</c:v>
                </c:pt>
                <c:pt idx="122">
                  <c:v>667.73985833869926</c:v>
                </c:pt>
                <c:pt idx="123">
                  <c:v>432.30488402119232</c:v>
                </c:pt>
                <c:pt idx="124">
                  <c:v>735.79566069225746</c:v>
                </c:pt>
                <c:pt idx="125">
                  <c:v>800.15829046299962</c:v>
                </c:pt>
                <c:pt idx="126">
                  <c:v>757.64856639436175</c:v>
                </c:pt>
                <c:pt idx="127">
                  <c:v>902.26306947326816</c:v>
                </c:pt>
                <c:pt idx="128">
                  <c:v>671.32236990313129</c:v>
                </c:pt>
                <c:pt idx="129">
                  <c:v>1084.9955532969127</c:v>
                </c:pt>
                <c:pt idx="130">
                  <c:v>296.18045682873662</c:v>
                </c:pt>
                <c:pt idx="131">
                  <c:v>564.22952521662739</c:v>
                </c:pt>
                <c:pt idx="132">
                  <c:v>628.23133341349046</c:v>
                </c:pt>
                <c:pt idx="133">
                  <c:v>881.7538073527985</c:v>
                </c:pt>
                <c:pt idx="134">
                  <c:v>540.05753639612942</c:v>
                </c:pt>
                <c:pt idx="135">
                  <c:v>763.45431789737165</c:v>
                </c:pt>
                <c:pt idx="136">
                  <c:v>548.55183070458099</c:v>
                </c:pt>
                <c:pt idx="137">
                  <c:v>771.39890224002374</c:v>
                </c:pt>
                <c:pt idx="138">
                  <c:v>466.35647816750179</c:v>
                </c:pt>
                <c:pt idx="139">
                  <c:v>808.08080808080797</c:v>
                </c:pt>
                <c:pt idx="140">
                  <c:v>560.15756241672943</c:v>
                </c:pt>
                <c:pt idx="141">
                  <c:v>902.75262586019551</c:v>
                </c:pt>
                <c:pt idx="142">
                  <c:v>333.67807958194982</c:v>
                </c:pt>
                <c:pt idx="143">
                  <c:v>880.42398145081154</c:v>
                </c:pt>
                <c:pt idx="144">
                  <c:v>509.51503990178026</c:v>
                </c:pt>
                <c:pt idx="145">
                  <c:v>831.60943318163015</c:v>
                </c:pt>
                <c:pt idx="146">
                  <c:v>865.88871976999837</c:v>
                </c:pt>
                <c:pt idx="147">
                  <c:v>852.08596713021495</c:v>
                </c:pt>
                <c:pt idx="148">
                  <c:v>909.49325071918565</c:v>
                </c:pt>
                <c:pt idx="149">
                  <c:v>719.44370152447175</c:v>
                </c:pt>
                <c:pt idx="150">
                  <c:v>721.76514584891549</c:v>
                </c:pt>
                <c:pt idx="151">
                  <c:v>528.46493518826264</c:v>
                </c:pt>
                <c:pt idx="152">
                  <c:v>743.09796164100794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5-45D2-9014-4D4F9169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BMEL'!$B$4</c:f>
              <c:strCache>
                <c:ptCount val="1"/>
                <c:pt idx="0">
                  <c:v>Insgesamt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BMEL'!$B$5:$B$61</c:f>
              <c:numCache>
                <c:formatCode>General</c:formatCode>
                <c:ptCount val="57"/>
                <c:pt idx="0">
                  <c:v>110.1</c:v>
                </c:pt>
                <c:pt idx="1">
                  <c:v>119.7</c:v>
                </c:pt>
                <c:pt idx="2">
                  <c:v>96.9</c:v>
                </c:pt>
                <c:pt idx="4">
                  <c:v>106.6</c:v>
                </c:pt>
                <c:pt idx="5">
                  <c:v>107.3</c:v>
                </c:pt>
                <c:pt idx="6">
                  <c:v>107.6</c:v>
                </c:pt>
                <c:pt idx="7">
                  <c:v>106.8</c:v>
                </c:pt>
                <c:pt idx="8">
                  <c:v>94.8</c:v>
                </c:pt>
                <c:pt idx="9">
                  <c:v>101.3</c:v>
                </c:pt>
                <c:pt idx="10">
                  <c:v>104.8</c:v>
                </c:pt>
                <c:pt idx="11">
                  <c:v>101.1</c:v>
                </c:pt>
                <c:pt idx="12">
                  <c:v>113.9</c:v>
                </c:pt>
                <c:pt idx="13">
                  <c:v>123.5</c:v>
                </c:pt>
                <c:pt idx="14">
                  <c:v>97.6</c:v>
                </c:pt>
                <c:pt idx="15">
                  <c:v>96.7</c:v>
                </c:pt>
                <c:pt idx="16">
                  <c:v>112.1</c:v>
                </c:pt>
                <c:pt idx="17">
                  <c:v>101.5</c:v>
                </c:pt>
                <c:pt idx="18">
                  <c:v>109.1</c:v>
                </c:pt>
                <c:pt idx="19">
                  <c:v>99.4</c:v>
                </c:pt>
                <c:pt idx="20">
                  <c:v>97.9</c:v>
                </c:pt>
                <c:pt idx="21">
                  <c:v>108.7</c:v>
                </c:pt>
                <c:pt idx="22">
                  <c:v>110</c:v>
                </c:pt>
                <c:pt idx="23">
                  <c:v>105.1</c:v>
                </c:pt>
                <c:pt idx="24">
                  <c:v>119.7</c:v>
                </c:pt>
                <c:pt idx="25">
                  <c:v>120.7</c:v>
                </c:pt>
                <c:pt idx="26">
                  <c:v>108.1</c:v>
                </c:pt>
                <c:pt idx="27">
                  <c:v>100.5</c:v>
                </c:pt>
                <c:pt idx="28">
                  <c:v>111.1</c:v>
                </c:pt>
                <c:pt idx="32">
                  <c:v>102.8</c:v>
                </c:pt>
                <c:pt idx="34">
                  <c:v>99.8</c:v>
                </c:pt>
                <c:pt idx="35">
                  <c:v>118.3</c:v>
                </c:pt>
                <c:pt idx="36">
                  <c:v>122.3</c:v>
                </c:pt>
                <c:pt idx="37">
                  <c:v>119.1</c:v>
                </c:pt>
                <c:pt idx="38">
                  <c:v>115.8</c:v>
                </c:pt>
                <c:pt idx="39">
                  <c:v>110.3</c:v>
                </c:pt>
                <c:pt idx="40">
                  <c:v>109</c:v>
                </c:pt>
                <c:pt idx="41">
                  <c:v>124.7</c:v>
                </c:pt>
                <c:pt idx="42">
                  <c:v>116.4</c:v>
                </c:pt>
                <c:pt idx="43">
                  <c:v>100.4</c:v>
                </c:pt>
                <c:pt idx="44">
                  <c:v>111</c:v>
                </c:pt>
                <c:pt idx="45">
                  <c:v>117.1</c:v>
                </c:pt>
                <c:pt idx="46">
                  <c:v>115.8</c:v>
                </c:pt>
                <c:pt idx="48">
                  <c:v>121</c:v>
                </c:pt>
                <c:pt idx="49">
                  <c:v>124.2</c:v>
                </c:pt>
                <c:pt idx="50">
                  <c:v>112</c:v>
                </c:pt>
                <c:pt idx="51">
                  <c:v>111.9</c:v>
                </c:pt>
                <c:pt idx="52">
                  <c:v>127.6</c:v>
                </c:pt>
                <c:pt idx="53">
                  <c:v>106.1</c:v>
                </c:pt>
                <c:pt idx="54">
                  <c:v>106.6</c:v>
                </c:pt>
                <c:pt idx="55">
                  <c:v>102.7</c:v>
                </c:pt>
                <c:pt idx="56">
                  <c:v>112.2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B-4486-B3D0-5CBE63A1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BMEL'!$C$4</c:f>
              <c:strCache>
                <c:ptCount val="1"/>
                <c:pt idx="0">
                  <c:v>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BMEL'!$C$5:$C$61</c:f>
              <c:numCache>
                <c:formatCode>General</c:formatCode>
                <c:ptCount val="57"/>
                <c:pt idx="0">
                  <c:v>89.5</c:v>
                </c:pt>
                <c:pt idx="1">
                  <c:v>100.9</c:v>
                </c:pt>
                <c:pt idx="2">
                  <c:v>79.900000000000006</c:v>
                </c:pt>
                <c:pt idx="4">
                  <c:v>88.1</c:v>
                </c:pt>
                <c:pt idx="5">
                  <c:v>90.6</c:v>
                </c:pt>
                <c:pt idx="6">
                  <c:v>89.4</c:v>
                </c:pt>
                <c:pt idx="7">
                  <c:v>87.6</c:v>
                </c:pt>
                <c:pt idx="8">
                  <c:v>78.5</c:v>
                </c:pt>
                <c:pt idx="9">
                  <c:v>85.4</c:v>
                </c:pt>
                <c:pt idx="10">
                  <c:v>85.5</c:v>
                </c:pt>
                <c:pt idx="11">
                  <c:v>84.6</c:v>
                </c:pt>
                <c:pt idx="12">
                  <c:v>95.6</c:v>
                </c:pt>
                <c:pt idx="13">
                  <c:v>104.8</c:v>
                </c:pt>
                <c:pt idx="14">
                  <c:v>81.599999999999994</c:v>
                </c:pt>
                <c:pt idx="15">
                  <c:v>82.3</c:v>
                </c:pt>
                <c:pt idx="16">
                  <c:v>93</c:v>
                </c:pt>
                <c:pt idx="17">
                  <c:v>86.4</c:v>
                </c:pt>
                <c:pt idx="18">
                  <c:v>90.7</c:v>
                </c:pt>
                <c:pt idx="19">
                  <c:v>82</c:v>
                </c:pt>
                <c:pt idx="20">
                  <c:v>80.400000000000006</c:v>
                </c:pt>
                <c:pt idx="21">
                  <c:v>90.6</c:v>
                </c:pt>
                <c:pt idx="22">
                  <c:v>90.3</c:v>
                </c:pt>
                <c:pt idx="23">
                  <c:v>86.4</c:v>
                </c:pt>
                <c:pt idx="24">
                  <c:v>99.4</c:v>
                </c:pt>
                <c:pt idx="25">
                  <c:v>105</c:v>
                </c:pt>
                <c:pt idx="26">
                  <c:v>88.3</c:v>
                </c:pt>
                <c:pt idx="27">
                  <c:v>82.2</c:v>
                </c:pt>
                <c:pt idx="28">
                  <c:v>89.7</c:v>
                </c:pt>
                <c:pt idx="32">
                  <c:v>82.8</c:v>
                </c:pt>
                <c:pt idx="34">
                  <c:v>79.8</c:v>
                </c:pt>
                <c:pt idx="35">
                  <c:v>93</c:v>
                </c:pt>
                <c:pt idx="36">
                  <c:v>96.2</c:v>
                </c:pt>
                <c:pt idx="37">
                  <c:v>96.1</c:v>
                </c:pt>
                <c:pt idx="38">
                  <c:v>92.4</c:v>
                </c:pt>
                <c:pt idx="39">
                  <c:v>86.4</c:v>
                </c:pt>
                <c:pt idx="40">
                  <c:v>82.3</c:v>
                </c:pt>
                <c:pt idx="41">
                  <c:v>98.5</c:v>
                </c:pt>
                <c:pt idx="42">
                  <c:v>91.4</c:v>
                </c:pt>
                <c:pt idx="43">
                  <c:v>77.900000000000006</c:v>
                </c:pt>
                <c:pt idx="44">
                  <c:v>88.8</c:v>
                </c:pt>
                <c:pt idx="45">
                  <c:v>94.3</c:v>
                </c:pt>
                <c:pt idx="46">
                  <c:v>93.7</c:v>
                </c:pt>
                <c:pt idx="48">
                  <c:v>99.6</c:v>
                </c:pt>
                <c:pt idx="49">
                  <c:v>104.6</c:v>
                </c:pt>
                <c:pt idx="50">
                  <c:v>89</c:v>
                </c:pt>
                <c:pt idx="51">
                  <c:v>89.7</c:v>
                </c:pt>
                <c:pt idx="52">
                  <c:v>102.4</c:v>
                </c:pt>
                <c:pt idx="53">
                  <c:v>81.8</c:v>
                </c:pt>
                <c:pt idx="54">
                  <c:v>85.9</c:v>
                </c:pt>
                <c:pt idx="55">
                  <c:v>81.400000000000006</c:v>
                </c:pt>
                <c:pt idx="56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6DA-B5F6-D5A04C07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BMEL'!$D$4</c:f>
              <c:strCache>
                <c:ptCount val="1"/>
                <c:pt idx="0">
                  <c:v>Ausland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BMEL'!$D$5:$D$61</c:f>
              <c:numCache>
                <c:formatCode>General</c:formatCode>
                <c:ptCount val="57"/>
                <c:pt idx="0">
                  <c:v>20.6</c:v>
                </c:pt>
                <c:pt idx="1">
                  <c:v>18.8</c:v>
                </c:pt>
                <c:pt idx="2">
                  <c:v>17</c:v>
                </c:pt>
                <c:pt idx="4">
                  <c:v>18.5</c:v>
                </c:pt>
                <c:pt idx="5">
                  <c:v>16.8</c:v>
                </c:pt>
                <c:pt idx="6">
                  <c:v>18.2</c:v>
                </c:pt>
                <c:pt idx="7">
                  <c:v>19.2</c:v>
                </c:pt>
                <c:pt idx="8">
                  <c:v>16.3</c:v>
                </c:pt>
                <c:pt idx="9">
                  <c:v>15.9</c:v>
                </c:pt>
                <c:pt idx="10">
                  <c:v>19.3</c:v>
                </c:pt>
                <c:pt idx="11">
                  <c:v>16.5</c:v>
                </c:pt>
                <c:pt idx="12">
                  <c:v>18.3</c:v>
                </c:pt>
                <c:pt idx="13">
                  <c:v>18.7</c:v>
                </c:pt>
                <c:pt idx="14">
                  <c:v>16</c:v>
                </c:pt>
                <c:pt idx="15">
                  <c:v>14.5</c:v>
                </c:pt>
                <c:pt idx="16">
                  <c:v>19</c:v>
                </c:pt>
                <c:pt idx="17">
                  <c:v>15.1</c:v>
                </c:pt>
                <c:pt idx="18">
                  <c:v>18.399999999999999</c:v>
                </c:pt>
                <c:pt idx="19">
                  <c:v>17.399999999999999</c:v>
                </c:pt>
                <c:pt idx="20">
                  <c:v>17.5</c:v>
                </c:pt>
                <c:pt idx="21">
                  <c:v>18.100000000000001</c:v>
                </c:pt>
                <c:pt idx="22">
                  <c:v>19.7</c:v>
                </c:pt>
                <c:pt idx="23">
                  <c:v>18.7</c:v>
                </c:pt>
                <c:pt idx="24">
                  <c:v>20.3</c:v>
                </c:pt>
                <c:pt idx="25">
                  <c:v>15.7</c:v>
                </c:pt>
                <c:pt idx="26">
                  <c:v>19.8</c:v>
                </c:pt>
                <c:pt idx="27">
                  <c:v>18.3</c:v>
                </c:pt>
                <c:pt idx="28">
                  <c:v>21.4</c:v>
                </c:pt>
                <c:pt idx="32">
                  <c:v>20</c:v>
                </c:pt>
                <c:pt idx="34">
                  <c:v>20</c:v>
                </c:pt>
                <c:pt idx="35">
                  <c:v>25.3</c:v>
                </c:pt>
                <c:pt idx="36">
                  <c:v>26.1</c:v>
                </c:pt>
                <c:pt idx="37">
                  <c:v>23.1</c:v>
                </c:pt>
                <c:pt idx="38">
                  <c:v>23.4</c:v>
                </c:pt>
                <c:pt idx="39">
                  <c:v>23.9</c:v>
                </c:pt>
                <c:pt idx="40">
                  <c:v>26.7</c:v>
                </c:pt>
                <c:pt idx="41">
                  <c:v>26.2</c:v>
                </c:pt>
                <c:pt idx="42">
                  <c:v>25</c:v>
                </c:pt>
                <c:pt idx="43">
                  <c:v>22.6</c:v>
                </c:pt>
                <c:pt idx="44">
                  <c:v>22.2</c:v>
                </c:pt>
                <c:pt idx="45">
                  <c:v>22.8</c:v>
                </c:pt>
                <c:pt idx="46">
                  <c:v>22.1</c:v>
                </c:pt>
                <c:pt idx="48">
                  <c:v>21.3</c:v>
                </c:pt>
                <c:pt idx="49">
                  <c:v>19.600000000000001</c:v>
                </c:pt>
                <c:pt idx="50">
                  <c:v>23</c:v>
                </c:pt>
                <c:pt idx="51">
                  <c:v>22.2</c:v>
                </c:pt>
                <c:pt idx="52">
                  <c:v>25.2</c:v>
                </c:pt>
                <c:pt idx="53">
                  <c:v>24.3</c:v>
                </c:pt>
                <c:pt idx="54">
                  <c:v>20.8</c:v>
                </c:pt>
                <c:pt idx="55">
                  <c:v>21.2</c:v>
                </c:pt>
                <c:pt idx="56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788-A5EA-6313BE6A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ax val="3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3</xdr:row>
      <xdr:rowOff>90486</xdr:rowOff>
    </xdr:from>
    <xdr:to>
      <xdr:col>21</xdr:col>
      <xdr:colOff>161925</xdr:colOff>
      <xdr:row>22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560E2-869C-471F-8A55-9D04AB18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22</xdr:row>
      <xdr:rowOff>171450</xdr:rowOff>
    </xdr:from>
    <xdr:to>
      <xdr:col>21</xdr:col>
      <xdr:colOff>138113</xdr:colOff>
      <xdr:row>41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CBF3D1-4F54-4DC2-8D0B-0A1E3CFA0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42</xdr:row>
      <xdr:rowOff>0</xdr:rowOff>
    </xdr:from>
    <xdr:to>
      <xdr:col>21</xdr:col>
      <xdr:colOff>147638</xdr:colOff>
      <xdr:row>60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E5004-1A17-4194-8ECE-84DBAE6A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3</xdr:row>
      <xdr:rowOff>104775</xdr:rowOff>
    </xdr:from>
    <xdr:to>
      <xdr:col>30</xdr:col>
      <xdr:colOff>333375</xdr:colOff>
      <xdr:row>22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78246D-DEED-4FA7-875A-32F274013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257175</xdr:colOff>
      <xdr:row>22</xdr:row>
      <xdr:rowOff>185739</xdr:rowOff>
    </xdr:from>
    <xdr:to>
      <xdr:col>30</xdr:col>
      <xdr:colOff>309563</xdr:colOff>
      <xdr:row>41</xdr:row>
      <xdr:rowOff>171452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E9F872-3504-499A-A60C-FE63321F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266700</xdr:colOff>
      <xdr:row>42</xdr:row>
      <xdr:rowOff>14289</xdr:rowOff>
    </xdr:from>
    <xdr:to>
      <xdr:col>30</xdr:col>
      <xdr:colOff>319088</xdr:colOff>
      <xdr:row>61</xdr:row>
      <xdr:rowOff>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C9183-9CA9-494F-AA5A-C1237A290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185737</xdr:rowOff>
    </xdr:from>
    <xdr:to>
      <xdr:col>31</xdr:col>
      <xdr:colOff>171450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145F5-37B3-4DD3-A584-4946D4DD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76200</xdr:rowOff>
    </xdr:from>
    <xdr:to>
      <xdr:col>31</xdr:col>
      <xdr:colOff>180976</xdr:colOff>
      <xdr:row>25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D3A46-D15A-4918-ADAE-DAD7894B0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26</xdr:row>
      <xdr:rowOff>9525</xdr:rowOff>
    </xdr:from>
    <xdr:to>
      <xdr:col>31</xdr:col>
      <xdr:colOff>219076</xdr:colOff>
      <xdr:row>37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51DA7-23AF-4988-9A5A-124343E46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37</xdr:row>
      <xdr:rowOff>152400</xdr:rowOff>
    </xdr:from>
    <xdr:to>
      <xdr:col>31</xdr:col>
      <xdr:colOff>161926</xdr:colOff>
      <xdr:row>49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B070A-B737-4CDC-8AA1-64F3B5B91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s_import&amp;export_2008-2019_RAW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s_import&amp;export_2008-2019_RAW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096B3-889C-4868-A830-444E8284A462}" name="Table35" displayName="Table35" ref="B10:P163" totalsRowShown="0" headerRowDxfId="24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4F8F8B9B-41DE-4948-8A6C-3D50632F1F78}" name="Order">
      <calculatedColumnFormula>(Table35[[#This Row],[Jahr]]-$C$8)*12+Table35[[#This Row],[Month nr]]</calculatedColumnFormula>
    </tableColumn>
    <tableColumn id="1" xr3:uid="{B91A5B07-81C2-4FAD-83E4-613C0C07EBAF}" name="Jahr"/>
    <tableColumn id="9" xr3:uid="{28E7B3FA-7A31-4F6B-949C-D845EA64EEC9}" name="Month nr"/>
    <tableColumn id="2" xr3:uid="{C8C91BEE-DD67-4CD4-AC83-C99E9C700CA7}" name="Monat"/>
    <tableColumn id="7" xr3:uid="{B53A9B85-2CA2-4D2D-8FAD-C60A23F78100}" name="Date Text">
      <calculatedColumnFormula>_xlfn.CONCAT(Table35[[#This Row],[Monat]]," ",Table35[[#This Row],[Jahr]])</calculatedColumnFormula>
    </tableColumn>
    <tableColumn id="3" xr3:uid="{0068A9BF-7F82-4E73-B47C-25C1CBFD97C4}" name="Ausfuhr: Gewicht"/>
    <tableColumn id="4" xr3:uid="{0690120C-A028-4366-A1A4-69859ABC9CFB}" name="Ausfuhr: Wert €"/>
    <tableColumn id="14" xr3:uid="{4BBE0028-B09F-4E58-A8CB-3CFB30589CC3}" name="Ausfuhr: Wert $"/>
    <tableColumn id="5" xr3:uid="{F8605170-9302-4C7B-87E6-3785DA85E5D0}" name="Einfuhr: Gewicht"/>
    <tableColumn id="6" xr3:uid="{0686A6CB-2B9D-438C-9019-A8A04E880A6F}" name="Einfuhr: Wert €"/>
    <tableColumn id="15" xr3:uid="{AE743DE3-6807-452B-99F7-12598760DA7D}" name="Einfuhr: Wert $"/>
    <tableColumn id="12" xr3:uid="{53D234B4-9476-4D11-9187-8D0F379A46CE}" name="Ausfuhr: Wert €/Gewicht" dataDxfId="23">
      <calculatedColumnFormula>Table35[[#This Row],[Ausfuhr: Wert €]]*1000/Table35[[#This Row],[Ausfuhr: Gewicht]]</calculatedColumnFormula>
    </tableColumn>
    <tableColumn id="13" xr3:uid="{7D8BE304-6AF6-40C6-AC97-C1FA8D1230D5}" name="Einfuhr: Wert €/Gewicht" dataDxfId="22">
      <calculatedColumnFormula>Table35[[#This Row],[Einfuhr: Wert €]]*1000/Table35[[#This Row],[Einfuhr: Gewicht]]</calculatedColumnFormula>
    </tableColumn>
    <tableColumn id="16" xr3:uid="{580B8B4D-23A4-44C8-83A1-BE80CADA1DDC}" name="Ausfuhr: Wert $/Gewicht" dataDxfId="21">
      <calculatedColumnFormula>Table35[[#This Row],[Ausfuhr: Wert $]]*1000/Table35[[#This Row],[Ausfuhr: Gewicht]]</calculatedColumnFormula>
    </tableColumn>
    <tableColumn id="17" xr3:uid="{9E479C44-044D-4ADA-96BA-FE48EF2927CA}" name="Einfuhr: Wert $/Gewicht" dataDxfId="20">
      <calculatedColumnFormula>Table35[[#This Row],[Einfuhr: Wert $]]*1000/Table35[[#This Row],[Einfuhr: Gewicht]]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CE8A-B873-4B0A-B01B-D1FD0A63948F}" name="Table356" displayName="Table356" ref="B10:P163" totalsRowShown="0" headerRowDxfId="19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661989D2-8303-4FC6-956C-C5B070E9B2B8}" name="Order">
      <calculatedColumnFormula>(Table356[[#This Row],[Jahr]]-$C$8)*12+Table356[[#This Row],[Month nr]]</calculatedColumnFormula>
    </tableColumn>
    <tableColumn id="1" xr3:uid="{10EC01CE-9EDE-4C71-A688-6BEC72876FAE}" name="Jahr"/>
    <tableColumn id="9" xr3:uid="{BF6BF709-33CC-4AAE-A8CC-0464262E840B}" name="Month nr"/>
    <tableColumn id="2" xr3:uid="{D4B3227F-FD23-4736-B2C1-FFE09440BCCA}" name="Monat"/>
    <tableColumn id="7" xr3:uid="{FD41589C-73D8-464D-BED4-FC6320A7FB96}" name="Date Text">
      <calculatedColumnFormula>_xlfn.CONCAT(Table356[[#This Row],[Monat]]," ",Table356[[#This Row],[Jahr]])</calculatedColumnFormula>
    </tableColumn>
    <tableColumn id="3" xr3:uid="{38013DAC-BB7B-415E-96AB-D598E48BC83D}" name="Ausfuhr: Gewicht"/>
    <tableColumn id="4" xr3:uid="{D5F12A31-FCCD-4FF1-B8F8-D015120141F4}" name="Ausfuhr: Wert €"/>
    <tableColumn id="14" xr3:uid="{2DA88934-3D88-4E18-B2B0-EF8667DEC853}" name="Ausfuhr: Wert $"/>
    <tableColumn id="5" xr3:uid="{FFF163B8-1FC2-4B38-B152-598EA281AFC0}" name="Einfuhr: Gewicht"/>
    <tableColumn id="6" xr3:uid="{13788094-9F41-42D9-A569-54634D727107}" name="Einfuhr: Wert €"/>
    <tableColumn id="15" xr3:uid="{22A3943D-D1E5-4BEF-A99F-535065178A12}" name="Einfuhr: Wert $"/>
    <tableColumn id="12" xr3:uid="{469CC4D8-E85C-4ADC-9076-101612D2CB3D}" name="Ausfuhr: Wert €/Gewicht" dataDxfId="18">
      <calculatedColumnFormula>Table356[[#This Row],[Ausfuhr: Wert €]]*1000/Table356[[#This Row],[Ausfuhr: Gewicht]]</calculatedColumnFormula>
    </tableColumn>
    <tableColumn id="13" xr3:uid="{4B95ED46-3D05-4D36-8640-0C74CA7E27CF}" name="Einfuhr: Wert €/Gewicht" dataDxfId="17">
      <calculatedColumnFormula>Table356[[#This Row],[Einfuhr: Wert €]]*1000/Table356[[#This Row],[Einfuhr: Gewicht]]</calculatedColumnFormula>
    </tableColumn>
    <tableColumn id="16" xr3:uid="{77CFAFE2-EF44-45B7-9580-92A4DB73D9B0}" name="Ausfuhr: Wert $/Gewicht" dataDxfId="16">
      <calculatedColumnFormula>Table356[[#This Row],[Ausfuhr: Wert $]]*1000/Table356[[#This Row],[Ausfuhr: Gewicht]]</calculatedColumnFormula>
    </tableColumn>
    <tableColumn id="17" xr3:uid="{E6114953-2DC1-4A6A-A8A4-AC3EDDF69988}" name="Einfuhr: Wert $/Gewicht" dataDxfId="15">
      <calculatedColumnFormula>Table356[[#This Row],[Einfuhr: Wert $]]*1000/Table356[[#This Row],[Einfuhr: Gewicht]]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5ABC9B-6DCD-408A-BC03-2A6C485EF0EA}" name="Table3567" displayName="Table3567" ref="B10:P163" totalsRowShown="0" headerRowDxfId="14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8AD0DEB5-D635-470B-84A0-A52E4C62AAE8}" name="Order">
      <calculatedColumnFormula>(Table3567[[#This Row],[Jahr]]-$C$8)*12+Table3567[[#This Row],[Month nr]]</calculatedColumnFormula>
    </tableColumn>
    <tableColumn id="1" xr3:uid="{5919FE12-98B5-40F8-A147-0EF3C6868AC4}" name="Jahr"/>
    <tableColumn id="9" xr3:uid="{52D30E35-B8B2-43C5-852D-F0E7304BE70F}" name="Month nr"/>
    <tableColumn id="2" xr3:uid="{6439BEE1-B3C2-404C-B17A-85A795190351}" name="Monat"/>
    <tableColumn id="7" xr3:uid="{2EBAC85C-2F43-43A0-8C12-777527B77969}" name="Date Text">
      <calculatedColumnFormula>_xlfn.CONCAT(Table3567[[#This Row],[Monat]]," ",Table3567[[#This Row],[Jahr]])</calculatedColumnFormula>
    </tableColumn>
    <tableColumn id="3" xr3:uid="{30BAF9A9-4B0F-4D78-99BE-2A0F84B1D57C}" name="Ausfuhr: Gewicht"/>
    <tableColumn id="4" xr3:uid="{89CC55F3-BA10-4317-99A8-B2A8595FE37B}" name="Ausfuhr: Wert €"/>
    <tableColumn id="14" xr3:uid="{579FB918-BF9E-4C5E-A1CB-50ABA7A6EED4}" name="Ausfuhr: Wert $"/>
    <tableColumn id="5" xr3:uid="{69FB3EE0-0BFE-4D1E-A35E-2D8BA0166D1C}" name="Einfuhr: Gewicht"/>
    <tableColumn id="6" xr3:uid="{1E75F2B9-071A-4CB9-829D-D6457EFCB719}" name="Einfuhr: Wert €"/>
    <tableColumn id="15" xr3:uid="{FF97C0DB-5E31-4D52-9EF4-6EC6AA41E1B8}" name="Einfuhr: Wert $"/>
    <tableColumn id="12" xr3:uid="{8959233E-3524-4B8E-AB25-760C8A94FC05}" name="Ausfuhr: Wert €/Gewicht" dataDxfId="13">
      <calculatedColumnFormula>Table3567[[#This Row],[Ausfuhr: Wert €]]*1000/Table3567[[#This Row],[Ausfuhr: Gewicht]]</calculatedColumnFormula>
    </tableColumn>
    <tableColumn id="13" xr3:uid="{837EBA02-C931-463E-A679-1188B8AFF159}" name="Einfuhr: Wert €/Gewicht" dataDxfId="12">
      <calculatedColumnFormula>Table3567[[#This Row],[Einfuhr: Wert €]]*1000/Table3567[[#This Row],[Einfuhr: Gewicht]]</calculatedColumnFormula>
    </tableColumn>
    <tableColumn id="16" xr3:uid="{50E6EF67-C13A-4132-9305-838E60A3DC68}" name="Ausfuhr: Wert $/Gewicht" dataDxfId="11">
      <calculatedColumnFormula>Table3567[[#This Row],[Ausfuhr: Wert $]]*1000/Table3567[[#This Row],[Ausfuhr: Gewicht]]</calculatedColumnFormula>
    </tableColumn>
    <tableColumn id="17" xr3:uid="{8AC11EF7-198F-4F26-932B-132F164EF210}" name="Einfuhr: Wert $/Gewicht" dataDxfId="10">
      <calculatedColumnFormula>Table3567[[#This Row],[Einfuhr: Wert $]]*1000/Table3567[[#This Row],[Einfuhr: Gewicht]]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25ABD-EBE8-4667-ABF3-43024ECACAB1}" name="Table35678" displayName="Table35678" ref="B10:P163" totalsRowShown="0" headerRowDxfId="9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7A8578AA-A658-4782-822F-EFA2489037A7}" name="Order">
      <calculatedColumnFormula>(Table35678[[#This Row],[Jahr]]-$C$8)*12+Table35678[[#This Row],[Month nr]]</calculatedColumnFormula>
    </tableColumn>
    <tableColumn id="1" xr3:uid="{75DD5344-3708-479B-A8B0-818B411EC01E}" name="Jahr"/>
    <tableColumn id="9" xr3:uid="{9D10EAEE-DB99-48C9-9E51-8CAA30838266}" name="Month nr"/>
    <tableColumn id="2" xr3:uid="{B892ECF3-83C5-463E-84A8-6F76E24DEAA9}" name="Monat"/>
    <tableColumn id="7" xr3:uid="{5F6AFEE2-BEB9-43F8-82E5-F34EEBCED4E5}" name="Date Text">
      <calculatedColumnFormula>_xlfn.CONCAT(Table35678[[#This Row],[Monat]]," ",Table35678[[#This Row],[Jahr]])</calculatedColumnFormula>
    </tableColumn>
    <tableColumn id="3" xr3:uid="{13C99B5D-960C-4151-9F59-169B5F466612}" name="Ausfuhr: Gewicht"/>
    <tableColumn id="4" xr3:uid="{816774DA-1857-46F6-9C2E-342E0849FBCA}" name="Ausfuhr: Wert €"/>
    <tableColumn id="14" xr3:uid="{1ADCE214-A922-4D8A-BA49-B3356C7B44FE}" name="Ausfuhr: Wert $"/>
    <tableColumn id="5" xr3:uid="{20E39DB3-AC1F-4078-B90E-1099C8748B84}" name="Einfuhr: Gewicht"/>
    <tableColumn id="6" xr3:uid="{CCA6B123-B07B-4844-9199-EDEC7960730B}" name="Einfuhr: Wert €"/>
    <tableColumn id="15" xr3:uid="{7CEBF782-EA77-4E84-AA39-40ED1702DD42}" name="Einfuhr: Wert $"/>
    <tableColumn id="12" xr3:uid="{68FC0A7C-FFB3-4FD3-BF7D-9B9C4DCC1F41}" name="Ausfuhr: Wert €/Gewicht" dataDxfId="8">
      <calculatedColumnFormula>Table35678[[#This Row],[Ausfuhr: Wert €]]*1000/Table35678[[#This Row],[Ausfuhr: Gewicht]]</calculatedColumnFormula>
    </tableColumn>
    <tableColumn id="13" xr3:uid="{4AB9B965-F184-42FB-87BF-5019A5A7E839}" name="Einfuhr: Wert €/Gewicht" dataDxfId="7">
      <calculatedColumnFormula>Table35678[[#This Row],[Einfuhr: Wert €]]*1000/Table35678[[#This Row],[Einfuhr: Gewicht]]</calculatedColumnFormula>
    </tableColumn>
    <tableColumn id="16" xr3:uid="{B9A260D5-CC43-4483-96FD-E711357F5CAA}" name="Ausfuhr: Wert $/Gewicht" dataDxfId="6">
      <calculatedColumnFormula>Table35678[[#This Row],[Ausfuhr: Wert $]]*1000/Table35678[[#This Row],[Ausfuhr: Gewicht]]</calculatedColumnFormula>
    </tableColumn>
    <tableColumn id="17" xr3:uid="{8CBB59F1-A42C-4D7D-9F72-A2A8AA56CF80}" name="Einfuhr: Wert $/Gewicht" dataDxfId="5">
      <calculatedColumnFormula>Table35678[[#This Row],[Einfuhr: Wert $]]*1000/Table35678[[#This Row],[Einfuhr: Gewicht]]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D8866-236C-4EE9-B46D-5951EAF1DC4D}" name="Table356789" displayName="Table356789" ref="B10:P163" totalsRowShown="0" headerRowDxfId="4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15573155-291C-4342-AE93-15A5209535A0}" name="Order">
      <calculatedColumnFormula>(Table356789[[#This Row],[Jahr]]-$C$8)*12+Table356789[[#This Row],[Month nr]]</calculatedColumnFormula>
    </tableColumn>
    <tableColumn id="1" xr3:uid="{EC8E6B11-666B-42FF-853E-9B11968EEE96}" name="Jahr"/>
    <tableColumn id="9" xr3:uid="{A67A6238-9FE8-44B5-BAA8-D44BDAF7C269}" name="Month nr"/>
    <tableColumn id="2" xr3:uid="{6A7FF12B-719C-4F62-8A5C-D902126DDBC6}" name="Monat"/>
    <tableColumn id="7" xr3:uid="{E121A345-A3AE-4352-AC5B-F255BFFD6811}" name="Date Text">
      <calculatedColumnFormula>_xlfn.CONCAT(Table356789[[#This Row],[Monat]]," ",Table356789[[#This Row],[Jahr]])</calculatedColumnFormula>
    </tableColumn>
    <tableColumn id="3" xr3:uid="{809E7238-43AC-42C0-8F13-CD78C7445069}" name="Ausfuhr: Gewicht"/>
    <tableColumn id="4" xr3:uid="{516E9397-9E94-47FA-A6B3-3BFDB38BC625}" name="Ausfuhr: Wert €"/>
    <tableColumn id="14" xr3:uid="{C1137AA4-F92D-4323-A419-A3A79A24985A}" name="Ausfuhr: Wert $"/>
    <tableColumn id="5" xr3:uid="{B62AEBBE-D9F3-412C-B7A8-9436AF3F8154}" name="Einfuhr: Gewicht"/>
    <tableColumn id="6" xr3:uid="{F1614ED7-04F1-4A00-A294-0A083EDED95D}" name="Einfuhr: Wert €"/>
    <tableColumn id="15" xr3:uid="{92A93F2E-4945-424F-BE30-819C4D944F06}" name="Einfuhr: Wert $"/>
    <tableColumn id="12" xr3:uid="{78C452D9-A84A-452E-AD20-965F7CE7B5E9}" name="Ausfuhr: Wert €/Gewicht" dataDxfId="3">
      <calculatedColumnFormula>Table356789[[#This Row],[Ausfuhr: Wert €]]*1000/Table356789[[#This Row],[Ausfuhr: Gewicht]]</calculatedColumnFormula>
    </tableColumn>
    <tableColumn id="13" xr3:uid="{038C0E32-6D8A-4071-804A-0525B6858B1C}" name="Einfuhr: Wert €/Gewicht" dataDxfId="2">
      <calculatedColumnFormula>Table356789[[#This Row],[Einfuhr: Wert €]]*1000/Table356789[[#This Row],[Einfuhr: Gewicht]]</calculatedColumnFormula>
    </tableColumn>
    <tableColumn id="16" xr3:uid="{44111B6C-1ADE-4923-AE1A-F8F842A8C942}" name="Ausfuhr: Wert $/Gewicht" dataDxfId="1">
      <calculatedColumnFormula>Table356789[[#This Row],[Ausfuhr: Wert $]]*1000/Table356789[[#This Row],[Ausfuhr: Gewicht]]</calculatedColumnFormula>
    </tableColumn>
    <tableColumn id="17" xr3:uid="{4D23AA3A-282C-44C9-8C0F-0C48FA955003}" name="Einfuhr: Wert $/Gewicht" dataDxfId="0">
      <calculatedColumnFormula>Table356789[[#This Row],[Einfuhr: Wert $]]*1000/Table356789[[#This Row],[Einfuhr: Gewicht]]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457D9-8BC2-42DB-B8E7-870AD2F8A8F5}" name="Table3" displayName="Table3" ref="B4:L157" totalsRowShown="0" headerRowDxfId="27">
  <autoFilter ref="B4:L157" xr:uid="{8FCD67B9-0D33-471A-ABB1-48C6913ABBA4}"/>
  <sortState xmlns:xlrd2="http://schemas.microsoft.com/office/spreadsheetml/2017/richdata2" ref="B5:L157">
    <sortCondition ref="B4:B157"/>
  </sortState>
  <tableColumns count="11">
    <tableColumn id="10" xr3:uid="{D07C6393-EA38-4F1F-8023-A22AE48B24DE}" name="Order">
      <calculatedColumnFormula>(Table3[[#This Row],[Jahr]]-$C$2)*12+Table3[[#This Row],[Month nr]]</calculatedColumnFormula>
    </tableColumn>
    <tableColumn id="1" xr3:uid="{2F64117D-503A-4CF9-BEE0-91BA26D85A00}" name="Jahr"/>
    <tableColumn id="9" xr3:uid="{4AEDE78E-EDDF-45B6-A022-18F097240631}" name="Month nr"/>
    <tableColumn id="2" xr3:uid="{25EC88B4-44B9-47A9-AC0A-3D6B9383960C}" name="Monat"/>
    <tableColumn id="7" xr3:uid="{28112533-AEBC-4796-9D2F-92923DA90A86}" name="Date Text">
      <calculatedColumnFormula>_xlfn.CONCAT(Table3[[#This Row],[Monat]]," ",Table3[[#This Row],[Jahr]])</calculatedColumnFormula>
    </tableColumn>
    <tableColumn id="3" xr3:uid="{E209A781-4C6C-4E99-A2D5-A3AA7360713E}" name="Ausfuhr: Gewicht"/>
    <tableColumn id="4" xr3:uid="{43BD7A0B-0567-499D-9A09-0988E69E9B2D}" name="Ausfuhr: Wert"/>
    <tableColumn id="5" xr3:uid="{110658C5-F4FC-453F-8473-E86FE1FED4C7}" name="Einfuhr: Gewicht"/>
    <tableColumn id="6" xr3:uid="{ECAC48E6-5043-4DEB-951E-60063B1D1009}" name="Einfuhr: Wert"/>
    <tableColumn id="12" xr3:uid="{433D3FA5-BD4F-4948-8713-9C38DD6C39D1}" name="Ausfuhr: Wert/Gewicht" dataDxfId="26">
      <calculatedColumnFormula>Table3[[#This Row],[Ausfuhr: Wert]]*1000/Table3[[#This Row],[Ausfuhr: Gewicht]]</calculatedColumnFormula>
    </tableColumn>
    <tableColumn id="13" xr3:uid="{AB8DA20C-BD3E-4CDF-8047-5E2AC20BFE47}" name="Einfuhr: Wert/Gewicht" dataDxfId="25">
      <calculatedColumnFormula>Table3[[#This Row],[Einfuhr: Wert]]*1000/Table3[[#This Row],[Einfuhr: Gewicht]]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C82EB-6375-49B1-AF36-1EBFB98BACBF}" name="Table1" displayName="Table1" ref="A4:E61" totalsRowShown="0" headerRowDxfId="34" dataDxfId="33">
  <autoFilter ref="A4:E61" xr:uid="{2E3772F9-AAB1-46FA-9D8F-D77B7CDBE6C9}"/>
  <tableColumns count="5">
    <tableColumn id="1" xr3:uid="{28CF1FA3-8F3A-4ED9-A70A-4AB1CEC7BD8A}" name="Monat" dataDxfId="32"/>
    <tableColumn id="2" xr3:uid="{DB769E05-8F03-4436-9561-1BDEABB246E0}" name="Insgesamt" dataDxfId="31"/>
    <tableColumn id="3" xr3:uid="{D7EC4FA8-F2D9-4AE8-9290-29899FB845E6}" name="Inland" dataDxfId="30"/>
    <tableColumn id="4" xr3:uid="{9F625943-5EDC-4D9D-8F45-9B15EF816744}" name="Ausland" dataDxfId="29"/>
    <tableColumn id="5" xr3:uid="{1B73B930-E70E-4C10-AB49-861CAEB0F207}" name="Exportquote in %" dataDxfId="28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90B9-B9CE-4655-9E7B-13A25DB63492}">
  <sheetPr codeName="Sheet4">
    <tabColor theme="5" tint="-0.249977111117893"/>
  </sheetPr>
  <dimension ref="A1:P163"/>
  <sheetViews>
    <sheetView zoomScaleNormal="100" workbookViewId="0">
      <selection activeCell="Z31" sqref="R10:Z31"/>
    </sheetView>
  </sheetViews>
  <sheetFormatPr defaultRowHeight="15" x14ac:dyDescent="0.25"/>
  <cols>
    <col min="6" max="6" width="12.7109375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50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60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(Table35[[#This Row],[Jahr]]-$C$8)*12+Table35[[#This Row],[Month nr]]</f>
        <v>1</v>
      </c>
      <c r="C11">
        <v>2008</v>
      </c>
      <c r="D11">
        <v>1</v>
      </c>
      <c r="E11" t="s">
        <v>13</v>
      </c>
      <c r="F11" t="str">
        <f>_xlfn.CONCAT(Table35[[#This Row],[Monat]]," ",Table35[[#This Row],[Jahr]])</f>
        <v>Januar 2008</v>
      </c>
      <c r="G11">
        <v>137980.19999999998</v>
      </c>
      <c r="H11">
        <v>14717</v>
      </c>
      <c r="I11">
        <v>21655</v>
      </c>
      <c r="J11">
        <v>22238.400000000001</v>
      </c>
      <c r="K11">
        <v>5640</v>
      </c>
      <c r="L11">
        <v>8304</v>
      </c>
      <c r="M11" s="8">
        <f>Table35[[#This Row],[Ausfuhr: Wert €]]*1000/Table35[[#This Row],[Ausfuhr: Gewicht]]</f>
        <v>106.66023096067408</v>
      </c>
      <c r="N11" s="8">
        <f>Table35[[#This Row],[Einfuhr: Wert €]]*1000/Table35[[#This Row],[Einfuhr: Gewicht]]</f>
        <v>253.61536801208717</v>
      </c>
      <c r="O11" s="8">
        <f>Table35[[#This Row],[Ausfuhr: Wert $]]*1000/Table35[[#This Row],[Ausfuhr: Gewicht]]</f>
        <v>156.94280773618246</v>
      </c>
      <c r="P11" s="8">
        <f>Table35[[#This Row],[Einfuhr: Wert $]]*1000/Table35[[#This Row],[Einfuhr: Gewicht]]</f>
        <v>373.40815886034966</v>
      </c>
    </row>
    <row r="12" spans="1:16" x14ac:dyDescent="0.25">
      <c r="B12">
        <f>(Table35[[#This Row],[Jahr]]-$C$8)*12+Table35[[#This Row],[Month nr]]</f>
        <v>2</v>
      </c>
      <c r="C12">
        <v>2008</v>
      </c>
      <c r="D12">
        <v>2</v>
      </c>
      <c r="E12" t="s">
        <v>14</v>
      </c>
      <c r="F12" t="str">
        <f>_xlfn.CONCAT(Table35[[#This Row],[Monat]]," ",Table35[[#This Row],[Jahr]])</f>
        <v>Februar 2008</v>
      </c>
      <c r="G12">
        <v>79736.3</v>
      </c>
      <c r="H12">
        <v>10265</v>
      </c>
      <c r="I12">
        <v>15136</v>
      </c>
      <c r="J12">
        <v>30829.399999999998</v>
      </c>
      <c r="K12">
        <v>7862</v>
      </c>
      <c r="L12">
        <v>11591</v>
      </c>
      <c r="M12" s="8">
        <f>Table35[[#This Row],[Ausfuhr: Wert €]]*1000/Table35[[#This Row],[Ausfuhr: Gewicht]]</f>
        <v>128.73684883798219</v>
      </c>
      <c r="N12" s="8">
        <f>Table35[[#This Row],[Einfuhr: Wert €]]*1000/Table35[[#This Row],[Einfuhr: Gewicht]]</f>
        <v>255.01631559485429</v>
      </c>
      <c r="O12" s="8">
        <f>Table35[[#This Row],[Ausfuhr: Wert $]]*1000/Table35[[#This Row],[Ausfuhr: Gewicht]]</f>
        <v>189.82571300649766</v>
      </c>
      <c r="P12" s="8">
        <f>Table35[[#This Row],[Einfuhr: Wert $]]*1000/Table35[[#This Row],[Einfuhr: Gewicht]]</f>
        <v>375.97228619434696</v>
      </c>
    </row>
    <row r="13" spans="1:16" x14ac:dyDescent="0.25">
      <c r="B13">
        <f>(Table35[[#This Row],[Jahr]]-$C$8)*12+Table35[[#This Row],[Month nr]]</f>
        <v>3</v>
      </c>
      <c r="C13">
        <v>2008</v>
      </c>
      <c r="D13">
        <v>3</v>
      </c>
      <c r="E13" t="s">
        <v>15</v>
      </c>
      <c r="F13" t="str">
        <f>_xlfn.CONCAT(Table35[[#This Row],[Monat]]," ",Table35[[#This Row],[Jahr]])</f>
        <v>März 2008</v>
      </c>
      <c r="G13">
        <v>105462.2</v>
      </c>
      <c r="H13">
        <v>13634</v>
      </c>
      <c r="I13">
        <v>21169</v>
      </c>
      <c r="J13">
        <v>60136.800000000003</v>
      </c>
      <c r="K13">
        <v>17652</v>
      </c>
      <c r="L13">
        <v>27407</v>
      </c>
      <c r="M13" s="8">
        <f>Table35[[#This Row],[Ausfuhr: Wert €]]*1000/Table35[[#This Row],[Ausfuhr: Gewicht]]</f>
        <v>129.27854719510879</v>
      </c>
      <c r="N13" s="8">
        <f>Table35[[#This Row],[Einfuhr: Wert €]]*1000/Table35[[#This Row],[Einfuhr: Gewicht]]</f>
        <v>293.53074989025021</v>
      </c>
      <c r="O13" s="8">
        <f>Table35[[#This Row],[Ausfuhr: Wert $]]*1000/Table35[[#This Row],[Ausfuhr: Gewicht]]</f>
        <v>200.72594730623865</v>
      </c>
      <c r="P13" s="8">
        <f>Table35[[#This Row],[Einfuhr: Wert $]]*1000/Table35[[#This Row],[Einfuhr: Gewicht]]</f>
        <v>455.74423647417223</v>
      </c>
    </row>
    <row r="14" spans="1:16" x14ac:dyDescent="0.25">
      <c r="B14">
        <f>(Table35[[#This Row],[Jahr]]-$C$8)*12+Table35[[#This Row],[Month nr]]</f>
        <v>4</v>
      </c>
      <c r="C14">
        <v>2008</v>
      </c>
      <c r="D14">
        <v>4</v>
      </c>
      <c r="E14" t="s">
        <v>16</v>
      </c>
      <c r="F14" t="str">
        <f>_xlfn.CONCAT(Table35[[#This Row],[Monat]]," ",Table35[[#This Row],[Jahr]])</f>
        <v>April 2008</v>
      </c>
      <c r="G14" s="10">
        <v>90596.500000000015</v>
      </c>
      <c r="H14" s="10">
        <v>12552</v>
      </c>
      <c r="I14" s="10">
        <v>19767</v>
      </c>
      <c r="J14" s="10">
        <v>54036.499999999985</v>
      </c>
      <c r="K14" s="10">
        <v>16239</v>
      </c>
      <c r="L14" s="10">
        <v>25572</v>
      </c>
      <c r="M14" s="8">
        <f>Table35[[#This Row],[Ausfuhr: Wert €]]*1000/Table35[[#This Row],[Ausfuhr: Gewicht]]</f>
        <v>138.54839866882273</v>
      </c>
      <c r="N14" s="8">
        <f>Table35[[#This Row],[Einfuhr: Wert €]]*1000/Table35[[#This Row],[Einfuhr: Gewicht]]</f>
        <v>300.51909357563875</v>
      </c>
      <c r="O14" s="8">
        <f>Table35[[#This Row],[Ausfuhr: Wert $]]*1000/Table35[[#This Row],[Ausfuhr: Gewicht]]</f>
        <v>218.18723681378415</v>
      </c>
      <c r="P14" s="8">
        <f>Table35[[#This Row],[Einfuhr: Wert $]]*1000/Table35[[#This Row],[Einfuhr: Gewicht]]</f>
        <v>473.23568328814798</v>
      </c>
    </row>
    <row r="15" spans="1:16" x14ac:dyDescent="0.25">
      <c r="B15">
        <f>(Table35[[#This Row],[Jahr]]-$C$8)*12+Table35[[#This Row],[Month nr]]</f>
        <v>5</v>
      </c>
      <c r="C15">
        <v>2008</v>
      </c>
      <c r="D15">
        <v>5</v>
      </c>
      <c r="E15" t="s">
        <v>20</v>
      </c>
      <c r="F15" t="str">
        <f>_xlfn.CONCAT(Table35[[#This Row],[Monat]]," ",Table35[[#This Row],[Jahr]])</f>
        <v>Mai 2008</v>
      </c>
      <c r="G15">
        <v>84217.200000000026</v>
      </c>
      <c r="H15">
        <v>11182</v>
      </c>
      <c r="I15">
        <v>17394</v>
      </c>
      <c r="J15">
        <v>64272.9</v>
      </c>
      <c r="K15">
        <v>22679</v>
      </c>
      <c r="L15">
        <v>35284</v>
      </c>
      <c r="M15" s="8">
        <f>Table35[[#This Row],[Ausfuhr: Wert €]]*1000/Table35[[#This Row],[Ausfuhr: Gewicht]]</f>
        <v>132.7757275235937</v>
      </c>
      <c r="N15" s="8">
        <f>Table35[[#This Row],[Einfuhr: Wert €]]*1000/Table35[[#This Row],[Einfuhr: Gewicht]]</f>
        <v>352.85478016395712</v>
      </c>
      <c r="O15" s="8">
        <f>Table35[[#This Row],[Ausfuhr: Wert $]]*1000/Table35[[#This Row],[Ausfuhr: Gewicht]]</f>
        <v>206.53738191248337</v>
      </c>
      <c r="P15" s="8">
        <f>Table35[[#This Row],[Einfuhr: Wert $]]*1000/Table35[[#This Row],[Einfuhr: Gewicht]]</f>
        <v>548.97165057123607</v>
      </c>
    </row>
    <row r="16" spans="1:16" x14ac:dyDescent="0.25">
      <c r="B16">
        <f>(Table35[[#This Row],[Jahr]]-$C$8)*12+Table35[[#This Row],[Month nr]]</f>
        <v>6</v>
      </c>
      <c r="C16">
        <v>2008</v>
      </c>
      <c r="D16">
        <v>6</v>
      </c>
      <c r="E16" t="s">
        <v>21</v>
      </c>
      <c r="F16" t="str">
        <f>_xlfn.CONCAT(Table35[[#This Row],[Monat]]," ",Table35[[#This Row],[Jahr]])</f>
        <v>Juni 2008</v>
      </c>
      <c r="G16">
        <v>50522.8</v>
      </c>
      <c r="H16">
        <v>8942</v>
      </c>
      <c r="I16">
        <v>13908</v>
      </c>
      <c r="J16">
        <v>100453.40000000001</v>
      </c>
      <c r="K16">
        <v>39863</v>
      </c>
      <c r="L16">
        <v>61999</v>
      </c>
      <c r="M16" s="8">
        <f>Table35[[#This Row],[Ausfuhr: Wert €]]*1000/Table35[[#This Row],[Ausfuhr: Gewicht]]</f>
        <v>176.98939884566965</v>
      </c>
      <c r="N16" s="8">
        <f>Table35[[#This Row],[Einfuhr: Wert €]]*1000/Table35[[#This Row],[Einfuhr: Gewicht]]</f>
        <v>396.83076929202991</v>
      </c>
      <c r="O16" s="8">
        <f>Table35[[#This Row],[Ausfuhr: Wert $]]*1000/Table35[[#This Row],[Ausfuhr: Gewicht]]</f>
        <v>275.28165501516145</v>
      </c>
      <c r="P16" s="8">
        <f>Table35[[#This Row],[Einfuhr: Wert $]]*1000/Table35[[#This Row],[Einfuhr: Gewicht]]</f>
        <v>617.19165304509352</v>
      </c>
    </row>
    <row r="17" spans="2:16" x14ac:dyDescent="0.25">
      <c r="B17">
        <f>(Table35[[#This Row],[Jahr]]-$C$8)*12+Table35[[#This Row],[Month nr]]</f>
        <v>7</v>
      </c>
      <c r="C17">
        <v>2008</v>
      </c>
      <c r="D17">
        <v>7</v>
      </c>
      <c r="E17" t="s">
        <v>22</v>
      </c>
      <c r="F17" t="str">
        <f>_xlfn.CONCAT(Table35[[#This Row],[Monat]]," ",Table35[[#This Row],[Jahr]])</f>
        <v>Juli 2008</v>
      </c>
      <c r="G17">
        <v>134529.90000000002</v>
      </c>
      <c r="H17">
        <v>21611</v>
      </c>
      <c r="I17">
        <v>34073</v>
      </c>
      <c r="J17">
        <v>95394.699999999983</v>
      </c>
      <c r="K17">
        <v>29159</v>
      </c>
      <c r="L17">
        <v>45979</v>
      </c>
      <c r="M17" s="8">
        <f>Table35[[#This Row],[Ausfuhr: Wert €]]*1000/Table35[[#This Row],[Ausfuhr: Gewicht]]</f>
        <v>160.64086868421069</v>
      </c>
      <c r="N17" s="8">
        <f>Table35[[#This Row],[Einfuhr: Wert €]]*1000/Table35[[#This Row],[Einfuhr: Gewicht]]</f>
        <v>305.66687667134551</v>
      </c>
      <c r="O17" s="8">
        <f>Table35[[#This Row],[Ausfuhr: Wert $]]*1000/Table35[[#This Row],[Ausfuhr: Gewicht]]</f>
        <v>253.27455086192731</v>
      </c>
      <c r="P17" s="8">
        <f>Table35[[#This Row],[Einfuhr: Wert $]]*1000/Table35[[#This Row],[Einfuhr: Gewicht]]</f>
        <v>481.98694476737188</v>
      </c>
    </row>
    <row r="18" spans="2:16" x14ac:dyDescent="0.25">
      <c r="B18">
        <f>(Table35[[#This Row],[Jahr]]-$C$8)*12+Table35[[#This Row],[Month nr]]</f>
        <v>8</v>
      </c>
      <c r="C18">
        <v>2008</v>
      </c>
      <c r="D18">
        <v>8</v>
      </c>
      <c r="E18" t="s">
        <v>17</v>
      </c>
      <c r="F18" t="str">
        <f>_xlfn.CONCAT(Table35[[#This Row],[Monat]]," ",Table35[[#This Row],[Jahr]])</f>
        <v>August 2008</v>
      </c>
      <c r="G18">
        <v>170576.19999999998</v>
      </c>
      <c r="H18">
        <v>20578</v>
      </c>
      <c r="I18">
        <v>30817</v>
      </c>
      <c r="J18">
        <v>32625.4</v>
      </c>
      <c r="K18">
        <v>8983</v>
      </c>
      <c r="L18">
        <v>13452</v>
      </c>
      <c r="M18" s="8">
        <f>Table35[[#This Row],[Ausfuhr: Wert €]]*1000/Table35[[#This Row],[Ausfuhr: Gewicht]]</f>
        <v>120.63816640305038</v>
      </c>
      <c r="N18" s="8">
        <f>Table35[[#This Row],[Einfuhr: Wert €]]*1000/Table35[[#This Row],[Einfuhr: Gewicht]]</f>
        <v>275.33762038166583</v>
      </c>
      <c r="O18" s="8">
        <f>Table35[[#This Row],[Ausfuhr: Wert $]]*1000/Table35[[#This Row],[Ausfuhr: Gewicht]]</f>
        <v>180.66412547588703</v>
      </c>
      <c r="P18" s="8">
        <f>Table35[[#This Row],[Einfuhr: Wert $]]*1000/Table35[[#This Row],[Einfuhr: Gewicht]]</f>
        <v>412.31678385552357</v>
      </c>
    </row>
    <row r="19" spans="2:16" x14ac:dyDescent="0.25">
      <c r="B19">
        <f>(Table35[[#This Row],[Jahr]]-$C$8)*12+Table35[[#This Row],[Month nr]]</f>
        <v>9</v>
      </c>
      <c r="C19">
        <v>2008</v>
      </c>
      <c r="D19">
        <v>9</v>
      </c>
      <c r="E19" t="s">
        <v>18</v>
      </c>
      <c r="F19" t="str">
        <f>_xlfn.CONCAT(Table35[[#This Row],[Monat]]," ",Table35[[#This Row],[Jahr]])</f>
        <v>September 2008</v>
      </c>
      <c r="G19">
        <v>149886.80000000002</v>
      </c>
      <c r="H19">
        <v>17737</v>
      </c>
      <c r="I19">
        <v>25484</v>
      </c>
      <c r="J19">
        <v>59742.799999999996</v>
      </c>
      <c r="K19">
        <v>9441</v>
      </c>
      <c r="L19">
        <v>13567</v>
      </c>
      <c r="M19" s="8">
        <f>Table35[[#This Row],[Ausfuhr: Wert €]]*1000/Table35[[#This Row],[Ausfuhr: Gewicht]]</f>
        <v>118.33597087935694</v>
      </c>
      <c r="N19" s="8">
        <f>Table35[[#This Row],[Einfuhr: Wert €]]*1000/Table35[[#This Row],[Einfuhr: Gewicht]]</f>
        <v>158.02741083444366</v>
      </c>
      <c r="O19" s="8">
        <f>Table35[[#This Row],[Ausfuhr: Wert $]]*1000/Table35[[#This Row],[Ausfuhr: Gewicht]]</f>
        <v>170.02164299991725</v>
      </c>
      <c r="P19" s="8">
        <f>Table35[[#This Row],[Einfuhr: Wert $]]*1000/Table35[[#This Row],[Einfuhr: Gewicht]]</f>
        <v>227.09012634158427</v>
      </c>
    </row>
    <row r="20" spans="2:16" x14ac:dyDescent="0.25">
      <c r="B20">
        <f>(Table35[[#This Row],[Jahr]]-$C$8)*12+Table35[[#This Row],[Month nr]]</f>
        <v>10</v>
      </c>
      <c r="C20">
        <v>2008</v>
      </c>
      <c r="D20">
        <v>10</v>
      </c>
      <c r="E20" t="s">
        <v>23</v>
      </c>
      <c r="F20" t="str">
        <f>_xlfn.CONCAT(Table35[[#This Row],[Monat]]," ",Table35[[#This Row],[Jahr]])</f>
        <v>Oktober 2008</v>
      </c>
      <c r="G20">
        <v>243353.90000000005</v>
      </c>
      <c r="H20">
        <v>18644</v>
      </c>
      <c r="I20">
        <v>24835</v>
      </c>
      <c r="J20">
        <v>11949.5</v>
      </c>
      <c r="K20">
        <v>3209</v>
      </c>
      <c r="L20">
        <v>4274</v>
      </c>
      <c r="M20" s="8">
        <f>Table35[[#This Row],[Ausfuhr: Wert €]]*1000/Table35[[#This Row],[Ausfuhr: Gewicht]]</f>
        <v>76.61270273457707</v>
      </c>
      <c r="N20" s="8">
        <f>Table35[[#This Row],[Einfuhr: Wert €]]*1000/Table35[[#This Row],[Einfuhr: Gewicht]]</f>
        <v>268.54680112138584</v>
      </c>
      <c r="O20" s="8">
        <f>Table35[[#This Row],[Ausfuhr: Wert $]]*1000/Table35[[#This Row],[Ausfuhr: Gewicht]]</f>
        <v>102.05301825859374</v>
      </c>
      <c r="P20" s="8">
        <f>Table35[[#This Row],[Einfuhr: Wert $]]*1000/Table35[[#This Row],[Einfuhr: Gewicht]]</f>
        <v>357.67186911586259</v>
      </c>
    </row>
    <row r="21" spans="2:16" x14ac:dyDescent="0.25">
      <c r="B21">
        <f>(Table35[[#This Row],[Jahr]]-$C$8)*12+Table35[[#This Row],[Month nr]]</f>
        <v>11</v>
      </c>
      <c r="C21">
        <v>2008</v>
      </c>
      <c r="D21">
        <v>11</v>
      </c>
      <c r="E21" t="s">
        <v>19</v>
      </c>
      <c r="F21" t="str">
        <f>_xlfn.CONCAT(Table35[[#This Row],[Monat]]," ",Table35[[#This Row],[Jahr]])</f>
        <v>November 2008</v>
      </c>
      <c r="G21">
        <v>164986.09999999995</v>
      </c>
      <c r="H21">
        <v>14233</v>
      </c>
      <c r="I21">
        <v>18120</v>
      </c>
      <c r="J21">
        <v>11873.999999999998</v>
      </c>
      <c r="K21">
        <v>3320</v>
      </c>
      <c r="L21">
        <v>4228</v>
      </c>
      <c r="M21" s="8">
        <f>Table35[[#This Row],[Ausfuhr: Wert €]]*1000/Table35[[#This Row],[Ausfuhr: Gewicht]]</f>
        <v>86.267873475401899</v>
      </c>
      <c r="N21" s="8">
        <f>Table35[[#This Row],[Einfuhr: Wert €]]*1000/Table35[[#This Row],[Einfuhr: Gewicht]]</f>
        <v>279.60249284150251</v>
      </c>
      <c r="O21" s="8">
        <f>Table35[[#This Row],[Ausfuhr: Wert $]]*1000/Table35[[#This Row],[Ausfuhr: Gewicht]]</f>
        <v>109.82743394746591</v>
      </c>
      <c r="P21" s="8">
        <f>Table35[[#This Row],[Einfuhr: Wert $]]*1000/Table35[[#This Row],[Einfuhr: Gewicht]]</f>
        <v>356.07209028128688</v>
      </c>
    </row>
    <row r="22" spans="2:16" x14ac:dyDescent="0.25">
      <c r="B22">
        <f>(Table35[[#This Row],[Jahr]]-$C$8)*12+Table35[[#This Row],[Month nr]]</f>
        <v>12</v>
      </c>
      <c r="C22">
        <v>2008</v>
      </c>
      <c r="D22">
        <v>12</v>
      </c>
      <c r="E22" t="s">
        <v>24</v>
      </c>
      <c r="F22" t="str">
        <f>_xlfn.CONCAT(Table35[[#This Row],[Monat]]," ",Table35[[#This Row],[Jahr]])</f>
        <v>Dezember 2008</v>
      </c>
      <c r="G22">
        <v>76863.3</v>
      </c>
      <c r="H22">
        <v>10158</v>
      </c>
      <c r="I22">
        <v>13659</v>
      </c>
      <c r="J22">
        <v>12508</v>
      </c>
      <c r="K22">
        <v>4145</v>
      </c>
      <c r="L22">
        <v>5574</v>
      </c>
      <c r="M22" s="8">
        <f>Table35[[#This Row],[Ausfuhr: Wert €]]*1000/Table35[[#This Row],[Ausfuhr: Gewicht]]</f>
        <v>132.15669897077018</v>
      </c>
      <c r="N22" s="8">
        <f>Table35[[#This Row],[Einfuhr: Wert €]]*1000/Table35[[#This Row],[Einfuhr: Gewicht]]</f>
        <v>331.38791173648866</v>
      </c>
      <c r="O22" s="8">
        <f>Table35[[#This Row],[Ausfuhr: Wert $]]*1000/Table35[[#This Row],[Ausfuhr: Gewicht]]</f>
        <v>177.70509462903621</v>
      </c>
      <c r="P22" s="8">
        <f>Table35[[#This Row],[Einfuhr: Wert $]]*1000/Table35[[#This Row],[Einfuhr: Gewicht]]</f>
        <v>445.63479373201153</v>
      </c>
    </row>
    <row r="23" spans="2:16" x14ac:dyDescent="0.25">
      <c r="B23">
        <f>(Table35[[#This Row],[Jahr]]-$C$8)*12+Table35[[#This Row],[Month nr]]</f>
        <v>13</v>
      </c>
      <c r="C23">
        <v>2009</v>
      </c>
      <c r="D23">
        <v>1</v>
      </c>
      <c r="E23" t="s">
        <v>13</v>
      </c>
      <c r="F23" t="str">
        <f>_xlfn.CONCAT(Table35[[#This Row],[Monat]]," ",Table35[[#This Row],[Jahr]])</f>
        <v>Januar 2009</v>
      </c>
      <c r="G23">
        <v>189161.10000000003</v>
      </c>
      <c r="H23">
        <v>16629</v>
      </c>
      <c r="I23">
        <v>22013</v>
      </c>
      <c r="J23">
        <v>21777.7</v>
      </c>
      <c r="K23">
        <v>5450</v>
      </c>
      <c r="L23">
        <v>7214</v>
      </c>
      <c r="M23" s="8">
        <f>Table35[[#This Row],[Ausfuhr: Wert €]]*1000/Table35[[#This Row],[Ausfuhr: Gewicht]]</f>
        <v>87.909194860888405</v>
      </c>
      <c r="N23" s="8">
        <f>Table35[[#This Row],[Einfuhr: Wert €]]*1000/Table35[[#This Row],[Einfuhr: Gewicht]]</f>
        <v>250.25599581222994</v>
      </c>
      <c r="O23" s="8">
        <f>Table35[[#This Row],[Ausfuhr: Wert $]]*1000/Table35[[#This Row],[Ausfuhr: Gewicht]]</f>
        <v>116.37170644492973</v>
      </c>
      <c r="P23" s="8">
        <f>Table35[[#This Row],[Einfuhr: Wert $]]*1000/Table35[[#This Row],[Einfuhr: Gewicht]]</f>
        <v>331.2562850989774</v>
      </c>
    </row>
    <row r="24" spans="2:16" x14ac:dyDescent="0.25">
      <c r="B24">
        <f>(Table35[[#This Row],[Jahr]]-$C$8)*12+Table35[[#This Row],[Month nr]]</f>
        <v>14</v>
      </c>
      <c r="C24">
        <v>2009</v>
      </c>
      <c r="D24">
        <v>2</v>
      </c>
      <c r="E24" t="s">
        <v>14</v>
      </c>
      <c r="F24" t="str">
        <f>_xlfn.CONCAT(Table35[[#This Row],[Monat]]," ",Table35[[#This Row],[Jahr]])</f>
        <v>Februar 2009</v>
      </c>
      <c r="G24">
        <v>149392.50000000006</v>
      </c>
      <c r="H24">
        <v>17665</v>
      </c>
      <c r="I24">
        <v>22585</v>
      </c>
      <c r="J24">
        <v>54572.1</v>
      </c>
      <c r="K24">
        <v>12184</v>
      </c>
      <c r="L24">
        <v>15581</v>
      </c>
      <c r="M24" s="8">
        <f>Table35[[#This Row],[Ausfuhr: Wert €]]*1000/Table35[[#This Row],[Ausfuhr: Gewicht]]</f>
        <v>118.24556118948404</v>
      </c>
      <c r="N24" s="8">
        <f>Table35[[#This Row],[Einfuhr: Wert €]]*1000/Table35[[#This Row],[Einfuhr: Gewicht]]</f>
        <v>223.2642687380548</v>
      </c>
      <c r="O24" s="8">
        <f>Table35[[#This Row],[Ausfuhr: Wert $]]*1000/Table35[[#This Row],[Ausfuhr: Gewicht]]</f>
        <v>151.17894137925259</v>
      </c>
      <c r="P24" s="8">
        <f>Table35[[#This Row],[Einfuhr: Wert $]]*1000/Table35[[#This Row],[Einfuhr: Gewicht]]</f>
        <v>285.51219395991723</v>
      </c>
    </row>
    <row r="25" spans="2:16" x14ac:dyDescent="0.25">
      <c r="B25">
        <f>(Table35[[#This Row],[Jahr]]-$C$8)*12+Table35[[#This Row],[Month nr]]</f>
        <v>15</v>
      </c>
      <c r="C25">
        <v>2009</v>
      </c>
      <c r="D25">
        <v>3</v>
      </c>
      <c r="E25" t="s">
        <v>15</v>
      </c>
      <c r="F25" t="str">
        <f>_xlfn.CONCAT(Table35[[#This Row],[Monat]]," ",Table35[[#This Row],[Jahr]])</f>
        <v>März 2009</v>
      </c>
      <c r="G25">
        <v>113782.20000000001</v>
      </c>
      <c r="H25">
        <v>14054</v>
      </c>
      <c r="I25">
        <v>18342</v>
      </c>
      <c r="J25">
        <v>81763.100000000006</v>
      </c>
      <c r="K25">
        <v>18727</v>
      </c>
      <c r="L25">
        <v>24440</v>
      </c>
      <c r="M25" s="8">
        <f>Table35[[#This Row],[Ausfuhr: Wert €]]*1000/Table35[[#This Row],[Ausfuhr: Gewicht]]</f>
        <v>123.51668362889801</v>
      </c>
      <c r="N25" s="8">
        <f>Table35[[#This Row],[Einfuhr: Wert €]]*1000/Table35[[#This Row],[Einfuhr: Gewicht]]</f>
        <v>229.03975020516589</v>
      </c>
      <c r="O25" s="8">
        <f>Table35[[#This Row],[Ausfuhr: Wert $]]*1000/Table35[[#This Row],[Ausfuhr: Gewicht]]</f>
        <v>161.20271887869981</v>
      </c>
      <c r="P25" s="8">
        <f>Table35[[#This Row],[Einfuhr: Wert $]]*1000/Table35[[#This Row],[Einfuhr: Gewicht]]</f>
        <v>298.91234554462829</v>
      </c>
    </row>
    <row r="26" spans="2:16" x14ac:dyDescent="0.25">
      <c r="B26">
        <f>(Table35[[#This Row],[Jahr]]-$C$8)*12+Table35[[#This Row],[Month nr]]</f>
        <v>16</v>
      </c>
      <c r="C26">
        <v>2009</v>
      </c>
      <c r="D26">
        <v>4</v>
      </c>
      <c r="E26" t="s">
        <v>16</v>
      </c>
      <c r="F26" t="str">
        <f>_xlfn.CONCAT(Table35[[#This Row],[Monat]]," ",Table35[[#This Row],[Jahr]])</f>
        <v>April 2009</v>
      </c>
      <c r="G26" s="10">
        <v>109949.7</v>
      </c>
      <c r="H26" s="10">
        <v>16414</v>
      </c>
      <c r="I26" s="10">
        <v>21649</v>
      </c>
      <c r="J26" s="10">
        <v>84685.699999999968</v>
      </c>
      <c r="K26" s="10">
        <v>23927</v>
      </c>
      <c r="L26" s="10">
        <v>31559</v>
      </c>
      <c r="M26" s="8">
        <f>Table35[[#This Row],[Ausfuhr: Wert €]]*1000/Table35[[#This Row],[Ausfuhr: Gewicht]]</f>
        <v>149.28644643868969</v>
      </c>
      <c r="N26" s="8">
        <f>Table35[[#This Row],[Einfuhr: Wert €]]*1000/Table35[[#This Row],[Einfuhr: Gewicht]]</f>
        <v>282.53884658212672</v>
      </c>
      <c r="O26" s="8">
        <f>Table35[[#This Row],[Ausfuhr: Wert $]]*1000/Table35[[#This Row],[Ausfuhr: Gewicht]]</f>
        <v>196.89912751012508</v>
      </c>
      <c r="P26" s="8">
        <f>Table35[[#This Row],[Einfuhr: Wert $]]*1000/Table35[[#This Row],[Einfuhr: Gewicht]]</f>
        <v>372.66031927468288</v>
      </c>
    </row>
    <row r="27" spans="2:16" x14ac:dyDescent="0.25">
      <c r="B27">
        <f>(Table35[[#This Row],[Jahr]]-$C$8)*12+Table35[[#This Row],[Month nr]]</f>
        <v>17</v>
      </c>
      <c r="C27">
        <v>2009</v>
      </c>
      <c r="D27">
        <v>5</v>
      </c>
      <c r="E27" t="s">
        <v>20</v>
      </c>
      <c r="F27" t="str">
        <f>_xlfn.CONCAT(Table35[[#This Row],[Monat]]," ",Table35[[#This Row],[Jahr]])</f>
        <v>Mai 2009</v>
      </c>
      <c r="G27">
        <v>101784.8</v>
      </c>
      <c r="H27">
        <v>14583</v>
      </c>
      <c r="I27">
        <v>19907</v>
      </c>
      <c r="J27">
        <v>71295.900000000023</v>
      </c>
      <c r="K27">
        <v>22604</v>
      </c>
      <c r="L27">
        <v>30857</v>
      </c>
      <c r="M27" s="8">
        <f>Table35[[#This Row],[Ausfuhr: Wert €]]*1000/Table35[[#This Row],[Ausfuhr: Gewicht]]</f>
        <v>143.27286588960237</v>
      </c>
      <c r="N27" s="8">
        <f>Table35[[#This Row],[Einfuhr: Wert €]]*1000/Table35[[#This Row],[Einfuhr: Gewicht]]</f>
        <v>317.04487915854901</v>
      </c>
      <c r="O27" s="8">
        <f>Table35[[#This Row],[Ausfuhr: Wert $]]*1000/Table35[[#This Row],[Ausfuhr: Gewicht]]</f>
        <v>195.57930064213909</v>
      </c>
      <c r="P27" s="8">
        <f>Table35[[#This Row],[Einfuhr: Wert $]]*1000/Table35[[#This Row],[Einfuhr: Gewicht]]</f>
        <v>432.80188622347134</v>
      </c>
    </row>
    <row r="28" spans="2:16" x14ac:dyDescent="0.25">
      <c r="B28">
        <f>(Table35[[#This Row],[Jahr]]-$C$8)*12+Table35[[#This Row],[Month nr]]</f>
        <v>18</v>
      </c>
      <c r="C28">
        <v>2009</v>
      </c>
      <c r="D28">
        <v>6</v>
      </c>
      <c r="E28" t="s">
        <v>21</v>
      </c>
      <c r="F28" t="str">
        <f>_xlfn.CONCAT(Table35[[#This Row],[Monat]]," ",Table35[[#This Row],[Jahr]])</f>
        <v>Juni 2009</v>
      </c>
      <c r="G28">
        <v>76840</v>
      </c>
      <c r="H28">
        <v>10977</v>
      </c>
      <c r="I28">
        <v>15386</v>
      </c>
      <c r="J28">
        <v>90808.900000000009</v>
      </c>
      <c r="K28">
        <v>26153</v>
      </c>
      <c r="L28">
        <v>36657</v>
      </c>
      <c r="M28" s="8">
        <f>Table35[[#This Row],[Ausfuhr: Wert €]]*1000/Table35[[#This Row],[Ausfuhr: Gewicht]]</f>
        <v>142.85528370640293</v>
      </c>
      <c r="N28" s="8">
        <f>Table35[[#This Row],[Einfuhr: Wert €]]*1000/Table35[[#This Row],[Einfuhr: Gewicht]]</f>
        <v>288.00040524662228</v>
      </c>
      <c r="O28" s="8">
        <f>Table35[[#This Row],[Ausfuhr: Wert $]]*1000/Table35[[#This Row],[Ausfuhr: Gewicht]]</f>
        <v>200.2342529932327</v>
      </c>
      <c r="P28" s="8">
        <f>Table35[[#This Row],[Einfuhr: Wert $]]*1000/Table35[[#This Row],[Einfuhr: Gewicht]]</f>
        <v>403.67188678642731</v>
      </c>
    </row>
    <row r="29" spans="2:16" x14ac:dyDescent="0.25">
      <c r="B29">
        <f>(Table35[[#This Row],[Jahr]]-$C$8)*12+Table35[[#This Row],[Month nr]]</f>
        <v>19</v>
      </c>
      <c r="C29">
        <v>2009</v>
      </c>
      <c r="D29">
        <v>7</v>
      </c>
      <c r="E29" t="s">
        <v>22</v>
      </c>
      <c r="F29" t="str">
        <f>_xlfn.CONCAT(Table35[[#This Row],[Monat]]," ",Table35[[#This Row],[Jahr]])</f>
        <v>Juli 2009</v>
      </c>
      <c r="G29">
        <v>142397.80000000005</v>
      </c>
      <c r="H29">
        <v>20040</v>
      </c>
      <c r="I29">
        <v>28233</v>
      </c>
      <c r="J29">
        <v>79339.8</v>
      </c>
      <c r="K29">
        <v>23495</v>
      </c>
      <c r="L29">
        <v>33098</v>
      </c>
      <c r="M29" s="8">
        <f>Table35[[#This Row],[Ausfuhr: Wert €]]*1000/Table35[[#This Row],[Ausfuhr: Gewicht]]</f>
        <v>140.73251131688826</v>
      </c>
      <c r="N29" s="8">
        <f>Table35[[#This Row],[Einfuhr: Wert €]]*1000/Table35[[#This Row],[Einfuhr: Gewicht]]</f>
        <v>296.13132374924061</v>
      </c>
      <c r="O29" s="8">
        <f>Table35[[#This Row],[Ausfuhr: Wert $]]*1000/Table35[[#This Row],[Ausfuhr: Gewicht]]</f>
        <v>198.26851257533465</v>
      </c>
      <c r="P29" s="8">
        <f>Table35[[#This Row],[Einfuhr: Wert $]]*1000/Table35[[#This Row],[Einfuhr: Gewicht]]</f>
        <v>417.16767624823859</v>
      </c>
    </row>
    <row r="30" spans="2:16" x14ac:dyDescent="0.25">
      <c r="B30">
        <f>(Table35[[#This Row],[Jahr]]-$C$8)*12+Table35[[#This Row],[Month nr]]</f>
        <v>20</v>
      </c>
      <c r="C30">
        <v>2009</v>
      </c>
      <c r="D30">
        <v>8</v>
      </c>
      <c r="E30" t="s">
        <v>17</v>
      </c>
      <c r="F30" t="str">
        <f>_xlfn.CONCAT(Table35[[#This Row],[Monat]]," ",Table35[[#This Row],[Jahr]])</f>
        <v>August 2009</v>
      </c>
      <c r="G30">
        <v>173164.9</v>
      </c>
      <c r="H30">
        <v>15690</v>
      </c>
      <c r="I30">
        <v>22388</v>
      </c>
      <c r="J30">
        <v>20821.699999999993</v>
      </c>
      <c r="K30">
        <v>4076</v>
      </c>
      <c r="L30">
        <v>5818</v>
      </c>
      <c r="M30" s="8">
        <f>Table35[[#This Row],[Ausfuhr: Wert €]]*1000/Table35[[#This Row],[Ausfuhr: Gewicht]]</f>
        <v>90.607276647865703</v>
      </c>
      <c r="N30" s="8">
        <f>Table35[[#This Row],[Einfuhr: Wert €]]*1000/Table35[[#This Row],[Einfuhr: Gewicht]]</f>
        <v>195.75731088239678</v>
      </c>
      <c r="O30" s="8">
        <f>Table35[[#This Row],[Ausfuhr: Wert $]]*1000/Table35[[#This Row],[Ausfuhr: Gewicht]]</f>
        <v>129.28717078345554</v>
      </c>
      <c r="P30" s="8">
        <f>Table35[[#This Row],[Einfuhr: Wert $]]*1000/Table35[[#This Row],[Einfuhr: Gewicht]]</f>
        <v>279.42002814371551</v>
      </c>
    </row>
    <row r="31" spans="2:16" x14ac:dyDescent="0.25">
      <c r="B31">
        <f>(Table35[[#This Row],[Jahr]]-$C$8)*12+Table35[[#This Row],[Month nr]]</f>
        <v>21</v>
      </c>
      <c r="C31">
        <v>2009</v>
      </c>
      <c r="D31">
        <v>9</v>
      </c>
      <c r="E31" t="s">
        <v>18</v>
      </c>
      <c r="F31" t="str">
        <f>_xlfn.CONCAT(Table35[[#This Row],[Monat]]," ",Table35[[#This Row],[Jahr]])</f>
        <v>September 2009</v>
      </c>
      <c r="G31">
        <v>189234.30000000002</v>
      </c>
      <c r="H31">
        <v>15260</v>
      </c>
      <c r="I31">
        <v>22226</v>
      </c>
      <c r="J31">
        <v>14590</v>
      </c>
      <c r="K31">
        <v>3427</v>
      </c>
      <c r="L31">
        <v>4994</v>
      </c>
      <c r="M31" s="8">
        <f>Table35[[#This Row],[Ausfuhr: Wert €]]*1000/Table35[[#This Row],[Ausfuhr: Gewicht]]</f>
        <v>80.640771783973619</v>
      </c>
      <c r="N31" s="8">
        <f>Table35[[#This Row],[Einfuhr: Wert €]]*1000/Table35[[#This Row],[Einfuhr: Gewicht]]</f>
        <v>234.88690884167238</v>
      </c>
      <c r="O31" s="8">
        <f>Table35[[#This Row],[Ausfuhr: Wert $]]*1000/Table35[[#This Row],[Ausfuhr: Gewicht]]</f>
        <v>117.45228005705096</v>
      </c>
      <c r="P31" s="8">
        <f>Table35[[#This Row],[Einfuhr: Wert $]]*1000/Table35[[#This Row],[Einfuhr: Gewicht]]</f>
        <v>342.28923920493486</v>
      </c>
    </row>
    <row r="32" spans="2:16" x14ac:dyDescent="0.25">
      <c r="B32">
        <f>(Table35[[#This Row],[Jahr]]-$C$8)*12+Table35[[#This Row],[Month nr]]</f>
        <v>22</v>
      </c>
      <c r="C32">
        <v>2009</v>
      </c>
      <c r="D32">
        <v>10</v>
      </c>
      <c r="E32" t="s">
        <v>23</v>
      </c>
      <c r="F32" t="str">
        <f>_xlfn.CONCAT(Table35[[#This Row],[Monat]]," ",Table35[[#This Row],[Jahr]])</f>
        <v>Oktober 2009</v>
      </c>
      <c r="G32">
        <v>162659.9</v>
      </c>
      <c r="H32">
        <v>13530</v>
      </c>
      <c r="I32">
        <v>20043</v>
      </c>
      <c r="J32">
        <v>12252.300000000001</v>
      </c>
      <c r="K32">
        <v>2721</v>
      </c>
      <c r="L32">
        <v>4031</v>
      </c>
      <c r="M32" s="8">
        <f>Table35[[#This Row],[Ausfuhr: Wert €]]*1000/Table35[[#This Row],[Ausfuhr: Gewicht]]</f>
        <v>83.179689646925894</v>
      </c>
      <c r="N32" s="8">
        <f>Table35[[#This Row],[Einfuhr: Wert €]]*1000/Table35[[#This Row],[Einfuhr: Gewicht]]</f>
        <v>222.08075218530396</v>
      </c>
      <c r="O32" s="8">
        <f>Table35[[#This Row],[Ausfuhr: Wert $]]*1000/Table35[[#This Row],[Ausfuhr: Gewicht]]</f>
        <v>123.22028969647714</v>
      </c>
      <c r="P32" s="8">
        <f>Table35[[#This Row],[Einfuhr: Wert $]]*1000/Table35[[#This Row],[Einfuhr: Gewicht]]</f>
        <v>328.99945316389574</v>
      </c>
    </row>
    <row r="33" spans="2:16" x14ac:dyDescent="0.25">
      <c r="B33">
        <f>(Table35[[#This Row],[Jahr]]-$C$8)*12+Table35[[#This Row],[Month nr]]</f>
        <v>23</v>
      </c>
      <c r="C33">
        <v>2009</v>
      </c>
      <c r="D33">
        <v>11</v>
      </c>
      <c r="E33" t="s">
        <v>19</v>
      </c>
      <c r="F33" t="str">
        <f>_xlfn.CONCAT(Table35[[#This Row],[Monat]]," ",Table35[[#This Row],[Jahr]])</f>
        <v>November 2009</v>
      </c>
      <c r="G33">
        <v>90462.499999999971</v>
      </c>
      <c r="H33">
        <v>8941</v>
      </c>
      <c r="I33">
        <v>13332</v>
      </c>
      <c r="J33">
        <v>16300.2</v>
      </c>
      <c r="K33">
        <v>4345</v>
      </c>
      <c r="L33">
        <v>6478</v>
      </c>
      <c r="M33" s="8">
        <f>Table35[[#This Row],[Ausfuhr: Wert €]]*1000/Table35[[#This Row],[Ausfuhr: Gewicht]]</f>
        <v>98.836534475611472</v>
      </c>
      <c r="N33" s="8">
        <f>Table35[[#This Row],[Einfuhr: Wert €]]*1000/Table35[[#This Row],[Einfuhr: Gewicht]]</f>
        <v>266.56114648900012</v>
      </c>
      <c r="O33" s="8">
        <f>Table35[[#This Row],[Ausfuhr: Wert $]]*1000/Table35[[#This Row],[Ausfuhr: Gewicht]]</f>
        <v>147.37598452397407</v>
      </c>
      <c r="P33" s="8">
        <f>Table35[[#This Row],[Einfuhr: Wert $]]*1000/Table35[[#This Row],[Einfuhr: Gewicht]]</f>
        <v>397.41843658360017</v>
      </c>
    </row>
    <row r="34" spans="2:16" x14ac:dyDescent="0.25">
      <c r="B34">
        <f>(Table35[[#This Row],[Jahr]]-$C$8)*12+Table35[[#This Row],[Month nr]]</f>
        <v>24</v>
      </c>
      <c r="C34">
        <v>2009</v>
      </c>
      <c r="D34">
        <v>12</v>
      </c>
      <c r="E34" t="s">
        <v>24</v>
      </c>
      <c r="F34" t="str">
        <f>_xlfn.CONCAT(Table35[[#This Row],[Monat]]," ",Table35[[#This Row],[Jahr]])</f>
        <v>Dezember 2009</v>
      </c>
      <c r="G34">
        <v>195581.90000000002</v>
      </c>
      <c r="H34">
        <v>14103</v>
      </c>
      <c r="I34">
        <v>20609</v>
      </c>
      <c r="J34">
        <v>16039.999999999998</v>
      </c>
      <c r="K34">
        <v>4277</v>
      </c>
      <c r="L34">
        <v>6250</v>
      </c>
      <c r="M34" s="8">
        <f>Table35[[#This Row],[Ausfuhr: Wert €]]*1000/Table35[[#This Row],[Ausfuhr: Gewicht]]</f>
        <v>72.10789955512243</v>
      </c>
      <c r="N34" s="8">
        <f>Table35[[#This Row],[Einfuhr: Wert €]]*1000/Table35[[#This Row],[Einfuhr: Gewicht]]</f>
        <v>266.64588528678308</v>
      </c>
      <c r="O34" s="8">
        <f>Table35[[#This Row],[Ausfuhr: Wert $]]*1000/Table35[[#This Row],[Ausfuhr: Gewicht]]</f>
        <v>105.37273643419968</v>
      </c>
      <c r="P34" s="8">
        <f>Table35[[#This Row],[Einfuhr: Wert $]]*1000/Table35[[#This Row],[Einfuhr: Gewicht]]</f>
        <v>389.65087281795513</v>
      </c>
    </row>
    <row r="35" spans="2:16" x14ac:dyDescent="0.25">
      <c r="B35">
        <f>(Table35[[#This Row],[Jahr]]-$C$8)*12+Table35[[#This Row],[Month nr]]</f>
        <v>25</v>
      </c>
      <c r="C35">
        <v>2010</v>
      </c>
      <c r="D35">
        <v>1</v>
      </c>
      <c r="E35" t="s">
        <v>13</v>
      </c>
      <c r="F35" t="str">
        <f>_xlfn.CONCAT(Table35[[#This Row],[Monat]]," ",Table35[[#This Row],[Jahr]])</f>
        <v>Januar 2010</v>
      </c>
      <c r="G35">
        <v>144211.29999999999</v>
      </c>
      <c r="H35">
        <v>13698</v>
      </c>
      <c r="I35">
        <v>19547</v>
      </c>
      <c r="J35">
        <v>18471.400000000001</v>
      </c>
      <c r="K35">
        <v>4078</v>
      </c>
      <c r="L35">
        <v>5819</v>
      </c>
      <c r="M35" s="8">
        <f>Table35[[#This Row],[Ausfuhr: Wert €]]*1000/Table35[[#This Row],[Ausfuhr: Gewicht]]</f>
        <v>94.985621792467029</v>
      </c>
      <c r="N35" s="8">
        <f>Table35[[#This Row],[Einfuhr: Wert €]]*1000/Table35[[#This Row],[Einfuhr: Gewicht]]</f>
        <v>220.77373669564838</v>
      </c>
      <c r="O35" s="8">
        <f>Table35[[#This Row],[Ausfuhr: Wert $]]*1000/Table35[[#This Row],[Ausfuhr: Gewicht]]</f>
        <v>135.54416332145956</v>
      </c>
      <c r="P35" s="8">
        <f>Table35[[#This Row],[Einfuhr: Wert $]]*1000/Table35[[#This Row],[Einfuhr: Gewicht]]</f>
        <v>315.02755611377586</v>
      </c>
    </row>
    <row r="36" spans="2:16" x14ac:dyDescent="0.25">
      <c r="B36">
        <f>(Table35[[#This Row],[Jahr]]-$C$8)*12+Table35[[#This Row],[Month nr]]</f>
        <v>26</v>
      </c>
      <c r="C36">
        <v>2010</v>
      </c>
      <c r="D36">
        <v>2</v>
      </c>
      <c r="E36" t="s">
        <v>14</v>
      </c>
      <c r="F36" t="str">
        <f>_xlfn.CONCAT(Table35[[#This Row],[Monat]]," ",Table35[[#This Row],[Jahr]])</f>
        <v>Februar 2010</v>
      </c>
      <c r="G36">
        <v>126874.70000000003</v>
      </c>
      <c r="H36">
        <v>12522</v>
      </c>
      <c r="I36">
        <v>17139</v>
      </c>
      <c r="J36">
        <v>35967.400000000009</v>
      </c>
      <c r="K36">
        <v>8081</v>
      </c>
      <c r="L36">
        <v>11059</v>
      </c>
      <c r="M36" s="8">
        <f>Table35[[#This Row],[Ausfuhr: Wert €]]*1000/Table35[[#This Row],[Ausfuhr: Gewicht]]</f>
        <v>98.695799871842041</v>
      </c>
      <c r="N36" s="8">
        <f>Table35[[#This Row],[Einfuhr: Wert €]]*1000/Table35[[#This Row],[Einfuhr: Gewicht]]</f>
        <v>224.67567853111424</v>
      </c>
      <c r="O36" s="8">
        <f>Table35[[#This Row],[Ausfuhr: Wert $]]*1000/Table35[[#This Row],[Ausfuhr: Gewicht]]</f>
        <v>135.08603370096637</v>
      </c>
      <c r="P36" s="8">
        <f>Table35[[#This Row],[Einfuhr: Wert $]]*1000/Table35[[#This Row],[Einfuhr: Gewicht]]</f>
        <v>307.47287821749688</v>
      </c>
    </row>
    <row r="37" spans="2:16" x14ac:dyDescent="0.25">
      <c r="B37">
        <f>(Table35[[#This Row],[Jahr]]-$C$8)*12+Table35[[#This Row],[Month nr]]</f>
        <v>27</v>
      </c>
      <c r="C37">
        <v>2010</v>
      </c>
      <c r="D37">
        <v>3</v>
      </c>
      <c r="E37" t="s">
        <v>15</v>
      </c>
      <c r="F37" t="str">
        <f>_xlfn.CONCAT(Table35[[#This Row],[Monat]]," ",Table35[[#This Row],[Jahr]])</f>
        <v>März 2010</v>
      </c>
      <c r="G37">
        <v>116929.8</v>
      </c>
      <c r="H37">
        <v>14457</v>
      </c>
      <c r="I37">
        <v>19615</v>
      </c>
      <c r="J37">
        <v>70695.900000000009</v>
      </c>
      <c r="K37">
        <v>20812</v>
      </c>
      <c r="L37">
        <v>28242</v>
      </c>
      <c r="M37" s="8">
        <f>Table35[[#This Row],[Ausfuhr: Wert €]]*1000/Table35[[#This Row],[Ausfuhr: Gewicht]]</f>
        <v>123.63828553542382</v>
      </c>
      <c r="N37" s="8">
        <f>Table35[[#This Row],[Einfuhr: Wert €]]*1000/Table35[[#This Row],[Einfuhr: Gewicht]]</f>
        <v>294.38765190060525</v>
      </c>
      <c r="O37" s="8">
        <f>Table35[[#This Row],[Ausfuhr: Wert $]]*1000/Table35[[#This Row],[Ausfuhr: Gewicht]]</f>
        <v>167.75022278324258</v>
      </c>
      <c r="P37" s="8">
        <f>Table35[[#This Row],[Einfuhr: Wert $]]*1000/Table35[[#This Row],[Einfuhr: Gewicht]]</f>
        <v>399.4856844597777</v>
      </c>
    </row>
    <row r="38" spans="2:16" x14ac:dyDescent="0.25">
      <c r="B38">
        <f>(Table35[[#This Row],[Jahr]]-$C$8)*12+Table35[[#This Row],[Month nr]]</f>
        <v>28</v>
      </c>
      <c r="C38">
        <v>2010</v>
      </c>
      <c r="D38">
        <v>4</v>
      </c>
      <c r="E38" t="s">
        <v>16</v>
      </c>
      <c r="F38" t="str">
        <f>_xlfn.CONCAT(Table35[[#This Row],[Monat]]," ",Table35[[#This Row],[Jahr]])</f>
        <v>April 2010</v>
      </c>
      <c r="G38" s="10">
        <v>100698.29999999999</v>
      </c>
      <c r="H38" s="10">
        <v>12708</v>
      </c>
      <c r="I38" s="10">
        <v>17038</v>
      </c>
      <c r="J38" s="10">
        <v>68054.599999999977</v>
      </c>
      <c r="K38" s="10">
        <v>22829</v>
      </c>
      <c r="L38" s="10">
        <v>30600</v>
      </c>
      <c r="M38" s="8">
        <f>Table35[[#This Row],[Ausfuhr: Wert €]]*1000/Table35[[#This Row],[Ausfuhr: Gewicht]]</f>
        <v>126.19875410011889</v>
      </c>
      <c r="N38" s="8">
        <f>Table35[[#This Row],[Einfuhr: Wert €]]*1000/Table35[[#This Row],[Einfuhr: Gewicht]]</f>
        <v>335.45124062150109</v>
      </c>
      <c r="O38" s="8">
        <f>Table35[[#This Row],[Ausfuhr: Wert $]]*1000/Table35[[#This Row],[Ausfuhr: Gewicht]]</f>
        <v>169.19848696551981</v>
      </c>
      <c r="P38" s="8">
        <f>Table35[[#This Row],[Einfuhr: Wert $]]*1000/Table35[[#This Row],[Einfuhr: Gewicht]]</f>
        <v>449.63896635936453</v>
      </c>
    </row>
    <row r="39" spans="2:16" x14ac:dyDescent="0.25">
      <c r="B39">
        <f>(Table35[[#This Row],[Jahr]]-$C$8)*12+Table35[[#This Row],[Month nr]]</f>
        <v>29</v>
      </c>
      <c r="C39">
        <v>2010</v>
      </c>
      <c r="D39">
        <v>5</v>
      </c>
      <c r="E39" t="s">
        <v>20</v>
      </c>
      <c r="F39" t="str">
        <f>_xlfn.CONCAT(Table35[[#This Row],[Monat]]," ",Table35[[#This Row],[Jahr]])</f>
        <v>Mai 2010</v>
      </c>
      <c r="G39">
        <v>75762.900000000009</v>
      </c>
      <c r="H39">
        <v>12852</v>
      </c>
      <c r="I39">
        <v>16143</v>
      </c>
      <c r="J39">
        <v>111598.00000000001</v>
      </c>
      <c r="K39">
        <v>36862</v>
      </c>
      <c r="L39">
        <v>46320</v>
      </c>
      <c r="M39" s="8">
        <f>Table35[[#This Row],[Ausfuhr: Wert €]]*1000/Table35[[#This Row],[Ausfuhr: Gewicht]]</f>
        <v>169.63447808887989</v>
      </c>
      <c r="N39" s="8">
        <f>Table35[[#This Row],[Einfuhr: Wert €]]*1000/Table35[[#This Row],[Einfuhr: Gewicht]]</f>
        <v>330.31057904263514</v>
      </c>
      <c r="O39" s="8">
        <f>Table35[[#This Row],[Ausfuhr: Wert $]]*1000/Table35[[#This Row],[Ausfuhr: Gewicht]]</f>
        <v>213.07262525589698</v>
      </c>
      <c r="P39" s="8">
        <f>Table35[[#This Row],[Einfuhr: Wert $]]*1000/Table35[[#This Row],[Einfuhr: Gewicht]]</f>
        <v>415.06120181365253</v>
      </c>
    </row>
    <row r="40" spans="2:16" x14ac:dyDescent="0.25">
      <c r="B40">
        <f>(Table35[[#This Row],[Jahr]]-$C$8)*12+Table35[[#This Row],[Month nr]]</f>
        <v>30</v>
      </c>
      <c r="C40">
        <v>2010</v>
      </c>
      <c r="D40">
        <v>6</v>
      </c>
      <c r="E40" t="s">
        <v>21</v>
      </c>
      <c r="F40" t="str">
        <f>_xlfn.CONCAT(Table35[[#This Row],[Monat]]," ",Table35[[#This Row],[Jahr]])</f>
        <v>Juni 2010</v>
      </c>
      <c r="G40">
        <v>125061.70000000001</v>
      </c>
      <c r="H40">
        <v>17307</v>
      </c>
      <c r="I40">
        <v>21129</v>
      </c>
      <c r="J40">
        <v>82438.700000000012</v>
      </c>
      <c r="K40">
        <v>28061</v>
      </c>
      <c r="L40">
        <v>34261</v>
      </c>
      <c r="M40" s="8">
        <f>Table35[[#This Row],[Ausfuhr: Wert €]]*1000/Table35[[#This Row],[Ausfuhr: Gewicht]]</f>
        <v>138.38769183531008</v>
      </c>
      <c r="N40" s="8">
        <f>Table35[[#This Row],[Einfuhr: Wert €]]*1000/Table35[[#This Row],[Einfuhr: Gewicht]]</f>
        <v>340.38625063228795</v>
      </c>
      <c r="O40" s="8">
        <f>Table35[[#This Row],[Ausfuhr: Wert $]]*1000/Table35[[#This Row],[Ausfuhr: Gewicht]]</f>
        <v>168.94860696760077</v>
      </c>
      <c r="P40" s="8">
        <f>Table35[[#This Row],[Einfuhr: Wert $]]*1000/Table35[[#This Row],[Einfuhr: Gewicht]]</f>
        <v>415.59364715843401</v>
      </c>
    </row>
    <row r="41" spans="2:16" x14ac:dyDescent="0.25">
      <c r="B41">
        <f>(Table35[[#This Row],[Jahr]]-$C$8)*12+Table35[[#This Row],[Month nr]]</f>
        <v>31</v>
      </c>
      <c r="C41">
        <v>2010</v>
      </c>
      <c r="D41">
        <v>7</v>
      </c>
      <c r="E41" t="s">
        <v>22</v>
      </c>
      <c r="F41" t="str">
        <f>_xlfn.CONCAT(Table35[[#This Row],[Monat]]," ",Table35[[#This Row],[Jahr]])</f>
        <v>Juli 2010</v>
      </c>
      <c r="G41">
        <v>103371.20000000001</v>
      </c>
      <c r="H41">
        <v>19085</v>
      </c>
      <c r="I41">
        <v>24370</v>
      </c>
      <c r="J41">
        <v>65972.900000000009</v>
      </c>
      <c r="K41">
        <v>21945</v>
      </c>
      <c r="L41">
        <v>28024</v>
      </c>
      <c r="M41" s="8">
        <f>Table35[[#This Row],[Ausfuhr: Wert €]]*1000/Table35[[#This Row],[Ausfuhr: Gewicht]]</f>
        <v>184.62589193121485</v>
      </c>
      <c r="N41" s="8">
        <f>Table35[[#This Row],[Einfuhr: Wert €]]*1000/Table35[[#This Row],[Einfuhr: Gewicht]]</f>
        <v>332.63658259679346</v>
      </c>
      <c r="O41" s="8">
        <f>Table35[[#This Row],[Ausfuhr: Wert $]]*1000/Table35[[#This Row],[Ausfuhr: Gewicht]]</f>
        <v>235.75231786029374</v>
      </c>
      <c r="P41" s="8">
        <f>Table35[[#This Row],[Einfuhr: Wert $]]*1000/Table35[[#This Row],[Einfuhr: Gewicht]]</f>
        <v>424.78047804477285</v>
      </c>
    </row>
    <row r="42" spans="2:16" x14ac:dyDescent="0.25">
      <c r="B42">
        <f>(Table35[[#This Row],[Jahr]]-$C$8)*12+Table35[[#This Row],[Month nr]]</f>
        <v>32</v>
      </c>
      <c r="C42">
        <v>2010</v>
      </c>
      <c r="D42">
        <v>8</v>
      </c>
      <c r="E42" t="s">
        <v>17</v>
      </c>
      <c r="F42" t="str">
        <f>_xlfn.CONCAT(Table35[[#This Row],[Monat]]," ",Table35[[#This Row],[Jahr]])</f>
        <v>August 2010</v>
      </c>
      <c r="G42">
        <v>148237.80000000005</v>
      </c>
      <c r="H42">
        <v>22751</v>
      </c>
      <c r="I42">
        <v>29336</v>
      </c>
      <c r="J42">
        <v>31260.3</v>
      </c>
      <c r="K42">
        <v>8237</v>
      </c>
      <c r="L42">
        <v>10621</v>
      </c>
      <c r="M42" s="8">
        <f>Table35[[#This Row],[Ausfuhr: Wert €]]*1000/Table35[[#This Row],[Ausfuhr: Gewicht]]</f>
        <v>153.47637377241156</v>
      </c>
      <c r="N42" s="8">
        <f>Table35[[#This Row],[Einfuhr: Wert €]]*1000/Table35[[#This Row],[Einfuhr: Gewicht]]</f>
        <v>263.49715133891868</v>
      </c>
      <c r="O42" s="8">
        <f>Table35[[#This Row],[Ausfuhr: Wert $]]*1000/Table35[[#This Row],[Ausfuhr: Gewicht]]</f>
        <v>197.89824187892691</v>
      </c>
      <c r="P42" s="8">
        <f>Table35[[#This Row],[Einfuhr: Wert $]]*1000/Table35[[#This Row],[Einfuhr: Gewicht]]</f>
        <v>339.76001509902335</v>
      </c>
    </row>
    <row r="43" spans="2:16" x14ac:dyDescent="0.25">
      <c r="B43">
        <f>(Table35[[#This Row],[Jahr]]-$C$8)*12+Table35[[#This Row],[Month nr]]</f>
        <v>33</v>
      </c>
      <c r="C43">
        <v>2010</v>
      </c>
      <c r="D43">
        <v>9</v>
      </c>
      <c r="E43" t="s">
        <v>18</v>
      </c>
      <c r="F43" t="str">
        <f>_xlfn.CONCAT(Table35[[#This Row],[Monat]]," ",Table35[[#This Row],[Jahr]])</f>
        <v>September 2010</v>
      </c>
      <c r="G43">
        <v>191011.99999999997</v>
      </c>
      <c r="H43">
        <v>24314</v>
      </c>
      <c r="I43">
        <v>31769</v>
      </c>
      <c r="J43">
        <v>16495.8</v>
      </c>
      <c r="K43">
        <v>4383</v>
      </c>
      <c r="L43">
        <v>5728</v>
      </c>
      <c r="M43" s="8">
        <f>Table35[[#This Row],[Ausfuhr: Wert €]]*1000/Table35[[#This Row],[Ausfuhr: Gewicht]]</f>
        <v>127.29043201474255</v>
      </c>
      <c r="N43" s="8">
        <f>Table35[[#This Row],[Einfuhr: Wert €]]*1000/Table35[[#This Row],[Einfuhr: Gewicht]]</f>
        <v>265.70399738115157</v>
      </c>
      <c r="O43" s="8">
        <f>Table35[[#This Row],[Ausfuhr: Wert $]]*1000/Table35[[#This Row],[Ausfuhr: Gewicht]]</f>
        <v>166.31939354595525</v>
      </c>
      <c r="P43" s="8">
        <f>Table35[[#This Row],[Einfuhr: Wert $]]*1000/Table35[[#This Row],[Einfuhr: Gewicht]]</f>
        <v>347.2399034905855</v>
      </c>
    </row>
    <row r="44" spans="2:16" x14ac:dyDescent="0.25">
      <c r="B44">
        <f>(Table35[[#This Row],[Jahr]]-$C$8)*12+Table35[[#This Row],[Month nr]]</f>
        <v>34</v>
      </c>
      <c r="C44">
        <v>2010</v>
      </c>
      <c r="D44">
        <v>10</v>
      </c>
      <c r="E44" t="s">
        <v>23</v>
      </c>
      <c r="F44" t="str">
        <f>_xlfn.CONCAT(Table35[[#This Row],[Monat]]," ",Table35[[#This Row],[Jahr]])</f>
        <v>Oktober 2010</v>
      </c>
      <c r="G44">
        <v>191435.69999999998</v>
      </c>
      <c r="H44">
        <v>25119</v>
      </c>
      <c r="I44">
        <v>34908</v>
      </c>
      <c r="J44">
        <v>11063.9</v>
      </c>
      <c r="K44">
        <v>4418</v>
      </c>
      <c r="L44">
        <v>6142</v>
      </c>
      <c r="M44" s="8">
        <f>Table35[[#This Row],[Ausfuhr: Wert €]]*1000/Table35[[#This Row],[Ausfuhr: Gewicht]]</f>
        <v>131.2137704722787</v>
      </c>
      <c r="N44" s="8">
        <f>Table35[[#This Row],[Einfuhr: Wert €]]*1000/Table35[[#This Row],[Einfuhr: Gewicht]]</f>
        <v>399.31669664404052</v>
      </c>
      <c r="O44" s="8">
        <f>Table35[[#This Row],[Ausfuhr: Wert $]]*1000/Table35[[#This Row],[Ausfuhr: Gewicht]]</f>
        <v>182.34843344266511</v>
      </c>
      <c r="P44" s="8">
        <f>Table35[[#This Row],[Einfuhr: Wert $]]*1000/Table35[[#This Row],[Einfuhr: Gewicht]]</f>
        <v>555.13878469617407</v>
      </c>
    </row>
    <row r="45" spans="2:16" x14ac:dyDescent="0.25">
      <c r="B45">
        <f>(Table35[[#This Row],[Jahr]]-$C$8)*12+Table35[[#This Row],[Month nr]]</f>
        <v>35</v>
      </c>
      <c r="C45">
        <v>2010</v>
      </c>
      <c r="D45">
        <v>11</v>
      </c>
      <c r="E45" t="s">
        <v>19</v>
      </c>
      <c r="F45" t="str">
        <f>_xlfn.CONCAT(Table35[[#This Row],[Monat]]," ",Table35[[#This Row],[Jahr]])</f>
        <v>November 2010</v>
      </c>
      <c r="G45">
        <v>170651.80000000008</v>
      </c>
      <c r="H45">
        <v>20325</v>
      </c>
      <c r="I45">
        <v>27766</v>
      </c>
      <c r="J45">
        <v>21945.899999999998</v>
      </c>
      <c r="K45">
        <v>4588</v>
      </c>
      <c r="L45">
        <v>6270</v>
      </c>
      <c r="M45" s="8">
        <f>Table35[[#This Row],[Ausfuhr: Wert €]]*1000/Table35[[#This Row],[Ausfuhr: Gewicht]]</f>
        <v>119.10217179074579</v>
      </c>
      <c r="N45" s="8">
        <f>Table35[[#This Row],[Einfuhr: Wert €]]*1000/Table35[[#This Row],[Einfuhr: Gewicht]]</f>
        <v>209.05955098674471</v>
      </c>
      <c r="O45" s="8">
        <f>Table35[[#This Row],[Ausfuhr: Wert $]]*1000/Table35[[#This Row],[Ausfuhr: Gewicht]]</f>
        <v>162.70557943133321</v>
      </c>
      <c r="P45" s="8">
        <f>Table35[[#This Row],[Einfuhr: Wert $]]*1000/Table35[[#This Row],[Einfuhr: Gewicht]]</f>
        <v>285.70256858912148</v>
      </c>
    </row>
    <row r="46" spans="2:16" x14ac:dyDescent="0.25">
      <c r="B46">
        <f>(Table35[[#This Row],[Jahr]]-$C$8)*12+Table35[[#This Row],[Month nr]]</f>
        <v>36</v>
      </c>
      <c r="C46">
        <v>2010</v>
      </c>
      <c r="D46">
        <v>12</v>
      </c>
      <c r="E46" t="s">
        <v>24</v>
      </c>
      <c r="F46" t="str">
        <f>_xlfn.CONCAT(Table35[[#This Row],[Monat]]," ",Table35[[#This Row],[Jahr]])</f>
        <v>Dezember 2010</v>
      </c>
      <c r="G46">
        <v>117627.69999999998</v>
      </c>
      <c r="H46">
        <v>20170</v>
      </c>
      <c r="I46">
        <v>26665</v>
      </c>
      <c r="J46">
        <v>23374.1</v>
      </c>
      <c r="K46">
        <v>7467</v>
      </c>
      <c r="L46">
        <v>9873</v>
      </c>
      <c r="M46" s="8">
        <f>Table35[[#This Row],[Ausfuhr: Wert €]]*1000/Table35[[#This Row],[Ausfuhr: Gewicht]]</f>
        <v>171.47321591767928</v>
      </c>
      <c r="N46" s="8">
        <f>Table35[[#This Row],[Einfuhr: Wert €]]*1000/Table35[[#This Row],[Einfuhr: Gewicht]]</f>
        <v>319.45615018332256</v>
      </c>
      <c r="O46" s="8">
        <f>Table35[[#This Row],[Ausfuhr: Wert $]]*1000/Table35[[#This Row],[Ausfuhr: Gewicht]]</f>
        <v>226.68980180688735</v>
      </c>
      <c r="P46" s="8">
        <f>Table35[[#This Row],[Einfuhr: Wert $]]*1000/Table35[[#This Row],[Einfuhr: Gewicht]]</f>
        <v>422.39059471808542</v>
      </c>
    </row>
    <row r="47" spans="2:16" x14ac:dyDescent="0.25">
      <c r="B47">
        <f>(Table35[[#This Row],[Jahr]]-$C$8)*12+Table35[[#This Row],[Month nr]]</f>
        <v>37</v>
      </c>
      <c r="C47">
        <v>2011</v>
      </c>
      <c r="D47">
        <v>1</v>
      </c>
      <c r="E47" t="s">
        <v>13</v>
      </c>
      <c r="F47" t="str">
        <f>_xlfn.CONCAT(Table35[[#This Row],[Monat]]," ",Table35[[#This Row],[Jahr]])</f>
        <v>Januar 2011</v>
      </c>
      <c r="G47" s="6">
        <v>166243.19999999992</v>
      </c>
      <c r="H47" s="6">
        <v>25097</v>
      </c>
      <c r="I47" s="6">
        <v>33528</v>
      </c>
      <c r="J47" s="6">
        <v>35647.200000000004</v>
      </c>
      <c r="K47" s="6">
        <v>8871</v>
      </c>
      <c r="L47" s="6">
        <v>11852</v>
      </c>
      <c r="M47" s="8">
        <f>Table35[[#This Row],[Ausfuhr: Wert €]]*1000/Table35[[#This Row],[Ausfuhr: Gewicht]]</f>
        <v>150.96557332871367</v>
      </c>
      <c r="N47" s="8">
        <f>Table35[[#This Row],[Einfuhr: Wert €]]*1000/Table35[[#This Row],[Einfuhr: Gewicht]]</f>
        <v>248.85545007742542</v>
      </c>
      <c r="O47" s="8">
        <f>Table35[[#This Row],[Ausfuhr: Wert $]]*1000/Table35[[#This Row],[Ausfuhr: Gewicht]]</f>
        <v>201.68042963561828</v>
      </c>
      <c r="P47" s="8">
        <f>Table35[[#This Row],[Einfuhr: Wert $]]*1000/Table35[[#This Row],[Einfuhr: Gewicht]]</f>
        <v>332.4805314302385</v>
      </c>
    </row>
    <row r="48" spans="2:16" x14ac:dyDescent="0.25">
      <c r="B48">
        <f>(Table35[[#This Row],[Jahr]]-$C$8)*12+Table35[[#This Row],[Month nr]]</f>
        <v>38</v>
      </c>
      <c r="C48">
        <v>2011</v>
      </c>
      <c r="D48">
        <v>2</v>
      </c>
      <c r="E48" t="s">
        <v>14</v>
      </c>
      <c r="F48" t="str">
        <f>_xlfn.CONCAT(Table35[[#This Row],[Monat]]," ",Table35[[#This Row],[Jahr]])</f>
        <v>Februar 2011</v>
      </c>
      <c r="G48" s="7">
        <v>125175.90000000001</v>
      </c>
      <c r="H48" s="7">
        <v>30797</v>
      </c>
      <c r="I48" s="7">
        <v>42035</v>
      </c>
      <c r="J48" s="7">
        <v>36460.699999999997</v>
      </c>
      <c r="K48" s="7">
        <v>13967</v>
      </c>
      <c r="L48" s="7">
        <v>19063</v>
      </c>
      <c r="M48" s="8">
        <f>Table35[[#This Row],[Ausfuhr: Wert €]]*1000/Table35[[#This Row],[Ausfuhr: Gewicht]]</f>
        <v>246.02978688389697</v>
      </c>
      <c r="N48" s="8">
        <f>Table35[[#This Row],[Einfuhr: Wert €]]*1000/Table35[[#This Row],[Einfuhr: Gewicht]]</f>
        <v>383.06999042804995</v>
      </c>
      <c r="O48" s="8">
        <f>Table35[[#This Row],[Ausfuhr: Wert $]]*1000/Table35[[#This Row],[Ausfuhr: Gewicht]]</f>
        <v>335.80745175389188</v>
      </c>
      <c r="P48" s="8">
        <f>Table35[[#This Row],[Einfuhr: Wert $]]*1000/Table35[[#This Row],[Einfuhr: Gewicht]]</f>
        <v>522.83691755780887</v>
      </c>
    </row>
    <row r="49" spans="2:16" x14ac:dyDescent="0.25">
      <c r="B49">
        <f>(Table35[[#This Row],[Jahr]]-$C$8)*12+Table35[[#This Row],[Month nr]]</f>
        <v>39</v>
      </c>
      <c r="C49">
        <v>2011</v>
      </c>
      <c r="D49">
        <v>3</v>
      </c>
      <c r="E49" t="s">
        <v>15</v>
      </c>
      <c r="F49" t="str">
        <f>_xlfn.CONCAT(Table35[[#This Row],[Monat]]," ",Table35[[#This Row],[Jahr]])</f>
        <v>März 2011</v>
      </c>
      <c r="G49" s="6">
        <v>165402.6</v>
      </c>
      <c r="H49" s="6">
        <v>37526</v>
      </c>
      <c r="I49" s="6">
        <v>52532</v>
      </c>
      <c r="J49" s="6">
        <v>74303.399999999994</v>
      </c>
      <c r="K49" s="6">
        <v>25901</v>
      </c>
      <c r="L49" s="6">
        <v>36257</v>
      </c>
      <c r="M49" s="8">
        <f>Table35[[#This Row],[Ausfuhr: Wert €]]*1000/Table35[[#This Row],[Ausfuhr: Gewicht]]</f>
        <v>226.87672382417205</v>
      </c>
      <c r="N49" s="8">
        <f>Table35[[#This Row],[Einfuhr: Wert €]]*1000/Table35[[#This Row],[Einfuhr: Gewicht]]</f>
        <v>348.58431781049052</v>
      </c>
      <c r="O49" s="8">
        <f>Table35[[#This Row],[Ausfuhr: Wert $]]*1000/Table35[[#This Row],[Ausfuhr: Gewicht]]</f>
        <v>317.60081159546462</v>
      </c>
      <c r="P49" s="8">
        <f>Table35[[#This Row],[Einfuhr: Wert $]]*1000/Table35[[#This Row],[Einfuhr: Gewicht]]</f>
        <v>487.95882826357882</v>
      </c>
    </row>
    <row r="50" spans="2:16" x14ac:dyDescent="0.25">
      <c r="B50">
        <f>(Table35[[#This Row],[Jahr]]-$C$8)*12+Table35[[#This Row],[Month nr]]</f>
        <v>40</v>
      </c>
      <c r="C50">
        <v>2011</v>
      </c>
      <c r="D50">
        <v>4</v>
      </c>
      <c r="E50" t="s">
        <v>16</v>
      </c>
      <c r="F50" t="str">
        <f>_xlfn.CONCAT(Table35[[#This Row],[Monat]]," ",Table35[[#This Row],[Jahr]])</f>
        <v>April 2011</v>
      </c>
      <c r="G50" s="7">
        <v>114234.2</v>
      </c>
      <c r="H50" s="7">
        <v>27050</v>
      </c>
      <c r="I50" s="7">
        <v>39061</v>
      </c>
      <c r="J50" s="7">
        <v>67941.400000000009</v>
      </c>
      <c r="K50" s="7">
        <v>25582</v>
      </c>
      <c r="L50" s="7">
        <v>36944</v>
      </c>
      <c r="M50" s="8">
        <f>Table35[[#This Row],[Ausfuhr: Wert €]]*1000/Table35[[#This Row],[Ausfuhr: Gewicht]]</f>
        <v>236.7942350014269</v>
      </c>
      <c r="N50" s="8">
        <f>Table35[[#This Row],[Einfuhr: Wert €]]*1000/Table35[[#This Row],[Einfuhr: Gewicht]]</f>
        <v>376.53036293040765</v>
      </c>
      <c r="O50" s="8">
        <f>Table35[[#This Row],[Ausfuhr: Wert $]]*1000/Table35[[#This Row],[Ausfuhr: Gewicht]]</f>
        <v>341.93787849873331</v>
      </c>
      <c r="P50" s="8">
        <f>Table35[[#This Row],[Einfuhr: Wert $]]*1000/Table35[[#This Row],[Einfuhr: Gewicht]]</f>
        <v>543.76271316163627</v>
      </c>
    </row>
    <row r="51" spans="2:16" x14ac:dyDescent="0.25">
      <c r="B51">
        <f>(Table35[[#This Row],[Jahr]]-$C$8)*12+Table35[[#This Row],[Month nr]]</f>
        <v>41</v>
      </c>
      <c r="C51">
        <v>2011</v>
      </c>
      <c r="D51">
        <v>5</v>
      </c>
      <c r="E51" t="s">
        <v>20</v>
      </c>
      <c r="F51" t="str">
        <f>_xlfn.CONCAT(Table35[[#This Row],[Monat]]," ",Table35[[#This Row],[Jahr]])</f>
        <v>Mai 2011</v>
      </c>
      <c r="G51" s="6">
        <v>106989.40000000001</v>
      </c>
      <c r="H51" s="6">
        <v>22307</v>
      </c>
      <c r="I51" s="6">
        <v>32003</v>
      </c>
      <c r="J51" s="6">
        <v>63762.699999999983</v>
      </c>
      <c r="K51" s="6">
        <v>24683</v>
      </c>
      <c r="L51" s="6">
        <v>35414</v>
      </c>
      <c r="M51" s="8">
        <f>Table35[[#This Row],[Ausfuhr: Wert €]]*1000/Table35[[#This Row],[Ausfuhr: Gewicht]]</f>
        <v>208.49729038577652</v>
      </c>
      <c r="N51" s="8">
        <f>Table35[[#This Row],[Einfuhr: Wert €]]*1000/Table35[[#This Row],[Einfuhr: Gewicht]]</f>
        <v>387.10719589979732</v>
      </c>
      <c r="O51" s="8">
        <f>Table35[[#This Row],[Ausfuhr: Wert $]]*1000/Table35[[#This Row],[Ausfuhr: Gewicht]]</f>
        <v>299.12309069870469</v>
      </c>
      <c r="P51" s="8">
        <f>Table35[[#This Row],[Einfuhr: Wert $]]*1000/Table35[[#This Row],[Einfuhr: Gewicht]]</f>
        <v>555.40308048435861</v>
      </c>
    </row>
    <row r="52" spans="2:16" x14ac:dyDescent="0.25">
      <c r="B52">
        <f>(Table35[[#This Row],[Jahr]]-$C$8)*12+Table35[[#This Row],[Month nr]]</f>
        <v>42</v>
      </c>
      <c r="C52">
        <v>2011</v>
      </c>
      <c r="D52">
        <v>6</v>
      </c>
      <c r="E52" t="s">
        <v>21</v>
      </c>
      <c r="F52" t="str">
        <f>_xlfn.CONCAT(Table35[[#This Row],[Monat]]," ",Table35[[#This Row],[Jahr]])</f>
        <v>Juni 2011</v>
      </c>
      <c r="G52" s="7">
        <v>87961.2</v>
      </c>
      <c r="H52" s="7">
        <v>20087</v>
      </c>
      <c r="I52" s="7">
        <v>28898</v>
      </c>
      <c r="J52" s="7">
        <v>91742</v>
      </c>
      <c r="K52" s="7">
        <v>31050</v>
      </c>
      <c r="L52" s="7">
        <v>44674</v>
      </c>
      <c r="M52" s="8">
        <f>Table35[[#This Row],[Ausfuhr: Wert €]]*1000/Table35[[#This Row],[Ausfuhr: Gewicht]]</f>
        <v>228.36205054046559</v>
      </c>
      <c r="N52" s="8">
        <f>Table35[[#This Row],[Einfuhr: Wert €]]*1000/Table35[[#This Row],[Einfuhr: Gewicht]]</f>
        <v>338.44912907937476</v>
      </c>
      <c r="O52" s="8">
        <f>Table35[[#This Row],[Ausfuhr: Wert $]]*1000/Table35[[#This Row],[Ausfuhr: Gewicht]]</f>
        <v>328.53121603616142</v>
      </c>
      <c r="P52" s="8">
        <f>Table35[[#This Row],[Einfuhr: Wert $]]*1000/Table35[[#This Row],[Einfuhr: Gewicht]]</f>
        <v>486.95254082099802</v>
      </c>
    </row>
    <row r="53" spans="2:16" x14ac:dyDescent="0.25">
      <c r="B53">
        <f>(Table35[[#This Row],[Jahr]]-$C$8)*12+Table35[[#This Row],[Month nr]]</f>
        <v>43</v>
      </c>
      <c r="C53">
        <v>2011</v>
      </c>
      <c r="D53">
        <v>7</v>
      </c>
      <c r="E53" t="s">
        <v>22</v>
      </c>
      <c r="F53" t="str">
        <f>_xlfn.CONCAT(Table35[[#This Row],[Monat]]," ",Table35[[#This Row],[Jahr]])</f>
        <v>Juli 2011</v>
      </c>
      <c r="G53" s="6">
        <v>131941.19999999998</v>
      </c>
      <c r="H53" s="6">
        <v>21962</v>
      </c>
      <c r="I53" s="6">
        <v>31326</v>
      </c>
      <c r="J53" s="6">
        <v>54813.2</v>
      </c>
      <c r="K53" s="6">
        <v>15623</v>
      </c>
      <c r="L53" s="6">
        <v>22288</v>
      </c>
      <c r="M53" s="8">
        <f>Table35[[#This Row],[Ausfuhr: Wert €]]*1000/Table35[[#This Row],[Ausfuhr: Gewicht]]</f>
        <v>166.45293509533036</v>
      </c>
      <c r="N53" s="8">
        <f>Table35[[#This Row],[Einfuhr: Wert €]]*1000/Table35[[#This Row],[Einfuhr: Gewicht]]</f>
        <v>285.02258580050062</v>
      </c>
      <c r="O53" s="8">
        <f>Table35[[#This Row],[Ausfuhr: Wert $]]*1000/Table35[[#This Row],[Ausfuhr: Gewicht]]</f>
        <v>237.42394339296598</v>
      </c>
      <c r="P53" s="8">
        <f>Table35[[#This Row],[Einfuhr: Wert $]]*1000/Table35[[#This Row],[Einfuhr: Gewicht]]</f>
        <v>406.61738413374883</v>
      </c>
    </row>
    <row r="54" spans="2:16" x14ac:dyDescent="0.25">
      <c r="B54">
        <f>(Table35[[#This Row],[Jahr]]-$C$8)*12+Table35[[#This Row],[Month nr]]</f>
        <v>44</v>
      </c>
      <c r="C54">
        <v>2011</v>
      </c>
      <c r="D54">
        <v>8</v>
      </c>
      <c r="E54" t="s">
        <v>17</v>
      </c>
      <c r="F54" t="str">
        <f>_xlfn.CONCAT(Table35[[#This Row],[Monat]]," ",Table35[[#This Row],[Jahr]])</f>
        <v>August 2011</v>
      </c>
      <c r="G54" s="7">
        <v>151152.79999999999</v>
      </c>
      <c r="H54" s="7">
        <v>17547</v>
      </c>
      <c r="I54" s="7">
        <v>25164</v>
      </c>
      <c r="J54" s="7">
        <v>17465.699999999997</v>
      </c>
      <c r="K54" s="7">
        <v>5747</v>
      </c>
      <c r="L54" s="7">
        <v>8245</v>
      </c>
      <c r="M54" s="8">
        <f>Table35[[#This Row],[Ausfuhr: Wert €]]*1000/Table35[[#This Row],[Ausfuhr: Gewicht]]</f>
        <v>116.08782635849288</v>
      </c>
      <c r="N54" s="8">
        <f>Table35[[#This Row],[Einfuhr: Wert €]]*1000/Table35[[#This Row],[Einfuhr: Gewicht]]</f>
        <v>329.04492805899571</v>
      </c>
      <c r="O54" s="8">
        <f>Table35[[#This Row],[Ausfuhr: Wert $]]*1000/Table35[[#This Row],[Ausfuhr: Gewicht]]</f>
        <v>166.48054154471504</v>
      </c>
      <c r="P54" s="8">
        <f>Table35[[#This Row],[Einfuhr: Wert $]]*1000/Table35[[#This Row],[Einfuhr: Gewicht]]</f>
        <v>472.06811063971105</v>
      </c>
    </row>
    <row r="55" spans="2:16" x14ac:dyDescent="0.25">
      <c r="B55">
        <f>(Table35[[#This Row],[Jahr]]-$C$8)*12+Table35[[#This Row],[Month nr]]</f>
        <v>45</v>
      </c>
      <c r="C55">
        <v>2011</v>
      </c>
      <c r="D55">
        <v>9</v>
      </c>
      <c r="E55" t="s">
        <v>18</v>
      </c>
      <c r="F55" t="str">
        <f>_xlfn.CONCAT(Table35[[#This Row],[Monat]]," ",Table35[[#This Row],[Jahr]])</f>
        <v>September 2011</v>
      </c>
      <c r="G55" s="6">
        <v>112822.00000000001</v>
      </c>
      <c r="H55" s="6">
        <v>12945</v>
      </c>
      <c r="I55" s="6">
        <v>17823</v>
      </c>
      <c r="J55" s="6">
        <v>19444.899999999998</v>
      </c>
      <c r="K55" s="6">
        <v>5293</v>
      </c>
      <c r="L55" s="6">
        <v>7289</v>
      </c>
      <c r="M55" s="8">
        <f>Table35[[#This Row],[Ausfuhr: Wert €]]*1000/Table35[[#This Row],[Ausfuhr: Gewicht]]</f>
        <v>114.73826026838735</v>
      </c>
      <c r="N55" s="8">
        <f>Table35[[#This Row],[Einfuhr: Wert €]]*1000/Table35[[#This Row],[Einfuhr: Gewicht]]</f>
        <v>272.20505119594344</v>
      </c>
      <c r="O55" s="8">
        <f>Table35[[#This Row],[Ausfuhr: Wert $]]*1000/Table35[[#This Row],[Ausfuhr: Gewicht]]</f>
        <v>157.97450851784225</v>
      </c>
      <c r="P55" s="8">
        <f>Table35[[#This Row],[Einfuhr: Wert $]]*1000/Table35[[#This Row],[Einfuhr: Gewicht]]</f>
        <v>374.85407484738931</v>
      </c>
    </row>
    <row r="56" spans="2:16" x14ac:dyDescent="0.25">
      <c r="B56">
        <f>(Table35[[#This Row],[Jahr]]-$C$8)*12+Table35[[#This Row],[Month nr]]</f>
        <v>46</v>
      </c>
      <c r="C56">
        <v>2011</v>
      </c>
      <c r="D56">
        <v>10</v>
      </c>
      <c r="E56" t="s">
        <v>23</v>
      </c>
      <c r="F56" t="str">
        <f>_xlfn.CONCAT(Table35[[#This Row],[Monat]]," ",Table35[[#This Row],[Jahr]])</f>
        <v>Oktober 2011</v>
      </c>
      <c r="G56" s="7">
        <v>104102.79999999999</v>
      </c>
      <c r="H56" s="7">
        <v>10758</v>
      </c>
      <c r="I56" s="7">
        <v>14743</v>
      </c>
      <c r="J56" s="7">
        <v>13865.6</v>
      </c>
      <c r="K56" s="7">
        <v>2821</v>
      </c>
      <c r="L56" s="7">
        <v>3865</v>
      </c>
      <c r="M56" s="8">
        <f>Table35[[#This Row],[Ausfuhr: Wert €]]*1000/Table35[[#This Row],[Ausfuhr: Gewicht]]</f>
        <v>103.34015991884945</v>
      </c>
      <c r="N56" s="8">
        <f>Table35[[#This Row],[Einfuhr: Wert €]]*1000/Table35[[#This Row],[Einfuhr: Gewicht]]</f>
        <v>203.45315024232633</v>
      </c>
      <c r="O56" s="8">
        <f>Table35[[#This Row],[Ausfuhr: Wert $]]*1000/Table35[[#This Row],[Ausfuhr: Gewicht]]</f>
        <v>141.61962982743981</v>
      </c>
      <c r="P56" s="8">
        <f>Table35[[#This Row],[Einfuhr: Wert $]]*1000/Table35[[#This Row],[Einfuhr: Gewicht]]</f>
        <v>278.74740364643435</v>
      </c>
    </row>
    <row r="57" spans="2:16" x14ac:dyDescent="0.25">
      <c r="B57">
        <f>(Table35[[#This Row],[Jahr]]-$C$8)*12+Table35[[#This Row],[Month nr]]</f>
        <v>47</v>
      </c>
      <c r="C57">
        <v>2011</v>
      </c>
      <c r="D57">
        <v>11</v>
      </c>
      <c r="E57" t="s">
        <v>19</v>
      </c>
      <c r="F57" t="str">
        <f>_xlfn.CONCAT(Table35[[#This Row],[Monat]]," ",Table35[[#This Row],[Jahr]])</f>
        <v>November 2011</v>
      </c>
      <c r="G57" s="6">
        <v>50725.500000000007</v>
      </c>
      <c r="H57" s="6">
        <v>4797</v>
      </c>
      <c r="I57" s="6">
        <v>6505</v>
      </c>
      <c r="J57" s="6">
        <v>8412.1</v>
      </c>
      <c r="K57" s="6">
        <v>3284</v>
      </c>
      <c r="L57" s="6">
        <v>4453</v>
      </c>
      <c r="M57" s="8">
        <f>Table35[[#This Row],[Ausfuhr: Wert €]]*1000/Table35[[#This Row],[Ausfuhr: Gewicht]]</f>
        <v>94.567820918472947</v>
      </c>
      <c r="N57" s="8">
        <f>Table35[[#This Row],[Einfuhr: Wert €]]*1000/Table35[[#This Row],[Einfuhr: Gewicht]]</f>
        <v>390.39003340426291</v>
      </c>
      <c r="O57" s="8">
        <f>Table35[[#This Row],[Ausfuhr: Wert $]]*1000/Table35[[#This Row],[Ausfuhr: Gewicht]]</f>
        <v>128.23924850420397</v>
      </c>
      <c r="P57" s="8">
        <f>Table35[[#This Row],[Einfuhr: Wert $]]*1000/Table35[[#This Row],[Einfuhr: Gewicht]]</f>
        <v>529.35652215261348</v>
      </c>
    </row>
    <row r="58" spans="2:16" x14ac:dyDescent="0.25">
      <c r="B58">
        <f>(Table35[[#This Row],[Jahr]]-$C$8)*12+Table35[[#This Row],[Month nr]]</f>
        <v>48</v>
      </c>
      <c r="C58">
        <v>2011</v>
      </c>
      <c r="D58">
        <v>12</v>
      </c>
      <c r="E58" t="s">
        <v>24</v>
      </c>
      <c r="F58" t="str">
        <f>_xlfn.CONCAT(Table35[[#This Row],[Monat]]," ",Table35[[#This Row],[Jahr]])</f>
        <v>Dezember 2011</v>
      </c>
      <c r="G58" s="7">
        <v>208887.69999999992</v>
      </c>
      <c r="H58" s="7">
        <v>19360</v>
      </c>
      <c r="I58" s="7">
        <v>25517</v>
      </c>
      <c r="J58" s="7">
        <v>103535.40000000001</v>
      </c>
      <c r="K58" s="7">
        <v>9973</v>
      </c>
      <c r="L58" s="7">
        <v>13138</v>
      </c>
      <c r="M58" s="8">
        <f>Table35[[#This Row],[Ausfuhr: Wert €]]*1000/Table35[[#This Row],[Ausfuhr: Gewicht]]</f>
        <v>92.681378558909913</v>
      </c>
      <c r="N58" s="8">
        <f>Table35[[#This Row],[Einfuhr: Wert €]]*1000/Table35[[#This Row],[Einfuhr: Gewicht]]</f>
        <v>96.324542137278641</v>
      </c>
      <c r="O58" s="8">
        <f>Table35[[#This Row],[Ausfuhr: Wert $]]*1000/Table35[[#This Row],[Ausfuhr: Gewicht]]</f>
        <v>122.15654631651365</v>
      </c>
      <c r="P58" s="8">
        <f>Table35[[#This Row],[Einfuhr: Wert $]]*1000/Table35[[#This Row],[Einfuhr: Gewicht]]</f>
        <v>126.89379671107659</v>
      </c>
    </row>
    <row r="59" spans="2:16" x14ac:dyDescent="0.25">
      <c r="B59">
        <f>(Table35[[#This Row],[Jahr]]-$C$8)*12+Table35[[#This Row],[Month nr]]</f>
        <v>49</v>
      </c>
      <c r="C59">
        <v>2012</v>
      </c>
      <c r="D59">
        <v>1</v>
      </c>
      <c r="E59" t="s">
        <v>13</v>
      </c>
      <c r="F59" t="str">
        <f>_xlfn.CONCAT(Table35[[#This Row],[Monat]]," ",Table35[[#This Row],[Jahr]])</f>
        <v>Januar 2012</v>
      </c>
      <c r="G59">
        <v>82791.999999999985</v>
      </c>
      <c r="H59">
        <v>6689</v>
      </c>
      <c r="I59">
        <v>8635</v>
      </c>
      <c r="J59">
        <v>17197</v>
      </c>
      <c r="K59">
        <v>4624</v>
      </c>
      <c r="L59">
        <v>5968</v>
      </c>
      <c r="M59" s="8">
        <f>Table35[[#This Row],[Ausfuhr: Wert €]]*1000/Table35[[#This Row],[Ausfuhr: Gewicht]]</f>
        <v>80.792830225142538</v>
      </c>
      <c r="N59" s="8">
        <f>Table35[[#This Row],[Einfuhr: Wert €]]*1000/Table35[[#This Row],[Einfuhr: Gewicht]]</f>
        <v>268.88410769320228</v>
      </c>
      <c r="O59" s="8">
        <f>Table35[[#This Row],[Ausfuhr: Wert $]]*1000/Table35[[#This Row],[Ausfuhr: Gewicht]]</f>
        <v>104.29751666827714</v>
      </c>
      <c r="P59" s="8">
        <f>Table35[[#This Row],[Einfuhr: Wert $]]*1000/Table35[[#This Row],[Einfuhr: Gewicht]]</f>
        <v>347.03727394312961</v>
      </c>
    </row>
    <row r="60" spans="2:16" x14ac:dyDescent="0.25">
      <c r="B60">
        <f>(Table35[[#This Row],[Jahr]]-$C$8)*12+Table35[[#This Row],[Month nr]]</f>
        <v>50</v>
      </c>
      <c r="C60">
        <v>2012</v>
      </c>
      <c r="D60">
        <v>2</v>
      </c>
      <c r="E60" t="s">
        <v>14</v>
      </c>
      <c r="F60" t="str">
        <f>_xlfn.CONCAT(Table35[[#This Row],[Monat]]," ",Table35[[#This Row],[Jahr]])</f>
        <v>Februar 2012</v>
      </c>
      <c r="G60">
        <v>124412.59999999999</v>
      </c>
      <c r="H60">
        <v>11263</v>
      </c>
      <c r="I60">
        <v>14891</v>
      </c>
      <c r="J60">
        <v>33184.299999999988</v>
      </c>
      <c r="K60">
        <v>6181</v>
      </c>
      <c r="L60">
        <v>8175</v>
      </c>
      <c r="M60" s="8">
        <f>Table35[[#This Row],[Ausfuhr: Wert €]]*1000/Table35[[#This Row],[Ausfuhr: Gewicht]]</f>
        <v>90.529415830872438</v>
      </c>
      <c r="N60" s="8">
        <f>Table35[[#This Row],[Einfuhr: Wert €]]*1000/Table35[[#This Row],[Einfuhr: Gewicht]]</f>
        <v>186.26278089337436</v>
      </c>
      <c r="O60" s="8">
        <f>Table35[[#This Row],[Ausfuhr: Wert $]]*1000/Table35[[#This Row],[Ausfuhr: Gewicht]]</f>
        <v>119.69044935963079</v>
      </c>
      <c r="P60" s="8">
        <f>Table35[[#This Row],[Einfuhr: Wert $]]*1000/Table35[[#This Row],[Einfuhr: Gewicht]]</f>
        <v>246.35143727606135</v>
      </c>
    </row>
    <row r="61" spans="2:16" x14ac:dyDescent="0.25">
      <c r="B61">
        <f>(Table35[[#This Row],[Jahr]]-$C$8)*12+Table35[[#This Row],[Month nr]]</f>
        <v>51</v>
      </c>
      <c r="C61">
        <v>2012</v>
      </c>
      <c r="D61">
        <v>3</v>
      </c>
      <c r="E61" t="s">
        <v>15</v>
      </c>
      <c r="F61" t="str">
        <f>_xlfn.CONCAT(Table35[[#This Row],[Monat]]," ",Table35[[#This Row],[Jahr]])</f>
        <v>März 2012</v>
      </c>
      <c r="G61">
        <v>120765.40000000001</v>
      </c>
      <c r="H61">
        <v>12577</v>
      </c>
      <c r="I61">
        <v>16599</v>
      </c>
      <c r="J61">
        <v>62741.799999999996</v>
      </c>
      <c r="K61">
        <v>13737</v>
      </c>
      <c r="L61">
        <v>18139</v>
      </c>
      <c r="M61" s="8">
        <f>Table35[[#This Row],[Ausfuhr: Wert €]]*1000/Table35[[#This Row],[Ausfuhr: Gewicht]]</f>
        <v>104.14406775450584</v>
      </c>
      <c r="N61" s="8">
        <f>Table35[[#This Row],[Einfuhr: Wert €]]*1000/Table35[[#This Row],[Einfuhr: Gewicht]]</f>
        <v>218.94494579371329</v>
      </c>
      <c r="O61" s="8">
        <f>Table35[[#This Row],[Ausfuhr: Wert $]]*1000/Table35[[#This Row],[Ausfuhr: Gewicht]]</f>
        <v>137.44830886992466</v>
      </c>
      <c r="P61" s="8">
        <f>Table35[[#This Row],[Einfuhr: Wert $]]*1000/Table35[[#This Row],[Einfuhr: Gewicht]]</f>
        <v>289.10550860829625</v>
      </c>
    </row>
    <row r="62" spans="2:16" x14ac:dyDescent="0.25">
      <c r="B62">
        <f>(Table35[[#This Row],[Jahr]]-$C$8)*12+Table35[[#This Row],[Month nr]]</f>
        <v>52</v>
      </c>
      <c r="C62">
        <v>2012</v>
      </c>
      <c r="D62">
        <v>4</v>
      </c>
      <c r="E62" t="s">
        <v>16</v>
      </c>
      <c r="F62" t="str">
        <f>_xlfn.CONCAT(Table35[[#This Row],[Monat]]," ",Table35[[#This Row],[Jahr]])</f>
        <v>April 2012</v>
      </c>
      <c r="G62" s="10">
        <v>135879</v>
      </c>
      <c r="H62" s="10">
        <v>15945</v>
      </c>
      <c r="I62" s="10">
        <v>20987</v>
      </c>
      <c r="J62" s="10">
        <v>79033.299999999988</v>
      </c>
      <c r="K62" s="10">
        <v>17105</v>
      </c>
      <c r="L62" s="10">
        <v>22512</v>
      </c>
      <c r="M62" s="8">
        <f>Table35[[#This Row],[Ausfuhr: Wert €]]*1000/Table35[[#This Row],[Ausfuhr: Gewicht]]</f>
        <v>117.34705142074934</v>
      </c>
      <c r="N62" s="8">
        <f>Table35[[#This Row],[Einfuhr: Wert €]]*1000/Table35[[#This Row],[Einfuhr: Gewicht]]</f>
        <v>216.42775893199453</v>
      </c>
      <c r="O62" s="8">
        <f>Table35[[#This Row],[Ausfuhr: Wert $]]*1000/Table35[[#This Row],[Ausfuhr: Gewicht]]</f>
        <v>154.45359474238109</v>
      </c>
      <c r="P62" s="8">
        <f>Table35[[#This Row],[Einfuhr: Wert $]]*1000/Table35[[#This Row],[Einfuhr: Gewicht]]</f>
        <v>284.8419590223362</v>
      </c>
    </row>
    <row r="63" spans="2:16" x14ac:dyDescent="0.25">
      <c r="B63">
        <f>(Table35[[#This Row],[Jahr]]-$C$8)*12+Table35[[#This Row],[Month nr]]</f>
        <v>53</v>
      </c>
      <c r="C63">
        <v>2012</v>
      </c>
      <c r="D63">
        <v>5</v>
      </c>
      <c r="E63" t="s">
        <v>20</v>
      </c>
      <c r="F63" t="str">
        <f>_xlfn.CONCAT(Table35[[#This Row],[Monat]]," ",Table35[[#This Row],[Jahr]])</f>
        <v>Mai 2012</v>
      </c>
      <c r="G63">
        <v>105328.1</v>
      </c>
      <c r="H63">
        <v>13373</v>
      </c>
      <c r="I63">
        <v>17105</v>
      </c>
      <c r="J63">
        <v>109492.9</v>
      </c>
      <c r="K63">
        <v>26292</v>
      </c>
      <c r="L63">
        <v>33623</v>
      </c>
      <c r="M63" s="8">
        <f>Table35[[#This Row],[Ausfuhr: Wert €]]*1000/Table35[[#This Row],[Ausfuhr: Gewicht]]</f>
        <v>126.96516883908473</v>
      </c>
      <c r="N63" s="8">
        <f>Table35[[#This Row],[Einfuhr: Wert €]]*1000/Table35[[#This Row],[Einfuhr: Gewicht]]</f>
        <v>240.125158800251</v>
      </c>
      <c r="O63" s="8">
        <f>Table35[[#This Row],[Ausfuhr: Wert $]]*1000/Table35[[#This Row],[Ausfuhr: Gewicht]]</f>
        <v>162.39730898022464</v>
      </c>
      <c r="P63" s="8">
        <f>Table35[[#This Row],[Einfuhr: Wert $]]*1000/Table35[[#This Row],[Einfuhr: Gewicht]]</f>
        <v>307.07927180666513</v>
      </c>
    </row>
    <row r="64" spans="2:16" x14ac:dyDescent="0.25">
      <c r="B64">
        <f>(Table35[[#This Row],[Jahr]]-$C$8)*12+Table35[[#This Row],[Month nr]]</f>
        <v>54</v>
      </c>
      <c r="C64">
        <v>2012</v>
      </c>
      <c r="D64">
        <v>6</v>
      </c>
      <c r="E64" t="s">
        <v>21</v>
      </c>
      <c r="F64" t="str">
        <f>_xlfn.CONCAT(Table35[[#This Row],[Monat]]," ",Table35[[#This Row],[Jahr]])</f>
        <v>Juni 2012</v>
      </c>
      <c r="G64">
        <v>145567.20000000001</v>
      </c>
      <c r="H64">
        <v>18364</v>
      </c>
      <c r="I64">
        <v>23004</v>
      </c>
      <c r="J64">
        <v>122347.1</v>
      </c>
      <c r="K64">
        <v>25401</v>
      </c>
      <c r="L64">
        <v>31817</v>
      </c>
      <c r="M64" s="8">
        <f>Table35[[#This Row],[Ausfuhr: Wert €]]*1000/Table35[[#This Row],[Ausfuhr: Gewicht]]</f>
        <v>126.15479311273418</v>
      </c>
      <c r="N64" s="8">
        <f>Table35[[#This Row],[Einfuhr: Wert €]]*1000/Table35[[#This Row],[Einfuhr: Gewicht]]</f>
        <v>207.61423850667487</v>
      </c>
      <c r="O64" s="8">
        <f>Table35[[#This Row],[Ausfuhr: Wert $]]*1000/Table35[[#This Row],[Ausfuhr: Gewicht]]</f>
        <v>158.03010568314838</v>
      </c>
      <c r="P64" s="8">
        <f>Table35[[#This Row],[Einfuhr: Wert $]]*1000/Table35[[#This Row],[Einfuhr: Gewicht]]</f>
        <v>260.05520359697942</v>
      </c>
    </row>
    <row r="65" spans="2:16" x14ac:dyDescent="0.25">
      <c r="B65">
        <f>(Table35[[#This Row],[Jahr]]-$C$8)*12+Table35[[#This Row],[Month nr]]</f>
        <v>55</v>
      </c>
      <c r="C65">
        <v>2012</v>
      </c>
      <c r="D65">
        <v>7</v>
      </c>
      <c r="E65" t="s">
        <v>22</v>
      </c>
      <c r="F65" t="str">
        <f>_xlfn.CONCAT(Table35[[#This Row],[Monat]]," ",Table35[[#This Row],[Jahr]])</f>
        <v>Juli 2012</v>
      </c>
      <c r="G65">
        <v>118486.2</v>
      </c>
      <c r="H65">
        <v>15005</v>
      </c>
      <c r="I65">
        <v>18435</v>
      </c>
      <c r="J65">
        <v>72575.099999999991</v>
      </c>
      <c r="K65">
        <v>18350</v>
      </c>
      <c r="L65">
        <v>22547</v>
      </c>
      <c r="M65" s="8">
        <f>Table35[[#This Row],[Ausfuhr: Wert €]]*1000/Table35[[#This Row],[Ausfuhr: Gewicht]]</f>
        <v>126.63922043242167</v>
      </c>
      <c r="N65" s="8">
        <f>Table35[[#This Row],[Einfuhr: Wert €]]*1000/Table35[[#This Row],[Einfuhr: Gewicht]]</f>
        <v>252.84153931582597</v>
      </c>
      <c r="O65" s="8">
        <f>Table35[[#This Row],[Ausfuhr: Wert $]]*1000/Table35[[#This Row],[Ausfuhr: Gewicht]]</f>
        <v>155.58773933166901</v>
      </c>
      <c r="P65" s="8">
        <f>Table35[[#This Row],[Einfuhr: Wert $]]*1000/Table35[[#This Row],[Einfuhr: Gewicht]]</f>
        <v>310.67129084217595</v>
      </c>
    </row>
    <row r="66" spans="2:16" x14ac:dyDescent="0.25">
      <c r="B66">
        <f>(Table35[[#This Row],[Jahr]]-$C$8)*12+Table35[[#This Row],[Month nr]]</f>
        <v>56</v>
      </c>
      <c r="C66">
        <v>2012</v>
      </c>
      <c r="D66">
        <v>8</v>
      </c>
      <c r="E66" t="s">
        <v>17</v>
      </c>
      <c r="F66" t="str">
        <f>_xlfn.CONCAT(Table35[[#This Row],[Monat]]," ",Table35[[#This Row],[Jahr]])</f>
        <v>August 2012</v>
      </c>
      <c r="G66">
        <v>149065.9</v>
      </c>
      <c r="H66">
        <v>17205</v>
      </c>
      <c r="I66">
        <v>21333</v>
      </c>
      <c r="J66">
        <v>55735.1</v>
      </c>
      <c r="K66">
        <v>8862</v>
      </c>
      <c r="L66">
        <v>10985</v>
      </c>
      <c r="M66" s="8">
        <f>Table35[[#This Row],[Ausfuhr: Wert €]]*1000/Table35[[#This Row],[Ausfuhr: Gewicht]]</f>
        <v>115.4187510356158</v>
      </c>
      <c r="N66" s="8">
        <f>Table35[[#This Row],[Einfuhr: Wert €]]*1000/Table35[[#This Row],[Einfuhr: Gewicht]]</f>
        <v>159.00213689398603</v>
      </c>
      <c r="O66" s="8">
        <f>Table35[[#This Row],[Ausfuhr: Wert $]]*1000/Table35[[#This Row],[Ausfuhr: Gewicht]]</f>
        <v>143.11120115331542</v>
      </c>
      <c r="P66" s="8">
        <f>Table35[[#This Row],[Einfuhr: Wert $]]*1000/Table35[[#This Row],[Einfuhr: Gewicht]]</f>
        <v>197.09303473035843</v>
      </c>
    </row>
    <row r="67" spans="2:16" x14ac:dyDescent="0.25">
      <c r="B67">
        <f>(Table35[[#This Row],[Jahr]]-$C$8)*12+Table35[[#This Row],[Month nr]]</f>
        <v>57</v>
      </c>
      <c r="C67">
        <v>2012</v>
      </c>
      <c r="D67">
        <v>9</v>
      </c>
      <c r="E67" t="s">
        <v>18</v>
      </c>
      <c r="F67" t="str">
        <f>_xlfn.CONCAT(Table35[[#This Row],[Monat]]," ",Table35[[#This Row],[Jahr]])</f>
        <v>September 2012</v>
      </c>
      <c r="G67">
        <v>277015.89999999997</v>
      </c>
      <c r="H67">
        <v>33357</v>
      </c>
      <c r="I67">
        <v>42885</v>
      </c>
      <c r="J67">
        <v>50804.6</v>
      </c>
      <c r="K67">
        <v>6927</v>
      </c>
      <c r="L67">
        <v>8905</v>
      </c>
      <c r="M67" s="8">
        <f>Table35[[#This Row],[Ausfuhr: Wert €]]*1000/Table35[[#This Row],[Ausfuhr: Gewicht]]</f>
        <v>120.41547073651731</v>
      </c>
      <c r="N67" s="8">
        <f>Table35[[#This Row],[Einfuhr: Wert €]]*1000/Table35[[#This Row],[Einfuhr: Gewicht]]</f>
        <v>136.34592143231126</v>
      </c>
      <c r="O67" s="8">
        <f>Table35[[#This Row],[Ausfuhr: Wert $]]*1000/Table35[[#This Row],[Ausfuhr: Gewicht]]</f>
        <v>154.810608344142</v>
      </c>
      <c r="P67" s="8">
        <f>Table35[[#This Row],[Einfuhr: Wert $]]*1000/Table35[[#This Row],[Einfuhr: Gewicht]]</f>
        <v>175.27940383351114</v>
      </c>
    </row>
    <row r="68" spans="2:16" x14ac:dyDescent="0.25">
      <c r="B68">
        <f>(Table35[[#This Row],[Jahr]]-$C$8)*12+Table35[[#This Row],[Month nr]]</f>
        <v>58</v>
      </c>
      <c r="C68">
        <v>2012</v>
      </c>
      <c r="D68">
        <v>10</v>
      </c>
      <c r="E68" t="s">
        <v>23</v>
      </c>
      <c r="F68" t="str">
        <f>_xlfn.CONCAT(Table35[[#This Row],[Monat]]," ",Table35[[#This Row],[Jahr]])</f>
        <v>Oktober 2012</v>
      </c>
      <c r="G68">
        <v>338827.00000000006</v>
      </c>
      <c r="H68">
        <v>43829</v>
      </c>
      <c r="I68">
        <v>56865</v>
      </c>
      <c r="J68">
        <v>111844.6</v>
      </c>
      <c r="K68">
        <v>15912</v>
      </c>
      <c r="L68">
        <v>20643</v>
      </c>
      <c r="M68" s="8">
        <f>Table35[[#This Row],[Ausfuhr: Wert €]]*1000/Table35[[#This Row],[Ausfuhr: Gewicht]]</f>
        <v>129.35509861964954</v>
      </c>
      <c r="N68" s="8">
        <f>Table35[[#This Row],[Einfuhr: Wert €]]*1000/Table35[[#This Row],[Einfuhr: Gewicht]]</f>
        <v>142.26882656829207</v>
      </c>
      <c r="O68" s="8">
        <f>Table35[[#This Row],[Ausfuhr: Wert $]]*1000/Table35[[#This Row],[Ausfuhr: Gewicht]]</f>
        <v>167.82901008479251</v>
      </c>
      <c r="P68" s="8">
        <f>Table35[[#This Row],[Einfuhr: Wert $]]*1000/Table35[[#This Row],[Einfuhr: Gewicht]]</f>
        <v>184.5685889171225</v>
      </c>
    </row>
    <row r="69" spans="2:16" x14ac:dyDescent="0.25">
      <c r="B69">
        <f>(Table35[[#This Row],[Jahr]]-$C$8)*12+Table35[[#This Row],[Month nr]]</f>
        <v>59</v>
      </c>
      <c r="C69">
        <v>2012</v>
      </c>
      <c r="D69">
        <v>11</v>
      </c>
      <c r="E69" t="s">
        <v>19</v>
      </c>
      <c r="F69" t="str">
        <f>_xlfn.CONCAT(Table35[[#This Row],[Monat]]," ",Table35[[#This Row],[Jahr]])</f>
        <v>November 2012</v>
      </c>
      <c r="G69">
        <v>138923.20000000001</v>
      </c>
      <c r="H69">
        <v>22780</v>
      </c>
      <c r="I69">
        <v>29226</v>
      </c>
      <c r="J69">
        <v>52185.399999999994</v>
      </c>
      <c r="K69">
        <v>9738</v>
      </c>
      <c r="L69">
        <v>12494</v>
      </c>
      <c r="M69" s="8">
        <f>Table35[[#This Row],[Ausfuhr: Wert €]]*1000/Table35[[#This Row],[Ausfuhr: Gewicht]]</f>
        <v>163.97549149458118</v>
      </c>
      <c r="N69" s="8">
        <f>Table35[[#This Row],[Einfuhr: Wert €]]*1000/Table35[[#This Row],[Einfuhr: Gewicht]]</f>
        <v>186.60391603781903</v>
      </c>
      <c r="O69" s="8">
        <f>Table35[[#This Row],[Ausfuhr: Wert $]]*1000/Table35[[#This Row],[Ausfuhr: Gewicht]]</f>
        <v>210.37522890345167</v>
      </c>
      <c r="P69" s="8">
        <f>Table35[[#This Row],[Einfuhr: Wert $]]*1000/Table35[[#This Row],[Einfuhr: Gewicht]]</f>
        <v>239.41562199389105</v>
      </c>
    </row>
    <row r="70" spans="2:16" x14ac:dyDescent="0.25">
      <c r="B70">
        <f>(Table35[[#This Row],[Jahr]]-$C$8)*12+Table35[[#This Row],[Month nr]]</f>
        <v>60</v>
      </c>
      <c r="C70">
        <v>2012</v>
      </c>
      <c r="D70">
        <v>12</v>
      </c>
      <c r="E70" t="s">
        <v>24</v>
      </c>
      <c r="F70" t="str">
        <f>_xlfn.CONCAT(Table35[[#This Row],[Monat]]," ",Table35[[#This Row],[Jahr]])</f>
        <v>Dezember 2012</v>
      </c>
      <c r="G70">
        <v>153098.40000000002</v>
      </c>
      <c r="H70">
        <v>19252</v>
      </c>
      <c r="I70">
        <v>25258</v>
      </c>
      <c r="J70">
        <v>17209.199999999997</v>
      </c>
      <c r="K70">
        <v>6132</v>
      </c>
      <c r="L70">
        <v>8044</v>
      </c>
      <c r="M70" s="8">
        <f>Table35[[#This Row],[Ausfuhr: Wert €]]*1000/Table35[[#This Row],[Ausfuhr: Gewicht]]</f>
        <v>125.74919136973344</v>
      </c>
      <c r="N70" s="8">
        <f>Table35[[#This Row],[Einfuhr: Wert €]]*1000/Table35[[#This Row],[Einfuhr: Gewicht]]</f>
        <v>356.32103758454787</v>
      </c>
      <c r="O70" s="8">
        <f>Table35[[#This Row],[Ausfuhr: Wert $]]*1000/Table35[[#This Row],[Ausfuhr: Gewicht]]</f>
        <v>164.978863267023</v>
      </c>
      <c r="P70" s="8">
        <f>Table35[[#This Row],[Einfuhr: Wert $]]*1000/Table35[[#This Row],[Einfuhr: Gewicht]]</f>
        <v>467.42440090184328</v>
      </c>
    </row>
    <row r="71" spans="2:16" x14ac:dyDescent="0.25">
      <c r="B71">
        <f>(Table35[[#This Row],[Jahr]]-$C$8)*12+Table35[[#This Row],[Month nr]]</f>
        <v>61</v>
      </c>
      <c r="C71">
        <v>2013</v>
      </c>
      <c r="D71">
        <v>1</v>
      </c>
      <c r="E71" t="s">
        <v>13</v>
      </c>
      <c r="F71" t="str">
        <f>_xlfn.CONCAT(Table35[[#This Row],[Monat]]," ",Table35[[#This Row],[Jahr]])</f>
        <v>Januar 2013</v>
      </c>
      <c r="G71" s="6">
        <v>262857.3</v>
      </c>
      <c r="H71" s="6">
        <v>44853</v>
      </c>
      <c r="I71" s="6">
        <v>59601</v>
      </c>
      <c r="J71" s="6">
        <v>88285.2</v>
      </c>
      <c r="K71" s="6">
        <v>18333</v>
      </c>
      <c r="L71" s="6">
        <v>24362</v>
      </c>
      <c r="M71" s="8">
        <f>Table35[[#This Row],[Ausfuhr: Wert €]]*1000/Table35[[#This Row],[Ausfuhr: Gewicht]]</f>
        <v>170.63631103264015</v>
      </c>
      <c r="N71" s="8">
        <f>Table35[[#This Row],[Einfuhr: Wert €]]*1000/Table35[[#This Row],[Einfuhr: Gewicht]]</f>
        <v>207.6565494556279</v>
      </c>
      <c r="O71" s="8">
        <f>Table35[[#This Row],[Ausfuhr: Wert $]]*1000/Table35[[#This Row],[Ausfuhr: Gewicht]]</f>
        <v>226.74279922984829</v>
      </c>
      <c r="P71" s="8">
        <f>Table35[[#This Row],[Einfuhr: Wert $]]*1000/Table35[[#This Row],[Einfuhr: Gewicht]]</f>
        <v>275.94659127464172</v>
      </c>
    </row>
    <row r="72" spans="2:16" x14ac:dyDescent="0.25">
      <c r="B72">
        <f>(Table35[[#This Row],[Jahr]]-$C$8)*12+Table35[[#This Row],[Month nr]]</f>
        <v>62</v>
      </c>
      <c r="C72">
        <v>2013</v>
      </c>
      <c r="D72">
        <v>2</v>
      </c>
      <c r="E72" t="s">
        <v>14</v>
      </c>
      <c r="F72" t="str">
        <f>_xlfn.CONCAT(Table35[[#This Row],[Monat]]," ",Table35[[#This Row],[Jahr]])</f>
        <v>Februar 2013</v>
      </c>
      <c r="G72" s="7">
        <v>137576.59999999998</v>
      </c>
      <c r="H72" s="7">
        <v>25507</v>
      </c>
      <c r="I72" s="7">
        <v>34080</v>
      </c>
      <c r="J72" s="7">
        <v>29196.3</v>
      </c>
      <c r="K72" s="7">
        <v>9256</v>
      </c>
      <c r="L72" s="7">
        <v>12369</v>
      </c>
      <c r="M72" s="8">
        <f>Table35[[#This Row],[Ausfuhr: Wert €]]*1000/Table35[[#This Row],[Ausfuhr: Gewicht]]</f>
        <v>185.40216868275567</v>
      </c>
      <c r="N72" s="8">
        <f>Table35[[#This Row],[Einfuhr: Wert €]]*1000/Table35[[#This Row],[Einfuhr: Gewicht]]</f>
        <v>317.02647253247846</v>
      </c>
      <c r="O72" s="8">
        <f>Table35[[#This Row],[Ausfuhr: Wert $]]*1000/Table35[[#This Row],[Ausfuhr: Gewicht]]</f>
        <v>247.71654481939521</v>
      </c>
      <c r="P72" s="8">
        <f>Table35[[#This Row],[Einfuhr: Wert $]]*1000/Table35[[#This Row],[Einfuhr: Gewicht]]</f>
        <v>423.64957203481265</v>
      </c>
    </row>
    <row r="73" spans="2:16" x14ac:dyDescent="0.25">
      <c r="B73">
        <f>(Table35[[#This Row],[Jahr]]-$C$8)*12+Table35[[#This Row],[Month nr]]</f>
        <v>63</v>
      </c>
      <c r="C73">
        <v>2013</v>
      </c>
      <c r="D73">
        <v>3</v>
      </c>
      <c r="E73" t="s">
        <v>15</v>
      </c>
      <c r="F73" t="str">
        <f>_xlfn.CONCAT(Table35[[#This Row],[Monat]]," ",Table35[[#This Row],[Jahr]])</f>
        <v>März 2013</v>
      </c>
      <c r="G73" s="6">
        <v>182910.29999999996</v>
      </c>
      <c r="H73" s="6">
        <v>33395</v>
      </c>
      <c r="I73" s="6">
        <v>43295</v>
      </c>
      <c r="J73" s="6">
        <v>89034.500000000015</v>
      </c>
      <c r="K73" s="6">
        <v>28568</v>
      </c>
      <c r="L73" s="6">
        <v>37034</v>
      </c>
      <c r="M73" s="8">
        <f>Table35[[#This Row],[Ausfuhr: Wert €]]*1000/Table35[[#This Row],[Ausfuhr: Gewicht]]</f>
        <v>182.57583088541219</v>
      </c>
      <c r="N73" s="8">
        <f>Table35[[#This Row],[Einfuhr: Wert €]]*1000/Table35[[#This Row],[Einfuhr: Gewicht]]</f>
        <v>320.86438403090932</v>
      </c>
      <c r="O73" s="8">
        <f>Table35[[#This Row],[Ausfuhr: Wert $]]*1000/Table35[[#This Row],[Ausfuhr: Gewicht]]</f>
        <v>236.70072161053812</v>
      </c>
      <c r="P73" s="8">
        <f>Table35[[#This Row],[Einfuhr: Wert $]]*1000/Table35[[#This Row],[Einfuhr: Gewicht]]</f>
        <v>415.95112007143291</v>
      </c>
    </row>
    <row r="74" spans="2:16" x14ac:dyDescent="0.25">
      <c r="B74">
        <f>(Table35[[#This Row],[Jahr]]-$C$8)*12+Table35[[#This Row],[Month nr]]</f>
        <v>64</v>
      </c>
      <c r="C74">
        <v>2013</v>
      </c>
      <c r="D74">
        <v>4</v>
      </c>
      <c r="E74" t="s">
        <v>16</v>
      </c>
      <c r="F74" t="str">
        <f>_xlfn.CONCAT(Table35[[#This Row],[Monat]]," ",Table35[[#This Row],[Jahr]])</f>
        <v>April 2013</v>
      </c>
      <c r="G74" s="7">
        <v>165348.29999999999</v>
      </c>
      <c r="H74" s="7">
        <v>32007</v>
      </c>
      <c r="I74" s="7">
        <v>41690</v>
      </c>
      <c r="J74" s="7">
        <v>70825.8</v>
      </c>
      <c r="K74" s="7">
        <v>26096</v>
      </c>
      <c r="L74" s="7">
        <v>33990</v>
      </c>
      <c r="M74" s="8">
        <f>Table35[[#This Row],[Ausfuhr: Wert €]]*1000/Table35[[#This Row],[Ausfuhr: Gewicht]]</f>
        <v>193.57320274838025</v>
      </c>
      <c r="N74" s="8">
        <f>Table35[[#This Row],[Einfuhr: Wert €]]*1000/Table35[[#This Row],[Einfuhr: Gewicht]]</f>
        <v>368.45330373959769</v>
      </c>
      <c r="O74" s="8">
        <f>Table35[[#This Row],[Ausfuhr: Wert $]]*1000/Table35[[#This Row],[Ausfuhr: Gewicht]]</f>
        <v>252.13443379823079</v>
      </c>
      <c r="P74" s="8">
        <f>Table35[[#This Row],[Einfuhr: Wert $]]*1000/Table35[[#This Row],[Einfuhr: Gewicht]]</f>
        <v>479.90986335487912</v>
      </c>
    </row>
    <row r="75" spans="2:16" x14ac:dyDescent="0.25">
      <c r="B75">
        <f>(Table35[[#This Row],[Jahr]]-$C$8)*12+Table35[[#This Row],[Month nr]]</f>
        <v>65</v>
      </c>
      <c r="C75">
        <v>2013</v>
      </c>
      <c r="D75">
        <v>5</v>
      </c>
      <c r="E75" t="s">
        <v>20</v>
      </c>
      <c r="F75" t="str">
        <f>_xlfn.CONCAT(Table35[[#This Row],[Monat]]," ",Table35[[#This Row],[Jahr]])</f>
        <v>Mai 2013</v>
      </c>
      <c r="G75" s="6">
        <v>146998.20000000001</v>
      </c>
      <c r="H75" s="6">
        <v>30379</v>
      </c>
      <c r="I75" s="6">
        <v>39436</v>
      </c>
      <c r="J75" s="6">
        <v>101040.20000000001</v>
      </c>
      <c r="K75" s="6">
        <v>40843</v>
      </c>
      <c r="L75" s="6">
        <v>53025</v>
      </c>
      <c r="M75" s="8">
        <f>Table35[[#This Row],[Ausfuhr: Wert €]]*1000/Table35[[#This Row],[Ausfuhr: Gewicht]]</f>
        <v>206.66239450551095</v>
      </c>
      <c r="N75" s="8">
        <f>Table35[[#This Row],[Einfuhr: Wert €]]*1000/Table35[[#This Row],[Einfuhr: Gewicht]]</f>
        <v>404.22524896031479</v>
      </c>
      <c r="O75" s="8">
        <f>Table35[[#This Row],[Ausfuhr: Wert $]]*1000/Table35[[#This Row],[Ausfuhr: Gewicht]]</f>
        <v>268.27539384836001</v>
      </c>
      <c r="P75" s="8">
        <f>Table35[[#This Row],[Einfuhr: Wert $]]*1000/Table35[[#This Row],[Einfuhr: Gewicht]]</f>
        <v>524.79112274124554</v>
      </c>
    </row>
    <row r="76" spans="2:16" x14ac:dyDescent="0.25">
      <c r="B76">
        <f>(Table35[[#This Row],[Jahr]]-$C$8)*12+Table35[[#This Row],[Month nr]]</f>
        <v>66</v>
      </c>
      <c r="C76">
        <v>2013</v>
      </c>
      <c r="D76">
        <v>6</v>
      </c>
      <c r="E76" t="s">
        <v>21</v>
      </c>
      <c r="F76" t="str">
        <f>_xlfn.CONCAT(Table35[[#This Row],[Monat]]," ",Table35[[#This Row],[Jahr]])</f>
        <v>Juni 2013</v>
      </c>
      <c r="G76" s="7">
        <v>148649.39999999997</v>
      </c>
      <c r="H76" s="7">
        <v>31871</v>
      </c>
      <c r="I76" s="7">
        <v>42037</v>
      </c>
      <c r="J76" s="7">
        <v>132867.6</v>
      </c>
      <c r="K76" s="7">
        <v>60300</v>
      </c>
      <c r="L76" s="7">
        <v>79529</v>
      </c>
      <c r="M76" s="8">
        <f>Table35[[#This Row],[Ausfuhr: Wert €]]*1000/Table35[[#This Row],[Ausfuhr: Gewicht]]</f>
        <v>214.40382537702814</v>
      </c>
      <c r="N76" s="8">
        <f>Table35[[#This Row],[Einfuhr: Wert €]]*1000/Table35[[#This Row],[Einfuhr: Gewicht]]</f>
        <v>453.83524651608064</v>
      </c>
      <c r="O76" s="8">
        <f>Table35[[#This Row],[Ausfuhr: Wert $]]*1000/Table35[[#This Row],[Ausfuhr: Gewicht]]</f>
        <v>282.7929342466233</v>
      </c>
      <c r="P76" s="8">
        <f>Table35[[#This Row],[Einfuhr: Wert $]]*1000/Table35[[#This Row],[Einfuhr: Gewicht]]</f>
        <v>598.55826401620857</v>
      </c>
    </row>
    <row r="77" spans="2:16" x14ac:dyDescent="0.25">
      <c r="B77">
        <f>(Table35[[#This Row],[Jahr]]-$C$8)*12+Table35[[#This Row],[Month nr]]</f>
        <v>67</v>
      </c>
      <c r="C77">
        <v>2013</v>
      </c>
      <c r="D77">
        <v>7</v>
      </c>
      <c r="E77" t="s">
        <v>22</v>
      </c>
      <c r="F77" t="str">
        <f>_xlfn.CONCAT(Table35[[#This Row],[Monat]]," ",Table35[[#This Row],[Jahr]])</f>
        <v>Juli 2013</v>
      </c>
      <c r="G77" s="6">
        <v>141456.4</v>
      </c>
      <c r="H77" s="6">
        <v>31756</v>
      </c>
      <c r="I77" s="6">
        <v>41537</v>
      </c>
      <c r="J77" s="6">
        <v>99439.900000000009</v>
      </c>
      <c r="K77" s="6">
        <v>36968</v>
      </c>
      <c r="L77" s="6">
        <v>48354</v>
      </c>
      <c r="M77" s="8">
        <f>Table35[[#This Row],[Ausfuhr: Wert €]]*1000/Table35[[#This Row],[Ausfuhr: Gewicht]]</f>
        <v>224.49320073181562</v>
      </c>
      <c r="N77" s="8">
        <f>Table35[[#This Row],[Einfuhr: Wert €]]*1000/Table35[[#This Row],[Einfuhr: Gewicht]]</f>
        <v>371.76224030796487</v>
      </c>
      <c r="O77" s="8">
        <f>Table35[[#This Row],[Ausfuhr: Wert $]]*1000/Table35[[#This Row],[Ausfuhr: Gewicht]]</f>
        <v>293.63818109325558</v>
      </c>
      <c r="P77" s="8">
        <f>Table35[[#This Row],[Einfuhr: Wert $]]*1000/Table35[[#This Row],[Einfuhr: Gewicht]]</f>
        <v>486.26356221194908</v>
      </c>
    </row>
    <row r="78" spans="2:16" x14ac:dyDescent="0.25">
      <c r="B78">
        <f>(Table35[[#This Row],[Jahr]]-$C$8)*12+Table35[[#This Row],[Month nr]]</f>
        <v>68</v>
      </c>
      <c r="C78">
        <v>2013</v>
      </c>
      <c r="D78">
        <v>8</v>
      </c>
      <c r="E78" t="s">
        <v>17</v>
      </c>
      <c r="F78" t="str">
        <f>_xlfn.CONCAT(Table35[[#This Row],[Monat]]," ",Table35[[#This Row],[Jahr]])</f>
        <v>August 2013</v>
      </c>
      <c r="G78" s="7">
        <v>191659.90000000005</v>
      </c>
      <c r="H78" s="7">
        <v>31499</v>
      </c>
      <c r="I78" s="7">
        <v>41929</v>
      </c>
      <c r="J78" s="7">
        <v>80328.900000000009</v>
      </c>
      <c r="K78" s="7">
        <v>23070</v>
      </c>
      <c r="L78" s="7">
        <v>30707</v>
      </c>
      <c r="M78" s="8">
        <f>Table35[[#This Row],[Ausfuhr: Wert €]]*1000/Table35[[#This Row],[Ausfuhr: Gewicht]]</f>
        <v>164.34841090911553</v>
      </c>
      <c r="N78" s="8">
        <f>Table35[[#This Row],[Einfuhr: Wert €]]*1000/Table35[[#This Row],[Einfuhr: Gewicht]]</f>
        <v>287.19427254699116</v>
      </c>
      <c r="O78" s="8">
        <f>Table35[[#This Row],[Ausfuhr: Wert $]]*1000/Table35[[#This Row],[Ausfuhr: Gewicht]]</f>
        <v>218.7677234518018</v>
      </c>
      <c r="P78" s="8">
        <f>Table35[[#This Row],[Einfuhr: Wert $]]*1000/Table35[[#This Row],[Einfuhr: Gewicht]]</f>
        <v>382.26590928047062</v>
      </c>
    </row>
    <row r="79" spans="2:16" x14ac:dyDescent="0.25">
      <c r="B79">
        <f>(Table35[[#This Row],[Jahr]]-$C$8)*12+Table35[[#This Row],[Month nr]]</f>
        <v>69</v>
      </c>
      <c r="C79">
        <v>2013</v>
      </c>
      <c r="D79">
        <v>9</v>
      </c>
      <c r="E79" t="s">
        <v>18</v>
      </c>
      <c r="F79" t="str">
        <f>_xlfn.CONCAT(Table35[[#This Row],[Monat]]," ",Table35[[#This Row],[Jahr]])</f>
        <v>September 2013</v>
      </c>
      <c r="G79" s="6">
        <v>255269.7</v>
      </c>
      <c r="H79" s="6">
        <v>36199</v>
      </c>
      <c r="I79" s="6">
        <v>48317</v>
      </c>
      <c r="J79" s="6">
        <v>76781.099999999991</v>
      </c>
      <c r="K79" s="6">
        <v>13335</v>
      </c>
      <c r="L79" s="6">
        <v>17800</v>
      </c>
      <c r="M79" s="8">
        <f>Table35[[#This Row],[Ausfuhr: Wert €]]*1000/Table35[[#This Row],[Ausfuhr: Gewicht]]</f>
        <v>141.80688111436649</v>
      </c>
      <c r="N79" s="8">
        <f>Table35[[#This Row],[Einfuhr: Wert €]]*1000/Table35[[#This Row],[Einfuhr: Gewicht]]</f>
        <v>173.67555296811327</v>
      </c>
      <c r="O79" s="8">
        <f>Table35[[#This Row],[Ausfuhr: Wert $]]*1000/Table35[[#This Row],[Ausfuhr: Gewicht]]</f>
        <v>189.27824179681332</v>
      </c>
      <c r="P79" s="8">
        <f>Table35[[#This Row],[Einfuhr: Wert $]]*1000/Table35[[#This Row],[Einfuhr: Gewicht]]</f>
        <v>231.82788472684035</v>
      </c>
    </row>
    <row r="80" spans="2:16" x14ac:dyDescent="0.25">
      <c r="B80">
        <f>(Table35[[#This Row],[Jahr]]-$C$8)*12+Table35[[#This Row],[Month nr]]</f>
        <v>70</v>
      </c>
      <c r="C80">
        <v>2013</v>
      </c>
      <c r="D80">
        <v>10</v>
      </c>
      <c r="E80" t="s">
        <v>23</v>
      </c>
      <c r="F80" t="str">
        <f>_xlfn.CONCAT(Table35[[#This Row],[Monat]]," ",Table35[[#This Row],[Jahr]])</f>
        <v>Oktober 2013</v>
      </c>
      <c r="G80" s="7">
        <v>91792</v>
      </c>
      <c r="H80" s="7">
        <v>15585</v>
      </c>
      <c r="I80" s="7">
        <v>21248</v>
      </c>
      <c r="J80" s="7">
        <v>13924.800000000005</v>
      </c>
      <c r="K80" s="7">
        <v>5651</v>
      </c>
      <c r="L80" s="7">
        <v>7702</v>
      </c>
      <c r="M80" s="8">
        <f>Table35[[#This Row],[Ausfuhr: Wert €]]*1000/Table35[[#This Row],[Ausfuhr: Gewicht]]</f>
        <v>169.78603799895416</v>
      </c>
      <c r="N80" s="8">
        <f>Table35[[#This Row],[Einfuhr: Wert €]]*1000/Table35[[#This Row],[Einfuhr: Gewicht]]</f>
        <v>405.82270481443169</v>
      </c>
      <c r="O80" s="8">
        <f>Table35[[#This Row],[Ausfuhr: Wert $]]*1000/Table35[[#This Row],[Ausfuhr: Gewicht]]</f>
        <v>231.47986752658184</v>
      </c>
      <c r="P80" s="8">
        <f>Table35[[#This Row],[Einfuhr: Wert $]]*1000/Table35[[#This Row],[Einfuhr: Gewicht]]</f>
        <v>553.11386878088001</v>
      </c>
    </row>
    <row r="81" spans="2:16" x14ac:dyDescent="0.25">
      <c r="B81">
        <f>(Table35[[#This Row],[Jahr]]-$C$8)*12+Table35[[#This Row],[Month nr]]</f>
        <v>71</v>
      </c>
      <c r="C81">
        <v>2013</v>
      </c>
      <c r="D81">
        <v>11</v>
      </c>
      <c r="E81" t="s">
        <v>19</v>
      </c>
      <c r="F81" t="str">
        <f>_xlfn.CONCAT(Table35[[#This Row],[Monat]]," ",Table35[[#This Row],[Jahr]])</f>
        <v>November 2013</v>
      </c>
      <c r="G81" s="6">
        <v>240274.49999999997</v>
      </c>
      <c r="H81" s="6">
        <v>34311</v>
      </c>
      <c r="I81" s="6">
        <v>46296</v>
      </c>
      <c r="J81" s="6">
        <v>112751.8</v>
      </c>
      <c r="K81" s="6">
        <v>19015</v>
      </c>
      <c r="L81" s="6">
        <v>25655</v>
      </c>
      <c r="M81" s="8">
        <f>Table35[[#This Row],[Ausfuhr: Wert €]]*1000/Table35[[#This Row],[Ausfuhr: Gewicht]]</f>
        <v>142.79917344537188</v>
      </c>
      <c r="N81" s="8">
        <f>Table35[[#This Row],[Einfuhr: Wert €]]*1000/Table35[[#This Row],[Einfuhr: Gewicht]]</f>
        <v>168.64475777770289</v>
      </c>
      <c r="O81" s="8">
        <f>Table35[[#This Row],[Ausfuhr: Wert $]]*1000/Table35[[#This Row],[Ausfuhr: Gewicht]]</f>
        <v>192.67962268155799</v>
      </c>
      <c r="P81" s="8">
        <f>Table35[[#This Row],[Einfuhr: Wert $]]*1000/Table35[[#This Row],[Einfuhr: Gewicht]]</f>
        <v>227.53517017023231</v>
      </c>
    </row>
    <row r="82" spans="2:16" x14ac:dyDescent="0.25">
      <c r="B82">
        <f>(Table35[[#This Row],[Jahr]]-$C$8)*12+Table35[[#This Row],[Month nr]]</f>
        <v>72</v>
      </c>
      <c r="C82">
        <v>2013</v>
      </c>
      <c r="D82">
        <v>12</v>
      </c>
      <c r="E82" t="s">
        <v>24</v>
      </c>
      <c r="F82" t="str">
        <f>_xlfn.CONCAT(Table35[[#This Row],[Monat]]," ",Table35[[#This Row],[Jahr]])</f>
        <v>Dezember 2013</v>
      </c>
      <c r="G82" s="7">
        <v>168550.80000000002</v>
      </c>
      <c r="H82" s="7">
        <v>25684</v>
      </c>
      <c r="I82" s="7">
        <v>35204</v>
      </c>
      <c r="J82" s="7">
        <v>91509.9</v>
      </c>
      <c r="K82" s="7">
        <v>16703</v>
      </c>
      <c r="L82" s="7">
        <v>22886</v>
      </c>
      <c r="M82" s="8">
        <f>Table35[[#This Row],[Ausfuhr: Wert €]]*1000/Table35[[#This Row],[Ausfuhr: Gewicht]]</f>
        <v>152.38135921039827</v>
      </c>
      <c r="N82" s="8">
        <f>Table35[[#This Row],[Einfuhr: Wert €]]*1000/Table35[[#This Row],[Einfuhr: Gewicht]]</f>
        <v>182.52669929701597</v>
      </c>
      <c r="O82" s="8">
        <f>Table35[[#This Row],[Ausfuhr: Wert $]]*1000/Table35[[#This Row],[Ausfuhr: Gewicht]]</f>
        <v>208.86284728402356</v>
      </c>
      <c r="P82" s="8">
        <f>Table35[[#This Row],[Einfuhr: Wert $]]*1000/Table35[[#This Row],[Einfuhr: Gewicht]]</f>
        <v>250.09315931937419</v>
      </c>
    </row>
    <row r="83" spans="2:16" x14ac:dyDescent="0.25">
      <c r="B83">
        <f>(Table35[[#This Row],[Jahr]]-$C$8)*12+Table35[[#This Row],[Month nr]]</f>
        <v>73</v>
      </c>
      <c r="C83">
        <v>2014</v>
      </c>
      <c r="D83">
        <v>1</v>
      </c>
      <c r="E83" t="s">
        <v>13</v>
      </c>
      <c r="F83" t="str">
        <f>_xlfn.CONCAT(Table35[[#This Row],[Monat]]," ",Table35[[#This Row],[Jahr]])</f>
        <v>Januar 2014</v>
      </c>
      <c r="G83">
        <v>85384.8</v>
      </c>
      <c r="H83">
        <v>15495</v>
      </c>
      <c r="I83">
        <v>21086</v>
      </c>
      <c r="J83">
        <v>22330.999999999993</v>
      </c>
      <c r="K83">
        <v>8096</v>
      </c>
      <c r="L83">
        <v>11021</v>
      </c>
      <c r="M83" s="8">
        <f>Table35[[#This Row],[Ausfuhr: Wert €]]*1000/Table35[[#This Row],[Ausfuhr: Gewicht]]</f>
        <v>181.47258059982573</v>
      </c>
      <c r="N83" s="8">
        <f>Table35[[#This Row],[Einfuhr: Wert €]]*1000/Table35[[#This Row],[Einfuhr: Gewicht]]</f>
        <v>362.54534055796887</v>
      </c>
      <c r="O83" s="8">
        <f>Table35[[#This Row],[Ausfuhr: Wert $]]*1000/Table35[[#This Row],[Ausfuhr: Gewicht]]</f>
        <v>246.95261920154405</v>
      </c>
      <c r="P83" s="8">
        <f>Table35[[#This Row],[Einfuhr: Wert $]]*1000/Table35[[#This Row],[Einfuhr: Gewicht]]</f>
        <v>493.52917468989313</v>
      </c>
    </row>
    <row r="84" spans="2:16" x14ac:dyDescent="0.25">
      <c r="B84">
        <f>(Table35[[#This Row],[Jahr]]-$C$8)*12+Table35[[#This Row],[Month nr]]</f>
        <v>74</v>
      </c>
      <c r="C84">
        <v>2014</v>
      </c>
      <c r="D84">
        <v>2</v>
      </c>
      <c r="E84" t="s">
        <v>14</v>
      </c>
      <c r="F84" t="str">
        <f>_xlfn.CONCAT(Table35[[#This Row],[Monat]]," ",Table35[[#This Row],[Jahr]])</f>
        <v>Februar 2014</v>
      </c>
      <c r="G84">
        <v>137279</v>
      </c>
      <c r="H84">
        <v>22342</v>
      </c>
      <c r="I84">
        <v>30517</v>
      </c>
      <c r="J84">
        <v>53056.3</v>
      </c>
      <c r="K84">
        <v>11877</v>
      </c>
      <c r="L84">
        <v>16220</v>
      </c>
      <c r="M84" s="8">
        <f>Table35[[#This Row],[Ausfuhr: Wert €]]*1000/Table35[[#This Row],[Ausfuhr: Gewicht]]</f>
        <v>162.74885452254168</v>
      </c>
      <c r="N84" s="8">
        <f>Table35[[#This Row],[Einfuhr: Wert €]]*1000/Table35[[#This Row],[Einfuhr: Gewicht]]</f>
        <v>223.85654484010379</v>
      </c>
      <c r="O84" s="8">
        <f>Table35[[#This Row],[Ausfuhr: Wert $]]*1000/Table35[[#This Row],[Ausfuhr: Gewicht]]</f>
        <v>222.29911348421828</v>
      </c>
      <c r="P84" s="8">
        <f>Table35[[#This Row],[Einfuhr: Wert $]]*1000/Table35[[#This Row],[Einfuhr: Gewicht]]</f>
        <v>305.71298790153099</v>
      </c>
    </row>
    <row r="85" spans="2:16" x14ac:dyDescent="0.25">
      <c r="B85">
        <f>(Table35[[#This Row],[Jahr]]-$C$8)*12+Table35[[#This Row],[Month nr]]</f>
        <v>75</v>
      </c>
      <c r="C85">
        <v>2014</v>
      </c>
      <c r="D85">
        <v>3</v>
      </c>
      <c r="E85" t="s">
        <v>15</v>
      </c>
      <c r="F85" t="str">
        <f>_xlfn.CONCAT(Table35[[#This Row],[Monat]]," ",Table35[[#This Row],[Jahr]])</f>
        <v>März 2014</v>
      </c>
      <c r="G85">
        <v>129000.90000000001</v>
      </c>
      <c r="H85">
        <v>22225</v>
      </c>
      <c r="I85">
        <v>30721</v>
      </c>
      <c r="J85">
        <v>45547.200000000004</v>
      </c>
      <c r="K85">
        <v>15160</v>
      </c>
      <c r="L85">
        <v>20955</v>
      </c>
      <c r="M85" s="8">
        <f>Table35[[#This Row],[Ausfuhr: Wert €]]*1000/Table35[[#This Row],[Ausfuhr: Gewicht]]</f>
        <v>172.28561971273066</v>
      </c>
      <c r="N85" s="8">
        <f>Table35[[#This Row],[Einfuhr: Wert €]]*1000/Table35[[#This Row],[Einfuhr: Gewicht]]</f>
        <v>332.84153581339791</v>
      </c>
      <c r="O85" s="8">
        <f>Table35[[#This Row],[Ausfuhr: Wert $]]*1000/Table35[[#This Row],[Ausfuhr: Gewicht]]</f>
        <v>238.14562534059837</v>
      </c>
      <c r="P85" s="8">
        <f>Table35[[#This Row],[Einfuhr: Wert $]]*1000/Table35[[#This Row],[Einfuhr: Gewicht]]</f>
        <v>460.07218885024758</v>
      </c>
    </row>
    <row r="86" spans="2:16" x14ac:dyDescent="0.25">
      <c r="B86">
        <f>(Table35[[#This Row],[Jahr]]-$C$8)*12+Table35[[#This Row],[Month nr]]</f>
        <v>76</v>
      </c>
      <c r="C86">
        <v>2014</v>
      </c>
      <c r="D86">
        <v>4</v>
      </c>
      <c r="E86" t="s">
        <v>16</v>
      </c>
      <c r="F86" t="str">
        <f>_xlfn.CONCAT(Table35[[#This Row],[Monat]]," ",Table35[[#This Row],[Jahr]])</f>
        <v>April 2014</v>
      </c>
      <c r="G86" s="10">
        <v>60378.000000000022</v>
      </c>
      <c r="H86" s="10">
        <v>11521</v>
      </c>
      <c r="I86" s="10">
        <v>15910</v>
      </c>
      <c r="J86" s="10">
        <v>85454.900000000009</v>
      </c>
      <c r="K86" s="10">
        <v>31543</v>
      </c>
      <c r="L86" s="10">
        <v>43568</v>
      </c>
      <c r="M86" s="8">
        <f>Table35[[#This Row],[Ausfuhr: Wert €]]*1000/Table35[[#This Row],[Ausfuhr: Gewicht]]</f>
        <v>190.81453509556454</v>
      </c>
      <c r="N86" s="8">
        <f>Table35[[#This Row],[Einfuhr: Wert €]]*1000/Table35[[#This Row],[Einfuhr: Gewicht]]</f>
        <v>369.11868131610942</v>
      </c>
      <c r="O86" s="8">
        <f>Table35[[#This Row],[Ausfuhr: Wert $]]*1000/Table35[[#This Row],[Ausfuhr: Gewicht]]</f>
        <v>263.50657524263795</v>
      </c>
      <c r="P86" s="8">
        <f>Table35[[#This Row],[Einfuhr: Wert $]]*1000/Table35[[#This Row],[Einfuhr: Gewicht]]</f>
        <v>509.83618259456154</v>
      </c>
    </row>
    <row r="87" spans="2:16" x14ac:dyDescent="0.25">
      <c r="B87">
        <f>(Table35[[#This Row],[Jahr]]-$C$8)*12+Table35[[#This Row],[Month nr]]</f>
        <v>77</v>
      </c>
      <c r="C87">
        <v>2014</v>
      </c>
      <c r="D87">
        <v>5</v>
      </c>
      <c r="E87" t="s">
        <v>20</v>
      </c>
      <c r="F87" t="str">
        <f>_xlfn.CONCAT(Table35[[#This Row],[Monat]]," ",Table35[[#This Row],[Jahr]])</f>
        <v>Mai 2014</v>
      </c>
      <c r="G87">
        <v>164990.39999999997</v>
      </c>
      <c r="H87">
        <v>25428</v>
      </c>
      <c r="I87">
        <v>34916</v>
      </c>
      <c r="J87">
        <v>66782.699999999983</v>
      </c>
      <c r="K87">
        <v>20979</v>
      </c>
      <c r="L87">
        <v>28805</v>
      </c>
      <c r="M87" s="8">
        <f>Table35[[#This Row],[Ausfuhr: Wert €]]*1000/Table35[[#This Row],[Ausfuhr: Gewicht]]</f>
        <v>154.1180577779071</v>
      </c>
      <c r="N87" s="8">
        <f>Table35[[#This Row],[Einfuhr: Wert €]]*1000/Table35[[#This Row],[Einfuhr: Gewicht]]</f>
        <v>314.13824238912184</v>
      </c>
      <c r="O87" s="8">
        <f>Table35[[#This Row],[Ausfuhr: Wert $]]*1000/Table35[[#This Row],[Ausfuhr: Gewicht]]</f>
        <v>211.62443390645763</v>
      </c>
      <c r="P87" s="8">
        <f>Table35[[#This Row],[Einfuhr: Wert $]]*1000/Table35[[#This Row],[Einfuhr: Gewicht]]</f>
        <v>431.32428009050261</v>
      </c>
    </row>
    <row r="88" spans="2:16" x14ac:dyDescent="0.25">
      <c r="B88">
        <f>(Table35[[#This Row],[Jahr]]-$C$8)*12+Table35[[#This Row],[Month nr]]</f>
        <v>78</v>
      </c>
      <c r="C88">
        <v>2014</v>
      </c>
      <c r="D88">
        <v>6</v>
      </c>
      <c r="E88" t="s">
        <v>21</v>
      </c>
      <c r="F88" t="str">
        <f>_xlfn.CONCAT(Table35[[#This Row],[Monat]]," ",Table35[[#This Row],[Jahr]])</f>
        <v>Juni 2014</v>
      </c>
      <c r="G88">
        <v>128694.90000000001</v>
      </c>
      <c r="H88">
        <v>20061</v>
      </c>
      <c r="I88">
        <v>27267</v>
      </c>
      <c r="J88">
        <v>70348.499999999985</v>
      </c>
      <c r="K88">
        <v>23123</v>
      </c>
      <c r="L88">
        <v>31431</v>
      </c>
      <c r="M88" s="8">
        <f>Table35[[#This Row],[Ausfuhr: Wert €]]*1000/Table35[[#This Row],[Ausfuhr: Gewicht]]</f>
        <v>155.8803029490679</v>
      </c>
      <c r="N88" s="8">
        <f>Table35[[#This Row],[Einfuhr: Wert €]]*1000/Table35[[#This Row],[Einfuhr: Gewicht]]</f>
        <v>328.69215406156496</v>
      </c>
      <c r="O88" s="8">
        <f>Table35[[#This Row],[Ausfuhr: Wert $]]*1000/Table35[[#This Row],[Ausfuhr: Gewicht]]</f>
        <v>211.87319777240589</v>
      </c>
      <c r="P88" s="8">
        <f>Table35[[#This Row],[Einfuhr: Wert $]]*1000/Table35[[#This Row],[Einfuhr: Gewicht]]</f>
        <v>446.78991023262768</v>
      </c>
    </row>
    <row r="89" spans="2:16" x14ac:dyDescent="0.25">
      <c r="B89">
        <f>(Table35[[#This Row],[Jahr]]-$C$8)*12+Table35[[#This Row],[Month nr]]</f>
        <v>79</v>
      </c>
      <c r="C89">
        <v>2014</v>
      </c>
      <c r="D89">
        <v>7</v>
      </c>
      <c r="E89" t="s">
        <v>22</v>
      </c>
      <c r="F89" t="str">
        <f>_xlfn.CONCAT(Table35[[#This Row],[Monat]]," ",Table35[[#This Row],[Jahr]])</f>
        <v>Juli 2014</v>
      </c>
      <c r="G89">
        <v>116911.89999999998</v>
      </c>
      <c r="H89">
        <v>16123</v>
      </c>
      <c r="I89">
        <v>21830</v>
      </c>
      <c r="J89">
        <v>52876.799999999996</v>
      </c>
      <c r="K89">
        <v>12191</v>
      </c>
      <c r="L89">
        <v>16507</v>
      </c>
      <c r="M89" s="8">
        <f>Table35[[#This Row],[Ausfuhr: Wert €]]*1000/Table35[[#This Row],[Ausfuhr: Gewicht]]</f>
        <v>137.90726179285431</v>
      </c>
      <c r="N89" s="8">
        <f>Table35[[#This Row],[Einfuhr: Wert €]]*1000/Table35[[#This Row],[Einfuhr: Gewicht]]</f>
        <v>230.55479908012589</v>
      </c>
      <c r="O89" s="8">
        <f>Table35[[#This Row],[Ausfuhr: Wert $]]*1000/Table35[[#This Row],[Ausfuhr: Gewicht]]</f>
        <v>186.72179649804684</v>
      </c>
      <c r="P89" s="8">
        <f>Table35[[#This Row],[Einfuhr: Wert $]]*1000/Table35[[#This Row],[Einfuhr: Gewicht]]</f>
        <v>312.17849794238685</v>
      </c>
    </row>
    <row r="90" spans="2:16" x14ac:dyDescent="0.25">
      <c r="B90">
        <f>(Table35[[#This Row],[Jahr]]-$C$8)*12+Table35[[#This Row],[Month nr]]</f>
        <v>80</v>
      </c>
      <c r="C90">
        <v>2014</v>
      </c>
      <c r="D90">
        <v>8</v>
      </c>
      <c r="E90" t="s">
        <v>17</v>
      </c>
      <c r="F90" t="str">
        <f>_xlfn.CONCAT(Table35[[#This Row],[Monat]]," ",Table35[[#This Row],[Jahr]])</f>
        <v>August 2014</v>
      </c>
      <c r="G90">
        <v>158242.70000000007</v>
      </c>
      <c r="H90">
        <v>18815</v>
      </c>
      <c r="I90">
        <v>25056</v>
      </c>
      <c r="J90">
        <v>14389.400000000003</v>
      </c>
      <c r="K90">
        <v>4224</v>
      </c>
      <c r="L90">
        <v>5626</v>
      </c>
      <c r="M90" s="8">
        <f>Table35[[#This Row],[Ausfuhr: Wert €]]*1000/Table35[[#This Row],[Ausfuhr: Gewicht]]</f>
        <v>118.89963960422814</v>
      </c>
      <c r="N90" s="8">
        <f>Table35[[#This Row],[Einfuhr: Wert €]]*1000/Table35[[#This Row],[Einfuhr: Gewicht]]</f>
        <v>293.54941832182016</v>
      </c>
      <c r="O90" s="8">
        <f>Table35[[#This Row],[Ausfuhr: Wert $]]*1000/Table35[[#This Row],[Ausfuhr: Gewicht]]</f>
        <v>158.33905766269149</v>
      </c>
      <c r="P90" s="8">
        <f>Table35[[#This Row],[Einfuhr: Wert $]]*1000/Table35[[#This Row],[Einfuhr: Gewicht]]</f>
        <v>390.9822508235228</v>
      </c>
    </row>
    <row r="91" spans="2:16" x14ac:dyDescent="0.25">
      <c r="B91">
        <f>(Table35[[#This Row],[Jahr]]-$C$8)*12+Table35[[#This Row],[Month nr]]</f>
        <v>81</v>
      </c>
      <c r="C91">
        <v>2014</v>
      </c>
      <c r="D91">
        <v>9</v>
      </c>
      <c r="E91" t="s">
        <v>18</v>
      </c>
      <c r="F91" t="str">
        <f>_xlfn.CONCAT(Table35[[#This Row],[Monat]]," ",Table35[[#This Row],[Jahr]])</f>
        <v>September 2014</v>
      </c>
      <c r="G91">
        <v>137060.80000000002</v>
      </c>
      <c r="H91">
        <v>16102</v>
      </c>
      <c r="I91">
        <v>20768</v>
      </c>
      <c r="J91">
        <v>23459.4</v>
      </c>
      <c r="K91">
        <v>4633</v>
      </c>
      <c r="L91">
        <v>5977</v>
      </c>
      <c r="M91" s="8">
        <f>Table35[[#This Row],[Ausfuhr: Wert €]]*1000/Table35[[#This Row],[Ausfuhr: Gewicht]]</f>
        <v>117.48070929105914</v>
      </c>
      <c r="N91" s="8">
        <f>Table35[[#This Row],[Einfuhr: Wert €]]*1000/Table35[[#This Row],[Einfuhr: Gewicht]]</f>
        <v>197.49013188743103</v>
      </c>
      <c r="O91" s="8">
        <f>Table35[[#This Row],[Ausfuhr: Wert $]]*1000/Table35[[#This Row],[Ausfuhr: Gewicht]]</f>
        <v>151.52399519045559</v>
      </c>
      <c r="P91" s="8">
        <f>Table35[[#This Row],[Einfuhr: Wert $]]*1000/Table35[[#This Row],[Einfuhr: Gewicht]]</f>
        <v>254.78059967433094</v>
      </c>
    </row>
    <row r="92" spans="2:16" x14ac:dyDescent="0.25">
      <c r="B92">
        <f>(Table35[[#This Row],[Jahr]]-$C$8)*12+Table35[[#This Row],[Month nr]]</f>
        <v>82</v>
      </c>
      <c r="C92">
        <v>2014</v>
      </c>
      <c r="D92">
        <v>10</v>
      </c>
      <c r="E92" t="s">
        <v>23</v>
      </c>
      <c r="F92" t="str">
        <f>_xlfn.CONCAT(Table35[[#This Row],[Monat]]," ",Table35[[#This Row],[Jahr]])</f>
        <v>Oktober 2014</v>
      </c>
      <c r="G92">
        <v>169191</v>
      </c>
      <c r="H92">
        <v>18856</v>
      </c>
      <c r="I92">
        <v>23889</v>
      </c>
      <c r="J92">
        <v>30665.8</v>
      </c>
      <c r="K92">
        <v>6592</v>
      </c>
      <c r="L92">
        <v>8354</v>
      </c>
      <c r="M92" s="8">
        <f>Table35[[#This Row],[Ausfuhr: Wert €]]*1000/Table35[[#This Row],[Ausfuhr: Gewicht]]</f>
        <v>111.44800846380717</v>
      </c>
      <c r="N92" s="8">
        <f>Table35[[#This Row],[Einfuhr: Wert €]]*1000/Table35[[#This Row],[Einfuhr: Gewicht]]</f>
        <v>214.96259676903912</v>
      </c>
      <c r="O92" s="8">
        <f>Table35[[#This Row],[Ausfuhr: Wert $]]*1000/Table35[[#This Row],[Ausfuhr: Gewicht]]</f>
        <v>141.19545365888257</v>
      </c>
      <c r="P92" s="8">
        <f>Table35[[#This Row],[Einfuhr: Wert $]]*1000/Table35[[#This Row],[Einfuhr: Gewicht]]</f>
        <v>272.42074232532661</v>
      </c>
    </row>
    <row r="93" spans="2:16" x14ac:dyDescent="0.25">
      <c r="B93">
        <f>(Table35[[#This Row],[Jahr]]-$C$8)*12+Table35[[#This Row],[Month nr]]</f>
        <v>83</v>
      </c>
      <c r="C93">
        <v>2014</v>
      </c>
      <c r="D93">
        <v>11</v>
      </c>
      <c r="E93" t="s">
        <v>19</v>
      </c>
      <c r="F93" t="str">
        <f>_xlfn.CONCAT(Table35[[#This Row],[Monat]]," ",Table35[[#This Row],[Jahr]])</f>
        <v>November 2014</v>
      </c>
      <c r="G93">
        <v>135296.5</v>
      </c>
      <c r="H93">
        <v>14751</v>
      </c>
      <c r="I93">
        <v>18395</v>
      </c>
      <c r="J93">
        <v>20660.899999999998</v>
      </c>
      <c r="K93">
        <v>3246</v>
      </c>
      <c r="L93">
        <v>4049</v>
      </c>
      <c r="M93" s="8">
        <f>Table35[[#This Row],[Ausfuhr: Wert €]]*1000/Table35[[#This Row],[Ausfuhr: Gewicht]]</f>
        <v>109.02721060781322</v>
      </c>
      <c r="N93" s="8">
        <f>Table35[[#This Row],[Einfuhr: Wert €]]*1000/Table35[[#This Row],[Einfuhr: Gewicht]]</f>
        <v>157.1083544279291</v>
      </c>
      <c r="O93" s="8">
        <f>Table35[[#This Row],[Ausfuhr: Wert $]]*1000/Table35[[#This Row],[Ausfuhr: Gewicht]]</f>
        <v>135.96064938856512</v>
      </c>
      <c r="P93" s="8">
        <f>Table35[[#This Row],[Einfuhr: Wert $]]*1000/Table35[[#This Row],[Einfuhr: Gewicht]]</f>
        <v>195.97403791703172</v>
      </c>
    </row>
    <row r="94" spans="2:16" x14ac:dyDescent="0.25">
      <c r="B94">
        <f>(Table35[[#This Row],[Jahr]]-$C$8)*12+Table35[[#This Row],[Month nr]]</f>
        <v>84</v>
      </c>
      <c r="C94">
        <v>2014</v>
      </c>
      <c r="D94">
        <v>12</v>
      </c>
      <c r="E94" t="s">
        <v>24</v>
      </c>
      <c r="F94" t="str">
        <f>_xlfn.CONCAT(Table35[[#This Row],[Monat]]," ",Table35[[#This Row],[Jahr]])</f>
        <v>Dezember 2014</v>
      </c>
      <c r="G94">
        <v>143081.50000000003</v>
      </c>
      <c r="H94">
        <v>15710</v>
      </c>
      <c r="I94">
        <v>19368</v>
      </c>
      <c r="J94">
        <v>28332.6</v>
      </c>
      <c r="K94">
        <v>6122</v>
      </c>
      <c r="L94">
        <v>7547</v>
      </c>
      <c r="M94" s="8">
        <f>Table35[[#This Row],[Ausfuhr: Wert €]]*1000/Table35[[#This Row],[Ausfuhr: Gewicht]]</f>
        <v>109.79756292742246</v>
      </c>
      <c r="N94" s="8">
        <f>Table35[[#This Row],[Einfuhr: Wert €]]*1000/Table35[[#This Row],[Einfuhr: Gewicht]]</f>
        <v>216.07618079526765</v>
      </c>
      <c r="O94" s="8">
        <f>Table35[[#This Row],[Ausfuhr: Wert $]]*1000/Table35[[#This Row],[Ausfuhr: Gewicht]]</f>
        <v>135.36341176182802</v>
      </c>
      <c r="P94" s="8">
        <f>Table35[[#This Row],[Einfuhr: Wert $]]*1000/Table35[[#This Row],[Einfuhr: Gewicht]]</f>
        <v>266.37160020612299</v>
      </c>
    </row>
    <row r="95" spans="2:16" x14ac:dyDescent="0.25">
      <c r="B95">
        <f>(Table35[[#This Row],[Jahr]]-$C$8)*12+Table35[[#This Row],[Month nr]]</f>
        <v>85</v>
      </c>
      <c r="C95">
        <v>2015</v>
      </c>
      <c r="D95">
        <v>1</v>
      </c>
      <c r="E95" t="s">
        <v>13</v>
      </c>
      <c r="F95" t="str">
        <f>_xlfn.CONCAT(Table35[[#This Row],[Monat]]," ",Table35[[#This Row],[Jahr]])</f>
        <v>Januar 2015</v>
      </c>
      <c r="G95">
        <v>119703.19999999997</v>
      </c>
      <c r="H95">
        <v>13731</v>
      </c>
      <c r="I95">
        <v>15957</v>
      </c>
      <c r="J95">
        <v>15404.000000000002</v>
      </c>
      <c r="K95">
        <v>5645</v>
      </c>
      <c r="L95">
        <v>6561</v>
      </c>
      <c r="M95" s="8">
        <f>Table35[[#This Row],[Ausfuhr: Wert €]]*1000/Table35[[#This Row],[Ausfuhr: Gewicht]]</f>
        <v>114.7087128831978</v>
      </c>
      <c r="N95" s="8">
        <f>Table35[[#This Row],[Einfuhr: Wert €]]*1000/Table35[[#This Row],[Einfuhr: Gewicht]]</f>
        <v>366.46325629706564</v>
      </c>
      <c r="O95" s="8">
        <f>Table35[[#This Row],[Ausfuhr: Wert $]]*1000/Table35[[#This Row],[Ausfuhr: Gewicht]]</f>
        <v>133.30470697525215</v>
      </c>
      <c r="P95" s="8">
        <f>Table35[[#This Row],[Einfuhr: Wert $]]*1000/Table35[[#This Row],[Einfuhr: Gewicht]]</f>
        <v>425.92833030381712</v>
      </c>
    </row>
    <row r="96" spans="2:16" x14ac:dyDescent="0.25">
      <c r="B96">
        <f>(Table35[[#This Row],[Jahr]]-$C$8)*12+Table35[[#This Row],[Month nr]]</f>
        <v>86</v>
      </c>
      <c r="C96">
        <v>2015</v>
      </c>
      <c r="D96">
        <v>2</v>
      </c>
      <c r="E96" t="s">
        <v>14</v>
      </c>
      <c r="F96" t="str">
        <f>_xlfn.CONCAT(Table35[[#This Row],[Monat]]," ",Table35[[#This Row],[Jahr]])</f>
        <v>Februar 2015</v>
      </c>
      <c r="G96">
        <v>143993.79999999999</v>
      </c>
      <c r="H96">
        <v>17177</v>
      </c>
      <c r="I96">
        <v>19492</v>
      </c>
      <c r="J96">
        <v>29325.699999999997</v>
      </c>
      <c r="K96">
        <v>7167</v>
      </c>
      <c r="L96">
        <v>8133</v>
      </c>
      <c r="M96" s="8">
        <f>Table35[[#This Row],[Ausfuhr: Wert €]]*1000/Table35[[#This Row],[Ausfuhr: Gewicht]]</f>
        <v>119.28985831334406</v>
      </c>
      <c r="N96" s="8">
        <f>Table35[[#This Row],[Einfuhr: Wert €]]*1000/Table35[[#This Row],[Einfuhr: Gewicht]]</f>
        <v>244.39314321567775</v>
      </c>
      <c r="O96" s="8">
        <f>Table35[[#This Row],[Ausfuhr: Wert $]]*1000/Table35[[#This Row],[Ausfuhr: Gewicht]]</f>
        <v>135.36693940989127</v>
      </c>
      <c r="P96" s="8">
        <f>Table35[[#This Row],[Einfuhr: Wert $]]*1000/Table35[[#This Row],[Einfuhr: Gewicht]]</f>
        <v>277.33353338539234</v>
      </c>
    </row>
    <row r="97" spans="2:16" x14ac:dyDescent="0.25">
      <c r="B97">
        <f>(Table35[[#This Row],[Jahr]]-$C$8)*12+Table35[[#This Row],[Month nr]]</f>
        <v>87</v>
      </c>
      <c r="C97">
        <v>2015</v>
      </c>
      <c r="D97">
        <v>3</v>
      </c>
      <c r="E97" t="s">
        <v>15</v>
      </c>
      <c r="F97" t="str">
        <f>_xlfn.CONCAT(Table35[[#This Row],[Monat]]," ",Table35[[#This Row],[Jahr]])</f>
        <v>März 2015</v>
      </c>
      <c r="G97">
        <v>150648</v>
      </c>
      <c r="H97">
        <v>16033</v>
      </c>
      <c r="I97">
        <v>17374</v>
      </c>
      <c r="J97">
        <v>51670.599999999991</v>
      </c>
      <c r="K97">
        <v>12073</v>
      </c>
      <c r="L97">
        <v>13086</v>
      </c>
      <c r="M97" s="8">
        <f>Table35[[#This Row],[Ausfuhr: Wert €]]*1000/Table35[[#This Row],[Ausfuhr: Gewicht]]</f>
        <v>106.42690244809091</v>
      </c>
      <c r="N97" s="8">
        <f>Table35[[#This Row],[Einfuhr: Wert €]]*1000/Table35[[#This Row],[Einfuhr: Gewicht]]</f>
        <v>233.65317995146179</v>
      </c>
      <c r="O97" s="8">
        <f>Table35[[#This Row],[Ausfuhr: Wert $]]*1000/Table35[[#This Row],[Ausfuhr: Gewicht]]</f>
        <v>115.32844777229037</v>
      </c>
      <c r="P97" s="8">
        <f>Table35[[#This Row],[Einfuhr: Wert $]]*1000/Table35[[#This Row],[Einfuhr: Gewicht]]</f>
        <v>253.2581390578008</v>
      </c>
    </row>
    <row r="98" spans="2:16" x14ac:dyDescent="0.25">
      <c r="B98">
        <f>(Table35[[#This Row],[Jahr]]-$C$8)*12+Table35[[#This Row],[Month nr]]</f>
        <v>88</v>
      </c>
      <c r="C98">
        <v>2015</v>
      </c>
      <c r="D98">
        <v>4</v>
      </c>
      <c r="E98" t="s">
        <v>16</v>
      </c>
      <c r="F98" t="str">
        <f>_xlfn.CONCAT(Table35[[#This Row],[Monat]]," ",Table35[[#This Row],[Jahr]])</f>
        <v>April 2015</v>
      </c>
      <c r="G98" s="10">
        <v>61611.299999999988</v>
      </c>
      <c r="H98" s="10">
        <v>7422</v>
      </c>
      <c r="I98" s="10">
        <v>8000</v>
      </c>
      <c r="J98" s="10">
        <v>46714.299999999988</v>
      </c>
      <c r="K98" s="10">
        <v>16151</v>
      </c>
      <c r="L98" s="10">
        <v>17407</v>
      </c>
      <c r="M98" s="8">
        <f>Table35[[#This Row],[Ausfuhr: Wert €]]*1000/Table35[[#This Row],[Ausfuhr: Gewicht]]</f>
        <v>120.46491471532011</v>
      </c>
      <c r="N98" s="8">
        <f>Table35[[#This Row],[Einfuhr: Wert €]]*1000/Table35[[#This Row],[Einfuhr: Gewicht]]</f>
        <v>345.7399554312064</v>
      </c>
      <c r="O98" s="8">
        <f>Table35[[#This Row],[Ausfuhr: Wert $]]*1000/Table35[[#This Row],[Ausfuhr: Gewicht]]</f>
        <v>129.84631066054445</v>
      </c>
      <c r="P98" s="8">
        <f>Table35[[#This Row],[Einfuhr: Wert $]]*1000/Table35[[#This Row],[Einfuhr: Gewicht]]</f>
        <v>372.62679736183577</v>
      </c>
    </row>
    <row r="99" spans="2:16" x14ac:dyDescent="0.25">
      <c r="B99">
        <f>(Table35[[#This Row],[Jahr]]-$C$8)*12+Table35[[#This Row],[Month nr]]</f>
        <v>89</v>
      </c>
      <c r="C99">
        <v>2015</v>
      </c>
      <c r="D99">
        <v>5</v>
      </c>
      <c r="E99" t="s">
        <v>20</v>
      </c>
      <c r="F99" t="str">
        <f>_xlfn.CONCAT(Table35[[#This Row],[Monat]]," ",Table35[[#This Row],[Jahr]])</f>
        <v>Mai 2015</v>
      </c>
      <c r="G99">
        <v>181366.79999999996</v>
      </c>
      <c r="H99">
        <v>19089</v>
      </c>
      <c r="I99">
        <v>21285</v>
      </c>
      <c r="J99">
        <v>66674.199999999983</v>
      </c>
      <c r="K99">
        <v>16672</v>
      </c>
      <c r="L99">
        <v>18588</v>
      </c>
      <c r="M99" s="8">
        <f>Table35[[#This Row],[Ausfuhr: Wert €]]*1000/Table35[[#This Row],[Ausfuhr: Gewicht]]</f>
        <v>105.2507956252192</v>
      </c>
      <c r="N99" s="8">
        <f>Table35[[#This Row],[Einfuhr: Wert €]]*1000/Table35[[#This Row],[Einfuhr: Gewicht]]</f>
        <v>250.0517441529108</v>
      </c>
      <c r="O99" s="8">
        <f>Table35[[#This Row],[Ausfuhr: Wert $]]*1000/Table35[[#This Row],[Ausfuhr: Gewicht]]</f>
        <v>117.35885509365554</v>
      </c>
      <c r="P99" s="8">
        <f>Table35[[#This Row],[Einfuhr: Wert $]]*1000/Table35[[#This Row],[Einfuhr: Gewicht]]</f>
        <v>278.78849689985037</v>
      </c>
    </row>
    <row r="100" spans="2:16" x14ac:dyDescent="0.25">
      <c r="B100">
        <f>(Table35[[#This Row],[Jahr]]-$C$8)*12+Table35[[#This Row],[Month nr]]</f>
        <v>90</v>
      </c>
      <c r="C100">
        <v>2015</v>
      </c>
      <c r="D100">
        <v>6</v>
      </c>
      <c r="E100" t="s">
        <v>21</v>
      </c>
      <c r="F100" t="str">
        <f>_xlfn.CONCAT(Table35[[#This Row],[Monat]]," ",Table35[[#This Row],[Jahr]])</f>
        <v>Juni 2015</v>
      </c>
      <c r="G100">
        <v>100982.9</v>
      </c>
      <c r="H100">
        <v>13407</v>
      </c>
      <c r="I100">
        <v>15034</v>
      </c>
      <c r="J100">
        <v>68286.900000000009</v>
      </c>
      <c r="K100">
        <v>30677</v>
      </c>
      <c r="L100">
        <v>34401</v>
      </c>
      <c r="M100" s="8">
        <f>Table35[[#This Row],[Ausfuhr: Wert €]]*1000/Table35[[#This Row],[Ausfuhr: Gewicht]]</f>
        <v>132.76505230093412</v>
      </c>
      <c r="N100" s="8">
        <f>Table35[[#This Row],[Einfuhr: Wert €]]*1000/Table35[[#This Row],[Einfuhr: Gewicht]]</f>
        <v>449.23696931622311</v>
      </c>
      <c r="O100" s="8">
        <f>Table35[[#This Row],[Ausfuhr: Wert $]]*1000/Table35[[#This Row],[Ausfuhr: Gewicht]]</f>
        <v>148.87669100412052</v>
      </c>
      <c r="P100" s="8">
        <f>Table35[[#This Row],[Einfuhr: Wert $]]*1000/Table35[[#This Row],[Einfuhr: Gewicht]]</f>
        <v>503.77158722976145</v>
      </c>
    </row>
    <row r="101" spans="2:16" x14ac:dyDescent="0.25">
      <c r="B101">
        <f>(Table35[[#This Row],[Jahr]]-$C$8)*12+Table35[[#This Row],[Month nr]]</f>
        <v>91</v>
      </c>
      <c r="C101">
        <v>2015</v>
      </c>
      <c r="D101">
        <v>7</v>
      </c>
      <c r="E101" t="s">
        <v>22</v>
      </c>
      <c r="F101" t="str">
        <f>_xlfn.CONCAT(Table35[[#This Row],[Monat]]," ",Table35[[#This Row],[Jahr]])</f>
        <v>Juli 2015</v>
      </c>
      <c r="G101">
        <v>103849.10000000002</v>
      </c>
      <c r="H101">
        <v>15925</v>
      </c>
      <c r="I101">
        <v>17510</v>
      </c>
      <c r="J101">
        <v>60176.200000000004</v>
      </c>
      <c r="K101">
        <v>24683</v>
      </c>
      <c r="L101">
        <v>27148</v>
      </c>
      <c r="M101" s="8">
        <f>Table35[[#This Row],[Ausfuhr: Wert €]]*1000/Table35[[#This Row],[Ausfuhr: Gewicht]]</f>
        <v>153.34750132644382</v>
      </c>
      <c r="N101" s="8">
        <f>Table35[[#This Row],[Einfuhr: Wert €]]*1000/Table35[[#This Row],[Einfuhr: Gewicht]]</f>
        <v>410.17877499742423</v>
      </c>
      <c r="O101" s="8">
        <f>Table35[[#This Row],[Ausfuhr: Wert $]]*1000/Table35[[#This Row],[Ausfuhr: Gewicht]]</f>
        <v>168.61003128577906</v>
      </c>
      <c r="P101" s="8">
        <f>Table35[[#This Row],[Einfuhr: Wert $]]*1000/Table35[[#This Row],[Einfuhr: Gewicht]]</f>
        <v>451.14181354090152</v>
      </c>
    </row>
    <row r="102" spans="2:16" x14ac:dyDescent="0.25">
      <c r="B102">
        <f>(Table35[[#This Row],[Jahr]]-$C$8)*12+Table35[[#This Row],[Month nr]]</f>
        <v>92</v>
      </c>
      <c r="C102">
        <v>2015</v>
      </c>
      <c r="D102">
        <v>8</v>
      </c>
      <c r="E102" t="s">
        <v>17</v>
      </c>
      <c r="F102" t="str">
        <f>_xlfn.CONCAT(Table35[[#This Row],[Monat]]," ",Table35[[#This Row],[Jahr]])</f>
        <v>August 2015</v>
      </c>
      <c r="G102">
        <v>38944.099999999991</v>
      </c>
      <c r="H102">
        <v>6789</v>
      </c>
      <c r="I102">
        <v>7558</v>
      </c>
      <c r="J102">
        <v>23436.199999999997</v>
      </c>
      <c r="K102">
        <v>10662</v>
      </c>
      <c r="L102">
        <v>11877</v>
      </c>
      <c r="M102" s="8">
        <f>Table35[[#This Row],[Ausfuhr: Wert €]]*1000/Table35[[#This Row],[Ausfuhr: Gewicht]]</f>
        <v>174.32679147804166</v>
      </c>
      <c r="N102" s="8">
        <f>Table35[[#This Row],[Einfuhr: Wert €]]*1000/Table35[[#This Row],[Einfuhr: Gewicht]]</f>
        <v>454.93723385190435</v>
      </c>
      <c r="O102" s="8">
        <f>Table35[[#This Row],[Ausfuhr: Wert $]]*1000/Table35[[#This Row],[Ausfuhr: Gewicht]]</f>
        <v>194.07304315672982</v>
      </c>
      <c r="P102" s="8">
        <f>Table35[[#This Row],[Einfuhr: Wert $]]*1000/Table35[[#This Row],[Einfuhr: Gewicht]]</f>
        <v>506.78010940340164</v>
      </c>
    </row>
    <row r="103" spans="2:16" x14ac:dyDescent="0.25">
      <c r="B103">
        <f>(Table35[[#This Row],[Jahr]]-$C$8)*12+Table35[[#This Row],[Month nr]]</f>
        <v>93</v>
      </c>
      <c r="C103">
        <v>2015</v>
      </c>
      <c r="D103">
        <v>9</v>
      </c>
      <c r="E103" t="s">
        <v>18</v>
      </c>
      <c r="F103" t="str">
        <f>_xlfn.CONCAT(Table35[[#This Row],[Monat]]," ",Table35[[#This Row],[Jahr]])</f>
        <v>September 2015</v>
      </c>
      <c r="G103">
        <v>169432.49999999994</v>
      </c>
      <c r="H103">
        <v>24546</v>
      </c>
      <c r="I103">
        <v>27550</v>
      </c>
      <c r="J103">
        <v>10167.199999999999</v>
      </c>
      <c r="K103">
        <v>4212</v>
      </c>
      <c r="L103">
        <v>4726</v>
      </c>
      <c r="M103" s="8">
        <f>Table35[[#This Row],[Ausfuhr: Wert €]]*1000/Table35[[#This Row],[Ausfuhr: Gewicht]]</f>
        <v>144.87185162232751</v>
      </c>
      <c r="N103" s="8">
        <f>Table35[[#This Row],[Einfuhr: Wert €]]*1000/Table35[[#This Row],[Einfuhr: Gewicht]]</f>
        <v>414.27334959477542</v>
      </c>
      <c r="O103" s="8">
        <f>Table35[[#This Row],[Ausfuhr: Wert $]]*1000/Table35[[#This Row],[Ausfuhr: Gewicht]]</f>
        <v>162.60162601626021</v>
      </c>
      <c r="P103" s="8">
        <f>Table35[[#This Row],[Einfuhr: Wert $]]*1000/Table35[[#This Row],[Einfuhr: Gewicht]]</f>
        <v>464.82807459280832</v>
      </c>
    </row>
    <row r="104" spans="2:16" x14ac:dyDescent="0.25">
      <c r="B104">
        <f>(Table35[[#This Row],[Jahr]]-$C$8)*12+Table35[[#This Row],[Month nr]]</f>
        <v>94</v>
      </c>
      <c r="C104">
        <v>2015</v>
      </c>
      <c r="D104">
        <v>10</v>
      </c>
      <c r="E104" t="s">
        <v>23</v>
      </c>
      <c r="F104" t="str">
        <f>_xlfn.CONCAT(Table35[[#This Row],[Monat]]," ",Table35[[#This Row],[Jahr]])</f>
        <v>Oktober 2015</v>
      </c>
      <c r="G104">
        <v>192024.80000000005</v>
      </c>
      <c r="H104">
        <v>26892</v>
      </c>
      <c r="I104">
        <v>30212</v>
      </c>
      <c r="J104">
        <v>14604.1</v>
      </c>
      <c r="K104">
        <v>5957</v>
      </c>
      <c r="L104">
        <v>6691</v>
      </c>
      <c r="M104" s="8">
        <f>Table35[[#This Row],[Ausfuhr: Wert €]]*1000/Table35[[#This Row],[Ausfuhr: Gewicht]]</f>
        <v>140.0444109302548</v>
      </c>
      <c r="N104" s="8">
        <f>Table35[[#This Row],[Einfuhr: Wert €]]*1000/Table35[[#This Row],[Einfuhr: Gewicht]]</f>
        <v>407.89915160811006</v>
      </c>
      <c r="O104" s="8">
        <f>Table35[[#This Row],[Ausfuhr: Wert $]]*1000/Table35[[#This Row],[Ausfuhr: Gewicht]]</f>
        <v>157.33384437843441</v>
      </c>
      <c r="P104" s="8">
        <f>Table35[[#This Row],[Einfuhr: Wert $]]*1000/Table35[[#This Row],[Einfuhr: Gewicht]]</f>
        <v>458.15901014098779</v>
      </c>
    </row>
    <row r="105" spans="2:16" x14ac:dyDescent="0.25">
      <c r="B105">
        <f>(Table35[[#This Row],[Jahr]]-$C$8)*12+Table35[[#This Row],[Month nr]]</f>
        <v>95</v>
      </c>
      <c r="C105">
        <v>2015</v>
      </c>
      <c r="D105">
        <v>11</v>
      </c>
      <c r="E105" t="s">
        <v>19</v>
      </c>
      <c r="F105" t="str">
        <f>_xlfn.CONCAT(Table35[[#This Row],[Monat]]," ",Table35[[#This Row],[Jahr]])</f>
        <v>November 2015</v>
      </c>
      <c r="G105">
        <v>263480.2</v>
      </c>
      <c r="H105">
        <v>36580</v>
      </c>
      <c r="I105">
        <v>39267</v>
      </c>
      <c r="J105">
        <v>20331.499999999996</v>
      </c>
      <c r="K105">
        <v>6031</v>
      </c>
      <c r="L105">
        <v>6472</v>
      </c>
      <c r="M105" s="8">
        <f>Table35[[#This Row],[Ausfuhr: Wert €]]*1000/Table35[[#This Row],[Ausfuhr: Gewicht]]</f>
        <v>138.83396171704743</v>
      </c>
      <c r="N105" s="8">
        <f>Table35[[#This Row],[Einfuhr: Wert €]]*1000/Table35[[#This Row],[Einfuhr: Gewicht]]</f>
        <v>296.6333030027298</v>
      </c>
      <c r="O105" s="8">
        <f>Table35[[#This Row],[Ausfuhr: Wert $]]*1000/Table35[[#This Row],[Ausfuhr: Gewicht]]</f>
        <v>149.03207148013399</v>
      </c>
      <c r="P105" s="8">
        <f>Table35[[#This Row],[Einfuhr: Wert $]]*1000/Table35[[#This Row],[Einfuhr: Gewicht]]</f>
        <v>318.32378329193619</v>
      </c>
    </row>
    <row r="106" spans="2:16" x14ac:dyDescent="0.25">
      <c r="B106">
        <f>(Table35[[#This Row],[Jahr]]-$C$8)*12+Table35[[#This Row],[Month nr]]</f>
        <v>96</v>
      </c>
      <c r="C106">
        <v>2015</v>
      </c>
      <c r="D106">
        <v>12</v>
      </c>
      <c r="E106" t="s">
        <v>24</v>
      </c>
      <c r="F106" t="str">
        <f>_xlfn.CONCAT(Table35[[#This Row],[Monat]]," ",Table35[[#This Row],[Jahr]])</f>
        <v>Dezember 2015</v>
      </c>
      <c r="G106">
        <v>92804.900000000023</v>
      </c>
      <c r="H106">
        <v>14978</v>
      </c>
      <c r="I106">
        <v>16294</v>
      </c>
      <c r="J106">
        <v>28798.300000000003</v>
      </c>
      <c r="K106">
        <v>8127</v>
      </c>
      <c r="L106">
        <v>8841</v>
      </c>
      <c r="M106" s="8">
        <f>Table35[[#This Row],[Ausfuhr: Wert €]]*1000/Table35[[#This Row],[Ausfuhr: Gewicht]]</f>
        <v>161.39234027513629</v>
      </c>
      <c r="N106" s="8">
        <f>Table35[[#This Row],[Einfuhr: Wert €]]*1000/Table35[[#This Row],[Einfuhr: Gewicht]]</f>
        <v>282.20415788431956</v>
      </c>
      <c r="O106" s="8">
        <f>Table35[[#This Row],[Ausfuhr: Wert $]]*1000/Table35[[#This Row],[Ausfuhr: Gewicht]]</f>
        <v>175.57262601435912</v>
      </c>
      <c r="P106" s="8">
        <f>Table35[[#This Row],[Einfuhr: Wert $]]*1000/Table35[[#This Row],[Einfuhr: Gewicht]]</f>
        <v>306.99728803436312</v>
      </c>
    </row>
    <row r="107" spans="2:16" x14ac:dyDescent="0.25">
      <c r="B107">
        <f>(Table35[[#This Row],[Jahr]]-$C$8)*12+Table35[[#This Row],[Month nr]]</f>
        <v>97</v>
      </c>
      <c r="C107">
        <v>2016</v>
      </c>
      <c r="D107">
        <v>1</v>
      </c>
      <c r="E107" t="s">
        <v>13</v>
      </c>
      <c r="F107" t="str">
        <f>_xlfn.CONCAT(Table35[[#This Row],[Monat]]," ",Table35[[#This Row],[Jahr]])</f>
        <v>Januar 2016</v>
      </c>
      <c r="G107">
        <v>186700.19999999995</v>
      </c>
      <c r="H107">
        <v>27436</v>
      </c>
      <c r="I107">
        <v>29797</v>
      </c>
      <c r="J107">
        <v>30696.600000000006</v>
      </c>
      <c r="K107">
        <v>7144</v>
      </c>
      <c r="L107">
        <v>7758</v>
      </c>
      <c r="M107" s="8">
        <f>Table35[[#This Row],[Ausfuhr: Wert €]]*1000/Table35[[#This Row],[Ausfuhr: Gewicht]]</f>
        <v>146.95217252043653</v>
      </c>
      <c r="N107" s="8">
        <f>Table35[[#This Row],[Einfuhr: Wert €]]*1000/Table35[[#This Row],[Einfuhr: Gewicht]]</f>
        <v>232.72935764872977</v>
      </c>
      <c r="O107" s="8">
        <f>Table35[[#This Row],[Ausfuhr: Wert $]]*1000/Table35[[#This Row],[Ausfuhr: Gewicht]]</f>
        <v>159.59811505290304</v>
      </c>
      <c r="P107" s="8">
        <f>Table35[[#This Row],[Einfuhr: Wert $]]*1000/Table35[[#This Row],[Einfuhr: Gewicht]]</f>
        <v>252.73157287777795</v>
      </c>
    </row>
    <row r="108" spans="2:16" x14ac:dyDescent="0.25">
      <c r="B108">
        <f>(Table35[[#This Row],[Jahr]]-$C$8)*12+Table35[[#This Row],[Month nr]]</f>
        <v>98</v>
      </c>
      <c r="C108">
        <v>2016</v>
      </c>
      <c r="D108">
        <v>2</v>
      </c>
      <c r="E108" t="s">
        <v>14</v>
      </c>
      <c r="F108" t="str">
        <f>_xlfn.CONCAT(Table35[[#This Row],[Monat]]," ",Table35[[#This Row],[Jahr]])</f>
        <v>Februar 2016</v>
      </c>
      <c r="G108">
        <v>152376.00000000006</v>
      </c>
      <c r="H108">
        <v>23987</v>
      </c>
      <c r="I108">
        <v>26606</v>
      </c>
      <c r="J108">
        <v>29704.400000000001</v>
      </c>
      <c r="K108">
        <v>11628</v>
      </c>
      <c r="L108">
        <v>12899</v>
      </c>
      <c r="M108" s="8">
        <f>Table35[[#This Row],[Ausfuhr: Wert €]]*1000/Table35[[#This Row],[Ausfuhr: Gewicht]]</f>
        <v>157.41980364361837</v>
      </c>
      <c r="N108" s="8">
        <f>Table35[[#This Row],[Einfuhr: Wert €]]*1000/Table35[[#This Row],[Einfuhr: Gewicht]]</f>
        <v>391.45715786213486</v>
      </c>
      <c r="O108" s="8">
        <f>Table35[[#This Row],[Ausfuhr: Wert $]]*1000/Table35[[#This Row],[Ausfuhr: Gewicht]]</f>
        <v>174.60754974536667</v>
      </c>
      <c r="P108" s="8">
        <f>Table35[[#This Row],[Einfuhr: Wert $]]*1000/Table35[[#This Row],[Einfuhr: Gewicht]]</f>
        <v>434.24543165322308</v>
      </c>
    </row>
    <row r="109" spans="2:16" x14ac:dyDescent="0.25">
      <c r="B109">
        <f>(Table35[[#This Row],[Jahr]]-$C$8)*12+Table35[[#This Row],[Month nr]]</f>
        <v>99</v>
      </c>
      <c r="C109">
        <v>2016</v>
      </c>
      <c r="D109">
        <v>3</v>
      </c>
      <c r="E109" t="s">
        <v>15</v>
      </c>
      <c r="F109" t="str">
        <f>_xlfn.CONCAT(Table35[[#This Row],[Monat]]," ",Table35[[#This Row],[Jahr]])</f>
        <v>März 2016</v>
      </c>
      <c r="G109">
        <v>74369.499999999985</v>
      </c>
      <c r="H109">
        <v>13767</v>
      </c>
      <c r="I109">
        <v>15278</v>
      </c>
      <c r="J109">
        <v>46251.500000000007</v>
      </c>
      <c r="K109">
        <v>21922</v>
      </c>
      <c r="L109">
        <v>24333</v>
      </c>
      <c r="M109" s="8">
        <f>Table35[[#This Row],[Ausfuhr: Wert €]]*1000/Table35[[#This Row],[Ausfuhr: Gewicht]]</f>
        <v>185.11621027437326</v>
      </c>
      <c r="N109" s="8">
        <f>Table35[[#This Row],[Einfuhr: Wert €]]*1000/Table35[[#This Row],[Einfuhr: Gewicht]]</f>
        <v>473.97381706539238</v>
      </c>
      <c r="O109" s="8">
        <f>Table35[[#This Row],[Ausfuhr: Wert $]]*1000/Table35[[#This Row],[Ausfuhr: Gewicht]]</f>
        <v>205.43367912921295</v>
      </c>
      <c r="P109" s="8">
        <f>Table35[[#This Row],[Einfuhr: Wert $]]*1000/Table35[[#This Row],[Einfuhr: Gewicht]]</f>
        <v>526.10185615601642</v>
      </c>
    </row>
    <row r="110" spans="2:16" x14ac:dyDescent="0.25">
      <c r="B110">
        <f>(Table35[[#This Row],[Jahr]]-$C$8)*12+Table35[[#This Row],[Month nr]]</f>
        <v>100</v>
      </c>
      <c r="C110">
        <v>2016</v>
      </c>
      <c r="D110">
        <v>4</v>
      </c>
      <c r="E110" t="s">
        <v>16</v>
      </c>
      <c r="F110" t="str">
        <f>_xlfn.CONCAT(Table35[[#This Row],[Monat]]," ",Table35[[#This Row],[Jahr]])</f>
        <v>April 2016</v>
      </c>
      <c r="G110" s="10">
        <v>184362.6</v>
      </c>
      <c r="H110" s="10">
        <v>30362</v>
      </c>
      <c r="I110" s="10">
        <v>34430</v>
      </c>
      <c r="J110" s="10">
        <v>58462.299999999996</v>
      </c>
      <c r="K110" s="10">
        <v>24448</v>
      </c>
      <c r="L110" s="10">
        <v>27722</v>
      </c>
      <c r="M110" s="8">
        <f>Table35[[#This Row],[Ausfuhr: Wert €]]*1000/Table35[[#This Row],[Ausfuhr: Gewicht]]</f>
        <v>164.68633009081017</v>
      </c>
      <c r="N110" s="8">
        <f>Table35[[#This Row],[Einfuhr: Wert €]]*1000/Table35[[#This Row],[Einfuhr: Gewicht]]</f>
        <v>418.18402628702603</v>
      </c>
      <c r="O110" s="8">
        <f>Table35[[#This Row],[Ausfuhr: Wert $]]*1000/Table35[[#This Row],[Ausfuhr: Gewicht]]</f>
        <v>186.75154288342645</v>
      </c>
      <c r="P110" s="8">
        <f>Table35[[#This Row],[Einfuhr: Wert $]]*1000/Table35[[#This Row],[Einfuhr: Gewicht]]</f>
        <v>474.18592836751208</v>
      </c>
    </row>
    <row r="111" spans="2:16" x14ac:dyDescent="0.25">
      <c r="B111">
        <f>(Table35[[#This Row],[Jahr]]-$C$8)*12+Table35[[#This Row],[Month nr]]</f>
        <v>101</v>
      </c>
      <c r="C111">
        <v>2016</v>
      </c>
      <c r="D111">
        <v>5</v>
      </c>
      <c r="E111" t="s">
        <v>20</v>
      </c>
      <c r="F111" t="str">
        <f>_xlfn.CONCAT(Table35[[#This Row],[Monat]]," ",Table35[[#This Row],[Jahr]])</f>
        <v>Mai 2016</v>
      </c>
      <c r="G111">
        <v>73936.900000000009</v>
      </c>
      <c r="H111">
        <v>15331</v>
      </c>
      <c r="I111">
        <v>17341</v>
      </c>
      <c r="J111">
        <v>57404.499999999993</v>
      </c>
      <c r="K111">
        <v>26770</v>
      </c>
      <c r="L111">
        <v>30278</v>
      </c>
      <c r="M111" s="8">
        <f>Table35[[#This Row],[Ausfuhr: Wert €]]*1000/Table35[[#This Row],[Ausfuhr: Gewicht]]</f>
        <v>207.35248570064471</v>
      </c>
      <c r="N111" s="8">
        <f>Table35[[#This Row],[Einfuhr: Wert €]]*1000/Table35[[#This Row],[Einfuhr: Gewicht]]</f>
        <v>466.33974688395517</v>
      </c>
      <c r="O111" s="8">
        <f>Table35[[#This Row],[Ausfuhr: Wert $]]*1000/Table35[[#This Row],[Ausfuhr: Gewicht]]</f>
        <v>234.53782887840845</v>
      </c>
      <c r="P111" s="8">
        <f>Table35[[#This Row],[Einfuhr: Wert $]]*1000/Table35[[#This Row],[Einfuhr: Gewicht]]</f>
        <v>527.44993859366434</v>
      </c>
    </row>
    <row r="112" spans="2:16" x14ac:dyDescent="0.25">
      <c r="B112">
        <f>(Table35[[#This Row],[Jahr]]-$C$8)*12+Table35[[#This Row],[Month nr]]</f>
        <v>102</v>
      </c>
      <c r="C112">
        <v>2016</v>
      </c>
      <c r="D112">
        <v>6</v>
      </c>
      <c r="E112" t="s">
        <v>21</v>
      </c>
      <c r="F112" t="str">
        <f>_xlfn.CONCAT(Table35[[#This Row],[Monat]]," ",Table35[[#This Row],[Jahr]])</f>
        <v>Juni 2016</v>
      </c>
      <c r="G112">
        <v>94053.899999999965</v>
      </c>
      <c r="H112">
        <v>16039</v>
      </c>
      <c r="I112">
        <v>18008</v>
      </c>
      <c r="J112">
        <v>84824.400000000009</v>
      </c>
      <c r="K112">
        <v>46988</v>
      </c>
      <c r="L112">
        <v>52762</v>
      </c>
      <c r="M112" s="8">
        <f>Table35[[#This Row],[Ausfuhr: Wert €]]*1000/Table35[[#This Row],[Ausfuhr: Gewicht]]</f>
        <v>170.52987701732735</v>
      </c>
      <c r="N112" s="8">
        <f>Table35[[#This Row],[Einfuhr: Wert €]]*1000/Table35[[#This Row],[Einfuhr: Gewicht]]</f>
        <v>553.94438392726613</v>
      </c>
      <c r="O112" s="8">
        <f>Table35[[#This Row],[Ausfuhr: Wert $]]*1000/Table35[[#This Row],[Ausfuhr: Gewicht]]</f>
        <v>191.46468142203574</v>
      </c>
      <c r="P112" s="8">
        <f>Table35[[#This Row],[Einfuhr: Wert $]]*1000/Table35[[#This Row],[Einfuhr: Gewicht]]</f>
        <v>622.01442037904178</v>
      </c>
    </row>
    <row r="113" spans="2:16" x14ac:dyDescent="0.25">
      <c r="B113">
        <f>(Table35[[#This Row],[Jahr]]-$C$8)*12+Table35[[#This Row],[Month nr]]</f>
        <v>103</v>
      </c>
      <c r="C113">
        <v>2016</v>
      </c>
      <c r="D113">
        <v>7</v>
      </c>
      <c r="E113" t="s">
        <v>22</v>
      </c>
      <c r="F113" t="str">
        <f>_xlfn.CONCAT(Table35[[#This Row],[Monat]]," ",Table35[[#This Row],[Jahr]])</f>
        <v>Juli 2016</v>
      </c>
      <c r="G113">
        <v>111865.1</v>
      </c>
      <c r="H113">
        <v>20843</v>
      </c>
      <c r="I113">
        <v>23066</v>
      </c>
      <c r="J113">
        <v>73737.299999999988</v>
      </c>
      <c r="K113">
        <v>35824</v>
      </c>
      <c r="L113">
        <v>39653</v>
      </c>
      <c r="M113" s="8">
        <f>Table35[[#This Row],[Ausfuhr: Wert €]]*1000/Table35[[#This Row],[Ausfuhr: Gewicht]]</f>
        <v>186.32263324307581</v>
      </c>
      <c r="N113" s="8">
        <f>Table35[[#This Row],[Einfuhr: Wert €]]*1000/Table35[[#This Row],[Einfuhr: Gewicht]]</f>
        <v>485.83281459993799</v>
      </c>
      <c r="O113" s="8">
        <f>Table35[[#This Row],[Ausfuhr: Wert $]]*1000/Table35[[#This Row],[Ausfuhr: Gewicht]]</f>
        <v>206.19478282323976</v>
      </c>
      <c r="P113" s="8">
        <f>Table35[[#This Row],[Einfuhr: Wert $]]*1000/Table35[[#This Row],[Einfuhr: Gewicht]]</f>
        <v>537.76040077409948</v>
      </c>
    </row>
    <row r="114" spans="2:16" x14ac:dyDescent="0.25">
      <c r="B114">
        <f>(Table35[[#This Row],[Jahr]]-$C$8)*12+Table35[[#This Row],[Month nr]]</f>
        <v>104</v>
      </c>
      <c r="C114">
        <v>2016</v>
      </c>
      <c r="D114">
        <v>8</v>
      </c>
      <c r="E114" t="s">
        <v>17</v>
      </c>
      <c r="F114" t="str">
        <f>_xlfn.CONCAT(Table35[[#This Row],[Monat]]," ",Table35[[#This Row],[Jahr]])</f>
        <v>August 2016</v>
      </c>
      <c r="G114">
        <v>209086.89999999997</v>
      </c>
      <c r="H114">
        <v>34482</v>
      </c>
      <c r="I114">
        <v>38659</v>
      </c>
      <c r="J114">
        <v>19346.600000000002</v>
      </c>
      <c r="K114">
        <v>7399</v>
      </c>
      <c r="L114">
        <v>8297</v>
      </c>
      <c r="M114" s="8">
        <f>Table35[[#This Row],[Ausfuhr: Wert €]]*1000/Table35[[#This Row],[Ausfuhr: Gewicht]]</f>
        <v>164.91707514913659</v>
      </c>
      <c r="N114" s="8">
        <f>Table35[[#This Row],[Einfuhr: Wert €]]*1000/Table35[[#This Row],[Einfuhr: Gewicht]]</f>
        <v>382.44446052536358</v>
      </c>
      <c r="O114" s="8">
        <f>Table35[[#This Row],[Ausfuhr: Wert $]]*1000/Table35[[#This Row],[Ausfuhr: Gewicht]]</f>
        <v>184.89441471464738</v>
      </c>
      <c r="P114" s="8">
        <f>Table35[[#This Row],[Einfuhr: Wert $]]*1000/Table35[[#This Row],[Einfuhr: Gewicht]]</f>
        <v>428.86088511676468</v>
      </c>
    </row>
    <row r="115" spans="2:16" x14ac:dyDescent="0.25">
      <c r="B115">
        <f>(Table35[[#This Row],[Jahr]]-$C$8)*12+Table35[[#This Row],[Month nr]]</f>
        <v>105</v>
      </c>
      <c r="C115">
        <v>2016</v>
      </c>
      <c r="D115">
        <v>9</v>
      </c>
      <c r="E115" t="s">
        <v>18</v>
      </c>
      <c r="F115" t="str">
        <f>_xlfn.CONCAT(Table35[[#This Row],[Monat]]," ",Table35[[#This Row],[Jahr]])</f>
        <v>September 2016</v>
      </c>
      <c r="G115">
        <v>199001.2</v>
      </c>
      <c r="H115">
        <v>28143</v>
      </c>
      <c r="I115">
        <v>31555</v>
      </c>
      <c r="J115">
        <v>23643.5</v>
      </c>
      <c r="K115">
        <v>7029</v>
      </c>
      <c r="L115">
        <v>7881</v>
      </c>
      <c r="M115" s="8">
        <f>Table35[[#This Row],[Ausfuhr: Wert €]]*1000/Table35[[#This Row],[Ausfuhr: Gewicht]]</f>
        <v>141.42125776125971</v>
      </c>
      <c r="N115" s="8">
        <f>Table35[[#This Row],[Einfuhr: Wert €]]*1000/Table35[[#This Row],[Einfuhr: Gewicht]]</f>
        <v>297.29101021422377</v>
      </c>
      <c r="O115" s="8">
        <f>Table35[[#This Row],[Ausfuhr: Wert $]]*1000/Table35[[#This Row],[Ausfuhr: Gewicht]]</f>
        <v>158.56688301377076</v>
      </c>
      <c r="P115" s="8">
        <f>Table35[[#This Row],[Einfuhr: Wert $]]*1000/Table35[[#This Row],[Einfuhr: Gewicht]]</f>
        <v>333.32628417958426</v>
      </c>
    </row>
    <row r="116" spans="2:16" x14ac:dyDescent="0.25">
      <c r="B116">
        <f>(Table35[[#This Row],[Jahr]]-$C$8)*12+Table35[[#This Row],[Month nr]]</f>
        <v>106</v>
      </c>
      <c r="C116">
        <v>2016</v>
      </c>
      <c r="D116">
        <v>10</v>
      </c>
      <c r="E116" t="s">
        <v>23</v>
      </c>
      <c r="F116" t="str">
        <f>_xlfn.CONCAT(Table35[[#This Row],[Monat]]," ",Table35[[#This Row],[Jahr]])</f>
        <v>Oktober 2016</v>
      </c>
      <c r="G116">
        <v>123397.30000000002</v>
      </c>
      <c r="H116">
        <v>17701</v>
      </c>
      <c r="I116">
        <v>19520</v>
      </c>
      <c r="J116">
        <v>24782.699999999997</v>
      </c>
      <c r="K116">
        <v>7158</v>
      </c>
      <c r="L116">
        <v>7893</v>
      </c>
      <c r="M116" s="8">
        <f>Table35[[#This Row],[Ausfuhr: Wert €]]*1000/Table35[[#This Row],[Ausfuhr: Gewicht]]</f>
        <v>143.44722291330521</v>
      </c>
      <c r="N116" s="8">
        <f>Table35[[#This Row],[Einfuhr: Wert €]]*1000/Table35[[#This Row],[Einfuhr: Gewicht]]</f>
        <v>288.8305148349454</v>
      </c>
      <c r="O116" s="8">
        <f>Table35[[#This Row],[Ausfuhr: Wert $]]*1000/Table35[[#This Row],[Ausfuhr: Gewicht]]</f>
        <v>158.18822616053995</v>
      </c>
      <c r="P116" s="8">
        <f>Table35[[#This Row],[Einfuhr: Wert $]]*1000/Table35[[#This Row],[Einfuhr: Gewicht]]</f>
        <v>318.48830030626209</v>
      </c>
    </row>
    <row r="117" spans="2:16" x14ac:dyDescent="0.25">
      <c r="B117">
        <f>(Table35[[#This Row],[Jahr]]-$C$8)*12+Table35[[#This Row],[Month nr]]</f>
        <v>107</v>
      </c>
      <c r="C117">
        <v>2016</v>
      </c>
      <c r="D117">
        <v>11</v>
      </c>
      <c r="E117" t="s">
        <v>19</v>
      </c>
      <c r="F117" t="str">
        <f>_xlfn.CONCAT(Table35[[#This Row],[Monat]]," ",Table35[[#This Row],[Jahr]])</f>
        <v>November 2016</v>
      </c>
      <c r="G117">
        <v>153077.40000000008</v>
      </c>
      <c r="H117">
        <v>23255</v>
      </c>
      <c r="I117">
        <v>25109</v>
      </c>
      <c r="J117">
        <v>23976.9</v>
      </c>
      <c r="K117">
        <v>6788</v>
      </c>
      <c r="L117">
        <v>7329</v>
      </c>
      <c r="M117" s="8">
        <f>Table35[[#This Row],[Ausfuhr: Wert €]]*1000/Table35[[#This Row],[Ausfuhr: Gewicht]]</f>
        <v>151.91661211909783</v>
      </c>
      <c r="N117" s="8">
        <f>Table35[[#This Row],[Einfuhr: Wert €]]*1000/Table35[[#This Row],[Einfuhr: Gewicht]]</f>
        <v>283.10582268767018</v>
      </c>
      <c r="O117" s="8">
        <f>Table35[[#This Row],[Ausfuhr: Wert $]]*1000/Table35[[#This Row],[Ausfuhr: Gewicht]]</f>
        <v>164.02813217365846</v>
      </c>
      <c r="P117" s="8">
        <f>Table35[[#This Row],[Einfuhr: Wert $]]*1000/Table35[[#This Row],[Einfuhr: Gewicht]]</f>
        <v>305.66920661136339</v>
      </c>
    </row>
    <row r="118" spans="2:16" x14ac:dyDescent="0.25">
      <c r="B118">
        <f>(Table35[[#This Row],[Jahr]]-$C$8)*12+Table35[[#This Row],[Month nr]]</f>
        <v>108</v>
      </c>
      <c r="C118">
        <v>2016</v>
      </c>
      <c r="D118">
        <v>12</v>
      </c>
      <c r="E118" t="s">
        <v>24</v>
      </c>
      <c r="F118" t="str">
        <f>_xlfn.CONCAT(Table35[[#This Row],[Monat]]," ",Table35[[#This Row],[Jahr]])</f>
        <v>Dezember 2016</v>
      </c>
      <c r="G118">
        <v>183719.79999999996</v>
      </c>
      <c r="H118">
        <v>28483</v>
      </c>
      <c r="I118">
        <v>30029</v>
      </c>
      <c r="J118">
        <v>25592.200000000004</v>
      </c>
      <c r="K118">
        <v>8646</v>
      </c>
      <c r="L118">
        <v>9118</v>
      </c>
      <c r="M118" s="8">
        <f>Table35[[#This Row],[Ausfuhr: Wert €]]*1000/Table35[[#This Row],[Ausfuhr: Gewicht]]</f>
        <v>155.0350043925587</v>
      </c>
      <c r="N118" s="8">
        <f>Table35[[#This Row],[Einfuhr: Wert €]]*1000/Table35[[#This Row],[Einfuhr: Gewicht]]</f>
        <v>337.83730980533124</v>
      </c>
      <c r="O118" s="8">
        <f>Table35[[#This Row],[Ausfuhr: Wert $]]*1000/Table35[[#This Row],[Ausfuhr: Gewicht]]</f>
        <v>163.44999286957642</v>
      </c>
      <c r="P118" s="8">
        <f>Table35[[#This Row],[Einfuhr: Wert $]]*1000/Table35[[#This Row],[Einfuhr: Gewicht]]</f>
        <v>356.28042919326975</v>
      </c>
    </row>
    <row r="119" spans="2:16" x14ac:dyDescent="0.25">
      <c r="B119">
        <f>(Table35[[#This Row],[Jahr]]-$C$8)*12+Table35[[#This Row],[Month nr]]</f>
        <v>109</v>
      </c>
      <c r="C119">
        <v>2017</v>
      </c>
      <c r="D119">
        <v>1</v>
      </c>
      <c r="E119" t="s">
        <v>13</v>
      </c>
      <c r="F119" t="str">
        <f>_xlfn.CONCAT(Table35[[#This Row],[Monat]]," ",Table35[[#This Row],[Jahr]])</f>
        <v>Januar 2017</v>
      </c>
      <c r="G119">
        <v>190202.79999999993</v>
      </c>
      <c r="H119">
        <v>32770</v>
      </c>
      <c r="I119">
        <v>34782</v>
      </c>
      <c r="J119">
        <v>28795.5</v>
      </c>
      <c r="K119">
        <v>9270</v>
      </c>
      <c r="L119">
        <v>9837</v>
      </c>
      <c r="M119" s="8">
        <f>Table35[[#This Row],[Ausfuhr: Wert €]]*1000/Table35[[#This Row],[Ausfuhr: Gewicht]]</f>
        <v>172.28978753204481</v>
      </c>
      <c r="N119" s="8">
        <f>Table35[[#This Row],[Einfuhr: Wert €]]*1000/Table35[[#This Row],[Einfuhr: Gewicht]]</f>
        <v>321.92530082825442</v>
      </c>
      <c r="O119" s="8">
        <f>Table35[[#This Row],[Ausfuhr: Wert $]]*1000/Table35[[#This Row],[Ausfuhr: Gewicht]]</f>
        <v>182.86797039791219</v>
      </c>
      <c r="P119" s="8">
        <f>Table35[[#This Row],[Einfuhr: Wert $]]*1000/Table35[[#This Row],[Einfuhr: Gewicht]]</f>
        <v>341.6158774808564</v>
      </c>
    </row>
    <row r="120" spans="2:16" x14ac:dyDescent="0.25">
      <c r="B120">
        <f>(Table35[[#This Row],[Jahr]]-$C$8)*12+Table35[[#This Row],[Month nr]]</f>
        <v>110</v>
      </c>
      <c r="C120">
        <v>2017</v>
      </c>
      <c r="D120">
        <v>2</v>
      </c>
      <c r="E120" t="s">
        <v>14</v>
      </c>
      <c r="F120" t="str">
        <f>_xlfn.CONCAT(Table35[[#This Row],[Monat]]," ",Table35[[#This Row],[Jahr]])</f>
        <v>Februar 2017</v>
      </c>
      <c r="G120">
        <v>78947.300000000017</v>
      </c>
      <c r="H120">
        <v>14329</v>
      </c>
      <c r="I120">
        <v>15249</v>
      </c>
      <c r="J120">
        <v>31303.899999999994</v>
      </c>
      <c r="K120">
        <v>13239</v>
      </c>
      <c r="L120">
        <v>14091</v>
      </c>
      <c r="M120" s="8">
        <f>Table35[[#This Row],[Ausfuhr: Wert €]]*1000/Table35[[#This Row],[Ausfuhr: Gewicht]]</f>
        <v>181.50082396738074</v>
      </c>
      <c r="N120" s="8">
        <f>Table35[[#This Row],[Einfuhr: Wert €]]*1000/Table35[[#This Row],[Einfuhr: Gewicht]]</f>
        <v>422.91855008481377</v>
      </c>
      <c r="O120" s="8">
        <f>Table35[[#This Row],[Ausfuhr: Wert $]]*1000/Table35[[#This Row],[Ausfuhr: Gewicht]]</f>
        <v>193.15416740027837</v>
      </c>
      <c r="P120" s="8">
        <f>Table35[[#This Row],[Einfuhr: Wert $]]*1000/Table35[[#This Row],[Einfuhr: Gewicht]]</f>
        <v>450.13560610658743</v>
      </c>
    </row>
    <row r="121" spans="2:16" x14ac:dyDescent="0.25">
      <c r="B121">
        <f>(Table35[[#This Row],[Jahr]]-$C$8)*12+Table35[[#This Row],[Month nr]]</f>
        <v>111</v>
      </c>
      <c r="C121">
        <v>2017</v>
      </c>
      <c r="D121">
        <v>3</v>
      </c>
      <c r="E121" t="s">
        <v>15</v>
      </c>
      <c r="F121" t="str">
        <f>_xlfn.CONCAT(Table35[[#This Row],[Monat]]," ",Table35[[#This Row],[Jahr]])</f>
        <v>März 2017</v>
      </c>
      <c r="G121">
        <v>155287.80000000005</v>
      </c>
      <c r="H121">
        <v>27483</v>
      </c>
      <c r="I121">
        <v>29366</v>
      </c>
      <c r="J121">
        <v>44692.899999999994</v>
      </c>
      <c r="K121">
        <v>17188</v>
      </c>
      <c r="L121">
        <v>18368</v>
      </c>
      <c r="M121" s="8">
        <f>Table35[[#This Row],[Ausfuhr: Wert €]]*1000/Table35[[#This Row],[Ausfuhr: Gewicht]]</f>
        <v>176.98106354781245</v>
      </c>
      <c r="N121" s="8">
        <f>Table35[[#This Row],[Einfuhr: Wert €]]*1000/Table35[[#This Row],[Einfuhr: Gewicht]]</f>
        <v>384.58010108988236</v>
      </c>
      <c r="O121" s="8">
        <f>Table35[[#This Row],[Ausfuhr: Wert $]]*1000/Table35[[#This Row],[Ausfuhr: Gewicht]]</f>
        <v>189.10693563821494</v>
      </c>
      <c r="P121" s="8">
        <f>Table35[[#This Row],[Einfuhr: Wert $]]*1000/Table35[[#This Row],[Einfuhr: Gewicht]]</f>
        <v>410.98250505113793</v>
      </c>
    </row>
    <row r="122" spans="2:16" x14ac:dyDescent="0.25">
      <c r="B122">
        <f>(Table35[[#This Row],[Jahr]]-$C$8)*12+Table35[[#This Row],[Month nr]]</f>
        <v>112</v>
      </c>
      <c r="C122">
        <v>2017</v>
      </c>
      <c r="D122">
        <v>4</v>
      </c>
      <c r="E122" t="s">
        <v>16</v>
      </c>
      <c r="F122" t="str">
        <f>_xlfn.CONCAT(Table35[[#This Row],[Monat]]," ",Table35[[#This Row],[Jahr]])</f>
        <v>April 2017</v>
      </c>
      <c r="G122">
        <v>202734.10000000003</v>
      </c>
      <c r="H122">
        <v>36129</v>
      </c>
      <c r="I122">
        <v>38744</v>
      </c>
      <c r="J122">
        <v>50782.599999999991</v>
      </c>
      <c r="K122">
        <v>21626</v>
      </c>
      <c r="L122">
        <v>23188</v>
      </c>
      <c r="M122" s="8">
        <f>Table35[[#This Row],[Ausfuhr: Wert €]]*1000/Table35[[#This Row],[Ausfuhr: Gewicht]]</f>
        <v>178.20879664545822</v>
      </c>
      <c r="N122" s="8">
        <f>Table35[[#This Row],[Einfuhr: Wert €]]*1000/Table35[[#This Row],[Einfuhr: Gewicht]]</f>
        <v>425.85452497508999</v>
      </c>
      <c r="O122" s="8">
        <f>Table35[[#This Row],[Ausfuhr: Wert $]]*1000/Table35[[#This Row],[Ausfuhr: Gewicht]]</f>
        <v>191.10746539432682</v>
      </c>
      <c r="P122" s="8">
        <f>Table35[[#This Row],[Einfuhr: Wert $]]*1000/Table35[[#This Row],[Einfuhr: Gewicht]]</f>
        <v>456.6130918858035</v>
      </c>
    </row>
    <row r="123" spans="2:16" x14ac:dyDescent="0.25">
      <c r="B123">
        <f>(Table35[[#This Row],[Jahr]]-$C$8)*12+Table35[[#This Row],[Month nr]]</f>
        <v>113</v>
      </c>
      <c r="C123">
        <v>2017</v>
      </c>
      <c r="D123">
        <v>5</v>
      </c>
      <c r="E123" t="s">
        <v>20</v>
      </c>
      <c r="F123" t="str">
        <f>_xlfn.CONCAT(Table35[[#This Row],[Monat]]," ",Table35[[#This Row],[Jahr]])</f>
        <v>Mai 2017</v>
      </c>
      <c r="G123">
        <v>90803.200000000012</v>
      </c>
      <c r="H123">
        <v>17643</v>
      </c>
      <c r="I123">
        <v>19508</v>
      </c>
      <c r="J123">
        <v>59653.5</v>
      </c>
      <c r="K123">
        <v>26435</v>
      </c>
      <c r="L123">
        <v>29233</v>
      </c>
      <c r="M123" s="8">
        <f>Table35[[#This Row],[Ausfuhr: Wert €]]*1000/Table35[[#This Row],[Ausfuhr: Gewicht]]</f>
        <v>194.29931984775865</v>
      </c>
      <c r="N123" s="8">
        <f>Table35[[#This Row],[Einfuhr: Wert €]]*1000/Table35[[#This Row],[Einfuhr: Gewicht]]</f>
        <v>443.14248116204413</v>
      </c>
      <c r="O123" s="8">
        <f>Table35[[#This Row],[Ausfuhr: Wert $]]*1000/Table35[[#This Row],[Ausfuhr: Gewicht]]</f>
        <v>214.8382435861291</v>
      </c>
      <c r="P123" s="8">
        <f>Table35[[#This Row],[Einfuhr: Wert $]]*1000/Table35[[#This Row],[Einfuhr: Gewicht]]</f>
        <v>490.04668627993328</v>
      </c>
    </row>
    <row r="124" spans="2:16" x14ac:dyDescent="0.25">
      <c r="B124">
        <f>(Table35[[#This Row],[Jahr]]-$C$8)*12+Table35[[#This Row],[Month nr]]</f>
        <v>114</v>
      </c>
      <c r="C124">
        <v>2017</v>
      </c>
      <c r="D124">
        <v>6</v>
      </c>
      <c r="E124" t="s">
        <v>21</v>
      </c>
      <c r="F124" t="str">
        <f>_xlfn.CONCAT(Table35[[#This Row],[Monat]]," ",Table35[[#This Row],[Jahr]])</f>
        <v>Juni 2017</v>
      </c>
      <c r="G124">
        <v>116830.39999999999</v>
      </c>
      <c r="H124">
        <v>21126</v>
      </c>
      <c r="I124">
        <v>23722</v>
      </c>
      <c r="J124">
        <v>76100.2</v>
      </c>
      <c r="K124">
        <v>31408</v>
      </c>
      <c r="L124">
        <v>35265</v>
      </c>
      <c r="M124" s="8">
        <f>Table35[[#This Row],[Ausfuhr: Wert €]]*1000/Table35[[#This Row],[Ausfuhr: Gewicht]]</f>
        <v>180.82622331174079</v>
      </c>
      <c r="N124" s="8">
        <f>Table35[[#This Row],[Einfuhr: Wert €]]*1000/Table35[[#This Row],[Einfuhr: Gewicht]]</f>
        <v>412.71902044935496</v>
      </c>
      <c r="O124" s="8">
        <f>Table35[[#This Row],[Ausfuhr: Wert $]]*1000/Table35[[#This Row],[Ausfuhr: Gewicht]]</f>
        <v>203.046467357811</v>
      </c>
      <c r="P124" s="8">
        <f>Table35[[#This Row],[Einfuhr: Wert $]]*1000/Table35[[#This Row],[Einfuhr: Gewicht]]</f>
        <v>463.40219868016118</v>
      </c>
    </row>
    <row r="125" spans="2:16" x14ac:dyDescent="0.25">
      <c r="B125">
        <f>(Table35[[#This Row],[Jahr]]-$C$8)*12+Table35[[#This Row],[Month nr]]</f>
        <v>115</v>
      </c>
      <c r="C125">
        <v>2017</v>
      </c>
      <c r="D125">
        <v>7</v>
      </c>
      <c r="E125" t="s">
        <v>22</v>
      </c>
      <c r="F125" t="str">
        <f>_xlfn.CONCAT(Table35[[#This Row],[Monat]]," ",Table35[[#This Row],[Jahr]])</f>
        <v>Juli 2017</v>
      </c>
      <c r="G125">
        <v>113397.09999999999</v>
      </c>
      <c r="H125">
        <v>21845</v>
      </c>
      <c r="I125">
        <v>25143</v>
      </c>
      <c r="J125">
        <v>74270.000000000015</v>
      </c>
      <c r="K125">
        <v>25216</v>
      </c>
      <c r="L125">
        <v>29029</v>
      </c>
      <c r="M125" s="8">
        <f>Table35[[#This Row],[Ausfuhr: Wert €]]*1000/Table35[[#This Row],[Ausfuhr: Gewicht]]</f>
        <v>192.64161076429644</v>
      </c>
      <c r="N125" s="8">
        <f>Table35[[#This Row],[Einfuhr: Wert €]]*1000/Table35[[#This Row],[Einfuhr: Gewicht]]</f>
        <v>339.51797495624066</v>
      </c>
      <c r="O125" s="8">
        <f>Table35[[#This Row],[Ausfuhr: Wert $]]*1000/Table35[[#This Row],[Ausfuhr: Gewicht]]</f>
        <v>221.72524694194121</v>
      </c>
      <c r="P125" s="8">
        <f>Table35[[#This Row],[Einfuhr: Wert $]]*1000/Table35[[#This Row],[Einfuhr: Gewicht]]</f>
        <v>390.85768143261066</v>
      </c>
    </row>
    <row r="126" spans="2:16" x14ac:dyDescent="0.25">
      <c r="B126">
        <f>(Table35[[#This Row],[Jahr]]-$C$8)*12+Table35[[#This Row],[Month nr]]</f>
        <v>116</v>
      </c>
      <c r="C126">
        <v>2017</v>
      </c>
      <c r="D126">
        <v>8</v>
      </c>
      <c r="E126" t="s">
        <v>17</v>
      </c>
      <c r="F126" t="str">
        <f>_xlfn.CONCAT(Table35[[#This Row],[Monat]]," ",Table35[[#This Row],[Jahr]])</f>
        <v>August 2017</v>
      </c>
      <c r="G126">
        <v>104530.20000000001</v>
      </c>
      <c r="H126">
        <v>19629</v>
      </c>
      <c r="I126">
        <v>23179</v>
      </c>
      <c r="J126">
        <v>25445.400000000005</v>
      </c>
      <c r="K126">
        <v>8558</v>
      </c>
      <c r="L126">
        <v>10104</v>
      </c>
      <c r="M126" s="8">
        <f>Table35[[#This Row],[Ausfuhr: Wert €]]*1000/Table35[[#This Row],[Ausfuhr: Gewicht]]</f>
        <v>187.78305217056888</v>
      </c>
      <c r="N126" s="8">
        <f>Table35[[#This Row],[Einfuhr: Wert €]]*1000/Table35[[#This Row],[Einfuhr: Gewicht]]</f>
        <v>336.32798069592138</v>
      </c>
      <c r="O126" s="8">
        <f>Table35[[#This Row],[Ausfuhr: Wert $]]*1000/Table35[[#This Row],[Ausfuhr: Gewicht]]</f>
        <v>221.74452933219297</v>
      </c>
      <c r="P126" s="8">
        <f>Table35[[#This Row],[Einfuhr: Wert $]]*1000/Table35[[#This Row],[Einfuhr: Gewicht]]</f>
        <v>397.08552429908735</v>
      </c>
    </row>
    <row r="127" spans="2:16" x14ac:dyDescent="0.25">
      <c r="B127">
        <f>(Table35[[#This Row],[Jahr]]-$C$8)*12+Table35[[#This Row],[Month nr]]</f>
        <v>117</v>
      </c>
      <c r="C127">
        <v>2017</v>
      </c>
      <c r="D127">
        <v>9</v>
      </c>
      <c r="E127" t="s">
        <v>18</v>
      </c>
      <c r="F127" t="str">
        <f>_xlfn.CONCAT(Table35[[#This Row],[Monat]]," ",Table35[[#This Row],[Jahr]])</f>
        <v>September 2017</v>
      </c>
      <c r="G127">
        <v>342153.60000000015</v>
      </c>
      <c r="H127">
        <v>47464</v>
      </c>
      <c r="I127">
        <v>56550</v>
      </c>
      <c r="J127">
        <v>31984.699999999997</v>
      </c>
      <c r="K127">
        <v>6495</v>
      </c>
      <c r="L127">
        <v>7738</v>
      </c>
      <c r="M127" s="8">
        <f>Table35[[#This Row],[Ausfuhr: Wert €]]*1000/Table35[[#This Row],[Ausfuhr: Gewicht]]</f>
        <v>138.7213228210955</v>
      </c>
      <c r="N127" s="8">
        <f>Table35[[#This Row],[Einfuhr: Wert €]]*1000/Table35[[#This Row],[Einfuhr: Gewicht]]</f>
        <v>203.06584085515888</v>
      </c>
      <c r="O127" s="8">
        <f>Table35[[#This Row],[Ausfuhr: Wert $]]*1000/Table35[[#This Row],[Ausfuhr: Gewicht]]</f>
        <v>165.27664768104142</v>
      </c>
      <c r="P127" s="8">
        <f>Table35[[#This Row],[Einfuhr: Wert $]]*1000/Table35[[#This Row],[Einfuhr: Gewicht]]</f>
        <v>241.92817190719316</v>
      </c>
    </row>
    <row r="128" spans="2:16" x14ac:dyDescent="0.25">
      <c r="B128">
        <f>(Table35[[#This Row],[Jahr]]-$C$8)*12+Table35[[#This Row],[Month nr]]</f>
        <v>118</v>
      </c>
      <c r="C128">
        <v>2017</v>
      </c>
      <c r="D128">
        <v>10</v>
      </c>
      <c r="E128" t="s">
        <v>23</v>
      </c>
      <c r="F128" t="str">
        <f>_xlfn.CONCAT(Table35[[#This Row],[Monat]]," ",Table35[[#This Row],[Jahr]])</f>
        <v>Oktober 2017</v>
      </c>
      <c r="G128">
        <v>191235.40000000002</v>
      </c>
      <c r="H128">
        <v>23878</v>
      </c>
      <c r="I128">
        <v>28077</v>
      </c>
      <c r="J128">
        <v>35125.80000000001</v>
      </c>
      <c r="K128">
        <v>7375</v>
      </c>
      <c r="L128">
        <v>8671</v>
      </c>
      <c r="M128" s="8">
        <f>Table35[[#This Row],[Ausfuhr: Wert €]]*1000/Table35[[#This Row],[Ausfuhr: Gewicht]]</f>
        <v>124.86181951667943</v>
      </c>
      <c r="N128" s="8">
        <f>Table35[[#This Row],[Einfuhr: Wert €]]*1000/Table35[[#This Row],[Einfuhr: Gewicht]]</f>
        <v>209.95963081267894</v>
      </c>
      <c r="O128" s="8">
        <f>Table35[[#This Row],[Ausfuhr: Wert $]]*1000/Table35[[#This Row],[Ausfuhr: Gewicht]]</f>
        <v>146.8190512844379</v>
      </c>
      <c r="P128" s="8">
        <f>Table35[[#This Row],[Einfuhr: Wert $]]*1000/Table35[[#This Row],[Einfuhr: Gewicht]]</f>
        <v>246.85558763074428</v>
      </c>
    </row>
    <row r="129" spans="2:16" x14ac:dyDescent="0.25">
      <c r="B129">
        <f>(Table35[[#This Row],[Jahr]]-$C$8)*12+Table35[[#This Row],[Month nr]]</f>
        <v>119</v>
      </c>
      <c r="C129">
        <v>2017</v>
      </c>
      <c r="D129">
        <v>11</v>
      </c>
      <c r="E129" t="s">
        <v>19</v>
      </c>
      <c r="F129" t="str">
        <f>_xlfn.CONCAT(Table35[[#This Row],[Monat]]," ",Table35[[#This Row],[Jahr]])</f>
        <v>November 2017</v>
      </c>
      <c r="G129">
        <v>95528.2</v>
      </c>
      <c r="H129">
        <v>12414</v>
      </c>
      <c r="I129">
        <v>14574</v>
      </c>
      <c r="J129">
        <v>21171.699999999993</v>
      </c>
      <c r="K129">
        <v>5110</v>
      </c>
      <c r="L129">
        <v>5996</v>
      </c>
      <c r="M129" s="8">
        <f>Table35[[#This Row],[Ausfuhr: Wert €]]*1000/Table35[[#This Row],[Ausfuhr: Gewicht]]</f>
        <v>129.95115578436526</v>
      </c>
      <c r="N129" s="8">
        <f>Table35[[#This Row],[Einfuhr: Wert €]]*1000/Table35[[#This Row],[Einfuhr: Gewicht]]</f>
        <v>241.35992858391162</v>
      </c>
      <c r="O129" s="8">
        <f>Table35[[#This Row],[Ausfuhr: Wert $]]*1000/Table35[[#This Row],[Ausfuhr: Gewicht]]</f>
        <v>152.56228003877391</v>
      </c>
      <c r="P129" s="8">
        <f>Table35[[#This Row],[Einfuhr: Wert $]]*1000/Table35[[#This Row],[Einfuhr: Gewicht]]</f>
        <v>283.20824496851941</v>
      </c>
    </row>
    <row r="130" spans="2:16" x14ac:dyDescent="0.25">
      <c r="B130">
        <f>(Table35[[#This Row],[Jahr]]-$C$8)*12+Table35[[#This Row],[Month nr]]</f>
        <v>120</v>
      </c>
      <c r="C130">
        <v>2017</v>
      </c>
      <c r="D130">
        <v>12</v>
      </c>
      <c r="E130" t="s">
        <v>24</v>
      </c>
      <c r="F130" t="str">
        <f>_xlfn.CONCAT(Table35[[#This Row],[Monat]]," ",Table35[[#This Row],[Jahr]])</f>
        <v>Dezember 2017</v>
      </c>
      <c r="G130">
        <v>214321.2</v>
      </c>
      <c r="H130">
        <v>25523</v>
      </c>
      <c r="I130">
        <v>30213</v>
      </c>
      <c r="J130">
        <v>39571.30000000001</v>
      </c>
      <c r="K130">
        <v>8019</v>
      </c>
      <c r="L130">
        <v>9492</v>
      </c>
      <c r="M130" s="8">
        <f>Table35[[#This Row],[Ausfuhr: Wert €]]*1000/Table35[[#This Row],[Ausfuhr: Gewicht]]</f>
        <v>119.0876124247158</v>
      </c>
      <c r="N130" s="8">
        <f>Table35[[#This Row],[Einfuhr: Wert €]]*1000/Table35[[#This Row],[Einfuhr: Gewicht]]</f>
        <v>202.64686780570761</v>
      </c>
      <c r="O130" s="8">
        <f>Table35[[#This Row],[Ausfuhr: Wert $]]*1000/Table35[[#This Row],[Ausfuhr: Gewicht]]</f>
        <v>140.97065525948901</v>
      </c>
      <c r="P130" s="8">
        <f>Table35[[#This Row],[Einfuhr: Wert $]]*1000/Table35[[#This Row],[Einfuhr: Gewicht]]</f>
        <v>239.87081546474332</v>
      </c>
    </row>
    <row r="131" spans="2:16" x14ac:dyDescent="0.25">
      <c r="B131">
        <f>(Table35[[#This Row],[Jahr]]-$C$8)*12+Table35[[#This Row],[Month nr]]</f>
        <v>121</v>
      </c>
      <c r="C131">
        <v>2018</v>
      </c>
      <c r="D131">
        <v>1</v>
      </c>
      <c r="E131" t="s">
        <v>13</v>
      </c>
      <c r="F131" t="str">
        <f>_xlfn.CONCAT(Table35[[#This Row],[Monat]]," ",Table35[[#This Row],[Jahr]])</f>
        <v>Januar 2018</v>
      </c>
      <c r="G131">
        <v>121464.70000000003</v>
      </c>
      <c r="H131">
        <v>15846</v>
      </c>
      <c r="I131">
        <v>19334</v>
      </c>
      <c r="J131">
        <v>23670.100000000002</v>
      </c>
      <c r="K131">
        <v>8207</v>
      </c>
      <c r="L131">
        <v>10013</v>
      </c>
      <c r="M131" s="8">
        <f>Table35[[#This Row],[Ausfuhr: Wert €]]*1000/Table35[[#This Row],[Ausfuhr: Gewicht]]</f>
        <v>130.45765559870478</v>
      </c>
      <c r="N131" s="8">
        <f>Table35[[#This Row],[Einfuhr: Wert €]]*1000/Table35[[#This Row],[Einfuhr: Gewicht]]</f>
        <v>346.72434843959252</v>
      </c>
      <c r="O131" s="8">
        <f>Table35[[#This Row],[Ausfuhr: Wert $]]*1000/Table35[[#This Row],[Ausfuhr: Gewicht]]</f>
        <v>159.17381757827579</v>
      </c>
      <c r="P131" s="8">
        <f>Table35[[#This Row],[Einfuhr: Wert $]]*1000/Table35[[#This Row],[Einfuhr: Gewicht]]</f>
        <v>423.02313889675156</v>
      </c>
    </row>
    <row r="132" spans="2:16" x14ac:dyDescent="0.25">
      <c r="B132">
        <f>(Table35[[#This Row],[Jahr]]-$C$8)*12+Table35[[#This Row],[Month nr]]</f>
        <v>122</v>
      </c>
      <c r="C132">
        <v>2018</v>
      </c>
      <c r="D132">
        <v>2</v>
      </c>
      <c r="E132" t="s">
        <v>14</v>
      </c>
      <c r="F132" t="str">
        <f>_xlfn.CONCAT(Table35[[#This Row],[Monat]]," ",Table35[[#This Row],[Jahr]])</f>
        <v>Februar 2018</v>
      </c>
      <c r="G132">
        <v>139997</v>
      </c>
      <c r="H132">
        <v>18084</v>
      </c>
      <c r="I132">
        <v>22329</v>
      </c>
      <c r="J132">
        <v>51098.999999999993</v>
      </c>
      <c r="K132">
        <v>10323</v>
      </c>
      <c r="L132">
        <v>12746</v>
      </c>
      <c r="M132" s="8">
        <f>Table35[[#This Row],[Ausfuhr: Wert €]]*1000/Table35[[#This Row],[Ausfuhr: Gewicht]]</f>
        <v>129.17419658992694</v>
      </c>
      <c r="N132" s="8">
        <f>Table35[[#This Row],[Einfuhr: Wert €]]*1000/Table35[[#This Row],[Einfuhr: Gewicht]]</f>
        <v>202.0196089943052</v>
      </c>
      <c r="O132" s="8">
        <f>Table35[[#This Row],[Ausfuhr: Wert $]]*1000/Table35[[#This Row],[Ausfuhr: Gewicht]]</f>
        <v>159.49627492017686</v>
      </c>
      <c r="P132" s="8">
        <f>Table35[[#This Row],[Einfuhr: Wert $]]*1000/Table35[[#This Row],[Einfuhr: Gewicht]]</f>
        <v>249.43736668036561</v>
      </c>
    </row>
    <row r="133" spans="2:16" x14ac:dyDescent="0.25">
      <c r="B133">
        <f>(Table35[[#This Row],[Jahr]]-$C$8)*12+Table35[[#This Row],[Month nr]]</f>
        <v>123</v>
      </c>
      <c r="C133">
        <v>2018</v>
      </c>
      <c r="D133">
        <v>3</v>
      </c>
      <c r="E133" t="s">
        <v>15</v>
      </c>
      <c r="F133" t="str">
        <f>_xlfn.CONCAT(Table35[[#This Row],[Monat]]," ",Table35[[#This Row],[Jahr]])</f>
        <v>März 2018</v>
      </c>
      <c r="G133" s="10">
        <v>183717.90000000002</v>
      </c>
      <c r="H133" s="10">
        <v>24926</v>
      </c>
      <c r="I133" s="10">
        <v>30748</v>
      </c>
      <c r="J133" s="10">
        <v>46930.599999999984</v>
      </c>
      <c r="K133" s="10">
        <v>14120</v>
      </c>
      <c r="L133" s="10">
        <v>17421</v>
      </c>
      <c r="M133" s="8">
        <f>Table35[[#This Row],[Ausfuhr: Wert €]]*1000/Table35[[#This Row],[Ausfuhr: Gewicht]]</f>
        <v>135.67540234239559</v>
      </c>
      <c r="N133" s="8">
        <f>Table35[[#This Row],[Einfuhr: Wert €]]*1000/Table35[[#This Row],[Einfuhr: Gewicht]]</f>
        <v>300.86979497385511</v>
      </c>
      <c r="O133" s="8">
        <f>Table35[[#This Row],[Ausfuhr: Wert $]]*1000/Table35[[#This Row],[Ausfuhr: Gewicht]]</f>
        <v>167.36529211361548</v>
      </c>
      <c r="P133" s="8">
        <f>Table35[[#This Row],[Einfuhr: Wert $]]*1000/Table35[[#This Row],[Einfuhr: Gewicht]]</f>
        <v>371.20769817560409</v>
      </c>
    </row>
    <row r="134" spans="2:16" x14ac:dyDescent="0.25">
      <c r="B134">
        <f>(Table35[[#This Row],[Jahr]]-$C$8)*12+Table35[[#This Row],[Month nr]]</f>
        <v>124</v>
      </c>
      <c r="C134">
        <v>2018</v>
      </c>
      <c r="D134">
        <v>4</v>
      </c>
      <c r="E134" t="s">
        <v>16</v>
      </c>
      <c r="F134" t="str">
        <f>_xlfn.CONCAT(Table35[[#This Row],[Monat]]," ",Table35[[#This Row],[Jahr]])</f>
        <v>April 2018</v>
      </c>
      <c r="G134">
        <v>142270.39999999999</v>
      </c>
      <c r="H134">
        <v>18493</v>
      </c>
      <c r="I134">
        <v>22702</v>
      </c>
      <c r="J134">
        <v>60865.299999999988</v>
      </c>
      <c r="K134">
        <v>18468</v>
      </c>
      <c r="L134">
        <v>22675</v>
      </c>
      <c r="M134" s="8">
        <f>Table35[[#This Row],[Ausfuhr: Wert €]]*1000/Table35[[#This Row],[Ausfuhr: Gewicht]]</f>
        <v>129.9848738739752</v>
      </c>
      <c r="N134" s="8">
        <f>Table35[[#This Row],[Einfuhr: Wert €]]*1000/Table35[[#This Row],[Einfuhr: Gewicht]]</f>
        <v>303.42411850430381</v>
      </c>
      <c r="O134" s="8">
        <f>Table35[[#This Row],[Ausfuhr: Wert $]]*1000/Table35[[#This Row],[Ausfuhr: Gewicht]]</f>
        <v>159.56938337138294</v>
      </c>
      <c r="P134" s="8">
        <f>Table35[[#This Row],[Einfuhr: Wert $]]*1000/Table35[[#This Row],[Einfuhr: Gewicht]]</f>
        <v>372.54396183046833</v>
      </c>
    </row>
    <row r="135" spans="2:16" x14ac:dyDescent="0.25">
      <c r="B135">
        <f>(Table35[[#This Row],[Jahr]]-$C$8)*12+Table35[[#This Row],[Month nr]]</f>
        <v>125</v>
      </c>
      <c r="C135">
        <v>2018</v>
      </c>
      <c r="D135">
        <v>5</v>
      </c>
      <c r="E135" t="s">
        <v>20</v>
      </c>
      <c r="F135" t="str">
        <f>_xlfn.CONCAT(Table35[[#This Row],[Monat]]," ",Table35[[#This Row],[Jahr]])</f>
        <v>Mai 2018</v>
      </c>
      <c r="G135">
        <v>77083.600000000006</v>
      </c>
      <c r="H135">
        <v>11696</v>
      </c>
      <c r="I135">
        <v>13818</v>
      </c>
      <c r="J135">
        <v>58816.399999999987</v>
      </c>
      <c r="K135">
        <v>21368</v>
      </c>
      <c r="L135">
        <v>25239</v>
      </c>
      <c r="M135" s="8">
        <f>Table35[[#This Row],[Ausfuhr: Wert €]]*1000/Table35[[#This Row],[Ausfuhr: Gewicht]]</f>
        <v>151.73136698337908</v>
      </c>
      <c r="N135" s="8">
        <f>Table35[[#This Row],[Einfuhr: Wert €]]*1000/Table35[[#This Row],[Einfuhr: Gewicht]]</f>
        <v>363.30003196387412</v>
      </c>
      <c r="O135" s="8">
        <f>Table35[[#This Row],[Ausfuhr: Wert $]]*1000/Table35[[#This Row],[Ausfuhr: Gewicht]]</f>
        <v>179.2599203981132</v>
      </c>
      <c r="P135" s="8">
        <f>Table35[[#This Row],[Einfuhr: Wert $]]*1000/Table35[[#This Row],[Einfuhr: Gewicht]]</f>
        <v>429.11500873905925</v>
      </c>
    </row>
    <row r="136" spans="2:16" x14ac:dyDescent="0.25">
      <c r="B136">
        <f>(Table35[[#This Row],[Jahr]]-$C$8)*12+Table35[[#This Row],[Month nr]]</f>
        <v>126</v>
      </c>
      <c r="C136">
        <v>2018</v>
      </c>
      <c r="D136">
        <v>6</v>
      </c>
      <c r="E136" t="s">
        <v>21</v>
      </c>
      <c r="F136" t="str">
        <f>_xlfn.CONCAT(Table35[[#This Row],[Monat]]," ",Table35[[#This Row],[Jahr]])</f>
        <v>Juni 2018</v>
      </c>
      <c r="G136">
        <v>224132.99999999997</v>
      </c>
      <c r="H136">
        <v>30710</v>
      </c>
      <c r="I136">
        <v>35862</v>
      </c>
      <c r="J136">
        <v>64470.69999999999</v>
      </c>
      <c r="K136">
        <v>26390</v>
      </c>
      <c r="L136">
        <v>30820</v>
      </c>
      <c r="M136" s="8">
        <f>Table35[[#This Row],[Ausfuhr: Wert €]]*1000/Table35[[#This Row],[Ausfuhr: Gewicht]]</f>
        <v>137.01686052477771</v>
      </c>
      <c r="N136" s="8">
        <f>Table35[[#This Row],[Einfuhr: Wert €]]*1000/Table35[[#This Row],[Einfuhr: Gewicht]]</f>
        <v>409.33323199530957</v>
      </c>
      <c r="O136" s="8">
        <f>Table35[[#This Row],[Ausfuhr: Wert $]]*1000/Table35[[#This Row],[Ausfuhr: Gewicht]]</f>
        <v>160.00321237836465</v>
      </c>
      <c r="P136" s="8">
        <f>Table35[[#This Row],[Einfuhr: Wert $]]*1000/Table35[[#This Row],[Einfuhr: Gewicht]]</f>
        <v>478.0466165250262</v>
      </c>
    </row>
    <row r="137" spans="2:16" x14ac:dyDescent="0.25">
      <c r="B137">
        <f>(Table35[[#This Row],[Jahr]]-$C$8)*12+Table35[[#This Row],[Month nr]]</f>
        <v>127</v>
      </c>
      <c r="C137">
        <v>2018</v>
      </c>
      <c r="D137">
        <v>7</v>
      </c>
      <c r="E137" t="s">
        <v>22</v>
      </c>
      <c r="F137" t="str">
        <f>_xlfn.CONCAT(Table35[[#This Row],[Monat]]," ",Table35[[#This Row],[Jahr]])</f>
        <v>Juli 2018</v>
      </c>
      <c r="G137">
        <v>106984.40000000001</v>
      </c>
      <c r="H137">
        <v>16107</v>
      </c>
      <c r="I137">
        <v>18819</v>
      </c>
      <c r="J137">
        <v>51808.400000000009</v>
      </c>
      <c r="K137">
        <v>19075</v>
      </c>
      <c r="L137">
        <v>22291</v>
      </c>
      <c r="M137" s="8">
        <f>Table35[[#This Row],[Ausfuhr: Wert €]]*1000/Table35[[#This Row],[Ausfuhr: Gewicht]]</f>
        <v>150.55466030561465</v>
      </c>
      <c r="N137" s="8">
        <f>Table35[[#This Row],[Einfuhr: Wert €]]*1000/Table35[[#This Row],[Einfuhr: Gewicht]]</f>
        <v>368.18353780468027</v>
      </c>
      <c r="O137" s="8">
        <f>Table35[[#This Row],[Ausfuhr: Wert $]]*1000/Table35[[#This Row],[Ausfuhr: Gewicht]]</f>
        <v>175.90415051166337</v>
      </c>
      <c r="P137" s="8">
        <f>Table35[[#This Row],[Einfuhr: Wert $]]*1000/Table35[[#This Row],[Einfuhr: Gewicht]]</f>
        <v>430.25841369353225</v>
      </c>
    </row>
    <row r="138" spans="2:16" x14ac:dyDescent="0.25">
      <c r="B138">
        <f>(Table35[[#This Row],[Jahr]]-$C$8)*12+Table35[[#This Row],[Month nr]]</f>
        <v>128</v>
      </c>
      <c r="C138">
        <v>2018</v>
      </c>
      <c r="D138">
        <v>8</v>
      </c>
      <c r="E138" t="s">
        <v>17</v>
      </c>
      <c r="F138" t="str">
        <f>_xlfn.CONCAT(Table35[[#This Row],[Monat]]," ",Table35[[#This Row],[Jahr]])</f>
        <v>August 2018</v>
      </c>
      <c r="G138">
        <v>162342.29999999993</v>
      </c>
      <c r="H138">
        <v>25833</v>
      </c>
      <c r="I138">
        <v>29833</v>
      </c>
      <c r="J138">
        <v>27748.6</v>
      </c>
      <c r="K138">
        <v>8616</v>
      </c>
      <c r="L138">
        <v>9947</v>
      </c>
      <c r="M138" s="8">
        <f>Table35[[#This Row],[Ausfuhr: Wert €]]*1000/Table35[[#This Row],[Ausfuhr: Gewicht]]</f>
        <v>159.12673406746123</v>
      </c>
      <c r="N138" s="8">
        <f>Table35[[#This Row],[Einfuhr: Wert €]]*1000/Table35[[#This Row],[Einfuhr: Gewicht]]</f>
        <v>310.50215145989347</v>
      </c>
      <c r="O138" s="8">
        <f>Table35[[#This Row],[Ausfuhr: Wert $]]*1000/Table35[[#This Row],[Ausfuhr: Gewicht]]</f>
        <v>183.76603017205014</v>
      </c>
      <c r="P138" s="8">
        <f>Table35[[#This Row],[Einfuhr: Wert $]]*1000/Table35[[#This Row],[Einfuhr: Gewicht]]</f>
        <v>358.46853534953118</v>
      </c>
    </row>
    <row r="139" spans="2:16" x14ac:dyDescent="0.25">
      <c r="B139">
        <f>(Table35[[#This Row],[Jahr]]-$C$8)*12+Table35[[#This Row],[Month nr]]</f>
        <v>129</v>
      </c>
      <c r="C139">
        <v>2018</v>
      </c>
      <c r="D139">
        <v>9</v>
      </c>
      <c r="E139" t="s">
        <v>18</v>
      </c>
      <c r="F139" t="str">
        <f>_xlfn.CONCAT(Table35[[#This Row],[Monat]]," ",Table35[[#This Row],[Jahr]])</f>
        <v>September 2018</v>
      </c>
      <c r="G139">
        <v>184975.00000000003</v>
      </c>
      <c r="H139">
        <v>30940</v>
      </c>
      <c r="I139">
        <v>36075</v>
      </c>
      <c r="J139">
        <v>31400.799999999996</v>
      </c>
      <c r="K139">
        <v>10350</v>
      </c>
      <c r="L139">
        <v>12069</v>
      </c>
      <c r="M139" s="8">
        <f>Table35[[#This Row],[Ausfuhr: Wert €]]*1000/Table35[[#This Row],[Ausfuhr: Gewicht]]</f>
        <v>167.26584673604538</v>
      </c>
      <c r="N139" s="8">
        <f>Table35[[#This Row],[Einfuhr: Wert €]]*1000/Table35[[#This Row],[Einfuhr: Gewicht]]</f>
        <v>329.6094367022497</v>
      </c>
      <c r="O139" s="8">
        <f>Table35[[#This Row],[Ausfuhr: Wert $]]*1000/Table35[[#This Row],[Ausfuhr: Gewicht]]</f>
        <v>195.02635491282604</v>
      </c>
      <c r="P139" s="8">
        <f>Table35[[#This Row],[Einfuhr: Wert $]]*1000/Table35[[#This Row],[Einfuhr: Gewicht]]</f>
        <v>384.35326488497111</v>
      </c>
    </row>
    <row r="140" spans="2:16" x14ac:dyDescent="0.25">
      <c r="B140">
        <f>(Table35[[#This Row],[Jahr]]-$C$8)*12+Table35[[#This Row],[Month nr]]</f>
        <v>130</v>
      </c>
      <c r="C140">
        <v>2018</v>
      </c>
      <c r="D140">
        <v>10</v>
      </c>
      <c r="E140" t="s">
        <v>23</v>
      </c>
      <c r="F140" t="str">
        <f>_xlfn.CONCAT(Table35[[#This Row],[Monat]]," ",Table35[[#This Row],[Jahr]])</f>
        <v>Oktober 2018</v>
      </c>
      <c r="G140">
        <v>111071.8</v>
      </c>
      <c r="H140">
        <v>19633</v>
      </c>
      <c r="I140">
        <v>22543</v>
      </c>
      <c r="J140">
        <v>27714</v>
      </c>
      <c r="K140">
        <v>8550</v>
      </c>
      <c r="L140">
        <v>9819</v>
      </c>
      <c r="M140" s="8">
        <f>Table35[[#This Row],[Ausfuhr: Wert €]]*1000/Table35[[#This Row],[Ausfuhr: Gewicht]]</f>
        <v>176.75953752437613</v>
      </c>
      <c r="N140" s="8">
        <f>Table35[[#This Row],[Einfuhr: Wert €]]*1000/Table35[[#This Row],[Einfuhr: Gewicht]]</f>
        <v>308.50833513747563</v>
      </c>
      <c r="O140" s="8">
        <f>Table35[[#This Row],[Ausfuhr: Wert $]]*1000/Table35[[#This Row],[Ausfuhr: Gewicht]]</f>
        <v>202.95880682585499</v>
      </c>
      <c r="P140" s="8">
        <f>Table35[[#This Row],[Einfuhr: Wert $]]*1000/Table35[[#This Row],[Einfuhr: Gewicht]]</f>
        <v>354.29746698419569</v>
      </c>
    </row>
    <row r="141" spans="2:16" x14ac:dyDescent="0.25">
      <c r="B141">
        <f>(Table35[[#This Row],[Jahr]]-$C$8)*12+Table35[[#This Row],[Month nr]]</f>
        <v>131</v>
      </c>
      <c r="C141">
        <v>2018</v>
      </c>
      <c r="D141">
        <v>11</v>
      </c>
      <c r="E141" t="s">
        <v>19</v>
      </c>
      <c r="F141" t="str">
        <f>_xlfn.CONCAT(Table35[[#This Row],[Monat]]," ",Table35[[#This Row],[Jahr]])</f>
        <v>November 2018</v>
      </c>
      <c r="G141">
        <v>252258.59999999992</v>
      </c>
      <c r="H141">
        <v>47862</v>
      </c>
      <c r="I141">
        <v>54405</v>
      </c>
      <c r="J141">
        <v>37674.400000000001</v>
      </c>
      <c r="K141">
        <v>10834</v>
      </c>
      <c r="L141">
        <v>12312</v>
      </c>
      <c r="M141" s="8">
        <f>Table35[[#This Row],[Ausfuhr: Wert €]]*1000/Table35[[#This Row],[Ausfuhr: Gewicht]]</f>
        <v>189.73386833987033</v>
      </c>
      <c r="N141" s="8">
        <f>Table35[[#This Row],[Einfuhr: Wert €]]*1000/Table35[[#This Row],[Einfuhr: Gewicht]]</f>
        <v>287.56927781198902</v>
      </c>
      <c r="O141" s="8">
        <f>Table35[[#This Row],[Ausfuhr: Wert $]]*1000/Table35[[#This Row],[Ausfuhr: Gewicht]]</f>
        <v>215.6715370655352</v>
      </c>
      <c r="P141" s="8">
        <f>Table35[[#This Row],[Einfuhr: Wert $]]*1000/Table35[[#This Row],[Einfuhr: Gewicht]]</f>
        <v>326.80016138279575</v>
      </c>
    </row>
    <row r="142" spans="2:16" x14ac:dyDescent="0.25">
      <c r="B142">
        <f>(Table35[[#This Row],[Jahr]]-$C$8)*12+Table35[[#This Row],[Month nr]]</f>
        <v>132</v>
      </c>
      <c r="C142">
        <v>2018</v>
      </c>
      <c r="D142">
        <v>12</v>
      </c>
      <c r="E142" t="s">
        <v>24</v>
      </c>
      <c r="F142" t="str">
        <f>_xlfn.CONCAT(Table35[[#This Row],[Monat]]," ",Table35[[#This Row],[Jahr]])</f>
        <v>Dezember 2018</v>
      </c>
      <c r="G142">
        <v>125832.89999999995</v>
      </c>
      <c r="H142">
        <v>26268</v>
      </c>
      <c r="I142">
        <v>29905</v>
      </c>
      <c r="J142">
        <v>37981.5</v>
      </c>
      <c r="K142">
        <v>12809</v>
      </c>
      <c r="L142">
        <v>14585</v>
      </c>
      <c r="M142" s="8">
        <f>Table35[[#This Row],[Ausfuhr: Wert €]]*1000/Table35[[#This Row],[Ausfuhr: Gewicht]]</f>
        <v>208.7530367654247</v>
      </c>
      <c r="N142" s="8">
        <f>Table35[[#This Row],[Einfuhr: Wert €]]*1000/Table35[[#This Row],[Einfuhr: Gewicht]]</f>
        <v>337.24313152455801</v>
      </c>
      <c r="O142" s="8">
        <f>Table35[[#This Row],[Ausfuhr: Wert $]]*1000/Table35[[#This Row],[Ausfuhr: Gewicht]]</f>
        <v>237.65644755862743</v>
      </c>
      <c r="P142" s="8">
        <f>Table35[[#This Row],[Einfuhr: Wert $]]*1000/Table35[[#This Row],[Einfuhr: Gewicht]]</f>
        <v>384.00273817516421</v>
      </c>
    </row>
    <row r="143" spans="2:16" x14ac:dyDescent="0.25">
      <c r="B143">
        <f>(Table35[[#This Row],[Jahr]]-$C$8)*12+Table35[[#This Row],[Month nr]]</f>
        <v>133</v>
      </c>
      <c r="C143">
        <v>2019</v>
      </c>
      <c r="D143">
        <v>1</v>
      </c>
      <c r="E143" t="s">
        <v>13</v>
      </c>
      <c r="F143" t="str">
        <f>_xlfn.CONCAT(Table35[[#This Row],[Monat]]," ",Table35[[#This Row],[Jahr]])</f>
        <v>Januar 2019</v>
      </c>
      <c r="G143">
        <v>92642.2</v>
      </c>
      <c r="H143">
        <v>20142</v>
      </c>
      <c r="I143">
        <v>22991</v>
      </c>
      <c r="J143">
        <v>31865.100000000002</v>
      </c>
      <c r="K143">
        <v>11751</v>
      </c>
      <c r="L143">
        <v>13411</v>
      </c>
      <c r="M143" s="8">
        <f>Table35[[#This Row],[Ausfuhr: Wert €]]*1000/Table35[[#This Row],[Ausfuhr: Gewicht]]</f>
        <v>217.41711660560739</v>
      </c>
      <c r="N143" s="8">
        <f>Table35[[#This Row],[Einfuhr: Wert €]]*1000/Table35[[#This Row],[Einfuhr: Gewicht]]</f>
        <v>368.77336019657866</v>
      </c>
      <c r="O143" s="8">
        <f>Table35[[#This Row],[Ausfuhr: Wert $]]*1000/Table35[[#This Row],[Ausfuhr: Gewicht]]</f>
        <v>248.16984052623968</v>
      </c>
      <c r="P143" s="8">
        <f>Table35[[#This Row],[Einfuhr: Wert $]]*1000/Table35[[#This Row],[Einfuhr: Gewicht]]</f>
        <v>420.86797154253395</v>
      </c>
    </row>
    <row r="144" spans="2:16" x14ac:dyDescent="0.25">
      <c r="B144">
        <f>(Table35[[#This Row],[Jahr]]-$C$8)*12+Table35[[#This Row],[Month nr]]</f>
        <v>134</v>
      </c>
      <c r="C144">
        <v>2019</v>
      </c>
      <c r="D144">
        <v>2</v>
      </c>
      <c r="E144" t="s">
        <v>14</v>
      </c>
      <c r="F144" t="str">
        <f>_xlfn.CONCAT(Table35[[#This Row],[Monat]]," ",Table35[[#This Row],[Jahr]])</f>
        <v>Februar 2019</v>
      </c>
      <c r="G144">
        <v>141146.79999999999</v>
      </c>
      <c r="H144">
        <v>28294</v>
      </c>
      <c r="I144">
        <v>32119</v>
      </c>
      <c r="J144">
        <v>34363.599999999999</v>
      </c>
      <c r="K144">
        <v>14878</v>
      </c>
      <c r="L144">
        <v>16892</v>
      </c>
      <c r="M144" s="8">
        <f>Table35[[#This Row],[Ausfuhr: Wert €]]*1000/Table35[[#This Row],[Ausfuhr: Gewicht]]</f>
        <v>200.45796291520602</v>
      </c>
      <c r="N144" s="8">
        <f>Table35[[#This Row],[Einfuhr: Wert €]]*1000/Table35[[#This Row],[Einfuhr: Gewicht]]</f>
        <v>432.9581301144234</v>
      </c>
      <c r="O144" s="8">
        <f>Table35[[#This Row],[Ausfuhr: Wert $]]*1000/Table35[[#This Row],[Ausfuhr: Gewicht]]</f>
        <v>227.55740831531429</v>
      </c>
      <c r="P144" s="8">
        <f>Table35[[#This Row],[Einfuhr: Wert $]]*1000/Table35[[#This Row],[Einfuhr: Gewicht]]</f>
        <v>491.56665774249501</v>
      </c>
    </row>
    <row r="145" spans="2:16" x14ac:dyDescent="0.25">
      <c r="B145">
        <f>(Table35[[#This Row],[Jahr]]-$C$8)*12+Table35[[#This Row],[Month nr]]</f>
        <v>135</v>
      </c>
      <c r="C145">
        <v>2019</v>
      </c>
      <c r="D145">
        <v>3</v>
      </c>
      <c r="E145" t="s">
        <v>15</v>
      </c>
      <c r="F145" t="str">
        <f>_xlfn.CONCAT(Table35[[#This Row],[Monat]]," ",Table35[[#This Row],[Jahr]])</f>
        <v>März 2019</v>
      </c>
      <c r="G145" s="10">
        <v>129534.70000000001</v>
      </c>
      <c r="H145" s="10">
        <v>27813</v>
      </c>
      <c r="I145" s="10">
        <v>31435</v>
      </c>
      <c r="J145" s="10">
        <v>67412.000000000015</v>
      </c>
      <c r="K145" s="10">
        <v>26686</v>
      </c>
      <c r="L145" s="10">
        <v>30162</v>
      </c>
      <c r="M145" s="8">
        <f>Table35[[#This Row],[Ausfuhr: Wert €]]*1000/Table35[[#This Row],[Ausfuhr: Gewicht]]</f>
        <v>214.71466718956387</v>
      </c>
      <c r="N145" s="8">
        <f>Table35[[#This Row],[Einfuhr: Wert €]]*1000/Table35[[#This Row],[Einfuhr: Gewicht]]</f>
        <v>395.86423782115935</v>
      </c>
      <c r="O145" s="8">
        <f>Table35[[#This Row],[Ausfuhr: Wert $]]*1000/Table35[[#This Row],[Ausfuhr: Gewicht]]</f>
        <v>242.67628674015532</v>
      </c>
      <c r="P145" s="8">
        <f>Table35[[#This Row],[Einfuhr: Wert $]]*1000/Table35[[#This Row],[Einfuhr: Gewicht]]</f>
        <v>447.42775766925763</v>
      </c>
    </row>
    <row r="146" spans="2:16" x14ac:dyDescent="0.25">
      <c r="B146">
        <f>(Table35[[#This Row],[Jahr]]-$C$8)*12+Table35[[#This Row],[Month nr]]</f>
        <v>136</v>
      </c>
      <c r="C146">
        <v>2019</v>
      </c>
      <c r="D146">
        <v>4</v>
      </c>
      <c r="E146" t="s">
        <v>16</v>
      </c>
      <c r="F146" t="str">
        <f>_xlfn.CONCAT(Table35[[#This Row],[Monat]]," ",Table35[[#This Row],[Jahr]])</f>
        <v>April 2019</v>
      </c>
      <c r="G146">
        <v>77539.3</v>
      </c>
      <c r="H146">
        <v>16880</v>
      </c>
      <c r="I146">
        <v>18969</v>
      </c>
      <c r="J146">
        <v>76176.899999999994</v>
      </c>
      <c r="K146">
        <v>32714</v>
      </c>
      <c r="L146">
        <v>36764</v>
      </c>
      <c r="M146" s="8">
        <f>Table35[[#This Row],[Ausfuhr: Wert €]]*1000/Table35[[#This Row],[Ausfuhr: Gewicht]]</f>
        <v>217.69605864381029</v>
      </c>
      <c r="N146" s="8">
        <f>Table35[[#This Row],[Einfuhr: Wert €]]*1000/Table35[[#This Row],[Einfuhr: Gewicht]]</f>
        <v>429.44777222491336</v>
      </c>
      <c r="O146" s="8">
        <f>Table35[[#This Row],[Ausfuhr: Wert $]]*1000/Table35[[#This Row],[Ausfuhr: Gewicht]]</f>
        <v>244.63723556957567</v>
      </c>
      <c r="P146" s="8">
        <f>Table35[[#This Row],[Einfuhr: Wert $]]*1000/Table35[[#This Row],[Einfuhr: Gewicht]]</f>
        <v>482.61349569226371</v>
      </c>
    </row>
    <row r="147" spans="2:16" x14ac:dyDescent="0.25">
      <c r="B147">
        <f>(Table35[[#This Row],[Jahr]]-$C$8)*12+Table35[[#This Row],[Month nr]]</f>
        <v>137</v>
      </c>
      <c r="C147">
        <v>2019</v>
      </c>
      <c r="D147">
        <v>5</v>
      </c>
      <c r="E147" t="s">
        <v>20</v>
      </c>
      <c r="F147" t="str">
        <f>_xlfn.CONCAT(Table35[[#This Row],[Monat]]," ",Table35[[#This Row],[Jahr]])</f>
        <v>Mai 2019</v>
      </c>
      <c r="G147">
        <v>220930.20000000004</v>
      </c>
      <c r="H147">
        <v>50260</v>
      </c>
      <c r="I147">
        <v>56212</v>
      </c>
      <c r="J147">
        <v>132366.60000000003</v>
      </c>
      <c r="K147">
        <v>59395</v>
      </c>
      <c r="L147">
        <v>66430</v>
      </c>
      <c r="M147" s="8">
        <f>Table35[[#This Row],[Ausfuhr: Wert €]]*1000/Table35[[#This Row],[Ausfuhr: Gewicht]]</f>
        <v>227.49266510418218</v>
      </c>
      <c r="N147" s="8">
        <f>Table35[[#This Row],[Einfuhr: Wert €]]*1000/Table35[[#This Row],[Einfuhr: Gewicht]]</f>
        <v>448.71591473982096</v>
      </c>
      <c r="O147" s="8">
        <f>Table35[[#This Row],[Ausfuhr: Wert $]]*1000/Table35[[#This Row],[Ausfuhr: Gewicht]]</f>
        <v>254.43330065332847</v>
      </c>
      <c r="P147" s="8">
        <f>Table35[[#This Row],[Einfuhr: Wert $]]*1000/Table35[[#This Row],[Einfuhr: Gewicht]]</f>
        <v>501.86376321519163</v>
      </c>
    </row>
    <row r="148" spans="2:16" x14ac:dyDescent="0.25">
      <c r="B148">
        <f>(Table35[[#This Row],[Jahr]]-$C$8)*12+Table35[[#This Row],[Month nr]]</f>
        <v>138</v>
      </c>
      <c r="C148">
        <v>2019</v>
      </c>
      <c r="D148">
        <v>6</v>
      </c>
      <c r="E148" t="s">
        <v>21</v>
      </c>
      <c r="F148" t="str">
        <f>_xlfn.CONCAT(Table35[[#This Row],[Monat]]," ",Table35[[#This Row],[Jahr]])</f>
        <v>Juni 2019</v>
      </c>
      <c r="G148">
        <v>108803.3</v>
      </c>
      <c r="H148">
        <v>26853</v>
      </c>
      <c r="I148">
        <v>30326</v>
      </c>
      <c r="J148">
        <v>97950.900000000009</v>
      </c>
      <c r="K148">
        <v>59996</v>
      </c>
      <c r="L148">
        <v>67756</v>
      </c>
      <c r="M148" s="8">
        <f>Table35[[#This Row],[Ausfuhr: Wert €]]*1000/Table35[[#This Row],[Ausfuhr: Gewicht]]</f>
        <v>246.80317600661007</v>
      </c>
      <c r="N148" s="8">
        <f>Table35[[#This Row],[Einfuhr: Wert €]]*1000/Table35[[#This Row],[Einfuhr: Gewicht]]</f>
        <v>612.51096212490131</v>
      </c>
      <c r="O148" s="8">
        <f>Table35[[#This Row],[Ausfuhr: Wert $]]*1000/Table35[[#This Row],[Ausfuhr: Gewicht]]</f>
        <v>278.72316372757075</v>
      </c>
      <c r="P148" s="8">
        <f>Table35[[#This Row],[Einfuhr: Wert $]]*1000/Table35[[#This Row],[Einfuhr: Gewicht]]</f>
        <v>691.73432811745465</v>
      </c>
    </row>
    <row r="149" spans="2:16" x14ac:dyDescent="0.25">
      <c r="B149">
        <f>(Table35[[#This Row],[Jahr]]-$C$8)*12+Table35[[#This Row],[Month nr]]</f>
        <v>139</v>
      </c>
      <c r="C149">
        <v>2019</v>
      </c>
      <c r="D149">
        <v>7</v>
      </c>
      <c r="E149" t="s">
        <v>22</v>
      </c>
      <c r="F149" t="str">
        <f>_xlfn.CONCAT(Table35[[#This Row],[Monat]]," ",Table35[[#This Row],[Jahr]])</f>
        <v>Juli 2019</v>
      </c>
      <c r="G149">
        <v>153823.9</v>
      </c>
      <c r="H149">
        <v>36510</v>
      </c>
      <c r="I149">
        <v>40958</v>
      </c>
      <c r="J149">
        <v>63240.599999999991</v>
      </c>
      <c r="K149">
        <v>27582</v>
      </c>
      <c r="L149">
        <v>30942</v>
      </c>
      <c r="M149" s="8">
        <f>Table35[[#This Row],[Ausfuhr: Wert €]]*1000/Table35[[#This Row],[Ausfuhr: Gewicht]]</f>
        <v>237.34933258095785</v>
      </c>
      <c r="N149" s="8">
        <f>Table35[[#This Row],[Einfuhr: Wert €]]*1000/Table35[[#This Row],[Einfuhr: Gewicht]]</f>
        <v>436.14386960275527</v>
      </c>
      <c r="O149" s="8">
        <f>Table35[[#This Row],[Ausfuhr: Wert $]]*1000/Table35[[#This Row],[Ausfuhr: Gewicht]]</f>
        <v>266.26551530678915</v>
      </c>
      <c r="P149" s="8">
        <f>Table35[[#This Row],[Einfuhr: Wert $]]*1000/Table35[[#This Row],[Einfuhr: Gewicht]]</f>
        <v>489.27429531029122</v>
      </c>
    </row>
    <row r="150" spans="2:16" x14ac:dyDescent="0.25">
      <c r="B150">
        <f>(Table35[[#This Row],[Jahr]]-$C$8)*12+Table35[[#This Row],[Month nr]]</f>
        <v>140</v>
      </c>
      <c r="C150">
        <v>2019</v>
      </c>
      <c r="D150">
        <v>8</v>
      </c>
      <c r="E150" t="s">
        <v>17</v>
      </c>
      <c r="F150" t="str">
        <f>_xlfn.CONCAT(Table35[[#This Row],[Monat]]," ",Table35[[#This Row],[Jahr]])</f>
        <v>August 2019</v>
      </c>
      <c r="G150">
        <v>207937.10000000006</v>
      </c>
      <c r="H150">
        <v>34657</v>
      </c>
      <c r="I150">
        <v>38560</v>
      </c>
      <c r="J150">
        <v>16671.899999999994</v>
      </c>
      <c r="K150">
        <v>8874</v>
      </c>
      <c r="L150">
        <v>9872</v>
      </c>
      <c r="M150" s="8">
        <f>Table35[[#This Row],[Ausfuhr: Wert €]]*1000/Table35[[#This Row],[Ausfuhr: Gewicht]]</f>
        <v>166.67059413639984</v>
      </c>
      <c r="N150" s="8">
        <f>Table35[[#This Row],[Einfuhr: Wert €]]*1000/Table35[[#This Row],[Einfuhr: Gewicht]]</f>
        <v>532.27286631997572</v>
      </c>
      <c r="O150" s="8">
        <f>Table35[[#This Row],[Ausfuhr: Wert $]]*1000/Table35[[#This Row],[Ausfuhr: Gewicht]]</f>
        <v>185.44069336352189</v>
      </c>
      <c r="P150" s="8">
        <f>Table35[[#This Row],[Einfuhr: Wert $]]*1000/Table35[[#This Row],[Einfuhr: Gewicht]]</f>
        <v>592.13406990205101</v>
      </c>
    </row>
    <row r="151" spans="2:16" x14ac:dyDescent="0.25">
      <c r="B151">
        <f>(Table35[[#This Row],[Jahr]]-$C$8)*12+Table35[[#This Row],[Month nr]]</f>
        <v>141</v>
      </c>
      <c r="C151">
        <v>2019</v>
      </c>
      <c r="D151">
        <v>9</v>
      </c>
      <c r="E151" t="s">
        <v>18</v>
      </c>
      <c r="F151" t="str">
        <f>_xlfn.CONCAT(Table35[[#This Row],[Monat]]," ",Table35[[#This Row],[Jahr]])</f>
        <v>September 2019</v>
      </c>
      <c r="G151">
        <v>216111.70000000004</v>
      </c>
      <c r="H151">
        <v>32642</v>
      </c>
      <c r="I151">
        <v>35923</v>
      </c>
      <c r="J151">
        <v>30141.9</v>
      </c>
      <c r="K151">
        <v>7599</v>
      </c>
      <c r="L151">
        <v>8360</v>
      </c>
      <c r="M151" s="8">
        <f>Table35[[#This Row],[Ausfuhr: Wert €]]*1000/Table35[[#This Row],[Ausfuhr: Gewicht]]</f>
        <v>151.04226194139417</v>
      </c>
      <c r="N151" s="8">
        <f>Table35[[#This Row],[Einfuhr: Wert €]]*1000/Table35[[#This Row],[Einfuhr: Gewicht]]</f>
        <v>252.10753137658872</v>
      </c>
      <c r="O151" s="8">
        <f>Table35[[#This Row],[Ausfuhr: Wert $]]*1000/Table35[[#This Row],[Ausfuhr: Gewicht]]</f>
        <v>166.22422571290676</v>
      </c>
      <c r="P151" s="8">
        <f>Table35[[#This Row],[Einfuhr: Wert $]]*1000/Table35[[#This Row],[Einfuhr: Gewicht]]</f>
        <v>277.35477856405868</v>
      </c>
    </row>
    <row r="152" spans="2:16" x14ac:dyDescent="0.25">
      <c r="B152">
        <f>(Table35[[#This Row],[Jahr]]-$C$8)*12+Table35[[#This Row],[Month nr]]</f>
        <v>142</v>
      </c>
      <c r="C152">
        <v>2019</v>
      </c>
      <c r="D152">
        <v>10</v>
      </c>
      <c r="E152" t="s">
        <v>23</v>
      </c>
      <c r="F152" t="str">
        <f>_xlfn.CONCAT(Table35[[#This Row],[Monat]]," ",Table35[[#This Row],[Jahr]])</f>
        <v>Oktober 2019</v>
      </c>
      <c r="G152">
        <v>120070</v>
      </c>
      <c r="H152">
        <v>20218</v>
      </c>
      <c r="I152">
        <v>22345</v>
      </c>
      <c r="J152">
        <v>32122.699999999997</v>
      </c>
      <c r="K152">
        <v>8584</v>
      </c>
      <c r="L152">
        <v>9490</v>
      </c>
      <c r="M152" s="8">
        <f>Table35[[#This Row],[Ausfuhr: Wert €]]*1000/Table35[[#This Row],[Ausfuhr: Gewicht]]</f>
        <v>168.38510868659949</v>
      </c>
      <c r="N152" s="8">
        <f>Table35[[#This Row],[Einfuhr: Wert €]]*1000/Table35[[#This Row],[Einfuhr: Gewicht]]</f>
        <v>267.22535776880528</v>
      </c>
      <c r="O152" s="8">
        <f>Table35[[#This Row],[Ausfuhr: Wert $]]*1000/Table35[[#This Row],[Ausfuhr: Gewicht]]</f>
        <v>186.09977513117349</v>
      </c>
      <c r="P152" s="8">
        <f>Table35[[#This Row],[Einfuhr: Wert $]]*1000/Table35[[#This Row],[Einfuhr: Gewicht]]</f>
        <v>295.42971169920338</v>
      </c>
    </row>
    <row r="153" spans="2:16" x14ac:dyDescent="0.25">
      <c r="B153">
        <f>(Table35[[#This Row],[Jahr]]-$C$8)*12+Table35[[#This Row],[Month nr]]</f>
        <v>143</v>
      </c>
      <c r="C153">
        <v>2019</v>
      </c>
      <c r="D153">
        <v>11</v>
      </c>
      <c r="E153" t="s">
        <v>19</v>
      </c>
      <c r="F153" t="str">
        <f>_xlfn.CONCAT(Table35[[#This Row],[Monat]]," ",Table35[[#This Row],[Jahr]])</f>
        <v>November 2019</v>
      </c>
      <c r="G153">
        <v>241932.59999999998</v>
      </c>
      <c r="H153">
        <v>39021</v>
      </c>
      <c r="I153">
        <v>43119</v>
      </c>
      <c r="J153">
        <v>54300.7</v>
      </c>
      <c r="K153">
        <v>10607</v>
      </c>
      <c r="L153">
        <v>11720</v>
      </c>
      <c r="M153" s="8">
        <f>Table35[[#This Row],[Ausfuhr: Wert €]]*1000/Table35[[#This Row],[Ausfuhr: Gewicht]]</f>
        <v>161.28872256157294</v>
      </c>
      <c r="N153" s="8">
        <f>Table35[[#This Row],[Einfuhr: Wert €]]*1000/Table35[[#This Row],[Einfuhr: Gewicht]]</f>
        <v>195.33818164406722</v>
      </c>
      <c r="O153" s="8">
        <f>Table35[[#This Row],[Ausfuhr: Wert $]]*1000/Table35[[#This Row],[Ausfuhr: Gewicht]]</f>
        <v>178.2273244697077</v>
      </c>
      <c r="P153" s="8">
        <f>Table35[[#This Row],[Einfuhr: Wert $]]*1000/Table35[[#This Row],[Einfuhr: Gewicht]]</f>
        <v>215.83515497958592</v>
      </c>
    </row>
    <row r="154" spans="2:16" x14ac:dyDescent="0.25">
      <c r="B154">
        <f>(Table35[[#This Row],[Jahr]]-$C$8)*12+Table35[[#This Row],[Month nr]]</f>
        <v>144</v>
      </c>
      <c r="C154">
        <v>2019</v>
      </c>
      <c r="D154">
        <v>12</v>
      </c>
      <c r="E154" t="s">
        <v>24</v>
      </c>
      <c r="F154" t="str">
        <f>_xlfn.CONCAT(Table35[[#This Row],[Monat]]," ",Table35[[#This Row],[Jahr]])</f>
        <v>Dezember 2019</v>
      </c>
      <c r="G154">
        <v>86961.2</v>
      </c>
      <c r="H154">
        <v>17437</v>
      </c>
      <c r="I154">
        <v>19376</v>
      </c>
      <c r="J154">
        <v>37529</v>
      </c>
      <c r="K154">
        <v>9787</v>
      </c>
      <c r="L154">
        <v>10878</v>
      </c>
      <c r="M154" s="8">
        <f>Table35[[#This Row],[Ausfuhr: Wert €]]*1000/Table35[[#This Row],[Ausfuhr: Gewicht]]</f>
        <v>200.51471230847781</v>
      </c>
      <c r="N154" s="8">
        <f>Table35[[#This Row],[Einfuhr: Wert €]]*1000/Table35[[#This Row],[Einfuhr: Gewicht]]</f>
        <v>260.78499293879401</v>
      </c>
      <c r="O154" s="8">
        <f>Table35[[#This Row],[Ausfuhr: Wert $]]*1000/Table35[[#This Row],[Ausfuhr: Gewicht]]</f>
        <v>222.812012713716</v>
      </c>
      <c r="P154" s="8">
        <f>Table35[[#This Row],[Einfuhr: Wert $]]*1000/Table35[[#This Row],[Einfuhr: Gewicht]]</f>
        <v>289.85584481334433</v>
      </c>
    </row>
    <row r="155" spans="2:16" x14ac:dyDescent="0.25">
      <c r="B155">
        <f>(Table35[[#This Row],[Jahr]]-$C$8)*12+Table35[[#This Row],[Month nr]]</f>
        <v>145</v>
      </c>
      <c r="C155">
        <v>2020</v>
      </c>
      <c r="D155">
        <v>1</v>
      </c>
      <c r="E155" t="s">
        <v>13</v>
      </c>
      <c r="F155" t="str">
        <f>_xlfn.CONCAT(Table35[[#This Row],[Monat]]," ",Table35[[#This Row],[Jahr]])</f>
        <v>Januar 2020</v>
      </c>
      <c r="G155">
        <v>163496.39999999997</v>
      </c>
      <c r="H155">
        <v>26802</v>
      </c>
      <c r="I155">
        <v>29754</v>
      </c>
      <c r="J155">
        <v>27993.199999999997</v>
      </c>
      <c r="K155">
        <v>9250</v>
      </c>
      <c r="L155">
        <v>10269</v>
      </c>
      <c r="M155" s="8">
        <f>Table35[[#This Row],[Ausfuhr: Wert €]]*1000/Table35[[#This Row],[Ausfuhr: Gewicht]]</f>
        <v>163.93021497721054</v>
      </c>
      <c r="N155" s="8">
        <f>Table35[[#This Row],[Einfuhr: Wert €]]*1000/Table35[[#This Row],[Einfuhr: Gewicht]]</f>
        <v>330.43739193804214</v>
      </c>
      <c r="O155" s="8">
        <f>Table35[[#This Row],[Ausfuhr: Wert $]]*1000/Table35[[#This Row],[Ausfuhr: Gewicht]]</f>
        <v>181.98565839981802</v>
      </c>
      <c r="P155" s="8">
        <f>Table35[[#This Row],[Einfuhr: Wert $]]*1000/Table35[[#This Row],[Einfuhr: Gewicht]]</f>
        <v>366.83908949316265</v>
      </c>
    </row>
    <row r="156" spans="2:16" x14ac:dyDescent="0.25">
      <c r="B156">
        <f>(Table35[[#This Row],[Jahr]]-$C$8)*12+Table35[[#This Row],[Month nr]]</f>
        <v>146</v>
      </c>
      <c r="C156">
        <v>2020</v>
      </c>
      <c r="D156">
        <v>2</v>
      </c>
      <c r="E156" t="s">
        <v>14</v>
      </c>
      <c r="F156" t="str">
        <f>_xlfn.CONCAT(Table35[[#This Row],[Monat]]," ",Table35[[#This Row],[Jahr]])</f>
        <v>Februar 2020</v>
      </c>
      <c r="G156">
        <v>143810.9</v>
      </c>
      <c r="H156">
        <v>24085</v>
      </c>
      <c r="I156">
        <v>26259</v>
      </c>
      <c r="J156">
        <v>31729.000000000007</v>
      </c>
      <c r="K156">
        <v>11462</v>
      </c>
      <c r="L156">
        <v>12499</v>
      </c>
      <c r="M156" s="8">
        <f>Table35[[#This Row],[Ausfuhr: Wert €]]*1000/Table35[[#This Row],[Ausfuhr: Gewicht]]</f>
        <v>167.47687414514479</v>
      </c>
      <c r="N156" s="8">
        <f>Table35[[#This Row],[Einfuhr: Wert €]]*1000/Table35[[#This Row],[Einfuhr: Gewicht]]</f>
        <v>361.24680891298175</v>
      </c>
      <c r="O156" s="8">
        <f>Table35[[#This Row],[Ausfuhr: Wert $]]*1000/Table35[[#This Row],[Ausfuhr: Gewicht]]</f>
        <v>182.59394802480202</v>
      </c>
      <c r="P156" s="8">
        <f>Table35[[#This Row],[Einfuhr: Wert $]]*1000/Table35[[#This Row],[Einfuhr: Gewicht]]</f>
        <v>393.92984336096305</v>
      </c>
    </row>
    <row r="157" spans="2:16" x14ac:dyDescent="0.25">
      <c r="B157">
        <f>(Table35[[#This Row],[Jahr]]-$C$8)*12+Table35[[#This Row],[Month nr]]</f>
        <v>147</v>
      </c>
      <c r="C157">
        <v>2020</v>
      </c>
      <c r="D157">
        <v>3</v>
      </c>
      <c r="E157" t="s">
        <v>15</v>
      </c>
      <c r="F157" t="str">
        <f>_xlfn.CONCAT(Table35[[#This Row],[Monat]]," ",Table35[[#This Row],[Jahr]])</f>
        <v>März 2020</v>
      </c>
      <c r="G157" s="10">
        <v>178550.10000000006</v>
      </c>
      <c r="H157" s="10">
        <v>30925</v>
      </c>
      <c r="I157" s="10">
        <v>34212</v>
      </c>
      <c r="J157" s="10">
        <v>44517.099999999984</v>
      </c>
      <c r="K157" s="10">
        <v>17480</v>
      </c>
      <c r="L157" s="10">
        <v>19336</v>
      </c>
      <c r="M157" s="8">
        <f>Table35[[#This Row],[Ausfuhr: Wert €]]*1000/Table35[[#This Row],[Ausfuhr: Gewicht]]</f>
        <v>173.20068709006597</v>
      </c>
      <c r="N157" s="8">
        <f>Table35[[#This Row],[Einfuhr: Wert €]]*1000/Table35[[#This Row],[Einfuhr: Gewicht]]</f>
        <v>392.65810216748184</v>
      </c>
      <c r="O157" s="8">
        <f>Table35[[#This Row],[Ausfuhr: Wert $]]*1000/Table35[[#This Row],[Ausfuhr: Gewicht]]</f>
        <v>191.61008590866086</v>
      </c>
      <c r="P157" s="8">
        <f>Table35[[#This Row],[Einfuhr: Wert $]]*1000/Table35[[#This Row],[Einfuhr: Gewicht]]</f>
        <v>434.34994642508178</v>
      </c>
    </row>
    <row r="158" spans="2:16" x14ac:dyDescent="0.25">
      <c r="B158">
        <f>(Table35[[#This Row],[Jahr]]-$C$8)*12+Table35[[#This Row],[Month nr]]</f>
        <v>148</v>
      </c>
      <c r="C158">
        <v>2020</v>
      </c>
      <c r="D158">
        <v>4</v>
      </c>
      <c r="E158" t="s">
        <v>16</v>
      </c>
      <c r="F158" t="str">
        <f>_xlfn.CONCAT(Table35[[#This Row],[Monat]]," ",Table35[[#This Row],[Jahr]])</f>
        <v>April 2020</v>
      </c>
      <c r="G158">
        <v>139658</v>
      </c>
      <c r="H158">
        <v>23395</v>
      </c>
      <c r="I158">
        <v>25409</v>
      </c>
      <c r="J158">
        <v>43872.700000000004</v>
      </c>
      <c r="K158">
        <v>18393</v>
      </c>
      <c r="L158">
        <v>19979</v>
      </c>
      <c r="M158" s="8">
        <f>Table35[[#This Row],[Ausfuhr: Wert €]]*1000/Table35[[#This Row],[Ausfuhr: Gewicht]]</f>
        <v>167.51636139712727</v>
      </c>
      <c r="N158" s="8">
        <f>Table35[[#This Row],[Einfuhr: Wert €]]*1000/Table35[[#This Row],[Einfuhr: Gewicht]]</f>
        <v>419.23565223931962</v>
      </c>
      <c r="O158" s="8">
        <f>Table35[[#This Row],[Ausfuhr: Wert $]]*1000/Table35[[#This Row],[Ausfuhr: Gewicht]]</f>
        <v>181.93730398545017</v>
      </c>
      <c r="P158" s="8">
        <f>Table35[[#This Row],[Einfuhr: Wert $]]*1000/Table35[[#This Row],[Einfuhr: Gewicht]]</f>
        <v>455.38569543246706</v>
      </c>
    </row>
    <row r="159" spans="2:16" x14ac:dyDescent="0.25">
      <c r="B159">
        <f>(Table35[[#This Row],[Jahr]]-$C$8)*12+Table35[[#This Row],[Month nr]]</f>
        <v>149</v>
      </c>
      <c r="C159">
        <v>2020</v>
      </c>
      <c r="D159">
        <v>5</v>
      </c>
      <c r="E159" t="s">
        <v>20</v>
      </c>
      <c r="F159" t="str">
        <f>_xlfn.CONCAT(Table35[[#This Row],[Monat]]," ",Table35[[#This Row],[Jahr]])</f>
        <v>Mai 2020</v>
      </c>
      <c r="G159">
        <v>131627.1</v>
      </c>
      <c r="H159">
        <v>21632</v>
      </c>
      <c r="I159">
        <v>23583</v>
      </c>
      <c r="J159">
        <v>61970.900000000009</v>
      </c>
      <c r="K159">
        <v>24974</v>
      </c>
      <c r="L159">
        <v>27227</v>
      </c>
      <c r="M159" s="8">
        <f>Table35[[#This Row],[Ausfuhr: Wert €]]*1000/Table35[[#This Row],[Ausfuhr: Gewicht]]</f>
        <v>164.34305701485485</v>
      </c>
      <c r="N159" s="8">
        <f>Table35[[#This Row],[Einfuhr: Wert €]]*1000/Table35[[#This Row],[Einfuhr: Gewicht]]</f>
        <v>402.99559954752954</v>
      </c>
      <c r="O159" s="8">
        <f>Table35[[#This Row],[Ausfuhr: Wert $]]*1000/Table35[[#This Row],[Ausfuhr: Gewicht]]</f>
        <v>179.16523269144423</v>
      </c>
      <c r="P159" s="8">
        <f>Table35[[#This Row],[Einfuhr: Wert $]]*1000/Table35[[#This Row],[Einfuhr: Gewicht]]</f>
        <v>439.35137298312588</v>
      </c>
    </row>
    <row r="160" spans="2:16" x14ac:dyDescent="0.25">
      <c r="B160">
        <f>(Table35[[#This Row],[Jahr]]-$C$8)*12+Table35[[#This Row],[Month nr]]</f>
        <v>150</v>
      </c>
      <c r="C160">
        <v>2020</v>
      </c>
      <c r="D160">
        <v>6</v>
      </c>
      <c r="E160" t="s">
        <v>21</v>
      </c>
      <c r="F160" t="str">
        <f>_xlfn.CONCAT(Table35[[#This Row],[Monat]]," ",Table35[[#This Row],[Jahr]])</f>
        <v>Juni 2020</v>
      </c>
      <c r="G160">
        <v>44128.2</v>
      </c>
      <c r="H160">
        <v>10211</v>
      </c>
      <c r="I160">
        <v>11492</v>
      </c>
      <c r="J160">
        <v>82873.599999999977</v>
      </c>
      <c r="K160">
        <v>37806</v>
      </c>
      <c r="L160">
        <v>42553</v>
      </c>
      <c r="M160" s="8">
        <f>Table35[[#This Row],[Ausfuhr: Wert €]]*1000/Table35[[#This Row],[Ausfuhr: Gewicht]]</f>
        <v>231.3939838923863</v>
      </c>
      <c r="N160" s="8">
        <f>Table35[[#This Row],[Einfuhr: Wert €]]*1000/Table35[[#This Row],[Einfuhr: Gewicht]]</f>
        <v>456.18870183025729</v>
      </c>
      <c r="O160" s="8">
        <f>Table35[[#This Row],[Ausfuhr: Wert $]]*1000/Table35[[#This Row],[Ausfuhr: Gewicht]]</f>
        <v>260.42304014213136</v>
      </c>
      <c r="P160" s="8">
        <f>Table35[[#This Row],[Einfuhr: Wert $]]*1000/Table35[[#This Row],[Einfuhr: Gewicht]]</f>
        <v>513.46870414703858</v>
      </c>
    </row>
    <row r="161" spans="2:16" x14ac:dyDescent="0.25">
      <c r="B161">
        <f>(Table35[[#This Row],[Jahr]]-$C$8)*12+Table35[[#This Row],[Month nr]]</f>
        <v>151</v>
      </c>
      <c r="C161">
        <v>2020</v>
      </c>
      <c r="D161">
        <v>7</v>
      </c>
      <c r="E161" t="s">
        <v>22</v>
      </c>
      <c r="F161" t="str">
        <f>_xlfn.CONCAT(Table35[[#This Row],[Monat]]," ",Table35[[#This Row],[Jahr]])</f>
        <v>Juli 2020</v>
      </c>
      <c r="G161">
        <v>88994.1</v>
      </c>
      <c r="H161">
        <v>16354</v>
      </c>
      <c r="I161">
        <v>18745</v>
      </c>
      <c r="J161">
        <v>48065.69999999999</v>
      </c>
      <c r="K161">
        <v>19269</v>
      </c>
      <c r="L161">
        <v>22084</v>
      </c>
      <c r="M161" s="8">
        <f>Table35[[#This Row],[Ausfuhr: Wert €]]*1000/Table35[[#This Row],[Ausfuhr: Gewicht]]</f>
        <v>183.76499116233546</v>
      </c>
      <c r="N161" s="8">
        <f>Table35[[#This Row],[Einfuhr: Wert €]]*1000/Table35[[#This Row],[Einfuhr: Gewicht]]</f>
        <v>400.88878347761511</v>
      </c>
      <c r="O161" s="8">
        <f>Table35[[#This Row],[Ausfuhr: Wert $]]*1000/Table35[[#This Row],[Ausfuhr: Gewicht]]</f>
        <v>210.63194076910716</v>
      </c>
      <c r="P161" s="8">
        <f>Table35[[#This Row],[Einfuhr: Wert $]]*1000/Table35[[#This Row],[Einfuhr: Gewicht]]</f>
        <v>459.45445504798647</v>
      </c>
    </row>
    <row r="162" spans="2:16" x14ac:dyDescent="0.25">
      <c r="B162">
        <f>(Table35[[#This Row],[Jahr]]-$C$8)*12+Table35[[#This Row],[Month nr]]</f>
        <v>152</v>
      </c>
      <c r="C162">
        <v>2020</v>
      </c>
      <c r="D162">
        <v>8</v>
      </c>
      <c r="E162" t="s">
        <v>17</v>
      </c>
      <c r="F162" t="str">
        <f>_xlfn.CONCAT(Table35[[#This Row],[Monat]]," ",Table35[[#This Row],[Jahr]])</f>
        <v>August 2020</v>
      </c>
      <c r="G162">
        <v>239769.19999999998</v>
      </c>
      <c r="H162">
        <v>30409</v>
      </c>
      <c r="I162">
        <v>35968</v>
      </c>
      <c r="J162">
        <v>47124</v>
      </c>
      <c r="K162">
        <v>7650</v>
      </c>
      <c r="L162">
        <v>9049</v>
      </c>
      <c r="M162" s="8">
        <f>Table35[[#This Row],[Ausfuhr: Wert €]]*1000/Table35[[#This Row],[Ausfuhr: Gewicht]]</f>
        <v>126.82613112943615</v>
      </c>
      <c r="N162" s="8">
        <f>Table35[[#This Row],[Einfuhr: Wert €]]*1000/Table35[[#This Row],[Einfuhr: Gewicht]]</f>
        <v>162.33766233766235</v>
      </c>
      <c r="O162" s="8">
        <f>Table35[[#This Row],[Ausfuhr: Wert $]]*1000/Table35[[#This Row],[Ausfuhr: Gewicht]]</f>
        <v>150.01092717496661</v>
      </c>
      <c r="P162" s="8">
        <f>Table35[[#This Row],[Einfuhr: Wert $]]*1000/Table35[[#This Row],[Einfuhr: Gewicht]]</f>
        <v>192.02529496647145</v>
      </c>
    </row>
    <row r="163" spans="2:16" x14ac:dyDescent="0.25">
      <c r="B163">
        <f>(Table35[[#This Row],[Jahr]]-$C$8)*12+Table35[[#This Row],[Month nr]]</f>
        <v>153</v>
      </c>
      <c r="C163">
        <v>2020</v>
      </c>
      <c r="D163">
        <v>9</v>
      </c>
      <c r="E163" t="s">
        <v>18</v>
      </c>
      <c r="F163" t="str">
        <f>_xlfn.CONCAT(Table35[[#This Row],[Monat]]," ",Table35[[#This Row],[Jahr]])</f>
        <v>September 2020</v>
      </c>
      <c r="G163">
        <v>185628.4</v>
      </c>
      <c r="H163">
        <v>24831</v>
      </c>
      <c r="I163">
        <v>29279</v>
      </c>
      <c r="J163">
        <v>33042.300000000003</v>
      </c>
      <c r="K163">
        <v>6679</v>
      </c>
      <c r="L163">
        <v>7872</v>
      </c>
      <c r="M163" s="8">
        <f>Table35[[#This Row],[Ausfuhr: Wert €]]*1000/Table35[[#This Row],[Ausfuhr: Gewicht]]</f>
        <v>133.76724682214575</v>
      </c>
      <c r="N163" s="8">
        <f>Table35[[#This Row],[Einfuhr: Wert €]]*1000/Table35[[#This Row],[Einfuhr: Gewicht]]</f>
        <v>202.1348392817691</v>
      </c>
      <c r="O163" s="8">
        <f>Table35[[#This Row],[Ausfuhr: Wert $]]*1000/Table35[[#This Row],[Ausfuhr: Gewicht]]</f>
        <v>157.72909748723794</v>
      </c>
      <c r="P163" s="8">
        <f>Table35[[#This Row],[Einfuhr: Wert $]]*1000/Table35[[#This Row],[Einfuhr: Gewicht]]</f>
        <v>238.24007408685227</v>
      </c>
    </row>
  </sheetData>
  <mergeCells count="12">
    <mergeCell ref="A4:F4"/>
    <mergeCell ref="A5:F5"/>
    <mergeCell ref="M9:N9"/>
    <mergeCell ref="O9:P9"/>
    <mergeCell ref="G8:H8"/>
    <mergeCell ref="J8:K8"/>
    <mergeCell ref="A6:F6"/>
    <mergeCell ref="H1:L1"/>
    <mergeCell ref="H2:L2"/>
    <mergeCell ref="A1:F1"/>
    <mergeCell ref="A2:F2"/>
    <mergeCell ref="A3:F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5017-1569-40D7-BF78-C0D39379DED3}">
  <sheetPr codeName="Sheet5">
    <tabColor theme="5" tint="-0.249977111117893"/>
  </sheetPr>
  <dimension ref="A1:P163"/>
  <sheetViews>
    <sheetView zoomScaleNormal="100" workbookViewId="0">
      <selection activeCell="X27" sqref="R10:X27"/>
    </sheetView>
  </sheetViews>
  <sheetFormatPr defaultRowHeight="15" x14ac:dyDescent="0.25"/>
  <cols>
    <col min="6" max="6" width="12.7109375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54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60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(Table356[[#This Row],[Jahr]]-$C$8)*12+Table356[[#This Row],[Month nr]]</f>
        <v>1</v>
      </c>
      <c r="C11">
        <v>2008</v>
      </c>
      <c r="D11">
        <v>1</v>
      </c>
      <c r="E11" t="s">
        <v>13</v>
      </c>
      <c r="F11" t="str">
        <f>_xlfn.CONCAT(Table356[[#This Row],[Monat]]," ",Table356[[#This Row],[Jahr]])</f>
        <v>Januar 2008</v>
      </c>
      <c r="G11">
        <v>4282</v>
      </c>
      <c r="H11">
        <v>2995</v>
      </c>
      <c r="I11">
        <v>4410</v>
      </c>
      <c r="J11">
        <v>84647.500000000015</v>
      </c>
      <c r="K11">
        <v>43570</v>
      </c>
      <c r="L11">
        <v>64126</v>
      </c>
      <c r="M11" s="8">
        <f>Table356[[#This Row],[Ausfuhr: Wert €]]*1000/Table356[[#This Row],[Ausfuhr: Gewicht]]</f>
        <v>699.43951424567956</v>
      </c>
      <c r="N11" s="8">
        <f>Table356[[#This Row],[Einfuhr: Wert €]]*1000/Table356[[#This Row],[Einfuhr: Gewicht]]</f>
        <v>514.72282111107825</v>
      </c>
      <c r="O11" s="8">
        <f>Table356[[#This Row],[Ausfuhr: Wert $]]*1000/Table356[[#This Row],[Ausfuhr: Gewicht]]</f>
        <v>1029.8925735637551</v>
      </c>
      <c r="P11" s="8">
        <f>Table356[[#This Row],[Einfuhr: Wert $]]*1000/Table356[[#This Row],[Einfuhr: Gewicht]]</f>
        <v>757.56519684574255</v>
      </c>
    </row>
    <row r="12" spans="1:16" x14ac:dyDescent="0.25">
      <c r="B12">
        <f>(Table356[[#This Row],[Jahr]]-$C$8)*12+Table356[[#This Row],[Month nr]]</f>
        <v>2</v>
      </c>
      <c r="C12">
        <v>2008</v>
      </c>
      <c r="D12">
        <v>2</v>
      </c>
      <c r="E12" t="s">
        <v>14</v>
      </c>
      <c r="F12" t="str">
        <f>_xlfn.CONCAT(Table356[[#This Row],[Monat]]," ",Table356[[#This Row],[Jahr]])</f>
        <v>Februar 2008</v>
      </c>
      <c r="G12">
        <v>3733.6999999999989</v>
      </c>
      <c r="H12">
        <v>2565</v>
      </c>
      <c r="I12">
        <v>3781</v>
      </c>
      <c r="J12">
        <v>77574.899999999994</v>
      </c>
      <c r="K12">
        <v>44087</v>
      </c>
      <c r="L12">
        <v>65021</v>
      </c>
      <c r="M12" s="8">
        <f>Table356[[#This Row],[Ausfuhr: Wert €]]*1000/Table356[[#This Row],[Ausfuhr: Gewicht]]</f>
        <v>686.98609957950578</v>
      </c>
      <c r="N12" s="8">
        <f>Table356[[#This Row],[Einfuhr: Wert €]]*1000/Table356[[#This Row],[Einfuhr: Gewicht]]</f>
        <v>568.31526692267732</v>
      </c>
      <c r="O12" s="8">
        <f>Table356[[#This Row],[Ausfuhr: Wert $]]*1000/Table356[[#This Row],[Ausfuhr: Gewicht]]</f>
        <v>1012.6683986394196</v>
      </c>
      <c r="P12" s="8">
        <f>Table356[[#This Row],[Einfuhr: Wert $]]*1000/Table356[[#This Row],[Einfuhr: Gewicht]]</f>
        <v>838.17059383898663</v>
      </c>
    </row>
    <row r="13" spans="1:16" x14ac:dyDescent="0.25">
      <c r="B13">
        <f>(Table356[[#This Row],[Jahr]]-$C$8)*12+Table356[[#This Row],[Month nr]]</f>
        <v>3</v>
      </c>
      <c r="C13">
        <v>2008</v>
      </c>
      <c r="D13">
        <v>3</v>
      </c>
      <c r="E13" t="s">
        <v>15</v>
      </c>
      <c r="F13" t="str">
        <f>_xlfn.CONCAT(Table356[[#This Row],[Monat]]," ",Table356[[#This Row],[Jahr]])</f>
        <v>März 2008</v>
      </c>
      <c r="G13">
        <v>2392.6</v>
      </c>
      <c r="H13">
        <v>1812</v>
      </c>
      <c r="I13">
        <v>2810</v>
      </c>
      <c r="J13">
        <v>56959.4</v>
      </c>
      <c r="K13">
        <v>35530</v>
      </c>
      <c r="L13">
        <v>55167</v>
      </c>
      <c r="M13" s="8">
        <f>Table356[[#This Row],[Ausfuhr: Wert €]]*1000/Table356[[#This Row],[Ausfuhr: Gewicht]]</f>
        <v>757.33511660954616</v>
      </c>
      <c r="N13" s="8">
        <f>Table356[[#This Row],[Einfuhr: Wert €]]*1000/Table356[[#This Row],[Einfuhr: Gewicht]]</f>
        <v>623.77763810714293</v>
      </c>
      <c r="O13" s="8">
        <f>Table356[[#This Row],[Ausfuhr: Wert $]]*1000/Table356[[#This Row],[Ausfuhr: Gewicht]]</f>
        <v>1174.4545682521107</v>
      </c>
      <c r="P13" s="8">
        <f>Table356[[#This Row],[Einfuhr: Wert $]]*1000/Table356[[#This Row],[Einfuhr: Gewicht]]</f>
        <v>968.53197189577133</v>
      </c>
    </row>
    <row r="14" spans="1:16" x14ac:dyDescent="0.25">
      <c r="B14">
        <f>(Table356[[#This Row],[Jahr]]-$C$8)*12+Table356[[#This Row],[Month nr]]</f>
        <v>4</v>
      </c>
      <c r="C14">
        <v>2008</v>
      </c>
      <c r="D14">
        <v>4</v>
      </c>
      <c r="E14" t="s">
        <v>16</v>
      </c>
      <c r="F14" t="str">
        <f>_xlfn.CONCAT(Table356[[#This Row],[Monat]]," ",Table356[[#This Row],[Jahr]])</f>
        <v>April 2008</v>
      </c>
      <c r="G14" s="10">
        <v>3080.2999999999997</v>
      </c>
      <c r="H14" s="10">
        <v>2304</v>
      </c>
      <c r="I14" s="10">
        <v>3630</v>
      </c>
      <c r="J14" s="10">
        <v>75610.899999999994</v>
      </c>
      <c r="K14" s="10">
        <v>43555</v>
      </c>
      <c r="L14" s="10">
        <v>68603</v>
      </c>
      <c r="M14" s="8">
        <f>Table356[[#This Row],[Ausfuhr: Wert €]]*1000/Table356[[#This Row],[Ausfuhr: Gewicht]]</f>
        <v>747.97909294549243</v>
      </c>
      <c r="N14" s="8">
        <f>Table356[[#This Row],[Einfuhr: Wert €]]*1000/Table356[[#This Row],[Einfuhr: Gewicht]]</f>
        <v>576.04128505281653</v>
      </c>
      <c r="O14" s="8">
        <f>Table356[[#This Row],[Ausfuhr: Wert $]]*1000/Table356[[#This Row],[Ausfuhr: Gewicht]]</f>
        <v>1178.4566438333929</v>
      </c>
      <c r="P14" s="8">
        <f>Table356[[#This Row],[Einfuhr: Wert $]]*1000/Table356[[#This Row],[Einfuhr: Gewicht]]</f>
        <v>907.31627318283483</v>
      </c>
    </row>
    <row r="15" spans="1:16" x14ac:dyDescent="0.25">
      <c r="B15">
        <f>(Table356[[#This Row],[Jahr]]-$C$8)*12+Table356[[#This Row],[Month nr]]</f>
        <v>5</v>
      </c>
      <c r="C15">
        <v>2008</v>
      </c>
      <c r="D15">
        <v>5</v>
      </c>
      <c r="E15" t="s">
        <v>20</v>
      </c>
      <c r="F15" t="str">
        <f>_xlfn.CONCAT(Table356[[#This Row],[Monat]]," ",Table356[[#This Row],[Jahr]])</f>
        <v>Mai 2008</v>
      </c>
      <c r="G15">
        <v>2046.4000000000003</v>
      </c>
      <c r="H15">
        <v>1492</v>
      </c>
      <c r="I15">
        <v>2324</v>
      </c>
      <c r="J15">
        <v>34745.800000000003</v>
      </c>
      <c r="K15">
        <v>22717</v>
      </c>
      <c r="L15">
        <v>35343</v>
      </c>
      <c r="M15" s="8">
        <f>Table356[[#This Row],[Ausfuhr: Wert €]]*1000/Table356[[#This Row],[Ausfuhr: Gewicht]]</f>
        <v>729.08522283033608</v>
      </c>
      <c r="N15" s="8">
        <f>Table356[[#This Row],[Einfuhr: Wert €]]*1000/Table356[[#This Row],[Einfuhr: Gewicht]]</f>
        <v>653.80563981833768</v>
      </c>
      <c r="O15" s="8">
        <f>Table356[[#This Row],[Ausfuhr: Wert $]]*1000/Table356[[#This Row],[Ausfuhr: Gewicht]]</f>
        <v>1135.6528537920249</v>
      </c>
      <c r="P15" s="8">
        <f>Table356[[#This Row],[Einfuhr: Wert $]]*1000/Table356[[#This Row],[Einfuhr: Gewicht]]</f>
        <v>1017.1876888717485</v>
      </c>
    </row>
    <row r="16" spans="1:16" x14ac:dyDescent="0.25">
      <c r="B16">
        <f>(Table356[[#This Row],[Jahr]]-$C$8)*12+Table356[[#This Row],[Month nr]]</f>
        <v>6</v>
      </c>
      <c r="C16">
        <v>2008</v>
      </c>
      <c r="D16">
        <v>6</v>
      </c>
      <c r="E16" t="s">
        <v>21</v>
      </c>
      <c r="F16" t="str">
        <f>_xlfn.CONCAT(Table356[[#This Row],[Monat]]," ",Table356[[#This Row],[Jahr]])</f>
        <v>Juni 2008</v>
      </c>
      <c r="G16">
        <v>1335.4</v>
      </c>
      <c r="H16">
        <v>1146</v>
      </c>
      <c r="I16">
        <v>1785</v>
      </c>
      <c r="J16">
        <v>51258.299999999996</v>
      </c>
      <c r="K16">
        <v>26717</v>
      </c>
      <c r="L16">
        <v>41551</v>
      </c>
      <c r="M16" s="8">
        <f>Table356[[#This Row],[Ausfuhr: Wert €]]*1000/Table356[[#This Row],[Ausfuhr: Gewicht]]</f>
        <v>858.16983675303277</v>
      </c>
      <c r="N16" s="8">
        <f>Table356[[#This Row],[Einfuhr: Wert €]]*1000/Table356[[#This Row],[Einfuhr: Gewicht]]</f>
        <v>521.22290438816742</v>
      </c>
      <c r="O16" s="8">
        <f>Table356[[#This Row],[Ausfuhr: Wert $]]*1000/Table356[[#This Row],[Ausfuhr: Gewicht]]</f>
        <v>1336.6781488692525</v>
      </c>
      <c r="P16" s="8">
        <f>Table356[[#This Row],[Einfuhr: Wert $]]*1000/Table356[[#This Row],[Einfuhr: Gewicht]]</f>
        <v>810.61993862457405</v>
      </c>
    </row>
    <row r="17" spans="2:16" x14ac:dyDescent="0.25">
      <c r="B17">
        <f>(Table356[[#This Row],[Jahr]]-$C$8)*12+Table356[[#This Row],[Month nr]]</f>
        <v>7</v>
      </c>
      <c r="C17">
        <v>2008</v>
      </c>
      <c r="D17">
        <v>7</v>
      </c>
      <c r="E17" t="s">
        <v>22</v>
      </c>
      <c r="F17" t="str">
        <f>_xlfn.CONCAT(Table356[[#This Row],[Monat]]," ",Table356[[#This Row],[Jahr]])</f>
        <v>Juli 2008</v>
      </c>
      <c r="G17">
        <v>2803.2000000000007</v>
      </c>
      <c r="H17">
        <v>2086</v>
      </c>
      <c r="I17">
        <v>3290</v>
      </c>
      <c r="J17">
        <v>14622.600000000002</v>
      </c>
      <c r="K17">
        <v>10804</v>
      </c>
      <c r="L17">
        <v>17038</v>
      </c>
      <c r="M17" s="8">
        <f>Table356[[#This Row],[Ausfuhr: Wert €]]*1000/Table356[[#This Row],[Ausfuhr: Gewicht]]</f>
        <v>744.14954337899519</v>
      </c>
      <c r="N17" s="8">
        <f>Table356[[#This Row],[Einfuhr: Wert €]]*1000/Table356[[#This Row],[Einfuhr: Gewicht]]</f>
        <v>738.85629094689034</v>
      </c>
      <c r="O17" s="8">
        <f>Table356[[#This Row],[Ausfuhr: Wert $]]*1000/Table356[[#This Row],[Ausfuhr: Gewicht]]</f>
        <v>1173.6586757990865</v>
      </c>
      <c r="P17" s="8">
        <f>Table356[[#This Row],[Einfuhr: Wert $]]*1000/Table356[[#This Row],[Einfuhr: Gewicht]]</f>
        <v>1165.1826624540095</v>
      </c>
    </row>
    <row r="18" spans="2:16" x14ac:dyDescent="0.25">
      <c r="B18">
        <f>(Table356[[#This Row],[Jahr]]-$C$8)*12+Table356[[#This Row],[Month nr]]</f>
        <v>8</v>
      </c>
      <c r="C18">
        <v>2008</v>
      </c>
      <c r="D18">
        <v>8</v>
      </c>
      <c r="E18" t="s">
        <v>17</v>
      </c>
      <c r="F18" t="str">
        <f>_xlfn.CONCAT(Table356[[#This Row],[Monat]]," ",Table356[[#This Row],[Jahr]])</f>
        <v>August 2008</v>
      </c>
      <c r="G18">
        <v>1983.0999999999997</v>
      </c>
      <c r="H18">
        <v>1640</v>
      </c>
      <c r="I18">
        <v>2457</v>
      </c>
      <c r="J18">
        <v>18054.5</v>
      </c>
      <c r="K18">
        <v>11197</v>
      </c>
      <c r="L18">
        <v>16770</v>
      </c>
      <c r="M18" s="8">
        <f>Table356[[#This Row],[Ausfuhr: Wert €]]*1000/Table356[[#This Row],[Ausfuhr: Gewicht]]</f>
        <v>826.98804901416986</v>
      </c>
      <c r="N18" s="8">
        <f>Table356[[#This Row],[Einfuhr: Wert €]]*1000/Table356[[#This Row],[Einfuhr: Gewicht]]</f>
        <v>620.17779500955442</v>
      </c>
      <c r="O18" s="8">
        <f>Table356[[#This Row],[Ausfuhr: Wert $]]*1000/Table356[[#This Row],[Ausfuhr: Gewicht]]</f>
        <v>1238.9692905047655</v>
      </c>
      <c r="P18" s="8">
        <f>Table356[[#This Row],[Einfuhr: Wert $]]*1000/Table356[[#This Row],[Einfuhr: Gewicht]]</f>
        <v>928.85430225151629</v>
      </c>
    </row>
    <row r="19" spans="2:16" x14ac:dyDescent="0.25">
      <c r="B19">
        <f>(Table356[[#This Row],[Jahr]]-$C$8)*12+Table356[[#This Row],[Month nr]]</f>
        <v>9</v>
      </c>
      <c r="C19">
        <v>2008</v>
      </c>
      <c r="D19">
        <v>9</v>
      </c>
      <c r="E19" t="s">
        <v>18</v>
      </c>
      <c r="F19" t="str">
        <f>_xlfn.CONCAT(Table356[[#This Row],[Monat]]," ",Table356[[#This Row],[Jahr]])</f>
        <v>September 2008</v>
      </c>
      <c r="G19">
        <v>2999.7000000000003</v>
      </c>
      <c r="H19">
        <v>2070</v>
      </c>
      <c r="I19">
        <v>2978</v>
      </c>
      <c r="J19">
        <v>20582.999999999996</v>
      </c>
      <c r="K19">
        <v>11786</v>
      </c>
      <c r="L19">
        <v>16938</v>
      </c>
      <c r="M19" s="8">
        <f>Table356[[#This Row],[Ausfuhr: Wert €]]*1000/Table356[[#This Row],[Ausfuhr: Gewicht]]</f>
        <v>690.06900690069006</v>
      </c>
      <c r="N19" s="8">
        <f>Table356[[#This Row],[Einfuhr: Wert €]]*1000/Table356[[#This Row],[Einfuhr: Gewicht]]</f>
        <v>572.60846329495223</v>
      </c>
      <c r="O19" s="8">
        <f>Table356[[#This Row],[Ausfuhr: Wert $]]*1000/Table356[[#This Row],[Ausfuhr: Gewicht]]</f>
        <v>992.76594326099269</v>
      </c>
      <c r="P19" s="8">
        <f>Table356[[#This Row],[Einfuhr: Wert $]]*1000/Table356[[#This Row],[Einfuhr: Gewicht]]</f>
        <v>822.91211193703555</v>
      </c>
    </row>
    <row r="20" spans="2:16" x14ac:dyDescent="0.25">
      <c r="B20">
        <f>(Table356[[#This Row],[Jahr]]-$C$8)*12+Table356[[#This Row],[Month nr]]</f>
        <v>10</v>
      </c>
      <c r="C20">
        <v>2008</v>
      </c>
      <c r="D20">
        <v>10</v>
      </c>
      <c r="E20" t="s">
        <v>23</v>
      </c>
      <c r="F20" t="str">
        <f>_xlfn.CONCAT(Table356[[#This Row],[Monat]]," ",Table356[[#This Row],[Jahr]])</f>
        <v>Oktober 2008</v>
      </c>
      <c r="G20">
        <v>4521.7</v>
      </c>
      <c r="H20">
        <v>3024</v>
      </c>
      <c r="I20">
        <v>4024</v>
      </c>
      <c r="J20">
        <v>25784.799999999999</v>
      </c>
      <c r="K20">
        <v>13319</v>
      </c>
      <c r="L20">
        <v>17744</v>
      </c>
      <c r="M20" s="8">
        <f>Table356[[#This Row],[Ausfuhr: Wert €]]*1000/Table356[[#This Row],[Ausfuhr: Gewicht]]</f>
        <v>668.77501824535022</v>
      </c>
      <c r="N20" s="8">
        <f>Table356[[#This Row],[Einfuhr: Wert €]]*1000/Table356[[#This Row],[Einfuhr: Gewicht]]</f>
        <v>516.54463094536322</v>
      </c>
      <c r="O20" s="8">
        <f>Table356[[#This Row],[Ausfuhr: Wert $]]*1000/Table356[[#This Row],[Ausfuhr: Gewicht]]</f>
        <v>889.93077824711952</v>
      </c>
      <c r="P20" s="8">
        <f>Table356[[#This Row],[Einfuhr: Wert $]]*1000/Table356[[#This Row],[Einfuhr: Gewicht]]</f>
        <v>688.15736402841992</v>
      </c>
    </row>
    <row r="21" spans="2:16" x14ac:dyDescent="0.25">
      <c r="B21">
        <f>(Table356[[#This Row],[Jahr]]-$C$8)*12+Table356[[#This Row],[Month nr]]</f>
        <v>11</v>
      </c>
      <c r="C21">
        <v>2008</v>
      </c>
      <c r="D21">
        <v>11</v>
      </c>
      <c r="E21" t="s">
        <v>19</v>
      </c>
      <c r="F21" t="str">
        <f>_xlfn.CONCAT(Table356[[#This Row],[Monat]]," ",Table356[[#This Row],[Jahr]])</f>
        <v>November 2008</v>
      </c>
      <c r="G21">
        <v>3440.9999999999995</v>
      </c>
      <c r="H21">
        <v>2195</v>
      </c>
      <c r="I21">
        <v>2798</v>
      </c>
      <c r="J21">
        <v>38027.200000000004</v>
      </c>
      <c r="K21">
        <v>20792</v>
      </c>
      <c r="L21">
        <v>26471</v>
      </c>
      <c r="M21" s="8">
        <f>Table356[[#This Row],[Ausfuhr: Wert €]]*1000/Table356[[#This Row],[Ausfuhr: Gewicht]]</f>
        <v>637.89596047660575</v>
      </c>
      <c r="N21" s="8">
        <f>Table356[[#This Row],[Einfuhr: Wert €]]*1000/Table356[[#This Row],[Einfuhr: Gewicht]]</f>
        <v>546.76652501367437</v>
      </c>
      <c r="O21" s="8">
        <f>Table356[[#This Row],[Ausfuhr: Wert $]]*1000/Table356[[#This Row],[Ausfuhr: Gewicht]]</f>
        <v>813.1357163615229</v>
      </c>
      <c r="P21" s="8">
        <f>Table356[[#This Row],[Einfuhr: Wert $]]*1000/Table356[[#This Row],[Einfuhr: Gewicht]]</f>
        <v>696.10699709681478</v>
      </c>
    </row>
    <row r="22" spans="2:16" x14ac:dyDescent="0.25">
      <c r="B22">
        <f>(Table356[[#This Row],[Jahr]]-$C$8)*12+Table356[[#This Row],[Month nr]]</f>
        <v>12</v>
      </c>
      <c r="C22">
        <v>2008</v>
      </c>
      <c r="D22">
        <v>12</v>
      </c>
      <c r="E22" t="s">
        <v>24</v>
      </c>
      <c r="F22" t="str">
        <f>_xlfn.CONCAT(Table356[[#This Row],[Monat]]," ",Table356[[#This Row],[Jahr]])</f>
        <v>Dezember 2008</v>
      </c>
      <c r="G22">
        <v>3988.7</v>
      </c>
      <c r="H22">
        <v>2463</v>
      </c>
      <c r="I22">
        <v>3310</v>
      </c>
      <c r="J22">
        <v>62251.3</v>
      </c>
      <c r="K22">
        <v>33706</v>
      </c>
      <c r="L22">
        <v>45330</v>
      </c>
      <c r="M22" s="8">
        <f>Table356[[#This Row],[Ausfuhr: Wert €]]*1000/Table356[[#This Row],[Ausfuhr: Gewicht]]</f>
        <v>617.4944217414195</v>
      </c>
      <c r="N22" s="8">
        <f>Table356[[#This Row],[Einfuhr: Wert €]]*1000/Table356[[#This Row],[Einfuhr: Gewicht]]</f>
        <v>541.45053998872311</v>
      </c>
      <c r="O22" s="8">
        <f>Table356[[#This Row],[Ausfuhr: Wert $]]*1000/Table356[[#This Row],[Ausfuhr: Gewicht]]</f>
        <v>829.84431017624797</v>
      </c>
      <c r="P22" s="8">
        <f>Table356[[#This Row],[Einfuhr: Wert $]]*1000/Table356[[#This Row],[Einfuhr: Gewicht]]</f>
        <v>728.17756416331861</v>
      </c>
    </row>
    <row r="23" spans="2:16" x14ac:dyDescent="0.25">
      <c r="B23">
        <f>(Table356[[#This Row],[Jahr]]-$C$8)*12+Table356[[#This Row],[Month nr]]</f>
        <v>13</v>
      </c>
      <c r="C23">
        <v>2009</v>
      </c>
      <c r="D23">
        <v>1</v>
      </c>
      <c r="E23" t="s">
        <v>13</v>
      </c>
      <c r="F23" t="str">
        <f>_xlfn.CONCAT(Table356[[#This Row],[Monat]]," ",Table356[[#This Row],[Jahr]])</f>
        <v>Januar 2009</v>
      </c>
      <c r="G23">
        <v>3930.0000000000005</v>
      </c>
      <c r="H23">
        <v>2169</v>
      </c>
      <c r="I23">
        <v>2870</v>
      </c>
      <c r="J23">
        <v>89149.8</v>
      </c>
      <c r="K23">
        <v>48001</v>
      </c>
      <c r="L23">
        <v>63550</v>
      </c>
      <c r="M23" s="8">
        <f>Table356[[#This Row],[Ausfuhr: Wert €]]*1000/Table356[[#This Row],[Ausfuhr: Gewicht]]</f>
        <v>551.90839694656484</v>
      </c>
      <c r="N23" s="8">
        <f>Table356[[#This Row],[Einfuhr: Wert €]]*1000/Table356[[#This Row],[Einfuhr: Gewicht]]</f>
        <v>538.43082093285682</v>
      </c>
      <c r="O23" s="8">
        <f>Table356[[#This Row],[Ausfuhr: Wert $]]*1000/Table356[[#This Row],[Ausfuhr: Gewicht]]</f>
        <v>730.27989821882943</v>
      </c>
      <c r="P23" s="8">
        <f>Table356[[#This Row],[Einfuhr: Wert $]]*1000/Table356[[#This Row],[Einfuhr: Gewicht]]</f>
        <v>712.84512135753528</v>
      </c>
    </row>
    <row r="24" spans="2:16" x14ac:dyDescent="0.25">
      <c r="B24">
        <f>(Table356[[#This Row],[Jahr]]-$C$8)*12+Table356[[#This Row],[Month nr]]</f>
        <v>14</v>
      </c>
      <c r="C24">
        <v>2009</v>
      </c>
      <c r="D24">
        <v>2</v>
      </c>
      <c r="E24" t="s">
        <v>14</v>
      </c>
      <c r="F24" t="str">
        <f>_xlfn.CONCAT(Table356[[#This Row],[Monat]]," ",Table356[[#This Row],[Jahr]])</f>
        <v>Februar 2009</v>
      </c>
      <c r="G24">
        <v>3817.5</v>
      </c>
      <c r="H24">
        <v>2506</v>
      </c>
      <c r="I24">
        <v>3205</v>
      </c>
      <c r="J24">
        <v>72272.800000000003</v>
      </c>
      <c r="K24">
        <v>40059</v>
      </c>
      <c r="L24">
        <v>51219</v>
      </c>
      <c r="M24" s="8">
        <f>Table356[[#This Row],[Ausfuhr: Wert €]]*1000/Table356[[#This Row],[Ausfuhr: Gewicht]]</f>
        <v>656.45055664702033</v>
      </c>
      <c r="N24" s="8">
        <f>Table356[[#This Row],[Einfuhr: Wert €]]*1000/Table356[[#This Row],[Einfuhr: Gewicht]]</f>
        <v>554.27491393719345</v>
      </c>
      <c r="O24" s="8">
        <f>Table356[[#This Row],[Ausfuhr: Wert $]]*1000/Table356[[#This Row],[Ausfuhr: Gewicht]]</f>
        <v>839.55468238375897</v>
      </c>
      <c r="P24" s="8">
        <f>Table356[[#This Row],[Einfuhr: Wert $]]*1000/Table356[[#This Row],[Einfuhr: Gewicht]]</f>
        <v>708.68985289071406</v>
      </c>
    </row>
    <row r="25" spans="2:16" x14ac:dyDescent="0.25">
      <c r="B25">
        <f>(Table356[[#This Row],[Jahr]]-$C$8)*12+Table356[[#This Row],[Month nr]]</f>
        <v>15</v>
      </c>
      <c r="C25">
        <v>2009</v>
      </c>
      <c r="D25">
        <v>3</v>
      </c>
      <c r="E25" t="s">
        <v>15</v>
      </c>
      <c r="F25" t="str">
        <f>_xlfn.CONCAT(Table356[[#This Row],[Monat]]," ",Table356[[#This Row],[Jahr]])</f>
        <v>März 2009</v>
      </c>
      <c r="G25">
        <v>4207.7</v>
      </c>
      <c r="H25">
        <v>2632</v>
      </c>
      <c r="I25">
        <v>3437</v>
      </c>
      <c r="J25">
        <v>77020.399999999994</v>
      </c>
      <c r="K25">
        <v>40751</v>
      </c>
      <c r="L25">
        <v>53176</v>
      </c>
      <c r="M25" s="8">
        <f>Table356[[#This Row],[Ausfuhr: Wert €]]*1000/Table356[[#This Row],[Ausfuhr: Gewicht]]</f>
        <v>625.51988021959744</v>
      </c>
      <c r="N25" s="8">
        <f>Table356[[#This Row],[Einfuhr: Wert €]]*1000/Table356[[#This Row],[Einfuhr: Gewicht]]</f>
        <v>529.09359078893385</v>
      </c>
      <c r="O25" s="8">
        <f>Table356[[#This Row],[Ausfuhr: Wert $]]*1000/Table356[[#This Row],[Ausfuhr: Gewicht]]</f>
        <v>816.83580103144243</v>
      </c>
      <c r="P25" s="8">
        <f>Table356[[#This Row],[Einfuhr: Wert $]]*1000/Table356[[#This Row],[Einfuhr: Gewicht]]</f>
        <v>690.41448759030084</v>
      </c>
    </row>
    <row r="26" spans="2:16" x14ac:dyDescent="0.25">
      <c r="B26">
        <f>(Table356[[#This Row],[Jahr]]-$C$8)*12+Table356[[#This Row],[Month nr]]</f>
        <v>16</v>
      </c>
      <c r="C26">
        <v>2009</v>
      </c>
      <c r="D26">
        <v>4</v>
      </c>
      <c r="E26" t="s">
        <v>16</v>
      </c>
      <c r="F26" t="str">
        <f>_xlfn.CONCAT(Table356[[#This Row],[Monat]]," ",Table356[[#This Row],[Jahr]])</f>
        <v>April 2009</v>
      </c>
      <c r="G26" s="10">
        <v>3624.5999999999995</v>
      </c>
      <c r="H26" s="10">
        <v>2564</v>
      </c>
      <c r="I26" s="10">
        <v>3383</v>
      </c>
      <c r="J26" s="10">
        <v>48197.1</v>
      </c>
      <c r="K26" s="10">
        <v>27516</v>
      </c>
      <c r="L26" s="10">
        <v>36294</v>
      </c>
      <c r="M26" s="8">
        <f>Table356[[#This Row],[Ausfuhr: Wert €]]*1000/Table356[[#This Row],[Ausfuhr: Gewicht]]</f>
        <v>707.38840147878398</v>
      </c>
      <c r="N26" s="8">
        <f>Table356[[#This Row],[Einfuhr: Wert €]]*1000/Table356[[#This Row],[Einfuhr: Gewicht]]</f>
        <v>570.90571839384529</v>
      </c>
      <c r="O26" s="8">
        <f>Table356[[#This Row],[Ausfuhr: Wert $]]*1000/Table356[[#This Row],[Ausfuhr: Gewicht]]</f>
        <v>933.34436903382459</v>
      </c>
      <c r="P26" s="8">
        <f>Table356[[#This Row],[Einfuhr: Wert $]]*1000/Table356[[#This Row],[Einfuhr: Gewicht]]</f>
        <v>753.03285882345619</v>
      </c>
    </row>
    <row r="27" spans="2:16" x14ac:dyDescent="0.25">
      <c r="B27">
        <f>(Table356[[#This Row],[Jahr]]-$C$8)*12+Table356[[#This Row],[Month nr]]</f>
        <v>17</v>
      </c>
      <c r="C27">
        <v>2009</v>
      </c>
      <c r="D27">
        <v>5</v>
      </c>
      <c r="E27" t="s">
        <v>20</v>
      </c>
      <c r="F27" t="str">
        <f>_xlfn.CONCAT(Table356[[#This Row],[Monat]]," ",Table356[[#This Row],[Jahr]])</f>
        <v>Mai 2009</v>
      </c>
      <c r="G27">
        <v>1836.2</v>
      </c>
      <c r="H27">
        <v>1253</v>
      </c>
      <c r="I27">
        <v>1710</v>
      </c>
      <c r="J27">
        <v>38449.399999999994</v>
      </c>
      <c r="K27">
        <v>20475</v>
      </c>
      <c r="L27">
        <v>27949</v>
      </c>
      <c r="M27" s="8">
        <f>Table356[[#This Row],[Ausfuhr: Wert €]]*1000/Table356[[#This Row],[Ausfuhr: Gewicht]]</f>
        <v>682.38753948371641</v>
      </c>
      <c r="N27" s="8">
        <f>Table356[[#This Row],[Einfuhr: Wert €]]*1000/Table356[[#This Row],[Einfuhr: Gewicht]]</f>
        <v>532.51806270058842</v>
      </c>
      <c r="O27" s="8">
        <f>Table356[[#This Row],[Ausfuhr: Wert $]]*1000/Table356[[#This Row],[Ausfuhr: Gewicht]]</f>
        <v>931.27110336564647</v>
      </c>
      <c r="P27" s="8">
        <f>Table356[[#This Row],[Einfuhr: Wert $]]*1000/Table356[[#This Row],[Einfuhr: Gewicht]]</f>
        <v>726.90341071642217</v>
      </c>
    </row>
    <row r="28" spans="2:16" x14ac:dyDescent="0.25">
      <c r="B28">
        <f>(Table356[[#This Row],[Jahr]]-$C$8)*12+Table356[[#This Row],[Month nr]]</f>
        <v>18</v>
      </c>
      <c r="C28">
        <v>2009</v>
      </c>
      <c r="D28">
        <v>6</v>
      </c>
      <c r="E28" t="s">
        <v>21</v>
      </c>
      <c r="F28" t="str">
        <f>_xlfn.CONCAT(Table356[[#This Row],[Monat]]," ",Table356[[#This Row],[Jahr]])</f>
        <v>Juni 2009</v>
      </c>
      <c r="G28">
        <v>1737.2999999999997</v>
      </c>
      <c r="H28">
        <v>1141</v>
      </c>
      <c r="I28">
        <v>1598</v>
      </c>
      <c r="J28">
        <v>21678.5</v>
      </c>
      <c r="K28">
        <v>11889</v>
      </c>
      <c r="L28">
        <v>16667</v>
      </c>
      <c r="M28" s="8">
        <f>Table356[[#This Row],[Ausfuhr: Wert €]]*1000/Table356[[#This Row],[Ausfuhr: Gewicht]]</f>
        <v>656.7662464744144</v>
      </c>
      <c r="N28" s="8">
        <f>Table356[[#This Row],[Einfuhr: Wert €]]*1000/Table356[[#This Row],[Einfuhr: Gewicht]]</f>
        <v>548.42355329012616</v>
      </c>
      <c r="O28" s="8">
        <f>Table356[[#This Row],[Ausfuhr: Wert $]]*1000/Table356[[#This Row],[Ausfuhr: Gewicht]]</f>
        <v>919.8181085592588</v>
      </c>
      <c r="P28" s="8">
        <f>Table356[[#This Row],[Einfuhr: Wert $]]*1000/Table356[[#This Row],[Einfuhr: Gewicht]]</f>
        <v>768.82625642918094</v>
      </c>
    </row>
    <row r="29" spans="2:16" x14ac:dyDescent="0.25">
      <c r="B29">
        <f>(Table356[[#This Row],[Jahr]]-$C$8)*12+Table356[[#This Row],[Month nr]]</f>
        <v>19</v>
      </c>
      <c r="C29">
        <v>2009</v>
      </c>
      <c r="D29">
        <v>7</v>
      </c>
      <c r="E29" t="s">
        <v>22</v>
      </c>
      <c r="F29" t="str">
        <f>_xlfn.CONCAT(Table356[[#This Row],[Monat]]," ",Table356[[#This Row],[Jahr]])</f>
        <v>Juli 2009</v>
      </c>
      <c r="G29">
        <v>1006.6000000000001</v>
      </c>
      <c r="H29">
        <v>656</v>
      </c>
      <c r="I29">
        <v>928</v>
      </c>
      <c r="J29">
        <v>12175.099999999997</v>
      </c>
      <c r="K29">
        <v>7136</v>
      </c>
      <c r="L29">
        <v>10052</v>
      </c>
      <c r="M29" s="8">
        <f>Table356[[#This Row],[Ausfuhr: Wert €]]*1000/Table356[[#This Row],[Ausfuhr: Gewicht]]</f>
        <v>651.69878799920514</v>
      </c>
      <c r="N29" s="8">
        <f>Table356[[#This Row],[Einfuhr: Wert €]]*1000/Table356[[#This Row],[Einfuhr: Gewicht]]</f>
        <v>586.1142824288919</v>
      </c>
      <c r="O29" s="8">
        <f>Table356[[#This Row],[Ausfuhr: Wert $]]*1000/Table356[[#This Row],[Ausfuhr: Gewicht]]</f>
        <v>921.91535863302192</v>
      </c>
      <c r="P29" s="8">
        <f>Table356[[#This Row],[Einfuhr: Wert $]]*1000/Table356[[#This Row],[Einfuhr: Gewicht]]</f>
        <v>825.61950209854558</v>
      </c>
    </row>
    <row r="30" spans="2:16" x14ac:dyDescent="0.25">
      <c r="B30">
        <f>(Table356[[#This Row],[Jahr]]-$C$8)*12+Table356[[#This Row],[Month nr]]</f>
        <v>20</v>
      </c>
      <c r="C30">
        <v>2009</v>
      </c>
      <c r="D30">
        <v>8</v>
      </c>
      <c r="E30" t="s">
        <v>17</v>
      </c>
      <c r="F30" t="str">
        <f>_xlfn.CONCAT(Table356[[#This Row],[Monat]]," ",Table356[[#This Row],[Jahr]])</f>
        <v>August 2009</v>
      </c>
      <c r="G30">
        <v>1503.9999999999995</v>
      </c>
      <c r="H30">
        <v>1074</v>
      </c>
      <c r="I30">
        <v>1534</v>
      </c>
      <c r="J30">
        <v>14795.6</v>
      </c>
      <c r="K30">
        <v>8497</v>
      </c>
      <c r="L30">
        <v>12120</v>
      </c>
      <c r="M30" s="8">
        <f>Table356[[#This Row],[Ausfuhr: Wert €]]*1000/Table356[[#This Row],[Ausfuhr: Gewicht]]</f>
        <v>714.09574468085123</v>
      </c>
      <c r="N30" s="8">
        <f>Table356[[#This Row],[Einfuhr: Wert €]]*1000/Table356[[#This Row],[Einfuhr: Gewicht]]</f>
        <v>574.29235718727193</v>
      </c>
      <c r="O30" s="8">
        <f>Table356[[#This Row],[Ausfuhr: Wert $]]*1000/Table356[[#This Row],[Ausfuhr: Gewicht]]</f>
        <v>1019.9468085106386</v>
      </c>
      <c r="P30" s="8">
        <f>Table356[[#This Row],[Einfuhr: Wert $]]*1000/Table356[[#This Row],[Einfuhr: Gewicht]]</f>
        <v>819.16245370245201</v>
      </c>
    </row>
    <row r="31" spans="2:16" x14ac:dyDescent="0.25">
      <c r="B31">
        <f>(Table356[[#This Row],[Jahr]]-$C$8)*12+Table356[[#This Row],[Month nr]]</f>
        <v>21</v>
      </c>
      <c r="C31">
        <v>2009</v>
      </c>
      <c r="D31">
        <v>9</v>
      </c>
      <c r="E31" t="s">
        <v>18</v>
      </c>
      <c r="F31" t="str">
        <f>_xlfn.CONCAT(Table356[[#This Row],[Monat]]," ",Table356[[#This Row],[Jahr]])</f>
        <v>September 2009</v>
      </c>
      <c r="G31">
        <v>2700.6999999999994</v>
      </c>
      <c r="H31">
        <v>1913</v>
      </c>
      <c r="I31">
        <v>2785</v>
      </c>
      <c r="J31">
        <v>16049.6</v>
      </c>
      <c r="K31">
        <v>9431</v>
      </c>
      <c r="L31">
        <v>13736</v>
      </c>
      <c r="M31" s="8">
        <f>Table356[[#This Row],[Ausfuhr: Wert €]]*1000/Table356[[#This Row],[Ausfuhr: Gewicht]]</f>
        <v>708.33487614322235</v>
      </c>
      <c r="N31" s="8">
        <f>Table356[[#This Row],[Einfuhr: Wert €]]*1000/Table356[[#This Row],[Einfuhr: Gewicht]]</f>
        <v>587.61589073870994</v>
      </c>
      <c r="O31" s="8">
        <f>Table356[[#This Row],[Ausfuhr: Wert $]]*1000/Table356[[#This Row],[Ausfuhr: Gewicht]]</f>
        <v>1031.2141296700859</v>
      </c>
      <c r="P31" s="8">
        <f>Table356[[#This Row],[Einfuhr: Wert $]]*1000/Table356[[#This Row],[Einfuhr: Gewicht]]</f>
        <v>855.84687468846573</v>
      </c>
    </row>
    <row r="32" spans="2:16" x14ac:dyDescent="0.25">
      <c r="B32">
        <f>(Table356[[#This Row],[Jahr]]-$C$8)*12+Table356[[#This Row],[Month nr]]</f>
        <v>22</v>
      </c>
      <c r="C32">
        <v>2009</v>
      </c>
      <c r="D32">
        <v>10</v>
      </c>
      <c r="E32" t="s">
        <v>23</v>
      </c>
      <c r="F32" t="str">
        <f>_xlfn.CONCAT(Table356[[#This Row],[Monat]]," ",Table356[[#This Row],[Jahr]])</f>
        <v>Oktober 2009</v>
      </c>
      <c r="G32">
        <v>2917.1000000000004</v>
      </c>
      <c r="H32">
        <v>2322</v>
      </c>
      <c r="I32">
        <v>3446</v>
      </c>
      <c r="J32">
        <v>41590.9</v>
      </c>
      <c r="K32">
        <v>27891</v>
      </c>
      <c r="L32">
        <v>41321</v>
      </c>
      <c r="M32" s="8">
        <f>Table356[[#This Row],[Ausfuhr: Wert €]]*1000/Table356[[#This Row],[Ausfuhr: Gewicht]]</f>
        <v>795.99602344794482</v>
      </c>
      <c r="N32" s="8">
        <f>Table356[[#This Row],[Einfuhr: Wert €]]*1000/Table356[[#This Row],[Einfuhr: Gewicht]]</f>
        <v>670.6034252685082</v>
      </c>
      <c r="O32" s="8">
        <f>Table356[[#This Row],[Ausfuhr: Wert $]]*1000/Table356[[#This Row],[Ausfuhr: Gewicht]]</f>
        <v>1181.3102053409207</v>
      </c>
      <c r="P32" s="8">
        <f>Table356[[#This Row],[Einfuhr: Wert $]]*1000/Table356[[#This Row],[Einfuhr: Gewicht]]</f>
        <v>993.51059967444803</v>
      </c>
    </row>
    <row r="33" spans="2:16" x14ac:dyDescent="0.25">
      <c r="B33">
        <f>(Table356[[#This Row],[Jahr]]-$C$8)*12+Table356[[#This Row],[Month nr]]</f>
        <v>23</v>
      </c>
      <c r="C33">
        <v>2009</v>
      </c>
      <c r="D33">
        <v>11</v>
      </c>
      <c r="E33" t="s">
        <v>19</v>
      </c>
      <c r="F33" t="str">
        <f>_xlfn.CONCAT(Table356[[#This Row],[Monat]]," ",Table356[[#This Row],[Jahr]])</f>
        <v>November 2009</v>
      </c>
      <c r="G33">
        <v>3012.5</v>
      </c>
      <c r="H33">
        <v>2035</v>
      </c>
      <c r="I33">
        <v>3035</v>
      </c>
      <c r="J33">
        <v>36959.5</v>
      </c>
      <c r="K33">
        <v>25181</v>
      </c>
      <c r="L33">
        <v>37550</v>
      </c>
      <c r="M33" s="8">
        <f>Table356[[#This Row],[Ausfuhr: Wert €]]*1000/Table356[[#This Row],[Ausfuhr: Gewicht]]</f>
        <v>675.51867219917017</v>
      </c>
      <c r="N33" s="8">
        <f>Table356[[#This Row],[Einfuhr: Wert €]]*1000/Table356[[#This Row],[Einfuhr: Gewicht]]</f>
        <v>681.31332945521444</v>
      </c>
      <c r="O33" s="8">
        <f>Table356[[#This Row],[Ausfuhr: Wert $]]*1000/Table356[[#This Row],[Ausfuhr: Gewicht]]</f>
        <v>1007.4688796680498</v>
      </c>
      <c r="P33" s="8">
        <f>Table356[[#This Row],[Einfuhr: Wert $]]*1000/Table356[[#This Row],[Einfuhr: Gewicht]]</f>
        <v>1015.9769477400939</v>
      </c>
    </row>
    <row r="34" spans="2:16" x14ac:dyDescent="0.25">
      <c r="B34">
        <f>(Table356[[#This Row],[Jahr]]-$C$8)*12+Table356[[#This Row],[Month nr]]</f>
        <v>24</v>
      </c>
      <c r="C34">
        <v>2009</v>
      </c>
      <c r="D34">
        <v>12</v>
      </c>
      <c r="E34" t="s">
        <v>24</v>
      </c>
      <c r="F34" t="str">
        <f>_xlfn.CONCAT(Table356[[#This Row],[Monat]]," ",Table356[[#This Row],[Jahr]])</f>
        <v>Dezember 2009</v>
      </c>
      <c r="G34">
        <v>4597</v>
      </c>
      <c r="H34">
        <v>2935</v>
      </c>
      <c r="I34">
        <v>4292</v>
      </c>
      <c r="J34">
        <v>76018.5</v>
      </c>
      <c r="K34">
        <v>46588</v>
      </c>
      <c r="L34">
        <v>68084</v>
      </c>
      <c r="M34" s="8">
        <f>Table356[[#This Row],[Ausfuhr: Wert €]]*1000/Table356[[#This Row],[Ausfuhr: Gewicht]]</f>
        <v>638.45986512943227</v>
      </c>
      <c r="N34" s="8">
        <f>Table356[[#This Row],[Einfuhr: Wert €]]*1000/Table356[[#This Row],[Einfuhr: Gewicht]]</f>
        <v>612.85081920848211</v>
      </c>
      <c r="O34" s="8">
        <f>Table356[[#This Row],[Ausfuhr: Wert $]]*1000/Table356[[#This Row],[Ausfuhr: Gewicht]]</f>
        <v>933.65238198825318</v>
      </c>
      <c r="P34" s="8">
        <f>Table356[[#This Row],[Einfuhr: Wert $]]*1000/Table356[[#This Row],[Einfuhr: Gewicht]]</f>
        <v>895.62409150404176</v>
      </c>
    </row>
    <row r="35" spans="2:16" x14ac:dyDescent="0.25">
      <c r="B35">
        <f>(Table356[[#This Row],[Jahr]]-$C$8)*12+Table356[[#This Row],[Month nr]]</f>
        <v>25</v>
      </c>
      <c r="C35">
        <v>2010</v>
      </c>
      <c r="D35">
        <v>1</v>
      </c>
      <c r="E35" t="s">
        <v>13</v>
      </c>
      <c r="F35" t="str">
        <f>_xlfn.CONCAT(Table356[[#This Row],[Monat]]," ",Table356[[#This Row],[Jahr]])</f>
        <v>Januar 2010</v>
      </c>
      <c r="G35">
        <v>3637.9000000000005</v>
      </c>
      <c r="H35">
        <v>2422</v>
      </c>
      <c r="I35">
        <v>3454</v>
      </c>
      <c r="J35">
        <v>87755</v>
      </c>
      <c r="K35">
        <v>51155</v>
      </c>
      <c r="L35">
        <v>73009</v>
      </c>
      <c r="M35" s="8">
        <f>Table356[[#This Row],[Ausfuhr: Wert €]]*1000/Table356[[#This Row],[Ausfuhr: Gewicht]]</f>
        <v>665.76871271887615</v>
      </c>
      <c r="N35" s="8">
        <f>Table356[[#This Row],[Einfuhr: Wert €]]*1000/Table356[[#This Row],[Einfuhr: Gewicht]]</f>
        <v>582.92974759272977</v>
      </c>
      <c r="O35" s="8">
        <f>Table356[[#This Row],[Ausfuhr: Wert $]]*1000/Table356[[#This Row],[Ausfuhr: Gewicht]]</f>
        <v>949.44885785755503</v>
      </c>
      <c r="P35" s="8">
        <f>Table356[[#This Row],[Einfuhr: Wert $]]*1000/Table356[[#This Row],[Einfuhr: Gewicht]]</f>
        <v>831.96399065580306</v>
      </c>
    </row>
    <row r="36" spans="2:16" x14ac:dyDescent="0.25">
      <c r="B36">
        <f>(Table356[[#This Row],[Jahr]]-$C$8)*12+Table356[[#This Row],[Month nr]]</f>
        <v>26</v>
      </c>
      <c r="C36">
        <v>2010</v>
      </c>
      <c r="D36">
        <v>2</v>
      </c>
      <c r="E36" t="s">
        <v>14</v>
      </c>
      <c r="F36" t="str">
        <f>_xlfn.CONCAT(Table356[[#This Row],[Monat]]," ",Table356[[#This Row],[Jahr]])</f>
        <v>Februar 2010</v>
      </c>
      <c r="G36">
        <v>3432.2999999999993</v>
      </c>
      <c r="H36">
        <v>2394</v>
      </c>
      <c r="I36">
        <v>3276</v>
      </c>
      <c r="J36">
        <v>83155.199999999997</v>
      </c>
      <c r="K36">
        <v>48711</v>
      </c>
      <c r="L36">
        <v>66668</v>
      </c>
      <c r="M36" s="8">
        <f>Table356[[#This Row],[Ausfuhr: Wert €]]*1000/Table356[[#This Row],[Ausfuhr: Gewicht]]</f>
        <v>697.49147801765594</v>
      </c>
      <c r="N36" s="8">
        <f>Table356[[#This Row],[Einfuhr: Wert €]]*1000/Table356[[#This Row],[Einfuhr: Gewicht]]</f>
        <v>585.78417224659438</v>
      </c>
      <c r="O36" s="8">
        <f>Table356[[#This Row],[Ausfuhr: Wert $]]*1000/Table356[[#This Row],[Ausfuhr: Gewicht]]</f>
        <v>954.4620225504766</v>
      </c>
      <c r="P36" s="8">
        <f>Table356[[#This Row],[Einfuhr: Wert $]]*1000/Table356[[#This Row],[Einfuhr: Gewicht]]</f>
        <v>801.72977757253909</v>
      </c>
    </row>
    <row r="37" spans="2:16" x14ac:dyDescent="0.25">
      <c r="B37">
        <f>(Table356[[#This Row],[Jahr]]-$C$8)*12+Table356[[#This Row],[Month nr]]</f>
        <v>27</v>
      </c>
      <c r="C37">
        <v>2010</v>
      </c>
      <c r="D37">
        <v>3</v>
      </c>
      <c r="E37" t="s">
        <v>15</v>
      </c>
      <c r="F37" t="str">
        <f>_xlfn.CONCAT(Table356[[#This Row],[Monat]]," ",Table356[[#This Row],[Jahr]])</f>
        <v>März 2010</v>
      </c>
      <c r="G37">
        <v>3990.6999999999994</v>
      </c>
      <c r="H37">
        <v>2777</v>
      </c>
      <c r="I37">
        <v>3767</v>
      </c>
      <c r="J37">
        <v>84076.3</v>
      </c>
      <c r="K37">
        <v>45931</v>
      </c>
      <c r="L37">
        <v>62322</v>
      </c>
      <c r="M37" s="8">
        <f>Table356[[#This Row],[Ausfuhr: Wert €]]*1000/Table356[[#This Row],[Ausfuhr: Gewicht]]</f>
        <v>695.86789285087843</v>
      </c>
      <c r="N37" s="8">
        <f>Table356[[#This Row],[Einfuhr: Wert €]]*1000/Table356[[#This Row],[Einfuhr: Gewicht]]</f>
        <v>546.30139528023949</v>
      </c>
      <c r="O37" s="8">
        <f>Table356[[#This Row],[Ausfuhr: Wert $]]*1000/Table356[[#This Row],[Ausfuhr: Gewicht]]</f>
        <v>943.9446713609143</v>
      </c>
      <c r="P37" s="8">
        <f>Table356[[#This Row],[Einfuhr: Wert $]]*1000/Table356[[#This Row],[Einfuhr: Gewicht]]</f>
        <v>741.25526456325974</v>
      </c>
    </row>
    <row r="38" spans="2:16" x14ac:dyDescent="0.25">
      <c r="B38">
        <f>(Table356[[#This Row],[Jahr]]-$C$8)*12+Table356[[#This Row],[Month nr]]</f>
        <v>28</v>
      </c>
      <c r="C38">
        <v>2010</v>
      </c>
      <c r="D38">
        <v>4</v>
      </c>
      <c r="E38" t="s">
        <v>16</v>
      </c>
      <c r="F38" t="str">
        <f>_xlfn.CONCAT(Table356[[#This Row],[Monat]]," ",Table356[[#This Row],[Jahr]])</f>
        <v>April 2010</v>
      </c>
      <c r="G38" s="10">
        <v>3077.6</v>
      </c>
      <c r="H38" s="10">
        <v>2287</v>
      </c>
      <c r="I38" s="10">
        <v>3066</v>
      </c>
      <c r="J38" s="10">
        <v>42586.9</v>
      </c>
      <c r="K38" s="10">
        <v>25350</v>
      </c>
      <c r="L38" s="10">
        <v>33985</v>
      </c>
      <c r="M38" s="8">
        <f>Table356[[#This Row],[Ausfuhr: Wert €]]*1000/Table356[[#This Row],[Ausfuhr: Gewicht]]</f>
        <v>743.11151546659733</v>
      </c>
      <c r="N38" s="8">
        <f>Table356[[#This Row],[Einfuhr: Wert €]]*1000/Table356[[#This Row],[Einfuhr: Gewicht]]</f>
        <v>595.25346996376823</v>
      </c>
      <c r="O38" s="8">
        <f>Table356[[#This Row],[Ausfuhr: Wert $]]*1000/Table356[[#This Row],[Ausfuhr: Gewicht]]</f>
        <v>996.23082921757214</v>
      </c>
      <c r="P38" s="8">
        <f>Table356[[#This Row],[Einfuhr: Wert $]]*1000/Table356[[#This Row],[Einfuhr: Gewicht]]</f>
        <v>798.01535213880322</v>
      </c>
    </row>
    <row r="39" spans="2:16" x14ac:dyDescent="0.25">
      <c r="B39">
        <f>(Table356[[#This Row],[Jahr]]-$C$8)*12+Table356[[#This Row],[Month nr]]</f>
        <v>29</v>
      </c>
      <c r="C39">
        <v>2010</v>
      </c>
      <c r="D39">
        <v>5</v>
      </c>
      <c r="E39" t="s">
        <v>20</v>
      </c>
      <c r="F39" t="str">
        <f>_xlfn.CONCAT(Table356[[#This Row],[Monat]]," ",Table356[[#This Row],[Jahr]])</f>
        <v>Mai 2010</v>
      </c>
      <c r="G39">
        <v>2289.8999999999996</v>
      </c>
      <c r="H39">
        <v>1791</v>
      </c>
      <c r="I39">
        <v>2248</v>
      </c>
      <c r="J39">
        <v>50652.800000000003</v>
      </c>
      <c r="K39">
        <v>28832</v>
      </c>
      <c r="L39">
        <v>36226</v>
      </c>
      <c r="M39" s="8">
        <f>Table356[[#This Row],[Ausfuhr: Wert €]]*1000/Table356[[#This Row],[Ausfuhr: Gewicht]]</f>
        <v>782.13022402725028</v>
      </c>
      <c r="N39" s="8">
        <f>Table356[[#This Row],[Einfuhr: Wert €]]*1000/Table356[[#This Row],[Einfuhr: Gewicht]]</f>
        <v>569.20841493461364</v>
      </c>
      <c r="O39" s="8">
        <f>Table356[[#This Row],[Ausfuhr: Wert $]]*1000/Table356[[#This Row],[Ausfuhr: Gewicht]]</f>
        <v>981.70225774051289</v>
      </c>
      <c r="P39" s="8">
        <f>Table356[[#This Row],[Einfuhr: Wert $]]*1000/Table356[[#This Row],[Einfuhr: Gewicht]]</f>
        <v>715.18257628403558</v>
      </c>
    </row>
    <row r="40" spans="2:16" x14ac:dyDescent="0.25">
      <c r="B40">
        <f>(Table356[[#This Row],[Jahr]]-$C$8)*12+Table356[[#This Row],[Month nr]]</f>
        <v>30</v>
      </c>
      <c r="C40">
        <v>2010</v>
      </c>
      <c r="D40">
        <v>6</v>
      </c>
      <c r="E40" t="s">
        <v>21</v>
      </c>
      <c r="F40" t="str">
        <f>_xlfn.CONCAT(Table356[[#This Row],[Monat]]," ",Table356[[#This Row],[Jahr]])</f>
        <v>Juni 2010</v>
      </c>
      <c r="G40">
        <v>1228.9000000000003</v>
      </c>
      <c r="H40">
        <v>1047</v>
      </c>
      <c r="I40">
        <v>1278</v>
      </c>
      <c r="J40">
        <v>19735.8</v>
      </c>
      <c r="K40">
        <v>13319</v>
      </c>
      <c r="L40">
        <v>16261</v>
      </c>
      <c r="M40" s="8">
        <f>Table356[[#This Row],[Ausfuhr: Wert €]]*1000/Table356[[#This Row],[Ausfuhr: Gewicht]]</f>
        <v>851.98144682236125</v>
      </c>
      <c r="N40" s="8">
        <f>Table356[[#This Row],[Einfuhr: Wert €]]*1000/Table356[[#This Row],[Einfuhr: Gewicht]]</f>
        <v>674.86496620354887</v>
      </c>
      <c r="O40" s="8">
        <f>Table356[[#This Row],[Ausfuhr: Wert $]]*1000/Table356[[#This Row],[Ausfuhr: Gewicht]]</f>
        <v>1039.9544307917647</v>
      </c>
      <c r="P40" s="8">
        <f>Table356[[#This Row],[Einfuhr: Wert $]]*1000/Table356[[#This Row],[Einfuhr: Gewicht]]</f>
        <v>823.9341703908633</v>
      </c>
    </row>
    <row r="41" spans="2:16" x14ac:dyDescent="0.25">
      <c r="B41">
        <f>(Table356[[#This Row],[Jahr]]-$C$8)*12+Table356[[#This Row],[Month nr]]</f>
        <v>31</v>
      </c>
      <c r="C41">
        <v>2010</v>
      </c>
      <c r="D41">
        <v>7</v>
      </c>
      <c r="E41" t="s">
        <v>22</v>
      </c>
      <c r="F41" t="str">
        <f>_xlfn.CONCAT(Table356[[#This Row],[Monat]]," ",Table356[[#This Row],[Jahr]])</f>
        <v>Juli 2010</v>
      </c>
      <c r="G41">
        <v>1694.2999999999997</v>
      </c>
      <c r="H41">
        <v>1695</v>
      </c>
      <c r="I41">
        <v>2163</v>
      </c>
      <c r="J41">
        <v>14166.6</v>
      </c>
      <c r="K41">
        <v>9796</v>
      </c>
      <c r="L41">
        <v>12509</v>
      </c>
      <c r="M41" s="8">
        <f>Table356[[#This Row],[Ausfuhr: Wert €]]*1000/Table356[[#This Row],[Ausfuhr: Gewicht]]</f>
        <v>1000.4131499734406</v>
      </c>
      <c r="N41" s="8">
        <f>Table356[[#This Row],[Einfuhr: Wert €]]*1000/Table356[[#This Row],[Einfuhr: Gewicht]]</f>
        <v>691.48560699109169</v>
      </c>
      <c r="O41" s="8">
        <f>Table356[[#This Row],[Ausfuhr: Wert $]]*1000/Table356[[#This Row],[Ausfuhr: Gewicht]]</f>
        <v>1276.6334179307091</v>
      </c>
      <c r="P41" s="8">
        <f>Table356[[#This Row],[Einfuhr: Wert $]]*1000/Table356[[#This Row],[Einfuhr: Gewicht]]</f>
        <v>882.99239055242606</v>
      </c>
    </row>
    <row r="42" spans="2:16" x14ac:dyDescent="0.25">
      <c r="B42">
        <f>(Table356[[#This Row],[Jahr]]-$C$8)*12+Table356[[#This Row],[Month nr]]</f>
        <v>32</v>
      </c>
      <c r="C42">
        <v>2010</v>
      </c>
      <c r="D42">
        <v>8</v>
      </c>
      <c r="E42" t="s">
        <v>17</v>
      </c>
      <c r="F42" t="str">
        <f>_xlfn.CONCAT(Table356[[#This Row],[Monat]]," ",Table356[[#This Row],[Jahr]])</f>
        <v>August 2010</v>
      </c>
      <c r="G42">
        <v>1861.4</v>
      </c>
      <c r="H42">
        <v>1722</v>
      </c>
      <c r="I42">
        <v>2218</v>
      </c>
      <c r="J42">
        <v>14409.000000000002</v>
      </c>
      <c r="K42">
        <v>9744</v>
      </c>
      <c r="L42">
        <v>12561</v>
      </c>
      <c r="M42" s="8">
        <f>Table356[[#This Row],[Ausfuhr: Wert €]]*1000/Table356[[#This Row],[Ausfuhr: Gewicht]]</f>
        <v>925.11013215859032</v>
      </c>
      <c r="N42" s="8">
        <f>Table356[[#This Row],[Einfuhr: Wert €]]*1000/Table356[[#This Row],[Einfuhr: Gewicht]]</f>
        <v>676.2440141578179</v>
      </c>
      <c r="O42" s="8">
        <f>Table356[[#This Row],[Ausfuhr: Wert $]]*1000/Table356[[#This Row],[Ausfuhr: Gewicht]]</f>
        <v>1191.576232942946</v>
      </c>
      <c r="P42" s="8">
        <f>Table356[[#This Row],[Einfuhr: Wert $]]*1000/Table356[[#This Row],[Einfuhr: Gewicht]]</f>
        <v>871.74682490110342</v>
      </c>
    </row>
    <row r="43" spans="2:16" x14ac:dyDescent="0.25">
      <c r="B43">
        <f>(Table356[[#This Row],[Jahr]]-$C$8)*12+Table356[[#This Row],[Month nr]]</f>
        <v>33</v>
      </c>
      <c r="C43">
        <v>2010</v>
      </c>
      <c r="D43">
        <v>9</v>
      </c>
      <c r="E43" t="s">
        <v>18</v>
      </c>
      <c r="F43" t="str">
        <f>_xlfn.CONCAT(Table356[[#This Row],[Monat]]," ",Table356[[#This Row],[Jahr]])</f>
        <v>September 2010</v>
      </c>
      <c r="G43">
        <v>3137.1000000000004</v>
      </c>
      <c r="H43">
        <v>2679</v>
      </c>
      <c r="I43">
        <v>3500</v>
      </c>
      <c r="J43">
        <v>16109</v>
      </c>
      <c r="K43">
        <v>10391</v>
      </c>
      <c r="L43">
        <v>13578</v>
      </c>
      <c r="M43" s="8">
        <f>Table356[[#This Row],[Ausfuhr: Wert €]]*1000/Table356[[#This Row],[Ausfuhr: Gewicht]]</f>
        <v>853.97341493736246</v>
      </c>
      <c r="N43" s="8">
        <f>Table356[[#This Row],[Einfuhr: Wert €]]*1000/Table356[[#This Row],[Einfuhr: Gewicht]]</f>
        <v>645.04314358433169</v>
      </c>
      <c r="O43" s="8">
        <f>Table356[[#This Row],[Ausfuhr: Wert $]]*1000/Table356[[#This Row],[Ausfuhr: Gewicht]]</f>
        <v>1115.6800867042809</v>
      </c>
      <c r="P43" s="8">
        <f>Table356[[#This Row],[Einfuhr: Wert $]]*1000/Table356[[#This Row],[Einfuhr: Gewicht]]</f>
        <v>842.88286051275679</v>
      </c>
    </row>
    <row r="44" spans="2:16" x14ac:dyDescent="0.25">
      <c r="B44">
        <f>(Table356[[#This Row],[Jahr]]-$C$8)*12+Table356[[#This Row],[Month nr]]</f>
        <v>34</v>
      </c>
      <c r="C44">
        <v>2010</v>
      </c>
      <c r="D44">
        <v>10</v>
      </c>
      <c r="E44" t="s">
        <v>23</v>
      </c>
      <c r="F44" t="str">
        <f>_xlfn.CONCAT(Table356[[#This Row],[Monat]]," ",Table356[[#This Row],[Jahr]])</f>
        <v>Oktober 2010</v>
      </c>
      <c r="G44">
        <v>3236.7999999999997</v>
      </c>
      <c r="H44">
        <v>2510</v>
      </c>
      <c r="I44">
        <v>3491</v>
      </c>
      <c r="J44">
        <v>15310.000000000002</v>
      </c>
      <c r="K44">
        <v>9834</v>
      </c>
      <c r="L44">
        <v>13668</v>
      </c>
      <c r="M44" s="8">
        <f>Table356[[#This Row],[Ausfuhr: Wert €]]*1000/Table356[[#This Row],[Ausfuhr: Gewicht]]</f>
        <v>775.45724172021755</v>
      </c>
      <c r="N44" s="8">
        <f>Table356[[#This Row],[Einfuhr: Wert €]]*1000/Table356[[#This Row],[Einfuhr: Gewicht]]</f>
        <v>642.32527759634218</v>
      </c>
      <c r="O44" s="8">
        <f>Table356[[#This Row],[Ausfuhr: Wert $]]*1000/Table356[[#This Row],[Ausfuhr: Gewicht]]</f>
        <v>1078.5343549184381</v>
      </c>
      <c r="P44" s="8">
        <f>Table356[[#This Row],[Einfuhr: Wert $]]*1000/Table356[[#This Row],[Einfuhr: Gewicht]]</f>
        <v>892.74983670803385</v>
      </c>
    </row>
    <row r="45" spans="2:16" x14ac:dyDescent="0.25">
      <c r="B45">
        <f>(Table356[[#This Row],[Jahr]]-$C$8)*12+Table356[[#This Row],[Month nr]]</f>
        <v>35</v>
      </c>
      <c r="C45">
        <v>2010</v>
      </c>
      <c r="D45">
        <v>11</v>
      </c>
      <c r="E45" t="s">
        <v>19</v>
      </c>
      <c r="F45" t="str">
        <f>_xlfn.CONCAT(Table356[[#This Row],[Monat]]," ",Table356[[#This Row],[Jahr]])</f>
        <v>November 2010</v>
      </c>
      <c r="G45">
        <v>4818.7</v>
      </c>
      <c r="H45">
        <v>3428</v>
      </c>
      <c r="I45">
        <v>4685</v>
      </c>
      <c r="J45">
        <v>42549.8</v>
      </c>
      <c r="K45">
        <v>26466</v>
      </c>
      <c r="L45">
        <v>36154</v>
      </c>
      <c r="M45" s="8">
        <f>Table356[[#This Row],[Ausfuhr: Wert €]]*1000/Table356[[#This Row],[Ausfuhr: Gewicht]]</f>
        <v>711.39518957395148</v>
      </c>
      <c r="N45" s="8">
        <f>Table356[[#This Row],[Einfuhr: Wert €]]*1000/Table356[[#This Row],[Einfuhr: Gewicht]]</f>
        <v>622.00057344570359</v>
      </c>
      <c r="O45" s="8">
        <f>Table356[[#This Row],[Ausfuhr: Wert $]]*1000/Table356[[#This Row],[Ausfuhr: Gewicht]]</f>
        <v>972.25392740780717</v>
      </c>
      <c r="P45" s="8">
        <f>Table356[[#This Row],[Einfuhr: Wert $]]*1000/Table356[[#This Row],[Einfuhr: Gewicht]]</f>
        <v>849.68672003158645</v>
      </c>
    </row>
    <row r="46" spans="2:16" x14ac:dyDescent="0.25">
      <c r="B46">
        <f>(Table356[[#This Row],[Jahr]]-$C$8)*12+Table356[[#This Row],[Month nr]]</f>
        <v>36</v>
      </c>
      <c r="C46">
        <v>2010</v>
      </c>
      <c r="D46">
        <v>12</v>
      </c>
      <c r="E46" t="s">
        <v>24</v>
      </c>
      <c r="F46" t="str">
        <f>_xlfn.CONCAT(Table356[[#This Row],[Monat]]," ",Table356[[#This Row],[Jahr]])</f>
        <v>Dezember 2010</v>
      </c>
      <c r="G46">
        <v>4920.1000000000013</v>
      </c>
      <c r="H46">
        <v>3076</v>
      </c>
      <c r="I46">
        <v>4067</v>
      </c>
      <c r="J46">
        <v>63549.299999999996</v>
      </c>
      <c r="K46">
        <v>37001</v>
      </c>
      <c r="L46">
        <v>48916</v>
      </c>
      <c r="M46" s="8">
        <f>Table356[[#This Row],[Ausfuhr: Wert €]]*1000/Table356[[#This Row],[Ausfuhr: Gewicht]]</f>
        <v>625.19054490762369</v>
      </c>
      <c r="N46" s="8">
        <f>Table356[[#This Row],[Einfuhr: Wert €]]*1000/Table356[[#This Row],[Einfuhr: Gewicht]]</f>
        <v>582.24087440774326</v>
      </c>
      <c r="O46" s="8">
        <f>Table356[[#This Row],[Ausfuhr: Wert $]]*1000/Table356[[#This Row],[Ausfuhr: Gewicht]]</f>
        <v>826.60921525985225</v>
      </c>
      <c r="P46" s="8">
        <f>Table356[[#This Row],[Einfuhr: Wert $]]*1000/Table356[[#This Row],[Einfuhr: Gewicht]]</f>
        <v>769.73310484930607</v>
      </c>
    </row>
    <row r="47" spans="2:16" x14ac:dyDescent="0.25">
      <c r="B47">
        <f>(Table356[[#This Row],[Jahr]]-$C$8)*12+Table356[[#This Row],[Month nr]]</f>
        <v>37</v>
      </c>
      <c r="C47">
        <v>2011</v>
      </c>
      <c r="D47">
        <v>1</v>
      </c>
      <c r="E47" t="s">
        <v>13</v>
      </c>
      <c r="F47" t="str">
        <f>_xlfn.CONCAT(Table356[[#This Row],[Monat]]," ",Table356[[#This Row],[Jahr]])</f>
        <v>Januar 2011</v>
      </c>
      <c r="G47" s="6">
        <v>3590.5</v>
      </c>
      <c r="H47" s="6">
        <v>2151</v>
      </c>
      <c r="I47" s="6">
        <v>2872</v>
      </c>
      <c r="J47" s="6">
        <v>82322.700000000012</v>
      </c>
      <c r="K47" s="6">
        <v>47410</v>
      </c>
      <c r="L47" s="6">
        <v>63341</v>
      </c>
      <c r="M47" s="8">
        <f>Table356[[#This Row],[Ausfuhr: Wert €]]*1000/Table356[[#This Row],[Ausfuhr: Gewicht]]</f>
        <v>599.08090795153873</v>
      </c>
      <c r="N47" s="8">
        <f>Table356[[#This Row],[Einfuhr: Wert €]]*1000/Table356[[#This Row],[Einfuhr: Gewicht]]</f>
        <v>575.90433744277084</v>
      </c>
      <c r="O47" s="8">
        <f>Table356[[#This Row],[Ausfuhr: Wert $]]*1000/Table356[[#This Row],[Ausfuhr: Gewicht]]</f>
        <v>799.88859490321681</v>
      </c>
      <c r="P47" s="8">
        <f>Table356[[#This Row],[Einfuhr: Wert $]]*1000/Table356[[#This Row],[Einfuhr: Gewicht]]</f>
        <v>769.42325749762813</v>
      </c>
    </row>
    <row r="48" spans="2:16" x14ac:dyDescent="0.25">
      <c r="B48">
        <f>(Table356[[#This Row],[Jahr]]-$C$8)*12+Table356[[#This Row],[Month nr]]</f>
        <v>38</v>
      </c>
      <c r="C48">
        <v>2011</v>
      </c>
      <c r="D48">
        <v>2</v>
      </c>
      <c r="E48" t="s">
        <v>14</v>
      </c>
      <c r="F48" t="str">
        <f>_xlfn.CONCAT(Table356[[#This Row],[Monat]]," ",Table356[[#This Row],[Jahr]])</f>
        <v>Februar 2011</v>
      </c>
      <c r="G48" s="7">
        <v>3660.2999999999997</v>
      </c>
      <c r="H48" s="7">
        <v>2378</v>
      </c>
      <c r="I48" s="7">
        <v>3248</v>
      </c>
      <c r="J48" s="7">
        <v>74119.000000000015</v>
      </c>
      <c r="K48" s="7">
        <v>43045</v>
      </c>
      <c r="L48" s="7">
        <v>58759</v>
      </c>
      <c r="M48" s="8">
        <f>Table356[[#This Row],[Ausfuhr: Wert €]]*1000/Table356[[#This Row],[Ausfuhr: Gewicht]]</f>
        <v>649.67352402808513</v>
      </c>
      <c r="N48" s="8">
        <f>Table356[[#This Row],[Einfuhr: Wert €]]*1000/Table356[[#This Row],[Einfuhr: Gewicht]]</f>
        <v>580.75527192757579</v>
      </c>
      <c r="O48" s="8">
        <f>Table356[[#This Row],[Ausfuhr: Wert $]]*1000/Table356[[#This Row],[Ausfuhr: Gewicht]]</f>
        <v>887.3589596481163</v>
      </c>
      <c r="P48" s="8">
        <f>Table356[[#This Row],[Einfuhr: Wert $]]*1000/Table356[[#This Row],[Einfuhr: Gewicht]]</f>
        <v>792.76568761046406</v>
      </c>
    </row>
    <row r="49" spans="2:16" x14ac:dyDescent="0.25">
      <c r="B49">
        <f>(Table356[[#This Row],[Jahr]]-$C$8)*12+Table356[[#This Row],[Month nr]]</f>
        <v>39</v>
      </c>
      <c r="C49">
        <v>2011</v>
      </c>
      <c r="D49">
        <v>3</v>
      </c>
      <c r="E49" t="s">
        <v>15</v>
      </c>
      <c r="F49" t="str">
        <f>_xlfn.CONCAT(Table356[[#This Row],[Monat]]," ",Table356[[#This Row],[Jahr]])</f>
        <v>März 2011</v>
      </c>
      <c r="G49" s="6">
        <v>4690.3</v>
      </c>
      <c r="H49" s="6">
        <v>2999</v>
      </c>
      <c r="I49" s="6">
        <v>4200</v>
      </c>
      <c r="J49" s="6">
        <v>62028.30000000001</v>
      </c>
      <c r="K49" s="6">
        <v>35835</v>
      </c>
      <c r="L49" s="6">
        <v>50162</v>
      </c>
      <c r="M49" s="8">
        <f>Table356[[#This Row],[Ausfuhr: Wert €]]*1000/Table356[[#This Row],[Ausfuhr: Gewicht]]</f>
        <v>639.4047289085986</v>
      </c>
      <c r="N49" s="8">
        <f>Table356[[#This Row],[Einfuhr: Wert €]]*1000/Table356[[#This Row],[Einfuhr: Gewicht]]</f>
        <v>577.72016966449178</v>
      </c>
      <c r="O49" s="8">
        <f>Table356[[#This Row],[Ausfuhr: Wert $]]*1000/Table356[[#This Row],[Ausfuhr: Gewicht]]</f>
        <v>895.46510884165184</v>
      </c>
      <c r="P49" s="8">
        <f>Table356[[#This Row],[Einfuhr: Wert $]]*1000/Table356[[#This Row],[Einfuhr: Gewicht]]</f>
        <v>808.69538581582913</v>
      </c>
    </row>
    <row r="50" spans="2:16" x14ac:dyDescent="0.25">
      <c r="B50">
        <f>(Table356[[#This Row],[Jahr]]-$C$8)*12+Table356[[#This Row],[Month nr]]</f>
        <v>40</v>
      </c>
      <c r="C50">
        <v>2011</v>
      </c>
      <c r="D50">
        <v>4</v>
      </c>
      <c r="E50" t="s">
        <v>16</v>
      </c>
      <c r="F50" t="str">
        <f>_xlfn.CONCAT(Table356[[#This Row],[Monat]]," ",Table356[[#This Row],[Jahr]])</f>
        <v>April 2011</v>
      </c>
      <c r="G50" s="7">
        <v>2448.6000000000004</v>
      </c>
      <c r="H50" s="7">
        <v>1637</v>
      </c>
      <c r="I50" s="7">
        <v>2364</v>
      </c>
      <c r="J50" s="7">
        <v>44795.9</v>
      </c>
      <c r="K50" s="7">
        <v>27196</v>
      </c>
      <c r="L50" s="7">
        <v>39275</v>
      </c>
      <c r="M50" s="8">
        <f>Table356[[#This Row],[Ausfuhr: Wert €]]*1000/Table356[[#This Row],[Ausfuhr: Gewicht]]</f>
        <v>668.54529118680057</v>
      </c>
      <c r="N50" s="8">
        <f>Table356[[#This Row],[Einfuhr: Wert €]]*1000/Table356[[#This Row],[Einfuhr: Gewicht]]</f>
        <v>607.10913275545306</v>
      </c>
      <c r="O50" s="8">
        <f>Table356[[#This Row],[Ausfuhr: Wert $]]*1000/Table356[[#This Row],[Ausfuhr: Gewicht]]</f>
        <v>965.44964469492754</v>
      </c>
      <c r="P50" s="8">
        <f>Table356[[#This Row],[Einfuhr: Wert $]]*1000/Table356[[#This Row],[Einfuhr: Gewicht]]</f>
        <v>876.75434582182743</v>
      </c>
    </row>
    <row r="51" spans="2:16" x14ac:dyDescent="0.25">
      <c r="B51">
        <f>(Table356[[#This Row],[Jahr]]-$C$8)*12+Table356[[#This Row],[Month nr]]</f>
        <v>41</v>
      </c>
      <c r="C51">
        <v>2011</v>
      </c>
      <c r="D51">
        <v>5</v>
      </c>
      <c r="E51" t="s">
        <v>20</v>
      </c>
      <c r="F51" t="str">
        <f>_xlfn.CONCAT(Table356[[#This Row],[Monat]]," ",Table356[[#This Row],[Jahr]])</f>
        <v>Mai 2011</v>
      </c>
      <c r="G51" s="6">
        <v>3703.9</v>
      </c>
      <c r="H51" s="6">
        <v>2319</v>
      </c>
      <c r="I51" s="6">
        <v>3329</v>
      </c>
      <c r="J51" s="6">
        <v>26157.100000000002</v>
      </c>
      <c r="K51" s="6">
        <v>15532</v>
      </c>
      <c r="L51" s="6">
        <v>22291</v>
      </c>
      <c r="M51" s="8">
        <f>Table356[[#This Row],[Ausfuhr: Wert €]]*1000/Table356[[#This Row],[Ausfuhr: Gewicht]]</f>
        <v>626.0968168687059</v>
      </c>
      <c r="N51" s="8">
        <f>Table356[[#This Row],[Einfuhr: Wert €]]*1000/Table356[[#This Row],[Einfuhr: Gewicht]]</f>
        <v>593.79671293836088</v>
      </c>
      <c r="O51" s="8">
        <f>Table356[[#This Row],[Ausfuhr: Wert $]]*1000/Table356[[#This Row],[Ausfuhr: Gewicht]]</f>
        <v>898.78236453467969</v>
      </c>
      <c r="P51" s="8">
        <f>Table356[[#This Row],[Einfuhr: Wert $]]*1000/Table356[[#This Row],[Einfuhr: Gewicht]]</f>
        <v>852.19691785404336</v>
      </c>
    </row>
    <row r="52" spans="2:16" x14ac:dyDescent="0.25">
      <c r="B52">
        <f>(Table356[[#This Row],[Jahr]]-$C$8)*12+Table356[[#This Row],[Month nr]]</f>
        <v>42</v>
      </c>
      <c r="C52">
        <v>2011</v>
      </c>
      <c r="D52">
        <v>6</v>
      </c>
      <c r="E52" t="s">
        <v>21</v>
      </c>
      <c r="F52" t="str">
        <f>_xlfn.CONCAT(Table356[[#This Row],[Monat]]," ",Table356[[#This Row],[Jahr]])</f>
        <v>Juni 2011</v>
      </c>
      <c r="G52" s="7">
        <v>1696.8</v>
      </c>
      <c r="H52" s="7">
        <v>1134</v>
      </c>
      <c r="I52" s="7">
        <v>1629</v>
      </c>
      <c r="J52" s="7">
        <v>28735</v>
      </c>
      <c r="K52" s="7">
        <v>15549</v>
      </c>
      <c r="L52" s="7">
        <v>22373</v>
      </c>
      <c r="M52" s="8">
        <f>Table356[[#This Row],[Ausfuhr: Wert €]]*1000/Table356[[#This Row],[Ausfuhr: Gewicht]]</f>
        <v>668.31683168316829</v>
      </c>
      <c r="N52" s="8">
        <f>Table356[[#This Row],[Einfuhr: Wert €]]*1000/Table356[[#This Row],[Einfuhr: Gewicht]]</f>
        <v>541.11710457630068</v>
      </c>
      <c r="O52" s="8">
        <f>Table356[[#This Row],[Ausfuhr: Wert $]]*1000/Table356[[#This Row],[Ausfuhr: Gewicht]]</f>
        <v>960.04243281471008</v>
      </c>
      <c r="P52" s="8">
        <f>Table356[[#This Row],[Einfuhr: Wert $]]*1000/Table356[[#This Row],[Einfuhr: Gewicht]]</f>
        <v>778.59752914564126</v>
      </c>
    </row>
    <row r="53" spans="2:16" x14ac:dyDescent="0.25">
      <c r="B53">
        <f>(Table356[[#This Row],[Jahr]]-$C$8)*12+Table356[[#This Row],[Month nr]]</f>
        <v>43</v>
      </c>
      <c r="C53">
        <v>2011</v>
      </c>
      <c r="D53">
        <v>7</v>
      </c>
      <c r="E53" t="s">
        <v>22</v>
      </c>
      <c r="F53" t="str">
        <f>_xlfn.CONCAT(Table356[[#This Row],[Monat]]," ",Table356[[#This Row],[Jahr]])</f>
        <v>Juli 2011</v>
      </c>
      <c r="G53" s="6">
        <v>976.5</v>
      </c>
      <c r="H53" s="6">
        <v>751</v>
      </c>
      <c r="I53" s="6">
        <v>1072</v>
      </c>
      <c r="J53" s="6">
        <v>13577.000000000002</v>
      </c>
      <c r="K53" s="6">
        <v>8507</v>
      </c>
      <c r="L53" s="6">
        <v>12137</v>
      </c>
      <c r="M53" s="8">
        <f>Table356[[#This Row],[Ausfuhr: Wert €]]*1000/Table356[[#This Row],[Ausfuhr: Gewicht]]</f>
        <v>769.07322068612393</v>
      </c>
      <c r="N53" s="8">
        <f>Table356[[#This Row],[Einfuhr: Wert €]]*1000/Table356[[#This Row],[Einfuhr: Gewicht]]</f>
        <v>626.5743536863813</v>
      </c>
      <c r="O53" s="8">
        <f>Table356[[#This Row],[Ausfuhr: Wert $]]*1000/Table356[[#This Row],[Ausfuhr: Gewicht]]</f>
        <v>1097.7982590885817</v>
      </c>
      <c r="P53" s="8">
        <f>Table356[[#This Row],[Einfuhr: Wert $]]*1000/Table356[[#This Row],[Einfuhr: Gewicht]]</f>
        <v>893.93827797009635</v>
      </c>
    </row>
    <row r="54" spans="2:16" x14ac:dyDescent="0.25">
      <c r="B54">
        <f>(Table356[[#This Row],[Jahr]]-$C$8)*12+Table356[[#This Row],[Month nr]]</f>
        <v>44</v>
      </c>
      <c r="C54">
        <v>2011</v>
      </c>
      <c r="D54">
        <v>8</v>
      </c>
      <c r="E54" t="s">
        <v>17</v>
      </c>
      <c r="F54" t="str">
        <f>_xlfn.CONCAT(Table356[[#This Row],[Monat]]," ",Table356[[#This Row],[Jahr]])</f>
        <v>August 2011</v>
      </c>
      <c r="G54" s="7">
        <v>3028.5999999999995</v>
      </c>
      <c r="H54" s="7">
        <v>2386</v>
      </c>
      <c r="I54" s="7">
        <v>3426</v>
      </c>
      <c r="J54" s="7">
        <v>14633.000000000002</v>
      </c>
      <c r="K54" s="7">
        <v>8859</v>
      </c>
      <c r="L54" s="7">
        <v>12701</v>
      </c>
      <c r="M54" s="8">
        <f>Table356[[#This Row],[Ausfuhr: Wert €]]*1000/Table356[[#This Row],[Ausfuhr: Gewicht]]</f>
        <v>787.82275638909084</v>
      </c>
      <c r="N54" s="8">
        <f>Table356[[#This Row],[Einfuhr: Wert €]]*1000/Table356[[#This Row],[Einfuhr: Gewicht]]</f>
        <v>605.41242397321116</v>
      </c>
      <c r="O54" s="8">
        <f>Table356[[#This Row],[Ausfuhr: Wert $]]*1000/Table356[[#This Row],[Ausfuhr: Gewicht]]</f>
        <v>1131.2157432477054</v>
      </c>
      <c r="P54" s="8">
        <f>Table356[[#This Row],[Einfuhr: Wert $]]*1000/Table356[[#This Row],[Einfuhr: Gewicht]]</f>
        <v>867.96965762318041</v>
      </c>
    </row>
    <row r="55" spans="2:16" x14ac:dyDescent="0.25">
      <c r="B55">
        <f>(Table356[[#This Row],[Jahr]]-$C$8)*12+Table356[[#This Row],[Month nr]]</f>
        <v>45</v>
      </c>
      <c r="C55">
        <v>2011</v>
      </c>
      <c r="D55">
        <v>9</v>
      </c>
      <c r="E55" t="s">
        <v>18</v>
      </c>
      <c r="F55" t="str">
        <f>_xlfn.CONCAT(Table356[[#This Row],[Monat]]," ",Table356[[#This Row],[Jahr]])</f>
        <v>September 2011</v>
      </c>
      <c r="G55" s="6">
        <v>3255.2999999999997</v>
      </c>
      <c r="H55" s="6">
        <v>2570</v>
      </c>
      <c r="I55" s="6">
        <v>3539</v>
      </c>
      <c r="J55" s="6">
        <v>10820.1</v>
      </c>
      <c r="K55" s="6">
        <v>8128</v>
      </c>
      <c r="L55" s="6">
        <v>11194</v>
      </c>
      <c r="M55" s="8">
        <f>Table356[[#This Row],[Ausfuhr: Wert €]]*1000/Table356[[#This Row],[Ausfuhr: Gewicht]]</f>
        <v>789.48176819340779</v>
      </c>
      <c r="N55" s="8">
        <f>Table356[[#This Row],[Einfuhr: Wert €]]*1000/Table356[[#This Row],[Einfuhr: Gewicht]]</f>
        <v>751.1945360948605</v>
      </c>
      <c r="O55" s="8">
        <f>Table356[[#This Row],[Ausfuhr: Wert $]]*1000/Table356[[#This Row],[Ausfuhr: Gewicht]]</f>
        <v>1087.1501858507665</v>
      </c>
      <c r="P55" s="8">
        <f>Table356[[#This Row],[Einfuhr: Wert $]]*1000/Table356[[#This Row],[Einfuhr: Gewicht]]</f>
        <v>1034.5560577074148</v>
      </c>
    </row>
    <row r="56" spans="2:16" x14ac:dyDescent="0.25">
      <c r="B56">
        <f>(Table356[[#This Row],[Jahr]]-$C$8)*12+Table356[[#This Row],[Month nr]]</f>
        <v>46</v>
      </c>
      <c r="C56">
        <v>2011</v>
      </c>
      <c r="D56">
        <v>10</v>
      </c>
      <c r="E56" t="s">
        <v>23</v>
      </c>
      <c r="F56" t="str">
        <f>_xlfn.CONCAT(Table356[[#This Row],[Monat]]," ",Table356[[#This Row],[Jahr]])</f>
        <v>Oktober 2011</v>
      </c>
      <c r="G56" s="7">
        <v>2752.2999999999997</v>
      </c>
      <c r="H56" s="7">
        <v>2308</v>
      </c>
      <c r="I56" s="7">
        <v>3166</v>
      </c>
      <c r="J56" s="7">
        <v>22178.899999999998</v>
      </c>
      <c r="K56" s="7">
        <v>15219</v>
      </c>
      <c r="L56" s="7">
        <v>20860</v>
      </c>
      <c r="M56" s="8">
        <f>Table356[[#This Row],[Ausfuhr: Wert €]]*1000/Table356[[#This Row],[Ausfuhr: Gewicht]]</f>
        <v>838.57137666678784</v>
      </c>
      <c r="N56" s="8">
        <f>Table356[[#This Row],[Einfuhr: Wert €]]*1000/Table356[[#This Row],[Einfuhr: Gewicht]]</f>
        <v>686.19273273246199</v>
      </c>
      <c r="O56" s="8">
        <f>Table356[[#This Row],[Ausfuhr: Wert $]]*1000/Table356[[#This Row],[Ausfuhr: Gewicht]]</f>
        <v>1150.3106492751517</v>
      </c>
      <c r="P56" s="8">
        <f>Table356[[#This Row],[Einfuhr: Wert $]]*1000/Table356[[#This Row],[Einfuhr: Gewicht]]</f>
        <v>940.53357019509542</v>
      </c>
    </row>
    <row r="57" spans="2:16" x14ac:dyDescent="0.25">
      <c r="B57">
        <f>(Table356[[#This Row],[Jahr]]-$C$8)*12+Table356[[#This Row],[Month nr]]</f>
        <v>47</v>
      </c>
      <c r="C57">
        <v>2011</v>
      </c>
      <c r="D57">
        <v>11</v>
      </c>
      <c r="E57" t="s">
        <v>19</v>
      </c>
      <c r="F57" t="str">
        <f>_xlfn.CONCAT(Table356[[#This Row],[Monat]]," ",Table356[[#This Row],[Jahr]])</f>
        <v>November 2011</v>
      </c>
      <c r="G57" s="6">
        <v>3330.5</v>
      </c>
      <c r="H57" s="6">
        <v>2426</v>
      </c>
      <c r="I57" s="6">
        <v>3292</v>
      </c>
      <c r="J57" s="6">
        <v>42012.800000000003</v>
      </c>
      <c r="K57" s="6">
        <v>26904</v>
      </c>
      <c r="L57" s="6">
        <v>36473</v>
      </c>
      <c r="M57" s="8">
        <f>Table356[[#This Row],[Ausfuhr: Wert €]]*1000/Table356[[#This Row],[Ausfuhr: Gewicht]]</f>
        <v>728.41915628284039</v>
      </c>
      <c r="N57" s="8">
        <f>Table356[[#This Row],[Einfuhr: Wert €]]*1000/Table356[[#This Row],[Einfuhr: Gewicht]]</f>
        <v>640.37626628075247</v>
      </c>
      <c r="O57" s="8">
        <f>Table356[[#This Row],[Ausfuhr: Wert $]]*1000/Table356[[#This Row],[Ausfuhr: Gewicht]]</f>
        <v>988.44017414802579</v>
      </c>
      <c r="P57" s="8">
        <f>Table356[[#This Row],[Einfuhr: Wert $]]*1000/Table356[[#This Row],[Einfuhr: Gewicht]]</f>
        <v>868.14018584812243</v>
      </c>
    </row>
    <row r="58" spans="2:16" x14ac:dyDescent="0.25">
      <c r="B58">
        <f>(Table356[[#This Row],[Jahr]]-$C$8)*12+Table356[[#This Row],[Month nr]]</f>
        <v>48</v>
      </c>
      <c r="C58">
        <v>2011</v>
      </c>
      <c r="D58">
        <v>12</v>
      </c>
      <c r="E58" t="s">
        <v>24</v>
      </c>
      <c r="F58" t="str">
        <f>_xlfn.CONCAT(Table356[[#This Row],[Monat]]," ",Table356[[#This Row],[Jahr]])</f>
        <v>Dezember 2011</v>
      </c>
      <c r="G58" s="7">
        <v>3326.8999999999996</v>
      </c>
      <c r="H58" s="7">
        <v>2160</v>
      </c>
      <c r="I58" s="7">
        <v>2848</v>
      </c>
      <c r="J58" s="7">
        <v>66819.599999999991</v>
      </c>
      <c r="K58" s="7">
        <v>40051</v>
      </c>
      <c r="L58" s="7">
        <v>52782</v>
      </c>
      <c r="M58" s="8">
        <f>Table356[[#This Row],[Ausfuhr: Wert €]]*1000/Table356[[#This Row],[Ausfuhr: Gewicht]]</f>
        <v>649.25305840271733</v>
      </c>
      <c r="N58" s="8">
        <f>Table356[[#This Row],[Einfuhr: Wert €]]*1000/Table356[[#This Row],[Einfuhr: Gewicht]]</f>
        <v>599.3899993415107</v>
      </c>
      <c r="O58" s="8">
        <f>Table356[[#This Row],[Ausfuhr: Wert $]]*1000/Table356[[#This Row],[Ausfuhr: Gewicht]]</f>
        <v>856.05218070876799</v>
      </c>
      <c r="P58" s="8">
        <f>Table356[[#This Row],[Einfuhr: Wert $]]*1000/Table356[[#This Row],[Einfuhr: Gewicht]]</f>
        <v>789.91792827254289</v>
      </c>
    </row>
    <row r="59" spans="2:16" x14ac:dyDescent="0.25">
      <c r="B59">
        <f>(Table356[[#This Row],[Jahr]]-$C$8)*12+Table356[[#This Row],[Month nr]]</f>
        <v>49</v>
      </c>
      <c r="C59">
        <v>2012</v>
      </c>
      <c r="D59">
        <v>1</v>
      </c>
      <c r="E59" t="s">
        <v>13</v>
      </c>
      <c r="F59" t="str">
        <f>_xlfn.CONCAT(Table356[[#This Row],[Monat]]," ",Table356[[#This Row],[Jahr]])</f>
        <v>Januar 2012</v>
      </c>
      <c r="G59">
        <v>4862.3</v>
      </c>
      <c r="H59">
        <v>3053</v>
      </c>
      <c r="I59">
        <v>3940</v>
      </c>
      <c r="J59">
        <v>86815.39999999998</v>
      </c>
      <c r="K59">
        <v>50551</v>
      </c>
      <c r="L59">
        <v>65234</v>
      </c>
      <c r="M59" s="8">
        <f>Table356[[#This Row],[Ausfuhr: Wert €]]*1000/Table356[[#This Row],[Ausfuhr: Gewicht]]</f>
        <v>627.89214980564748</v>
      </c>
      <c r="N59" s="8">
        <f>Table356[[#This Row],[Einfuhr: Wert €]]*1000/Table356[[#This Row],[Einfuhr: Gewicht]]</f>
        <v>582.28148462139222</v>
      </c>
      <c r="O59" s="8">
        <f>Table356[[#This Row],[Ausfuhr: Wert $]]*1000/Table356[[#This Row],[Ausfuhr: Gewicht]]</f>
        <v>810.31610554675763</v>
      </c>
      <c r="P59" s="8">
        <f>Table356[[#This Row],[Einfuhr: Wert $]]*1000/Table356[[#This Row],[Einfuhr: Gewicht]]</f>
        <v>751.41046404209408</v>
      </c>
    </row>
    <row r="60" spans="2:16" x14ac:dyDescent="0.25">
      <c r="B60">
        <f>(Table356[[#This Row],[Jahr]]-$C$8)*12+Table356[[#This Row],[Month nr]]</f>
        <v>50</v>
      </c>
      <c r="C60">
        <v>2012</v>
      </c>
      <c r="D60">
        <v>2</v>
      </c>
      <c r="E60" t="s">
        <v>14</v>
      </c>
      <c r="F60" t="str">
        <f>_xlfn.CONCAT(Table356[[#This Row],[Monat]]," ",Table356[[#This Row],[Jahr]])</f>
        <v>Februar 2012</v>
      </c>
      <c r="G60">
        <v>3721.4999999999995</v>
      </c>
      <c r="H60">
        <v>2383</v>
      </c>
      <c r="I60">
        <v>3147</v>
      </c>
      <c r="J60">
        <v>76225.900000000009</v>
      </c>
      <c r="K60">
        <v>43115</v>
      </c>
      <c r="L60">
        <v>57018</v>
      </c>
      <c r="M60" s="8">
        <f>Table356[[#This Row],[Ausfuhr: Wert €]]*1000/Table356[[#This Row],[Ausfuhr: Gewicht]]</f>
        <v>640.33319897890647</v>
      </c>
      <c r="N60" s="8">
        <f>Table356[[#This Row],[Einfuhr: Wert €]]*1000/Table356[[#This Row],[Einfuhr: Gewicht]]</f>
        <v>565.6213964020103</v>
      </c>
      <c r="O60" s="8">
        <f>Table356[[#This Row],[Ausfuhr: Wert $]]*1000/Table356[[#This Row],[Ausfuhr: Gewicht]]</f>
        <v>845.62676340185419</v>
      </c>
      <c r="P60" s="8">
        <f>Table356[[#This Row],[Einfuhr: Wert $]]*1000/Table356[[#This Row],[Einfuhr: Gewicht]]</f>
        <v>748.01347048706532</v>
      </c>
    </row>
    <row r="61" spans="2:16" x14ac:dyDescent="0.25">
      <c r="B61">
        <f>(Table356[[#This Row],[Jahr]]-$C$8)*12+Table356[[#This Row],[Month nr]]</f>
        <v>51</v>
      </c>
      <c r="C61">
        <v>2012</v>
      </c>
      <c r="D61">
        <v>3</v>
      </c>
      <c r="E61" t="s">
        <v>15</v>
      </c>
      <c r="F61" t="str">
        <f>_xlfn.CONCAT(Table356[[#This Row],[Monat]]," ",Table356[[#This Row],[Jahr]])</f>
        <v>März 2012</v>
      </c>
      <c r="G61">
        <v>4233.7</v>
      </c>
      <c r="H61">
        <v>2599</v>
      </c>
      <c r="I61">
        <v>3430</v>
      </c>
      <c r="J61">
        <v>68523.7</v>
      </c>
      <c r="K61">
        <v>38926</v>
      </c>
      <c r="L61">
        <v>51389</v>
      </c>
      <c r="M61" s="8">
        <f>Table356[[#This Row],[Ausfuhr: Wert €]]*1000/Table356[[#This Row],[Ausfuhr: Gewicht]]</f>
        <v>613.88383683303027</v>
      </c>
      <c r="N61" s="8">
        <f>Table356[[#This Row],[Einfuhr: Wert €]]*1000/Table356[[#This Row],[Einfuhr: Gewicht]]</f>
        <v>568.06623109960503</v>
      </c>
      <c r="O61" s="8">
        <f>Table356[[#This Row],[Ausfuhr: Wert $]]*1000/Table356[[#This Row],[Ausfuhr: Gewicht]]</f>
        <v>810.1660486099629</v>
      </c>
      <c r="P61" s="8">
        <f>Table356[[#This Row],[Einfuhr: Wert $]]*1000/Table356[[#This Row],[Einfuhr: Gewicht]]</f>
        <v>749.94490957143296</v>
      </c>
    </row>
    <row r="62" spans="2:16" x14ac:dyDescent="0.25">
      <c r="B62">
        <f>(Table356[[#This Row],[Jahr]]-$C$8)*12+Table356[[#This Row],[Month nr]]</f>
        <v>52</v>
      </c>
      <c r="C62">
        <v>2012</v>
      </c>
      <c r="D62">
        <v>4</v>
      </c>
      <c r="E62" t="s">
        <v>16</v>
      </c>
      <c r="F62" t="str">
        <f>_xlfn.CONCAT(Table356[[#This Row],[Monat]]," ",Table356[[#This Row],[Jahr]])</f>
        <v>April 2012</v>
      </c>
      <c r="G62" s="10">
        <v>2988.7</v>
      </c>
      <c r="H62" s="10">
        <v>1804</v>
      </c>
      <c r="I62" s="10">
        <v>2372</v>
      </c>
      <c r="J62" s="10">
        <v>43093.5</v>
      </c>
      <c r="K62" s="10">
        <v>24516</v>
      </c>
      <c r="L62" s="10">
        <v>32271</v>
      </c>
      <c r="M62" s="8">
        <f>Table356[[#This Row],[Ausfuhr: Wert €]]*1000/Table356[[#This Row],[Ausfuhr: Gewicht]]</f>
        <v>603.6069193963931</v>
      </c>
      <c r="N62" s="8">
        <f>Table356[[#This Row],[Einfuhr: Wert €]]*1000/Table356[[#This Row],[Einfuhr: Gewicht]]</f>
        <v>568.90250269762259</v>
      </c>
      <c r="O62" s="8">
        <f>Table356[[#This Row],[Ausfuhr: Wert $]]*1000/Table356[[#This Row],[Ausfuhr: Gewicht]]</f>
        <v>793.65610466088935</v>
      </c>
      <c r="P62" s="8">
        <f>Table356[[#This Row],[Einfuhr: Wert $]]*1000/Table356[[#This Row],[Einfuhr: Gewicht]]</f>
        <v>748.86003689651568</v>
      </c>
    </row>
    <row r="63" spans="2:16" x14ac:dyDescent="0.25">
      <c r="B63">
        <f>(Table356[[#This Row],[Jahr]]-$C$8)*12+Table356[[#This Row],[Month nr]]</f>
        <v>53</v>
      </c>
      <c r="C63">
        <v>2012</v>
      </c>
      <c r="D63">
        <v>5</v>
      </c>
      <c r="E63" t="s">
        <v>20</v>
      </c>
      <c r="F63" t="str">
        <f>_xlfn.CONCAT(Table356[[#This Row],[Monat]]," ",Table356[[#This Row],[Jahr]])</f>
        <v>Mai 2012</v>
      </c>
      <c r="G63">
        <v>2620.5000000000005</v>
      </c>
      <c r="H63">
        <v>1678</v>
      </c>
      <c r="I63">
        <v>2144</v>
      </c>
      <c r="J63">
        <v>29667.200000000001</v>
      </c>
      <c r="K63">
        <v>18345</v>
      </c>
      <c r="L63">
        <v>23460</v>
      </c>
      <c r="M63" s="8">
        <f>Table356[[#This Row],[Ausfuhr: Wert €]]*1000/Table356[[#This Row],[Ausfuhr: Gewicht]]</f>
        <v>640.33581377599683</v>
      </c>
      <c r="N63" s="8">
        <f>Table356[[#This Row],[Einfuhr: Wert €]]*1000/Table356[[#This Row],[Einfuhr: Gewicht]]</f>
        <v>618.35966993851798</v>
      </c>
      <c r="O63" s="8">
        <f>Table356[[#This Row],[Ausfuhr: Wert $]]*1000/Table356[[#This Row],[Ausfuhr: Gewicht]]</f>
        <v>818.16447242892559</v>
      </c>
      <c r="P63" s="8">
        <f>Table356[[#This Row],[Einfuhr: Wert $]]*1000/Table356[[#This Row],[Einfuhr: Gewicht]]</f>
        <v>790.77230072268367</v>
      </c>
    </row>
    <row r="64" spans="2:16" x14ac:dyDescent="0.25">
      <c r="B64">
        <f>(Table356[[#This Row],[Jahr]]-$C$8)*12+Table356[[#This Row],[Month nr]]</f>
        <v>54</v>
      </c>
      <c r="C64">
        <v>2012</v>
      </c>
      <c r="D64">
        <v>6</v>
      </c>
      <c r="E64" t="s">
        <v>21</v>
      </c>
      <c r="F64" t="str">
        <f>_xlfn.CONCAT(Table356[[#This Row],[Monat]]," ",Table356[[#This Row],[Jahr]])</f>
        <v>Juni 2012</v>
      </c>
      <c r="G64">
        <v>1588.2</v>
      </c>
      <c r="H64">
        <v>1065</v>
      </c>
      <c r="I64">
        <v>1335</v>
      </c>
      <c r="J64">
        <v>27820.100000000002</v>
      </c>
      <c r="K64">
        <v>16047</v>
      </c>
      <c r="L64">
        <v>20100</v>
      </c>
      <c r="M64" s="8">
        <f>Table356[[#This Row],[Ausfuhr: Wert €]]*1000/Table356[[#This Row],[Ausfuhr: Gewicht]]</f>
        <v>670.57045712126933</v>
      </c>
      <c r="N64" s="8">
        <f>Table356[[#This Row],[Einfuhr: Wert €]]*1000/Table356[[#This Row],[Einfuhr: Gewicht]]</f>
        <v>576.81316745806089</v>
      </c>
      <c r="O64" s="8">
        <f>Table356[[#This Row],[Ausfuhr: Wert $]]*1000/Table356[[#This Row],[Ausfuhr: Gewicht]]</f>
        <v>840.57423498299954</v>
      </c>
      <c r="P64" s="8">
        <f>Table356[[#This Row],[Einfuhr: Wert $]]*1000/Table356[[#This Row],[Einfuhr: Gewicht]]</f>
        <v>722.499200218547</v>
      </c>
    </row>
    <row r="65" spans="2:16" x14ac:dyDescent="0.25">
      <c r="B65">
        <f>(Table356[[#This Row],[Jahr]]-$C$8)*12+Table356[[#This Row],[Month nr]]</f>
        <v>55</v>
      </c>
      <c r="C65">
        <v>2012</v>
      </c>
      <c r="D65">
        <v>7</v>
      </c>
      <c r="E65" t="s">
        <v>22</v>
      </c>
      <c r="F65" t="str">
        <f>_xlfn.CONCAT(Table356[[#This Row],[Monat]]," ",Table356[[#This Row],[Jahr]])</f>
        <v>Juli 2012</v>
      </c>
      <c r="G65">
        <v>1340.5</v>
      </c>
      <c r="H65">
        <v>1179</v>
      </c>
      <c r="I65">
        <v>1452</v>
      </c>
      <c r="J65">
        <v>14775.4</v>
      </c>
      <c r="K65">
        <v>9705</v>
      </c>
      <c r="L65">
        <v>11924</v>
      </c>
      <c r="M65" s="8">
        <f>Table356[[#This Row],[Ausfuhr: Wert €]]*1000/Table356[[#This Row],[Ausfuhr: Gewicht]]</f>
        <v>879.52256620663934</v>
      </c>
      <c r="N65" s="8">
        <f>Table356[[#This Row],[Einfuhr: Wert €]]*1000/Table356[[#This Row],[Einfuhr: Gewicht]]</f>
        <v>656.83500954288888</v>
      </c>
      <c r="O65" s="8">
        <f>Table356[[#This Row],[Ausfuhr: Wert $]]*1000/Table356[[#This Row],[Ausfuhr: Gewicht]]</f>
        <v>1083.1779186870572</v>
      </c>
      <c r="P65" s="8">
        <f>Table356[[#This Row],[Einfuhr: Wert $]]*1000/Table356[[#This Row],[Einfuhr: Gewicht]]</f>
        <v>807.01706891183994</v>
      </c>
    </row>
    <row r="66" spans="2:16" x14ac:dyDescent="0.25">
      <c r="B66">
        <f>(Table356[[#This Row],[Jahr]]-$C$8)*12+Table356[[#This Row],[Month nr]]</f>
        <v>56</v>
      </c>
      <c r="C66">
        <v>2012</v>
      </c>
      <c r="D66">
        <v>8</v>
      </c>
      <c r="E66" t="s">
        <v>17</v>
      </c>
      <c r="F66" t="str">
        <f>_xlfn.CONCAT(Table356[[#This Row],[Monat]]," ",Table356[[#This Row],[Jahr]])</f>
        <v>August 2012</v>
      </c>
      <c r="G66">
        <v>2103.7999999999997</v>
      </c>
      <c r="H66">
        <v>1855</v>
      </c>
      <c r="I66">
        <v>2301</v>
      </c>
      <c r="J66">
        <v>15398.7</v>
      </c>
      <c r="K66">
        <v>10513</v>
      </c>
      <c r="L66">
        <v>13034</v>
      </c>
      <c r="M66" s="8">
        <f>Table356[[#This Row],[Ausfuhr: Wert €]]*1000/Table356[[#This Row],[Ausfuhr: Gewicht]]</f>
        <v>881.73780777640468</v>
      </c>
      <c r="N66" s="8">
        <f>Table356[[#This Row],[Einfuhr: Wert €]]*1000/Table356[[#This Row],[Einfuhr: Gewicht]]</f>
        <v>682.7199698675862</v>
      </c>
      <c r="O66" s="8">
        <f>Table356[[#This Row],[Ausfuhr: Wert $]]*1000/Table356[[#This Row],[Ausfuhr: Gewicht]]</f>
        <v>1093.7351459264189</v>
      </c>
      <c r="P66" s="8">
        <f>Table356[[#This Row],[Einfuhr: Wert $]]*1000/Table356[[#This Row],[Einfuhr: Gewicht]]</f>
        <v>846.43508867631681</v>
      </c>
    </row>
    <row r="67" spans="2:16" x14ac:dyDescent="0.25">
      <c r="B67">
        <f>(Table356[[#This Row],[Jahr]]-$C$8)*12+Table356[[#This Row],[Month nr]]</f>
        <v>57</v>
      </c>
      <c r="C67">
        <v>2012</v>
      </c>
      <c r="D67">
        <v>9</v>
      </c>
      <c r="E67" t="s">
        <v>18</v>
      </c>
      <c r="F67" t="str">
        <f>_xlfn.CONCAT(Table356[[#This Row],[Monat]]," ",Table356[[#This Row],[Jahr]])</f>
        <v>September 2012</v>
      </c>
      <c r="G67">
        <v>2143.9</v>
      </c>
      <c r="H67">
        <v>1999</v>
      </c>
      <c r="I67">
        <v>2568</v>
      </c>
      <c r="J67">
        <v>14070.2</v>
      </c>
      <c r="K67">
        <v>9685</v>
      </c>
      <c r="L67">
        <v>12449</v>
      </c>
      <c r="M67" s="8">
        <f>Table356[[#This Row],[Ausfuhr: Wert €]]*1000/Table356[[#This Row],[Ausfuhr: Gewicht]]</f>
        <v>932.41289239236903</v>
      </c>
      <c r="N67" s="8">
        <f>Table356[[#This Row],[Einfuhr: Wert €]]*1000/Table356[[#This Row],[Einfuhr: Gewicht]]</f>
        <v>688.33420989040667</v>
      </c>
      <c r="O67" s="8">
        <f>Table356[[#This Row],[Ausfuhr: Wert $]]*1000/Table356[[#This Row],[Ausfuhr: Gewicht]]</f>
        <v>1197.8170623629833</v>
      </c>
      <c r="P67" s="8">
        <f>Table356[[#This Row],[Einfuhr: Wert $]]*1000/Table356[[#This Row],[Einfuhr: Gewicht]]</f>
        <v>884.77775724581022</v>
      </c>
    </row>
    <row r="68" spans="2:16" x14ac:dyDescent="0.25">
      <c r="B68">
        <f>(Table356[[#This Row],[Jahr]]-$C$8)*12+Table356[[#This Row],[Month nr]]</f>
        <v>58</v>
      </c>
      <c r="C68">
        <v>2012</v>
      </c>
      <c r="D68">
        <v>10</v>
      </c>
      <c r="E68" t="s">
        <v>23</v>
      </c>
      <c r="F68" t="str">
        <f>_xlfn.CONCAT(Table356[[#This Row],[Monat]]," ",Table356[[#This Row],[Jahr]])</f>
        <v>Oktober 2012</v>
      </c>
      <c r="G68">
        <v>2926</v>
      </c>
      <c r="H68">
        <v>2805</v>
      </c>
      <c r="I68">
        <v>3641</v>
      </c>
      <c r="J68">
        <v>13920.3</v>
      </c>
      <c r="K68">
        <v>11787</v>
      </c>
      <c r="L68">
        <v>15292</v>
      </c>
      <c r="M68" s="8">
        <f>Table356[[#This Row],[Ausfuhr: Wert €]]*1000/Table356[[#This Row],[Ausfuhr: Gewicht]]</f>
        <v>958.64661654135341</v>
      </c>
      <c r="N68" s="8">
        <f>Table356[[#This Row],[Einfuhr: Wert €]]*1000/Table356[[#This Row],[Einfuhr: Gewicht]]</f>
        <v>846.74899247861038</v>
      </c>
      <c r="O68" s="8">
        <f>Table356[[#This Row],[Ausfuhr: Wert $]]*1000/Table356[[#This Row],[Ausfuhr: Gewicht]]</f>
        <v>1244.3609022556391</v>
      </c>
      <c r="P68" s="8">
        <f>Table356[[#This Row],[Einfuhr: Wert $]]*1000/Table356[[#This Row],[Einfuhr: Gewicht]]</f>
        <v>1098.53954296962</v>
      </c>
    </row>
    <row r="69" spans="2:16" x14ac:dyDescent="0.25">
      <c r="B69">
        <f>(Table356[[#This Row],[Jahr]]-$C$8)*12+Table356[[#This Row],[Month nr]]</f>
        <v>59</v>
      </c>
      <c r="C69">
        <v>2012</v>
      </c>
      <c r="D69">
        <v>11</v>
      </c>
      <c r="E69" t="s">
        <v>19</v>
      </c>
      <c r="F69" t="str">
        <f>_xlfn.CONCAT(Table356[[#This Row],[Monat]]," ",Table356[[#This Row],[Jahr]])</f>
        <v>November 2012</v>
      </c>
      <c r="G69">
        <v>3498.3</v>
      </c>
      <c r="H69">
        <v>2558</v>
      </c>
      <c r="I69">
        <v>3285</v>
      </c>
      <c r="J69">
        <v>44817.599999999991</v>
      </c>
      <c r="K69">
        <v>28827</v>
      </c>
      <c r="L69">
        <v>36978</v>
      </c>
      <c r="M69" s="8">
        <f>Table356[[#This Row],[Ausfuhr: Wert €]]*1000/Table356[[#This Row],[Ausfuhr: Gewicht]]</f>
        <v>731.21230311865759</v>
      </c>
      <c r="N69" s="8">
        <f>Table356[[#This Row],[Einfuhr: Wert €]]*1000/Table356[[#This Row],[Einfuhr: Gewicht]]</f>
        <v>643.20713291207039</v>
      </c>
      <c r="O69" s="8">
        <f>Table356[[#This Row],[Ausfuhr: Wert $]]*1000/Table356[[#This Row],[Ausfuhr: Gewicht]]</f>
        <v>939.0275276562902</v>
      </c>
      <c r="P69" s="8">
        <f>Table356[[#This Row],[Einfuhr: Wert $]]*1000/Table356[[#This Row],[Einfuhr: Gewicht]]</f>
        <v>825.0776480668311</v>
      </c>
    </row>
    <row r="70" spans="2:16" x14ac:dyDescent="0.25">
      <c r="B70">
        <f>(Table356[[#This Row],[Jahr]]-$C$8)*12+Table356[[#This Row],[Month nr]]</f>
        <v>60</v>
      </c>
      <c r="C70">
        <v>2012</v>
      </c>
      <c r="D70">
        <v>12</v>
      </c>
      <c r="E70" t="s">
        <v>24</v>
      </c>
      <c r="F70" t="str">
        <f>_xlfn.CONCAT(Table356[[#This Row],[Monat]]," ",Table356[[#This Row],[Jahr]])</f>
        <v>Dezember 2012</v>
      </c>
      <c r="G70">
        <v>3723.2999999999993</v>
      </c>
      <c r="H70">
        <v>2730</v>
      </c>
      <c r="I70">
        <v>3582</v>
      </c>
      <c r="J70">
        <v>78547.599999999991</v>
      </c>
      <c r="K70">
        <v>50493</v>
      </c>
      <c r="L70">
        <v>66242</v>
      </c>
      <c r="M70" s="8">
        <f>Table356[[#This Row],[Ausfuhr: Wert €]]*1000/Table356[[#This Row],[Ausfuhr: Gewicht]]</f>
        <v>733.22053017484507</v>
      </c>
      <c r="N70" s="8">
        <f>Table356[[#This Row],[Einfuhr: Wert €]]*1000/Table356[[#This Row],[Einfuhr: Gewicht]]</f>
        <v>642.8331355763894</v>
      </c>
      <c r="O70" s="8">
        <f>Table356[[#This Row],[Ausfuhr: Wert $]]*1000/Table356[[#This Row],[Ausfuhr: Gewicht]]</f>
        <v>962.04979453710439</v>
      </c>
      <c r="P70" s="8">
        <f>Table356[[#This Row],[Einfuhr: Wert $]]*1000/Table356[[#This Row],[Einfuhr: Gewicht]]</f>
        <v>843.33576073616518</v>
      </c>
    </row>
    <row r="71" spans="2:16" x14ac:dyDescent="0.25">
      <c r="B71">
        <f>(Table356[[#This Row],[Jahr]]-$C$8)*12+Table356[[#This Row],[Month nr]]</f>
        <v>61</v>
      </c>
      <c r="C71">
        <v>2013</v>
      </c>
      <c r="D71">
        <v>1</v>
      </c>
      <c r="E71" t="s">
        <v>13</v>
      </c>
      <c r="F71" t="str">
        <f>_xlfn.CONCAT(Table356[[#This Row],[Monat]]," ",Table356[[#This Row],[Jahr]])</f>
        <v>Januar 2013</v>
      </c>
      <c r="G71" s="6">
        <v>4913.3000000000011</v>
      </c>
      <c r="H71" s="6">
        <v>3586</v>
      </c>
      <c r="I71" s="6">
        <v>4762</v>
      </c>
      <c r="J71" s="6">
        <v>82449.899999999994</v>
      </c>
      <c r="K71" s="6">
        <v>50393</v>
      </c>
      <c r="L71" s="6">
        <v>66964</v>
      </c>
      <c r="M71" s="8">
        <f>Table356[[#This Row],[Ausfuhr: Wert €]]*1000/Table356[[#This Row],[Ausfuhr: Gewicht]]</f>
        <v>729.85569779984928</v>
      </c>
      <c r="N71" s="8">
        <f>Table356[[#This Row],[Einfuhr: Wert €]]*1000/Table356[[#This Row],[Einfuhr: Gewicht]]</f>
        <v>611.19540472456606</v>
      </c>
      <c r="O71" s="8">
        <f>Table356[[#This Row],[Ausfuhr: Wert $]]*1000/Table356[[#This Row],[Ausfuhr: Gewicht]]</f>
        <v>969.206032605377</v>
      </c>
      <c r="P71" s="8">
        <f>Table356[[#This Row],[Einfuhr: Wert $]]*1000/Table356[[#This Row],[Einfuhr: Gewicht]]</f>
        <v>812.17806207163392</v>
      </c>
    </row>
    <row r="72" spans="2:16" x14ac:dyDescent="0.25">
      <c r="B72">
        <f>(Table356[[#This Row],[Jahr]]-$C$8)*12+Table356[[#This Row],[Month nr]]</f>
        <v>62</v>
      </c>
      <c r="C72">
        <v>2013</v>
      </c>
      <c r="D72">
        <v>2</v>
      </c>
      <c r="E72" t="s">
        <v>14</v>
      </c>
      <c r="F72" t="str">
        <f>_xlfn.CONCAT(Table356[[#This Row],[Monat]]," ",Table356[[#This Row],[Jahr]])</f>
        <v>Februar 2013</v>
      </c>
      <c r="G72" s="7">
        <v>4613.2000000000007</v>
      </c>
      <c r="H72" s="7">
        <v>3297</v>
      </c>
      <c r="I72" s="7">
        <v>4402</v>
      </c>
      <c r="J72" s="7">
        <v>101416.10000000002</v>
      </c>
      <c r="K72" s="7">
        <v>58839</v>
      </c>
      <c r="L72" s="7">
        <v>78602</v>
      </c>
      <c r="M72" s="8">
        <f>Table356[[#This Row],[Ausfuhr: Wert €]]*1000/Table356[[#This Row],[Ausfuhr: Gewicht]]</f>
        <v>714.68828578860655</v>
      </c>
      <c r="N72" s="8">
        <f>Table356[[#This Row],[Einfuhr: Wert €]]*1000/Table356[[#This Row],[Einfuhr: Gewicht]]</f>
        <v>580.17415380792579</v>
      </c>
      <c r="O72" s="8">
        <f>Table356[[#This Row],[Ausfuhr: Wert $]]*1000/Table356[[#This Row],[Ausfuhr: Gewicht]]</f>
        <v>954.21833000953768</v>
      </c>
      <c r="P72" s="8">
        <f>Table356[[#This Row],[Einfuhr: Wert $]]*1000/Table356[[#This Row],[Einfuhr: Gewicht]]</f>
        <v>775.04459351128651</v>
      </c>
    </row>
    <row r="73" spans="2:16" x14ac:dyDescent="0.25">
      <c r="B73">
        <f>(Table356[[#This Row],[Jahr]]-$C$8)*12+Table356[[#This Row],[Month nr]]</f>
        <v>63</v>
      </c>
      <c r="C73">
        <v>2013</v>
      </c>
      <c r="D73">
        <v>3</v>
      </c>
      <c r="E73" t="s">
        <v>15</v>
      </c>
      <c r="F73" t="str">
        <f>_xlfn.CONCAT(Table356[[#This Row],[Monat]]," ",Table356[[#This Row],[Jahr]])</f>
        <v>März 2013</v>
      </c>
      <c r="G73" s="6">
        <v>5989.8</v>
      </c>
      <c r="H73" s="6">
        <v>4188</v>
      </c>
      <c r="I73" s="6">
        <v>5429</v>
      </c>
      <c r="J73" s="6">
        <v>84087</v>
      </c>
      <c r="K73" s="6">
        <v>51980</v>
      </c>
      <c r="L73" s="6">
        <v>67388</v>
      </c>
      <c r="M73" s="8">
        <f>Table356[[#This Row],[Ausfuhr: Wert €]]*1000/Table356[[#This Row],[Ausfuhr: Gewicht]]</f>
        <v>699.18862065511371</v>
      </c>
      <c r="N73" s="8">
        <f>Table356[[#This Row],[Einfuhr: Wert €]]*1000/Table356[[#This Row],[Einfuhr: Gewicht]]</f>
        <v>618.16927705828482</v>
      </c>
      <c r="O73" s="8">
        <f>Table356[[#This Row],[Ausfuhr: Wert $]]*1000/Table356[[#This Row],[Ausfuhr: Gewicht]]</f>
        <v>906.37416942134962</v>
      </c>
      <c r="P73" s="8">
        <f>Table356[[#This Row],[Einfuhr: Wert $]]*1000/Table356[[#This Row],[Einfuhr: Gewicht]]</f>
        <v>801.40806545601583</v>
      </c>
    </row>
    <row r="74" spans="2:16" x14ac:dyDescent="0.25">
      <c r="B74">
        <f>(Table356[[#This Row],[Jahr]]-$C$8)*12+Table356[[#This Row],[Month nr]]</f>
        <v>64</v>
      </c>
      <c r="C74">
        <v>2013</v>
      </c>
      <c r="D74">
        <v>4</v>
      </c>
      <c r="E74" t="s">
        <v>16</v>
      </c>
      <c r="F74" t="str">
        <f>_xlfn.CONCAT(Table356[[#This Row],[Monat]]," ",Table356[[#This Row],[Jahr]])</f>
        <v>April 2013</v>
      </c>
      <c r="G74" s="7">
        <v>4075.9999999999995</v>
      </c>
      <c r="H74" s="7">
        <v>2783</v>
      </c>
      <c r="I74" s="7">
        <v>3621</v>
      </c>
      <c r="J74" s="7">
        <v>52454.9</v>
      </c>
      <c r="K74" s="7">
        <v>34163</v>
      </c>
      <c r="L74" s="7">
        <v>44500</v>
      </c>
      <c r="M74" s="8">
        <f>Table356[[#This Row],[Ausfuhr: Wert €]]*1000/Table356[[#This Row],[Ausfuhr: Gewicht]]</f>
        <v>682.77723258096182</v>
      </c>
      <c r="N74" s="8">
        <f>Table356[[#This Row],[Einfuhr: Wert €]]*1000/Table356[[#This Row],[Einfuhr: Gewicht]]</f>
        <v>651.28329288588861</v>
      </c>
      <c r="O74" s="8">
        <f>Table356[[#This Row],[Ausfuhr: Wert $]]*1000/Table356[[#This Row],[Ausfuhr: Gewicht]]</f>
        <v>888.37095191364097</v>
      </c>
      <c r="P74" s="8">
        <f>Table356[[#This Row],[Einfuhr: Wert $]]*1000/Table356[[#This Row],[Einfuhr: Gewicht]]</f>
        <v>848.34781879290585</v>
      </c>
    </row>
    <row r="75" spans="2:16" x14ac:dyDescent="0.25">
      <c r="B75">
        <f>(Table356[[#This Row],[Jahr]]-$C$8)*12+Table356[[#This Row],[Month nr]]</f>
        <v>65</v>
      </c>
      <c r="C75">
        <v>2013</v>
      </c>
      <c r="D75">
        <v>5</v>
      </c>
      <c r="E75" t="s">
        <v>20</v>
      </c>
      <c r="F75" t="str">
        <f>_xlfn.CONCAT(Table356[[#This Row],[Monat]]," ",Table356[[#This Row],[Jahr]])</f>
        <v>Mai 2013</v>
      </c>
      <c r="G75" s="6">
        <v>3427.5000000000005</v>
      </c>
      <c r="H75" s="6">
        <v>2407</v>
      </c>
      <c r="I75" s="6">
        <v>3126</v>
      </c>
      <c r="J75" s="6">
        <v>42099.7</v>
      </c>
      <c r="K75" s="6">
        <v>26463</v>
      </c>
      <c r="L75" s="6">
        <v>34355</v>
      </c>
      <c r="M75" s="8">
        <f>Table356[[#This Row],[Ausfuhr: Wert €]]*1000/Table356[[#This Row],[Ausfuhr: Gewicht]]</f>
        <v>702.26112326768771</v>
      </c>
      <c r="N75" s="8">
        <f>Table356[[#This Row],[Einfuhr: Wert €]]*1000/Table356[[#This Row],[Einfuhr: Gewicht]]</f>
        <v>628.57930104014997</v>
      </c>
      <c r="O75" s="8">
        <f>Table356[[#This Row],[Ausfuhr: Wert $]]*1000/Table356[[#This Row],[Ausfuhr: Gewicht]]</f>
        <v>912.03501094091894</v>
      </c>
      <c r="P75" s="8">
        <f>Table356[[#This Row],[Einfuhr: Wert $]]*1000/Table356[[#This Row],[Einfuhr: Gewicht]]</f>
        <v>816.03906916201311</v>
      </c>
    </row>
    <row r="76" spans="2:16" x14ac:dyDescent="0.25">
      <c r="B76">
        <f>(Table356[[#This Row],[Jahr]]-$C$8)*12+Table356[[#This Row],[Month nr]]</f>
        <v>66</v>
      </c>
      <c r="C76">
        <v>2013</v>
      </c>
      <c r="D76">
        <v>6</v>
      </c>
      <c r="E76" t="s">
        <v>21</v>
      </c>
      <c r="F76" t="str">
        <f>_xlfn.CONCAT(Table356[[#This Row],[Monat]]," ",Table356[[#This Row],[Jahr]])</f>
        <v>Juni 2013</v>
      </c>
      <c r="G76" s="7">
        <v>1516.1000000000001</v>
      </c>
      <c r="H76" s="7">
        <v>1087</v>
      </c>
      <c r="I76" s="7">
        <v>1430</v>
      </c>
      <c r="J76" s="7">
        <v>29184.600000000002</v>
      </c>
      <c r="K76" s="7">
        <v>17996</v>
      </c>
      <c r="L76" s="7">
        <v>23733</v>
      </c>
      <c r="M76" s="8">
        <f>Table356[[#This Row],[Ausfuhr: Wert €]]*1000/Table356[[#This Row],[Ausfuhr: Gewicht]]</f>
        <v>716.9711760437965</v>
      </c>
      <c r="N76" s="8">
        <f>Table356[[#This Row],[Einfuhr: Wert €]]*1000/Table356[[#This Row],[Einfuhr: Gewicht]]</f>
        <v>616.62657703035154</v>
      </c>
      <c r="O76" s="8">
        <f>Table356[[#This Row],[Ausfuhr: Wert $]]*1000/Table356[[#This Row],[Ausfuhr: Gewicht]]</f>
        <v>943.20955082118587</v>
      </c>
      <c r="P76" s="8">
        <f>Table356[[#This Row],[Einfuhr: Wert $]]*1000/Table356[[#This Row],[Einfuhr: Gewicht]]</f>
        <v>813.20285355975409</v>
      </c>
    </row>
    <row r="77" spans="2:16" x14ac:dyDescent="0.25">
      <c r="B77">
        <f>(Table356[[#This Row],[Jahr]]-$C$8)*12+Table356[[#This Row],[Month nr]]</f>
        <v>67</v>
      </c>
      <c r="C77">
        <v>2013</v>
      </c>
      <c r="D77">
        <v>7</v>
      </c>
      <c r="E77" t="s">
        <v>22</v>
      </c>
      <c r="F77" t="str">
        <f>_xlfn.CONCAT(Table356[[#This Row],[Monat]]," ",Table356[[#This Row],[Jahr]])</f>
        <v>Juli 2013</v>
      </c>
      <c r="G77" s="6">
        <v>2202.1000000000004</v>
      </c>
      <c r="H77" s="6">
        <v>1870</v>
      </c>
      <c r="I77" s="6">
        <v>2447</v>
      </c>
      <c r="J77" s="6">
        <v>16704.600000000002</v>
      </c>
      <c r="K77" s="6">
        <v>11879</v>
      </c>
      <c r="L77" s="6">
        <v>15538</v>
      </c>
      <c r="M77" s="8">
        <f>Table356[[#This Row],[Ausfuhr: Wert €]]*1000/Table356[[#This Row],[Ausfuhr: Gewicht]]</f>
        <v>849.18941010853257</v>
      </c>
      <c r="N77" s="8">
        <f>Table356[[#This Row],[Einfuhr: Wert €]]*1000/Table356[[#This Row],[Einfuhr: Gewicht]]</f>
        <v>711.12148749446249</v>
      </c>
      <c r="O77" s="8">
        <f>Table356[[#This Row],[Ausfuhr: Wert $]]*1000/Table356[[#This Row],[Ausfuhr: Gewicht]]</f>
        <v>1111.2120248853366</v>
      </c>
      <c r="P77" s="8">
        <f>Table356[[#This Row],[Einfuhr: Wert $]]*1000/Table356[[#This Row],[Einfuhr: Gewicht]]</f>
        <v>930.16294912778505</v>
      </c>
    </row>
    <row r="78" spans="2:16" x14ac:dyDescent="0.25">
      <c r="B78">
        <f>(Table356[[#This Row],[Jahr]]-$C$8)*12+Table356[[#This Row],[Month nr]]</f>
        <v>68</v>
      </c>
      <c r="C78">
        <v>2013</v>
      </c>
      <c r="D78">
        <v>8</v>
      </c>
      <c r="E78" t="s">
        <v>17</v>
      </c>
      <c r="F78" t="str">
        <f>_xlfn.CONCAT(Table356[[#This Row],[Monat]]," ",Table356[[#This Row],[Jahr]])</f>
        <v>August 2013</v>
      </c>
      <c r="G78" s="7">
        <v>2687.1000000000004</v>
      </c>
      <c r="H78" s="7">
        <v>2165</v>
      </c>
      <c r="I78" s="7">
        <v>2884</v>
      </c>
      <c r="J78" s="7">
        <v>9376.2999999999993</v>
      </c>
      <c r="K78" s="7">
        <v>7995</v>
      </c>
      <c r="L78" s="7">
        <v>10643</v>
      </c>
      <c r="M78" s="8">
        <f>Table356[[#This Row],[Ausfuhr: Wert €]]*1000/Table356[[#This Row],[Ausfuhr: Gewicht]]</f>
        <v>805.70131368389707</v>
      </c>
      <c r="N78" s="8">
        <f>Table356[[#This Row],[Einfuhr: Wert €]]*1000/Table356[[#This Row],[Einfuhr: Gewicht]]</f>
        <v>852.68176146241058</v>
      </c>
      <c r="O78" s="8">
        <f>Table356[[#This Row],[Ausfuhr: Wert $]]*1000/Table356[[#This Row],[Ausfuhr: Gewicht]]</f>
        <v>1073.2760224777639</v>
      </c>
      <c r="P78" s="8">
        <f>Table356[[#This Row],[Einfuhr: Wert $]]*1000/Table356[[#This Row],[Einfuhr: Gewicht]]</f>
        <v>1135.0959333639069</v>
      </c>
    </row>
    <row r="79" spans="2:16" x14ac:dyDescent="0.25">
      <c r="B79">
        <f>(Table356[[#This Row],[Jahr]]-$C$8)*12+Table356[[#This Row],[Month nr]]</f>
        <v>69</v>
      </c>
      <c r="C79">
        <v>2013</v>
      </c>
      <c r="D79">
        <v>9</v>
      </c>
      <c r="E79" t="s">
        <v>18</v>
      </c>
      <c r="F79" t="str">
        <f>_xlfn.CONCAT(Table356[[#This Row],[Monat]]," ",Table356[[#This Row],[Jahr]])</f>
        <v>September 2013</v>
      </c>
      <c r="G79" s="6">
        <v>4457.9999999999991</v>
      </c>
      <c r="H79" s="6">
        <v>3665</v>
      </c>
      <c r="I79" s="6">
        <v>4894</v>
      </c>
      <c r="J79" s="6">
        <v>18162.5</v>
      </c>
      <c r="K79" s="6">
        <v>12453</v>
      </c>
      <c r="L79" s="6">
        <v>16622</v>
      </c>
      <c r="M79" s="8">
        <f>Table356[[#This Row],[Ausfuhr: Wert €]]*1000/Table356[[#This Row],[Ausfuhr: Gewicht]]</f>
        <v>822.11754149843</v>
      </c>
      <c r="N79" s="8">
        <f>Table356[[#This Row],[Einfuhr: Wert €]]*1000/Table356[[#This Row],[Einfuhr: Gewicht]]</f>
        <v>685.6434962147282</v>
      </c>
      <c r="O79" s="8">
        <f>Table356[[#This Row],[Ausfuhr: Wert $]]*1000/Table356[[#This Row],[Ausfuhr: Gewicht]]</f>
        <v>1097.8017048003592</v>
      </c>
      <c r="P79" s="8">
        <f>Table356[[#This Row],[Einfuhr: Wert $]]*1000/Table356[[#This Row],[Einfuhr: Gewicht]]</f>
        <v>915.18238128011012</v>
      </c>
    </row>
    <row r="80" spans="2:16" x14ac:dyDescent="0.25">
      <c r="B80">
        <f>(Table356[[#This Row],[Jahr]]-$C$8)*12+Table356[[#This Row],[Month nr]]</f>
        <v>70</v>
      </c>
      <c r="C80">
        <v>2013</v>
      </c>
      <c r="D80">
        <v>10</v>
      </c>
      <c r="E80" t="s">
        <v>23</v>
      </c>
      <c r="F80" t="str">
        <f>_xlfn.CONCAT(Table356[[#This Row],[Monat]]," ",Table356[[#This Row],[Jahr]])</f>
        <v>Oktober 2013</v>
      </c>
      <c r="G80" s="7">
        <v>2153.6</v>
      </c>
      <c r="H80" s="7">
        <v>2067</v>
      </c>
      <c r="I80" s="7">
        <v>2816</v>
      </c>
      <c r="J80" s="7">
        <v>22967.399999999994</v>
      </c>
      <c r="K80" s="7">
        <v>16108</v>
      </c>
      <c r="L80" s="7">
        <v>21967</v>
      </c>
      <c r="M80" s="8">
        <f>Table356[[#This Row],[Ausfuhr: Wert €]]*1000/Table356[[#This Row],[Ausfuhr: Gewicht]]</f>
        <v>959.78826151560179</v>
      </c>
      <c r="N80" s="8">
        <f>Table356[[#This Row],[Einfuhr: Wert €]]*1000/Table356[[#This Row],[Einfuhr: Gewicht]]</f>
        <v>701.34190200022658</v>
      </c>
      <c r="O80" s="8">
        <f>Table356[[#This Row],[Ausfuhr: Wert $]]*1000/Table356[[#This Row],[Ausfuhr: Gewicht]]</f>
        <v>1307.5780089153047</v>
      </c>
      <c r="P80" s="8">
        <f>Table356[[#This Row],[Einfuhr: Wert $]]*1000/Table356[[#This Row],[Einfuhr: Gewicht]]</f>
        <v>956.44260996020466</v>
      </c>
    </row>
    <row r="81" spans="2:16" x14ac:dyDescent="0.25">
      <c r="B81">
        <f>(Table356[[#This Row],[Jahr]]-$C$8)*12+Table356[[#This Row],[Month nr]]</f>
        <v>71</v>
      </c>
      <c r="C81">
        <v>2013</v>
      </c>
      <c r="D81">
        <v>11</v>
      </c>
      <c r="E81" t="s">
        <v>19</v>
      </c>
      <c r="F81" t="str">
        <f>_xlfn.CONCAT(Table356[[#This Row],[Monat]]," ",Table356[[#This Row],[Jahr]])</f>
        <v>November 2013</v>
      </c>
      <c r="G81" s="6">
        <v>4012.1000000000008</v>
      </c>
      <c r="H81" s="6">
        <v>2671</v>
      </c>
      <c r="I81" s="6">
        <v>3602</v>
      </c>
      <c r="J81" s="6">
        <v>28112.500000000004</v>
      </c>
      <c r="K81" s="6">
        <v>18998</v>
      </c>
      <c r="L81" s="6">
        <v>25634</v>
      </c>
      <c r="M81" s="8">
        <f>Table356[[#This Row],[Ausfuhr: Wert €]]*1000/Table356[[#This Row],[Ausfuhr: Gewicht]]</f>
        <v>665.73614815184055</v>
      </c>
      <c r="N81" s="8">
        <f>Table356[[#This Row],[Einfuhr: Wert €]]*1000/Table356[[#This Row],[Einfuhr: Gewicht]]</f>
        <v>675.78479324144052</v>
      </c>
      <c r="O81" s="8">
        <f>Table356[[#This Row],[Ausfuhr: Wert $]]*1000/Table356[[#This Row],[Ausfuhr: Gewicht]]</f>
        <v>897.7842027865704</v>
      </c>
      <c r="P81" s="8">
        <f>Table356[[#This Row],[Einfuhr: Wert $]]*1000/Table356[[#This Row],[Einfuhr: Gewicht]]</f>
        <v>911.83637172076465</v>
      </c>
    </row>
    <row r="82" spans="2:16" x14ac:dyDescent="0.25">
      <c r="B82">
        <f>(Table356[[#This Row],[Jahr]]-$C$8)*12+Table356[[#This Row],[Month nr]]</f>
        <v>72</v>
      </c>
      <c r="C82">
        <v>2013</v>
      </c>
      <c r="D82">
        <v>12</v>
      </c>
      <c r="E82" t="s">
        <v>24</v>
      </c>
      <c r="F82" t="str">
        <f>_xlfn.CONCAT(Table356[[#This Row],[Monat]]," ",Table356[[#This Row],[Jahr]])</f>
        <v>Dezember 2013</v>
      </c>
      <c r="G82" s="7">
        <v>3890.5000000000005</v>
      </c>
      <c r="H82" s="7">
        <v>2366</v>
      </c>
      <c r="I82" s="7">
        <v>3244</v>
      </c>
      <c r="J82" s="7">
        <v>87561.299999999988</v>
      </c>
      <c r="K82" s="7">
        <v>55635</v>
      </c>
      <c r="L82" s="7">
        <v>76245</v>
      </c>
      <c r="M82" s="8">
        <f>Table356[[#This Row],[Ausfuhr: Wert €]]*1000/Table356[[#This Row],[Ausfuhr: Gewicht]]</f>
        <v>608.14805294949224</v>
      </c>
      <c r="N82" s="8">
        <f>Table356[[#This Row],[Einfuhr: Wert €]]*1000/Table356[[#This Row],[Einfuhr: Gewicht]]</f>
        <v>635.38343994435911</v>
      </c>
      <c r="O82" s="8">
        <f>Table356[[#This Row],[Ausfuhr: Wert $]]*1000/Table356[[#This Row],[Ausfuhr: Gewicht]]</f>
        <v>833.82598637707224</v>
      </c>
      <c r="P82" s="8">
        <f>Table356[[#This Row],[Einfuhr: Wert $]]*1000/Table356[[#This Row],[Einfuhr: Gewicht]]</f>
        <v>870.76139801487659</v>
      </c>
    </row>
    <row r="83" spans="2:16" x14ac:dyDescent="0.25">
      <c r="B83">
        <f>(Table356[[#This Row],[Jahr]]-$C$8)*12+Table356[[#This Row],[Month nr]]</f>
        <v>73</v>
      </c>
      <c r="C83">
        <v>2014</v>
      </c>
      <c r="D83">
        <v>1</v>
      </c>
      <c r="E83" t="s">
        <v>13</v>
      </c>
      <c r="F83" t="str">
        <f>_xlfn.CONCAT(Table356[[#This Row],[Monat]]," ",Table356[[#This Row],[Jahr]])</f>
        <v>Januar 2014</v>
      </c>
      <c r="G83">
        <v>3695.2999999999993</v>
      </c>
      <c r="H83">
        <v>2377</v>
      </c>
      <c r="I83">
        <v>3233</v>
      </c>
      <c r="J83">
        <v>67827.8</v>
      </c>
      <c r="K83">
        <v>40064</v>
      </c>
      <c r="L83">
        <v>54529</v>
      </c>
      <c r="M83" s="8">
        <f>Table356[[#This Row],[Ausfuhr: Wert €]]*1000/Table356[[#This Row],[Ausfuhr: Gewicht]]</f>
        <v>643.2495331908101</v>
      </c>
      <c r="N83" s="8">
        <f>Table356[[#This Row],[Einfuhr: Wert €]]*1000/Table356[[#This Row],[Einfuhr: Gewicht]]</f>
        <v>590.67226122622287</v>
      </c>
      <c r="O83" s="8">
        <f>Table356[[#This Row],[Ausfuhr: Wert $]]*1000/Table356[[#This Row],[Ausfuhr: Gewicht]]</f>
        <v>874.89513706600292</v>
      </c>
      <c r="P83" s="8">
        <f>Table356[[#This Row],[Einfuhr: Wert $]]*1000/Table356[[#This Row],[Einfuhr: Gewicht]]</f>
        <v>803.93290066904717</v>
      </c>
    </row>
    <row r="84" spans="2:16" x14ac:dyDescent="0.25">
      <c r="B84">
        <f>(Table356[[#This Row],[Jahr]]-$C$8)*12+Table356[[#This Row],[Month nr]]</f>
        <v>74</v>
      </c>
      <c r="C84">
        <v>2014</v>
      </c>
      <c r="D84">
        <v>2</v>
      </c>
      <c r="E84" t="s">
        <v>14</v>
      </c>
      <c r="F84" t="str">
        <f>_xlfn.CONCAT(Table356[[#This Row],[Monat]]," ",Table356[[#This Row],[Jahr]])</f>
        <v>Februar 2014</v>
      </c>
      <c r="G84">
        <v>3094</v>
      </c>
      <c r="H84">
        <v>2072</v>
      </c>
      <c r="I84">
        <v>2829</v>
      </c>
      <c r="J84">
        <v>62736.600000000006</v>
      </c>
      <c r="K84">
        <v>38070</v>
      </c>
      <c r="L84">
        <v>52001</v>
      </c>
      <c r="M84" s="8">
        <f>Table356[[#This Row],[Ausfuhr: Wert €]]*1000/Table356[[#This Row],[Ausfuhr: Gewicht]]</f>
        <v>669.68325791855204</v>
      </c>
      <c r="N84" s="8">
        <f>Table356[[#This Row],[Einfuhr: Wert €]]*1000/Table356[[#This Row],[Einfuhr: Gewicht]]</f>
        <v>606.82281156454121</v>
      </c>
      <c r="O84" s="8">
        <f>Table356[[#This Row],[Ausfuhr: Wert $]]*1000/Table356[[#This Row],[Ausfuhr: Gewicht]]</f>
        <v>914.35035552682609</v>
      </c>
      <c r="P84" s="8">
        <f>Table356[[#This Row],[Einfuhr: Wert $]]*1000/Table356[[#This Row],[Einfuhr: Gewicht]]</f>
        <v>828.8781986910351</v>
      </c>
    </row>
    <row r="85" spans="2:16" x14ac:dyDescent="0.25">
      <c r="B85">
        <f>(Table356[[#This Row],[Jahr]]-$C$8)*12+Table356[[#This Row],[Month nr]]</f>
        <v>75</v>
      </c>
      <c r="C85">
        <v>2014</v>
      </c>
      <c r="D85">
        <v>3</v>
      </c>
      <c r="E85" t="s">
        <v>15</v>
      </c>
      <c r="F85" t="str">
        <f>_xlfn.CONCAT(Table356[[#This Row],[Monat]]," ",Table356[[#This Row],[Jahr]])</f>
        <v>März 2014</v>
      </c>
      <c r="G85">
        <v>2002.4</v>
      </c>
      <c r="H85">
        <v>1345</v>
      </c>
      <c r="I85">
        <v>1858</v>
      </c>
      <c r="J85">
        <v>49479.4</v>
      </c>
      <c r="K85">
        <v>29715</v>
      </c>
      <c r="L85">
        <v>41075</v>
      </c>
      <c r="M85" s="8">
        <f>Table356[[#This Row],[Ausfuhr: Wert €]]*1000/Table356[[#This Row],[Ausfuhr: Gewicht]]</f>
        <v>671.69396723931277</v>
      </c>
      <c r="N85" s="8">
        <f>Table356[[#This Row],[Einfuhr: Wert €]]*1000/Table356[[#This Row],[Einfuhr: Gewicht]]</f>
        <v>600.55295739236931</v>
      </c>
      <c r="O85" s="8">
        <f>Table356[[#This Row],[Ausfuhr: Wert $]]*1000/Table356[[#This Row],[Ausfuhr: Gewicht]]</f>
        <v>927.88653615661201</v>
      </c>
      <c r="P85" s="8">
        <f>Table356[[#This Row],[Einfuhr: Wert $]]*1000/Table356[[#This Row],[Einfuhr: Gewicht]]</f>
        <v>830.14345363929226</v>
      </c>
    </row>
    <row r="86" spans="2:16" x14ac:dyDescent="0.25">
      <c r="B86">
        <f>(Table356[[#This Row],[Jahr]]-$C$8)*12+Table356[[#This Row],[Month nr]]</f>
        <v>76</v>
      </c>
      <c r="C86">
        <v>2014</v>
      </c>
      <c r="D86">
        <v>4</v>
      </c>
      <c r="E86" t="s">
        <v>16</v>
      </c>
      <c r="F86" t="str">
        <f>_xlfn.CONCAT(Table356[[#This Row],[Monat]]," ",Table356[[#This Row],[Jahr]])</f>
        <v>April 2014</v>
      </c>
      <c r="G86" s="10">
        <v>2973.5</v>
      </c>
      <c r="H86" s="10">
        <v>1878</v>
      </c>
      <c r="I86" s="10">
        <v>2596</v>
      </c>
      <c r="J86" s="10">
        <v>38336</v>
      </c>
      <c r="K86" s="10">
        <v>23048</v>
      </c>
      <c r="L86" s="10">
        <v>31836</v>
      </c>
      <c r="M86" s="8">
        <f>Table356[[#This Row],[Ausfuhr: Wert €]]*1000/Table356[[#This Row],[Ausfuhr: Gewicht]]</f>
        <v>631.57894736842104</v>
      </c>
      <c r="N86" s="8">
        <f>Table356[[#This Row],[Einfuhr: Wert €]]*1000/Table356[[#This Row],[Einfuhr: Gewicht]]</f>
        <v>601.21035058430721</v>
      </c>
      <c r="O86" s="8">
        <f>Table356[[#This Row],[Ausfuhr: Wert $]]*1000/Table356[[#This Row],[Ausfuhr: Gewicht]]</f>
        <v>873.04523289053304</v>
      </c>
      <c r="P86" s="8">
        <f>Table356[[#This Row],[Einfuhr: Wert $]]*1000/Table356[[#This Row],[Einfuhr: Gewicht]]</f>
        <v>830.44657762938232</v>
      </c>
    </row>
    <row r="87" spans="2:16" x14ac:dyDescent="0.25">
      <c r="B87">
        <f>(Table356[[#This Row],[Jahr]]-$C$8)*12+Table356[[#This Row],[Month nr]]</f>
        <v>77</v>
      </c>
      <c r="C87">
        <v>2014</v>
      </c>
      <c r="D87">
        <v>5</v>
      </c>
      <c r="E87" t="s">
        <v>20</v>
      </c>
      <c r="F87" t="str">
        <f>_xlfn.CONCAT(Table356[[#This Row],[Monat]]," ",Table356[[#This Row],[Jahr]])</f>
        <v>Mai 2014</v>
      </c>
      <c r="G87">
        <v>1885.2000000000003</v>
      </c>
      <c r="H87">
        <v>1244</v>
      </c>
      <c r="I87">
        <v>1702</v>
      </c>
      <c r="J87">
        <v>28867.200000000001</v>
      </c>
      <c r="K87">
        <v>17106</v>
      </c>
      <c r="L87">
        <v>23485</v>
      </c>
      <c r="M87" s="8">
        <f>Table356[[#This Row],[Ausfuhr: Wert €]]*1000/Table356[[#This Row],[Ausfuhr: Gewicht]]</f>
        <v>659.87693613409704</v>
      </c>
      <c r="N87" s="8">
        <f>Table356[[#This Row],[Einfuhr: Wert €]]*1000/Table356[[#This Row],[Einfuhr: Gewicht]]</f>
        <v>592.57565680079813</v>
      </c>
      <c r="O87" s="8">
        <f>Table356[[#This Row],[Ausfuhr: Wert $]]*1000/Table356[[#This Row],[Ausfuhr: Gewicht]]</f>
        <v>902.82198175259907</v>
      </c>
      <c r="P87" s="8">
        <f>Table356[[#This Row],[Einfuhr: Wert $]]*1000/Table356[[#This Row],[Einfuhr: Gewicht]]</f>
        <v>813.55309832612795</v>
      </c>
    </row>
    <row r="88" spans="2:16" x14ac:dyDescent="0.25">
      <c r="B88">
        <f>(Table356[[#This Row],[Jahr]]-$C$8)*12+Table356[[#This Row],[Month nr]]</f>
        <v>78</v>
      </c>
      <c r="C88">
        <v>2014</v>
      </c>
      <c r="D88">
        <v>6</v>
      </c>
      <c r="E88" t="s">
        <v>21</v>
      </c>
      <c r="F88" t="str">
        <f>_xlfn.CONCAT(Table356[[#This Row],[Monat]]," ",Table356[[#This Row],[Jahr]])</f>
        <v>Juni 2014</v>
      </c>
      <c r="G88">
        <v>1251.6999999999996</v>
      </c>
      <c r="H88">
        <v>868</v>
      </c>
      <c r="I88">
        <v>1178</v>
      </c>
      <c r="J88">
        <v>17034.5</v>
      </c>
      <c r="K88">
        <v>10676</v>
      </c>
      <c r="L88">
        <v>14507</v>
      </c>
      <c r="M88" s="8">
        <f>Table356[[#This Row],[Ausfuhr: Wert €]]*1000/Table356[[#This Row],[Ausfuhr: Gewicht]]</f>
        <v>693.45689861787992</v>
      </c>
      <c r="N88" s="8">
        <f>Table356[[#This Row],[Einfuhr: Wert €]]*1000/Table356[[#This Row],[Einfuhr: Gewicht]]</f>
        <v>626.72811059907838</v>
      </c>
      <c r="O88" s="8">
        <f>Table356[[#This Row],[Ausfuhr: Wert $]]*1000/Table356[[#This Row],[Ausfuhr: Gewicht]]</f>
        <v>941.12007669569414</v>
      </c>
      <c r="P88" s="8">
        <f>Table356[[#This Row],[Einfuhr: Wert $]]*1000/Table356[[#This Row],[Einfuhr: Gewicht]]</f>
        <v>851.62464410461121</v>
      </c>
    </row>
    <row r="89" spans="2:16" x14ac:dyDescent="0.25">
      <c r="B89">
        <f>(Table356[[#This Row],[Jahr]]-$C$8)*12+Table356[[#This Row],[Month nr]]</f>
        <v>79</v>
      </c>
      <c r="C89">
        <v>2014</v>
      </c>
      <c r="D89">
        <v>7</v>
      </c>
      <c r="E89" t="s">
        <v>22</v>
      </c>
      <c r="F89" t="str">
        <f>_xlfn.CONCAT(Table356[[#This Row],[Monat]]," ",Table356[[#This Row],[Jahr]])</f>
        <v>Juli 2014</v>
      </c>
      <c r="G89">
        <v>1407.9</v>
      </c>
      <c r="H89">
        <v>1132</v>
      </c>
      <c r="I89">
        <v>1530</v>
      </c>
      <c r="J89">
        <v>13252.600000000002</v>
      </c>
      <c r="K89">
        <v>8883</v>
      </c>
      <c r="L89">
        <v>12030</v>
      </c>
      <c r="M89" s="8">
        <f>Table356[[#This Row],[Ausfuhr: Wert €]]*1000/Table356[[#This Row],[Ausfuhr: Gewicht]]</f>
        <v>804.03437744157964</v>
      </c>
      <c r="N89" s="8">
        <f>Table356[[#This Row],[Einfuhr: Wert €]]*1000/Table356[[#This Row],[Einfuhr: Gewicht]]</f>
        <v>670.2835669981738</v>
      </c>
      <c r="O89" s="8">
        <f>Table356[[#This Row],[Ausfuhr: Wert $]]*1000/Table356[[#This Row],[Ausfuhr: Gewicht]]</f>
        <v>1086.7249094395909</v>
      </c>
      <c r="P89" s="8">
        <f>Table356[[#This Row],[Einfuhr: Wert $]]*1000/Table356[[#This Row],[Einfuhr: Gewicht]]</f>
        <v>907.74640447912088</v>
      </c>
    </row>
    <row r="90" spans="2:16" x14ac:dyDescent="0.25">
      <c r="B90">
        <f>(Table356[[#This Row],[Jahr]]-$C$8)*12+Table356[[#This Row],[Month nr]]</f>
        <v>80</v>
      </c>
      <c r="C90">
        <v>2014</v>
      </c>
      <c r="D90">
        <v>8</v>
      </c>
      <c r="E90" t="s">
        <v>17</v>
      </c>
      <c r="F90" t="str">
        <f>_xlfn.CONCAT(Table356[[#This Row],[Monat]]," ",Table356[[#This Row],[Jahr]])</f>
        <v>August 2014</v>
      </c>
      <c r="G90">
        <v>1594.4999999999998</v>
      </c>
      <c r="H90">
        <v>1214</v>
      </c>
      <c r="I90">
        <v>1615</v>
      </c>
      <c r="J90">
        <v>9037.4</v>
      </c>
      <c r="K90">
        <v>7177</v>
      </c>
      <c r="L90">
        <v>9557</v>
      </c>
      <c r="M90" s="8">
        <f>Table356[[#This Row],[Ausfuhr: Wert €]]*1000/Table356[[#This Row],[Ausfuhr: Gewicht]]</f>
        <v>761.36719974913774</v>
      </c>
      <c r="N90" s="8">
        <f>Table356[[#This Row],[Einfuhr: Wert €]]*1000/Table356[[#This Row],[Einfuhr: Gewicht]]</f>
        <v>794.14433354725918</v>
      </c>
      <c r="O90" s="8">
        <f>Table356[[#This Row],[Ausfuhr: Wert $]]*1000/Table356[[#This Row],[Ausfuhr: Gewicht]]</f>
        <v>1012.85669488868</v>
      </c>
      <c r="P90" s="8">
        <f>Table356[[#This Row],[Einfuhr: Wert $]]*1000/Table356[[#This Row],[Einfuhr: Gewicht]]</f>
        <v>1057.4944121096776</v>
      </c>
    </row>
    <row r="91" spans="2:16" x14ac:dyDescent="0.25">
      <c r="B91">
        <f>(Table356[[#This Row],[Jahr]]-$C$8)*12+Table356[[#This Row],[Month nr]]</f>
        <v>81</v>
      </c>
      <c r="C91">
        <v>2014</v>
      </c>
      <c r="D91">
        <v>9</v>
      </c>
      <c r="E91" t="s">
        <v>18</v>
      </c>
      <c r="F91" t="str">
        <f>_xlfn.CONCAT(Table356[[#This Row],[Monat]]," ",Table356[[#This Row],[Jahr]])</f>
        <v>September 2014</v>
      </c>
      <c r="G91">
        <v>3295.2000000000003</v>
      </c>
      <c r="H91">
        <v>2190</v>
      </c>
      <c r="I91">
        <v>2826</v>
      </c>
      <c r="J91">
        <v>11720.1</v>
      </c>
      <c r="K91">
        <v>9862</v>
      </c>
      <c r="L91">
        <v>12725</v>
      </c>
      <c r="M91" s="8">
        <f>Table356[[#This Row],[Ausfuhr: Wert €]]*1000/Table356[[#This Row],[Ausfuhr: Gewicht]]</f>
        <v>664.60305899490163</v>
      </c>
      <c r="N91" s="8">
        <f>Table356[[#This Row],[Einfuhr: Wert €]]*1000/Table356[[#This Row],[Einfuhr: Gewicht]]</f>
        <v>841.46039709558795</v>
      </c>
      <c r="O91" s="8">
        <f>Table356[[#This Row],[Ausfuhr: Wert $]]*1000/Table356[[#This Row],[Ausfuhr: Gewicht]]</f>
        <v>857.61107064821556</v>
      </c>
      <c r="P91" s="8">
        <f>Table356[[#This Row],[Einfuhr: Wert $]]*1000/Table356[[#This Row],[Einfuhr: Gewicht]]</f>
        <v>1085.7415892355866</v>
      </c>
    </row>
    <row r="92" spans="2:16" x14ac:dyDescent="0.25">
      <c r="B92">
        <f>(Table356[[#This Row],[Jahr]]-$C$8)*12+Table356[[#This Row],[Month nr]]</f>
        <v>82</v>
      </c>
      <c r="C92">
        <v>2014</v>
      </c>
      <c r="D92">
        <v>10</v>
      </c>
      <c r="E92" t="s">
        <v>23</v>
      </c>
      <c r="F92" t="str">
        <f>_xlfn.CONCAT(Table356[[#This Row],[Monat]]," ",Table356[[#This Row],[Jahr]])</f>
        <v>Oktober 2014</v>
      </c>
      <c r="G92">
        <v>5018.3</v>
      </c>
      <c r="H92">
        <v>3174</v>
      </c>
      <c r="I92">
        <v>4023</v>
      </c>
      <c r="J92">
        <v>16285.1</v>
      </c>
      <c r="K92">
        <v>12849</v>
      </c>
      <c r="L92">
        <v>16284</v>
      </c>
      <c r="M92" s="8">
        <f>Table356[[#This Row],[Ausfuhr: Wert €]]*1000/Table356[[#This Row],[Ausfuhr: Gewicht]]</f>
        <v>632.48510451746608</v>
      </c>
      <c r="N92" s="8">
        <f>Table356[[#This Row],[Einfuhr: Wert €]]*1000/Table356[[#This Row],[Einfuhr: Gewicht]]</f>
        <v>789.00344486678</v>
      </c>
      <c r="O92" s="8">
        <f>Table356[[#This Row],[Ausfuhr: Wert $]]*1000/Table356[[#This Row],[Ausfuhr: Gewicht]]</f>
        <v>801.66590279576747</v>
      </c>
      <c r="P92" s="8">
        <f>Table356[[#This Row],[Einfuhr: Wert $]]*1000/Table356[[#This Row],[Einfuhr: Gewicht]]</f>
        <v>999.93245359254774</v>
      </c>
    </row>
    <row r="93" spans="2:16" x14ac:dyDescent="0.25">
      <c r="B93">
        <f>(Table356[[#This Row],[Jahr]]-$C$8)*12+Table356[[#This Row],[Month nr]]</f>
        <v>83</v>
      </c>
      <c r="C93">
        <v>2014</v>
      </c>
      <c r="D93">
        <v>11</v>
      </c>
      <c r="E93" t="s">
        <v>19</v>
      </c>
      <c r="F93" t="str">
        <f>_xlfn.CONCAT(Table356[[#This Row],[Monat]]," ",Table356[[#This Row],[Jahr]])</f>
        <v>November 2014</v>
      </c>
      <c r="G93">
        <v>2315.9</v>
      </c>
      <c r="H93">
        <v>1289</v>
      </c>
      <c r="I93">
        <v>1610</v>
      </c>
      <c r="J93">
        <v>34039.900000000009</v>
      </c>
      <c r="K93">
        <v>21728</v>
      </c>
      <c r="L93">
        <v>27098</v>
      </c>
      <c r="M93" s="8">
        <f>Table356[[#This Row],[Ausfuhr: Wert €]]*1000/Table356[[#This Row],[Ausfuhr: Gewicht]]</f>
        <v>556.58707198065542</v>
      </c>
      <c r="N93" s="8">
        <f>Table356[[#This Row],[Einfuhr: Wert €]]*1000/Table356[[#This Row],[Einfuhr: Gewicht]]</f>
        <v>638.30974826600527</v>
      </c>
      <c r="O93" s="8">
        <f>Table356[[#This Row],[Ausfuhr: Wert $]]*1000/Table356[[#This Row],[Ausfuhr: Gewicht]]</f>
        <v>695.19409300919722</v>
      </c>
      <c r="P93" s="8">
        <f>Table356[[#This Row],[Einfuhr: Wert $]]*1000/Table356[[#This Row],[Einfuhr: Gewicht]]</f>
        <v>796.06579337777123</v>
      </c>
    </row>
    <row r="94" spans="2:16" x14ac:dyDescent="0.25">
      <c r="B94">
        <f>(Table356[[#This Row],[Jahr]]-$C$8)*12+Table356[[#This Row],[Month nr]]</f>
        <v>84</v>
      </c>
      <c r="C94">
        <v>2014</v>
      </c>
      <c r="D94">
        <v>12</v>
      </c>
      <c r="E94" t="s">
        <v>24</v>
      </c>
      <c r="F94" t="str">
        <f>_xlfn.CONCAT(Table356[[#This Row],[Monat]]," ",Table356[[#This Row],[Jahr]])</f>
        <v>Dezember 2014</v>
      </c>
      <c r="G94">
        <v>1961.6000000000001</v>
      </c>
      <c r="H94">
        <v>1358</v>
      </c>
      <c r="I94">
        <v>1674</v>
      </c>
      <c r="J94">
        <v>71100.199999999983</v>
      </c>
      <c r="K94">
        <v>44452</v>
      </c>
      <c r="L94">
        <v>54814</v>
      </c>
      <c r="M94" s="8">
        <f>Table356[[#This Row],[Ausfuhr: Wert €]]*1000/Table356[[#This Row],[Ausfuhr: Gewicht]]</f>
        <v>692.29200652528539</v>
      </c>
      <c r="N94" s="8">
        <f>Table356[[#This Row],[Einfuhr: Wert €]]*1000/Table356[[#This Row],[Einfuhr: Gewicht]]</f>
        <v>625.20217945941101</v>
      </c>
      <c r="O94" s="8">
        <f>Table356[[#This Row],[Ausfuhr: Wert $]]*1000/Table356[[#This Row],[Ausfuhr: Gewicht]]</f>
        <v>853.3849918433931</v>
      </c>
      <c r="P94" s="8">
        <f>Table356[[#This Row],[Einfuhr: Wert $]]*1000/Table356[[#This Row],[Einfuhr: Gewicht]]</f>
        <v>770.94016613174108</v>
      </c>
    </row>
    <row r="95" spans="2:16" x14ac:dyDescent="0.25">
      <c r="B95">
        <f>(Table356[[#This Row],[Jahr]]-$C$8)*12+Table356[[#This Row],[Month nr]]</f>
        <v>85</v>
      </c>
      <c r="C95">
        <v>2015</v>
      </c>
      <c r="D95">
        <v>1</v>
      </c>
      <c r="E95" t="s">
        <v>13</v>
      </c>
      <c r="F95" t="str">
        <f>_xlfn.CONCAT(Table356[[#This Row],[Monat]]," ",Table356[[#This Row],[Jahr]])</f>
        <v>Januar 2015</v>
      </c>
      <c r="G95">
        <v>4984.2999999999984</v>
      </c>
      <c r="H95">
        <v>2940</v>
      </c>
      <c r="I95">
        <v>3414</v>
      </c>
      <c r="J95">
        <v>78770.299999999988</v>
      </c>
      <c r="K95">
        <v>47832</v>
      </c>
      <c r="L95">
        <v>55585</v>
      </c>
      <c r="M95" s="8">
        <f>Table356[[#This Row],[Ausfuhr: Wert €]]*1000/Table356[[#This Row],[Ausfuhr: Gewicht]]</f>
        <v>589.85213570611745</v>
      </c>
      <c r="N95" s="8">
        <f>Table356[[#This Row],[Einfuhr: Wert €]]*1000/Table356[[#This Row],[Einfuhr: Gewicht]]</f>
        <v>607.23394477360125</v>
      </c>
      <c r="O95" s="8">
        <f>Table356[[#This Row],[Ausfuhr: Wert $]]*1000/Table356[[#This Row],[Ausfuhr: Gewicht]]</f>
        <v>684.95074534036894</v>
      </c>
      <c r="P95" s="8">
        <f>Table356[[#This Row],[Einfuhr: Wert $]]*1000/Table356[[#This Row],[Einfuhr: Gewicht]]</f>
        <v>705.65936653789572</v>
      </c>
    </row>
    <row r="96" spans="2:16" x14ac:dyDescent="0.25">
      <c r="B96">
        <f>(Table356[[#This Row],[Jahr]]-$C$8)*12+Table356[[#This Row],[Month nr]]</f>
        <v>86</v>
      </c>
      <c r="C96">
        <v>2015</v>
      </c>
      <c r="D96">
        <v>2</v>
      </c>
      <c r="E96" t="s">
        <v>14</v>
      </c>
      <c r="F96" t="str">
        <f>_xlfn.CONCAT(Table356[[#This Row],[Monat]]," ",Table356[[#This Row],[Jahr]])</f>
        <v>Februar 2015</v>
      </c>
      <c r="G96">
        <v>3202.5</v>
      </c>
      <c r="H96">
        <v>2102</v>
      </c>
      <c r="I96">
        <v>2385</v>
      </c>
      <c r="J96">
        <v>64611.500000000007</v>
      </c>
      <c r="K96">
        <v>40479</v>
      </c>
      <c r="L96">
        <v>45941</v>
      </c>
      <c r="M96" s="8">
        <f>Table356[[#This Row],[Ausfuhr: Wert €]]*1000/Table356[[#This Row],[Ausfuhr: Gewicht]]</f>
        <v>656.36221701795478</v>
      </c>
      <c r="N96" s="8">
        <f>Table356[[#This Row],[Einfuhr: Wert €]]*1000/Table356[[#This Row],[Einfuhr: Gewicht]]</f>
        <v>626.49837877158086</v>
      </c>
      <c r="O96" s="8">
        <f>Table356[[#This Row],[Ausfuhr: Wert $]]*1000/Table356[[#This Row],[Ausfuhr: Gewicht]]</f>
        <v>744.73067915690865</v>
      </c>
      <c r="P96" s="8">
        <f>Table356[[#This Row],[Einfuhr: Wert $]]*1000/Table356[[#This Row],[Einfuhr: Gewicht]]</f>
        <v>711.03441337842321</v>
      </c>
    </row>
    <row r="97" spans="2:16" x14ac:dyDescent="0.25">
      <c r="B97">
        <f>(Table356[[#This Row],[Jahr]]-$C$8)*12+Table356[[#This Row],[Month nr]]</f>
        <v>87</v>
      </c>
      <c r="C97">
        <v>2015</v>
      </c>
      <c r="D97">
        <v>3</v>
      </c>
      <c r="E97" t="s">
        <v>15</v>
      </c>
      <c r="F97" t="str">
        <f>_xlfn.CONCAT(Table356[[#This Row],[Monat]]," ",Table356[[#This Row],[Jahr]])</f>
        <v>März 2015</v>
      </c>
      <c r="G97">
        <v>2320.8000000000006</v>
      </c>
      <c r="H97">
        <v>1631</v>
      </c>
      <c r="I97">
        <v>1767</v>
      </c>
      <c r="J97">
        <v>71592.299999999988</v>
      </c>
      <c r="K97">
        <v>45040</v>
      </c>
      <c r="L97">
        <v>48812</v>
      </c>
      <c r="M97" s="8">
        <f>Table356[[#This Row],[Ausfuhr: Wert €]]*1000/Table356[[#This Row],[Ausfuhr: Gewicht]]</f>
        <v>702.7749052051015</v>
      </c>
      <c r="N97" s="8">
        <f>Table356[[#This Row],[Einfuhr: Wert €]]*1000/Table356[[#This Row],[Einfuhr: Gewicht]]</f>
        <v>629.11793586740487</v>
      </c>
      <c r="O97" s="8">
        <f>Table356[[#This Row],[Ausfuhr: Wert $]]*1000/Table356[[#This Row],[Ausfuhr: Gewicht]]</f>
        <v>761.37538779731108</v>
      </c>
      <c r="P97" s="8">
        <f>Table356[[#This Row],[Einfuhr: Wert $]]*1000/Table356[[#This Row],[Einfuhr: Gewicht]]</f>
        <v>681.80516619804098</v>
      </c>
    </row>
    <row r="98" spans="2:16" x14ac:dyDescent="0.25">
      <c r="B98">
        <f>(Table356[[#This Row],[Jahr]]-$C$8)*12+Table356[[#This Row],[Month nr]]</f>
        <v>88</v>
      </c>
      <c r="C98">
        <v>2015</v>
      </c>
      <c r="D98">
        <v>4</v>
      </c>
      <c r="E98" t="s">
        <v>16</v>
      </c>
      <c r="F98" t="str">
        <f>_xlfn.CONCAT(Table356[[#This Row],[Monat]]," ",Table356[[#This Row],[Jahr]])</f>
        <v>April 2015</v>
      </c>
      <c r="G98" s="10">
        <v>3056.7999999999997</v>
      </c>
      <c r="H98" s="10">
        <v>2060</v>
      </c>
      <c r="I98" s="10">
        <v>2221</v>
      </c>
      <c r="J98" s="10">
        <v>49155.299999999996</v>
      </c>
      <c r="K98" s="10">
        <v>31487</v>
      </c>
      <c r="L98" s="10">
        <v>33942</v>
      </c>
      <c r="M98" s="8">
        <f>Table356[[#This Row],[Ausfuhr: Wert €]]*1000/Table356[[#This Row],[Ausfuhr: Gewicht]]</f>
        <v>673.90735409578656</v>
      </c>
      <c r="N98" s="8">
        <f>Table356[[#This Row],[Einfuhr: Wert €]]*1000/Table356[[#This Row],[Einfuhr: Gewicht]]</f>
        <v>640.56164848958304</v>
      </c>
      <c r="O98" s="8">
        <f>Table356[[#This Row],[Ausfuhr: Wert $]]*1000/Table356[[#This Row],[Ausfuhr: Gewicht]]</f>
        <v>726.57681235278733</v>
      </c>
      <c r="P98" s="8">
        <f>Table356[[#This Row],[Einfuhr: Wert $]]*1000/Table356[[#This Row],[Einfuhr: Gewicht]]</f>
        <v>690.50539819714254</v>
      </c>
    </row>
    <row r="99" spans="2:16" x14ac:dyDescent="0.25">
      <c r="B99">
        <f>(Table356[[#This Row],[Jahr]]-$C$8)*12+Table356[[#This Row],[Month nr]]</f>
        <v>89</v>
      </c>
      <c r="C99">
        <v>2015</v>
      </c>
      <c r="D99">
        <v>5</v>
      </c>
      <c r="E99" t="s">
        <v>20</v>
      </c>
      <c r="F99" t="str">
        <f>_xlfn.CONCAT(Table356[[#This Row],[Monat]]," ",Table356[[#This Row],[Jahr]])</f>
        <v>Mai 2015</v>
      </c>
      <c r="G99">
        <v>2963.6000000000004</v>
      </c>
      <c r="H99">
        <v>2182</v>
      </c>
      <c r="I99">
        <v>2431</v>
      </c>
      <c r="J99">
        <v>30967.899999999994</v>
      </c>
      <c r="K99">
        <v>20513</v>
      </c>
      <c r="L99">
        <v>22873</v>
      </c>
      <c r="M99" s="8">
        <f>Table356[[#This Row],[Ausfuhr: Wert €]]*1000/Table356[[#This Row],[Ausfuhr: Gewicht]]</f>
        <v>736.26670265892824</v>
      </c>
      <c r="N99" s="8">
        <f>Table356[[#This Row],[Einfuhr: Wert €]]*1000/Table356[[#This Row],[Einfuhr: Gewicht]]</f>
        <v>662.39557735590734</v>
      </c>
      <c r="O99" s="8">
        <f>Table356[[#This Row],[Ausfuhr: Wert $]]*1000/Table356[[#This Row],[Ausfuhr: Gewicht]]</f>
        <v>820.28613848022667</v>
      </c>
      <c r="P99" s="8">
        <f>Table356[[#This Row],[Einfuhr: Wert $]]*1000/Table356[[#This Row],[Einfuhr: Gewicht]]</f>
        <v>738.60352171119143</v>
      </c>
    </row>
    <row r="100" spans="2:16" x14ac:dyDescent="0.25">
      <c r="B100">
        <f>(Table356[[#This Row],[Jahr]]-$C$8)*12+Table356[[#This Row],[Month nr]]</f>
        <v>90</v>
      </c>
      <c r="C100">
        <v>2015</v>
      </c>
      <c r="D100">
        <v>6</v>
      </c>
      <c r="E100" t="s">
        <v>21</v>
      </c>
      <c r="F100" t="str">
        <f>_xlfn.CONCAT(Table356[[#This Row],[Monat]]," ",Table356[[#This Row],[Jahr]])</f>
        <v>Juni 2015</v>
      </c>
      <c r="G100">
        <v>1652.7</v>
      </c>
      <c r="H100">
        <v>1383</v>
      </c>
      <c r="I100">
        <v>1549</v>
      </c>
      <c r="J100">
        <v>18567.2</v>
      </c>
      <c r="K100">
        <v>13760</v>
      </c>
      <c r="L100">
        <v>15429</v>
      </c>
      <c r="M100" s="8">
        <f>Table356[[#This Row],[Ausfuhr: Wert €]]*1000/Table356[[#This Row],[Ausfuhr: Gewicht]]</f>
        <v>836.8124886549283</v>
      </c>
      <c r="N100" s="8">
        <f>Table356[[#This Row],[Einfuhr: Wert €]]*1000/Table356[[#This Row],[Einfuhr: Gewicht]]</f>
        <v>741.09181782929033</v>
      </c>
      <c r="O100" s="8">
        <f>Table356[[#This Row],[Ausfuhr: Wert $]]*1000/Table356[[#This Row],[Ausfuhr: Gewicht]]</f>
        <v>937.25419011314818</v>
      </c>
      <c r="P100" s="8">
        <f>Table356[[#This Row],[Einfuhr: Wert $]]*1000/Table356[[#This Row],[Einfuhr: Gewicht]]</f>
        <v>830.98151579128785</v>
      </c>
    </row>
    <row r="101" spans="2:16" x14ac:dyDescent="0.25">
      <c r="B101">
        <f>(Table356[[#This Row],[Jahr]]-$C$8)*12+Table356[[#This Row],[Month nr]]</f>
        <v>91</v>
      </c>
      <c r="C101">
        <v>2015</v>
      </c>
      <c r="D101">
        <v>7</v>
      </c>
      <c r="E101" t="s">
        <v>22</v>
      </c>
      <c r="F101" t="str">
        <f>_xlfn.CONCAT(Table356[[#This Row],[Monat]]," ",Table356[[#This Row],[Jahr]])</f>
        <v>Juli 2015</v>
      </c>
      <c r="G101">
        <v>1808.5</v>
      </c>
      <c r="H101">
        <v>1765</v>
      </c>
      <c r="I101">
        <v>1940</v>
      </c>
      <c r="J101">
        <v>12564.1</v>
      </c>
      <c r="K101">
        <v>11276</v>
      </c>
      <c r="L101">
        <v>12403</v>
      </c>
      <c r="M101" s="8">
        <f>Table356[[#This Row],[Ausfuhr: Wert €]]*1000/Table356[[#This Row],[Ausfuhr: Gewicht]]</f>
        <v>975.94691733480784</v>
      </c>
      <c r="N101" s="8">
        <f>Table356[[#This Row],[Einfuhr: Wert €]]*1000/Table356[[#This Row],[Einfuhr: Gewicht]]</f>
        <v>897.47773417912936</v>
      </c>
      <c r="O101" s="8">
        <f>Table356[[#This Row],[Ausfuhr: Wert $]]*1000/Table356[[#This Row],[Ausfuhr: Gewicht]]</f>
        <v>1072.7121924246612</v>
      </c>
      <c r="P101" s="8">
        <f>Table356[[#This Row],[Einfuhr: Wert $]]*1000/Table356[[#This Row],[Einfuhr: Gewicht]]</f>
        <v>987.17775248525561</v>
      </c>
    </row>
    <row r="102" spans="2:16" x14ac:dyDescent="0.25">
      <c r="B102">
        <f>(Table356[[#This Row],[Jahr]]-$C$8)*12+Table356[[#This Row],[Month nr]]</f>
        <v>92</v>
      </c>
      <c r="C102">
        <v>2015</v>
      </c>
      <c r="D102">
        <v>8</v>
      </c>
      <c r="E102" t="s">
        <v>17</v>
      </c>
      <c r="F102" t="str">
        <f>_xlfn.CONCAT(Table356[[#This Row],[Monat]]," ",Table356[[#This Row],[Jahr]])</f>
        <v>August 2015</v>
      </c>
      <c r="G102">
        <v>2573.0000000000005</v>
      </c>
      <c r="H102">
        <v>2152</v>
      </c>
      <c r="I102">
        <v>2399</v>
      </c>
      <c r="J102">
        <v>12783.1</v>
      </c>
      <c r="K102">
        <v>12315</v>
      </c>
      <c r="L102">
        <v>13724</v>
      </c>
      <c r="M102" s="8">
        <f>Table356[[#This Row],[Ausfuhr: Wert €]]*1000/Table356[[#This Row],[Ausfuhr: Gewicht]]</f>
        <v>836.37776914108031</v>
      </c>
      <c r="N102" s="8">
        <f>Table356[[#This Row],[Einfuhr: Wert €]]*1000/Table356[[#This Row],[Einfuhr: Gewicht]]</f>
        <v>963.38133942470915</v>
      </c>
      <c r="O102" s="8">
        <f>Table356[[#This Row],[Ausfuhr: Wert $]]*1000/Table356[[#This Row],[Ausfuhr: Gewicht]]</f>
        <v>932.37465993004264</v>
      </c>
      <c r="P102" s="8">
        <f>Table356[[#This Row],[Einfuhr: Wert $]]*1000/Table356[[#This Row],[Einfuhr: Gewicht]]</f>
        <v>1073.6049940937644</v>
      </c>
    </row>
    <row r="103" spans="2:16" x14ac:dyDescent="0.25">
      <c r="B103">
        <f>(Table356[[#This Row],[Jahr]]-$C$8)*12+Table356[[#This Row],[Month nr]]</f>
        <v>93</v>
      </c>
      <c r="C103">
        <v>2015</v>
      </c>
      <c r="D103">
        <v>9</v>
      </c>
      <c r="E103" t="s">
        <v>18</v>
      </c>
      <c r="F103" t="str">
        <f>_xlfn.CONCAT(Table356[[#This Row],[Monat]]," ",Table356[[#This Row],[Jahr]])</f>
        <v>September 2015</v>
      </c>
      <c r="G103">
        <v>4772.7</v>
      </c>
      <c r="H103">
        <v>2769</v>
      </c>
      <c r="I103">
        <v>3105</v>
      </c>
      <c r="J103">
        <v>12996.199999999999</v>
      </c>
      <c r="K103">
        <v>11930</v>
      </c>
      <c r="L103">
        <v>13388</v>
      </c>
      <c r="M103" s="8">
        <f>Table356[[#This Row],[Ausfuhr: Wert €]]*1000/Table356[[#This Row],[Ausfuhr: Gewicht]]</f>
        <v>580.17474385567925</v>
      </c>
      <c r="N103" s="8">
        <f>Table356[[#This Row],[Einfuhr: Wert €]]*1000/Table356[[#This Row],[Einfuhr: Gewicht]]</f>
        <v>917.96063464705071</v>
      </c>
      <c r="O103" s="8">
        <f>Table356[[#This Row],[Ausfuhr: Wert $]]*1000/Table356[[#This Row],[Ausfuhr: Gewicht]]</f>
        <v>650.57514614369222</v>
      </c>
      <c r="P103" s="8">
        <f>Table356[[#This Row],[Einfuhr: Wert $]]*1000/Table356[[#This Row],[Einfuhr: Gewicht]]</f>
        <v>1030.1472738185009</v>
      </c>
    </row>
    <row r="104" spans="2:16" x14ac:dyDescent="0.25">
      <c r="B104">
        <f>(Table356[[#This Row],[Jahr]]-$C$8)*12+Table356[[#This Row],[Month nr]]</f>
        <v>94</v>
      </c>
      <c r="C104">
        <v>2015</v>
      </c>
      <c r="D104">
        <v>10</v>
      </c>
      <c r="E104" t="s">
        <v>23</v>
      </c>
      <c r="F104" t="str">
        <f>_xlfn.CONCAT(Table356[[#This Row],[Monat]]," ",Table356[[#This Row],[Jahr]])</f>
        <v>Oktober 2015</v>
      </c>
      <c r="G104">
        <v>3286.8999999999996</v>
      </c>
      <c r="H104">
        <v>2568</v>
      </c>
      <c r="I104">
        <v>2887</v>
      </c>
      <c r="J104">
        <v>14827.7</v>
      </c>
      <c r="K104">
        <v>13931</v>
      </c>
      <c r="L104">
        <v>15650</v>
      </c>
      <c r="M104" s="8">
        <f>Table356[[#This Row],[Ausfuhr: Wert €]]*1000/Table356[[#This Row],[Ausfuhr: Gewicht]]</f>
        <v>781.28327603517005</v>
      </c>
      <c r="N104" s="8">
        <f>Table356[[#This Row],[Einfuhr: Wert €]]*1000/Table356[[#This Row],[Einfuhr: Gewicht]]</f>
        <v>939.5253478287259</v>
      </c>
      <c r="O104" s="8">
        <f>Table356[[#This Row],[Ausfuhr: Wert $]]*1000/Table356[[#This Row],[Ausfuhr: Gewicht]]</f>
        <v>878.33520946788781</v>
      </c>
      <c r="P104" s="8">
        <f>Table356[[#This Row],[Einfuhr: Wert $]]*1000/Table356[[#This Row],[Einfuhr: Gewicht]]</f>
        <v>1055.4570162601078</v>
      </c>
    </row>
    <row r="105" spans="2:16" x14ac:dyDescent="0.25">
      <c r="B105">
        <f>(Table356[[#This Row],[Jahr]]-$C$8)*12+Table356[[#This Row],[Month nr]]</f>
        <v>95</v>
      </c>
      <c r="C105">
        <v>2015</v>
      </c>
      <c r="D105">
        <v>11</v>
      </c>
      <c r="E105" t="s">
        <v>19</v>
      </c>
      <c r="F105" t="str">
        <f>_xlfn.CONCAT(Table356[[#This Row],[Monat]]," ",Table356[[#This Row],[Jahr]])</f>
        <v>November 2015</v>
      </c>
      <c r="G105">
        <v>2749.1</v>
      </c>
      <c r="H105">
        <v>2034</v>
      </c>
      <c r="I105">
        <v>2184</v>
      </c>
      <c r="J105">
        <v>42657.500000000007</v>
      </c>
      <c r="K105">
        <v>31682</v>
      </c>
      <c r="L105">
        <v>34011</v>
      </c>
      <c r="M105" s="8">
        <f>Table356[[#This Row],[Ausfuhr: Wert €]]*1000/Table356[[#This Row],[Ausfuhr: Gewicht]]</f>
        <v>739.87850569277225</v>
      </c>
      <c r="N105" s="8">
        <f>Table356[[#This Row],[Einfuhr: Wert €]]*1000/Table356[[#This Row],[Einfuhr: Gewicht]]</f>
        <v>742.70644083689842</v>
      </c>
      <c r="O105" s="8">
        <f>Table356[[#This Row],[Ausfuhr: Wert $]]*1000/Table356[[#This Row],[Ausfuhr: Gewicht]]</f>
        <v>794.44181732203265</v>
      </c>
      <c r="P105" s="8">
        <f>Table356[[#This Row],[Einfuhr: Wert $]]*1000/Table356[[#This Row],[Einfuhr: Gewicht]]</f>
        <v>797.30410830451842</v>
      </c>
    </row>
    <row r="106" spans="2:16" x14ac:dyDescent="0.25">
      <c r="B106">
        <f>(Table356[[#This Row],[Jahr]]-$C$8)*12+Table356[[#This Row],[Month nr]]</f>
        <v>96</v>
      </c>
      <c r="C106">
        <v>2015</v>
      </c>
      <c r="D106">
        <v>12</v>
      </c>
      <c r="E106" t="s">
        <v>24</v>
      </c>
      <c r="F106" t="str">
        <f>_xlfn.CONCAT(Table356[[#This Row],[Monat]]," ",Table356[[#This Row],[Jahr]])</f>
        <v>Dezember 2015</v>
      </c>
      <c r="G106">
        <v>2579.1</v>
      </c>
      <c r="H106">
        <v>1672</v>
      </c>
      <c r="I106">
        <v>1819</v>
      </c>
      <c r="J106">
        <v>77317.900000000009</v>
      </c>
      <c r="K106">
        <v>53336</v>
      </c>
      <c r="L106">
        <v>58017</v>
      </c>
      <c r="M106" s="8">
        <f>Table356[[#This Row],[Ausfuhr: Wert €]]*1000/Table356[[#This Row],[Ausfuhr: Gewicht]]</f>
        <v>648.28816253731929</v>
      </c>
      <c r="N106" s="8">
        <f>Table356[[#This Row],[Einfuhr: Wert €]]*1000/Table356[[#This Row],[Einfuhr: Gewicht]]</f>
        <v>689.82732329770977</v>
      </c>
      <c r="O106" s="8">
        <f>Table356[[#This Row],[Ausfuhr: Wert $]]*1000/Table356[[#This Row],[Ausfuhr: Gewicht]]</f>
        <v>705.28478926757396</v>
      </c>
      <c r="P106" s="8">
        <f>Table356[[#This Row],[Einfuhr: Wert $]]*1000/Table356[[#This Row],[Einfuhr: Gewicht]]</f>
        <v>750.36957806665714</v>
      </c>
    </row>
    <row r="107" spans="2:16" x14ac:dyDescent="0.25">
      <c r="B107">
        <f>(Table356[[#This Row],[Jahr]]-$C$8)*12+Table356[[#This Row],[Month nr]]</f>
        <v>97</v>
      </c>
      <c r="C107">
        <v>2016</v>
      </c>
      <c r="D107">
        <v>1</v>
      </c>
      <c r="E107" t="s">
        <v>13</v>
      </c>
      <c r="F107" t="str">
        <f>_xlfn.CONCAT(Table356[[#This Row],[Monat]]," ",Table356[[#This Row],[Jahr]])</f>
        <v>Januar 2016</v>
      </c>
      <c r="G107">
        <v>3715.1999999999994</v>
      </c>
      <c r="H107">
        <v>2575</v>
      </c>
      <c r="I107">
        <v>2792</v>
      </c>
      <c r="J107">
        <v>80778.7</v>
      </c>
      <c r="K107">
        <v>53630</v>
      </c>
      <c r="L107">
        <v>58242</v>
      </c>
      <c r="M107" s="8">
        <f>Table356[[#This Row],[Ausfuhr: Wert €]]*1000/Table356[[#This Row],[Ausfuhr: Gewicht]]</f>
        <v>693.09862187769181</v>
      </c>
      <c r="N107" s="8">
        <f>Table356[[#This Row],[Einfuhr: Wert €]]*1000/Table356[[#This Row],[Einfuhr: Gewicht]]</f>
        <v>663.91264033711855</v>
      </c>
      <c r="O107" s="8">
        <f>Table356[[#This Row],[Ausfuhr: Wert $]]*1000/Table356[[#This Row],[Ausfuhr: Gewicht]]</f>
        <v>751.50732127476329</v>
      </c>
      <c r="P107" s="8">
        <f>Table356[[#This Row],[Einfuhr: Wert $]]*1000/Table356[[#This Row],[Einfuhr: Gewicht]]</f>
        <v>721.00689909592506</v>
      </c>
    </row>
    <row r="108" spans="2:16" x14ac:dyDescent="0.25">
      <c r="B108">
        <f>(Table356[[#This Row],[Jahr]]-$C$8)*12+Table356[[#This Row],[Month nr]]</f>
        <v>98</v>
      </c>
      <c r="C108">
        <v>2016</v>
      </c>
      <c r="D108">
        <v>2</v>
      </c>
      <c r="E108" t="s">
        <v>14</v>
      </c>
      <c r="F108" t="str">
        <f>_xlfn.CONCAT(Table356[[#This Row],[Monat]]," ",Table356[[#This Row],[Jahr]])</f>
        <v>Februar 2016</v>
      </c>
      <c r="G108">
        <v>3790.6999999999994</v>
      </c>
      <c r="H108">
        <v>2547</v>
      </c>
      <c r="I108">
        <v>2825</v>
      </c>
      <c r="J108">
        <v>68756.2</v>
      </c>
      <c r="K108">
        <v>47129</v>
      </c>
      <c r="L108">
        <v>52279</v>
      </c>
      <c r="M108" s="8">
        <f>Table356[[#This Row],[Ausfuhr: Wert €]]*1000/Table356[[#This Row],[Ausfuhr: Gewicht]]</f>
        <v>671.9075632468938</v>
      </c>
      <c r="N108" s="8">
        <f>Table356[[#This Row],[Einfuhr: Wert €]]*1000/Table356[[#This Row],[Einfuhr: Gewicht]]</f>
        <v>685.45091206320308</v>
      </c>
      <c r="O108" s="8">
        <f>Table356[[#This Row],[Ausfuhr: Wert $]]*1000/Table356[[#This Row],[Ausfuhr: Gewicht]]</f>
        <v>745.24494156752064</v>
      </c>
      <c r="P108" s="8">
        <f>Table356[[#This Row],[Einfuhr: Wert $]]*1000/Table356[[#This Row],[Einfuhr: Gewicht]]</f>
        <v>760.35324814344017</v>
      </c>
    </row>
    <row r="109" spans="2:16" x14ac:dyDescent="0.25">
      <c r="B109">
        <f>(Table356[[#This Row],[Jahr]]-$C$8)*12+Table356[[#This Row],[Month nr]]</f>
        <v>99</v>
      </c>
      <c r="C109">
        <v>2016</v>
      </c>
      <c r="D109">
        <v>3</v>
      </c>
      <c r="E109" t="s">
        <v>15</v>
      </c>
      <c r="F109" t="str">
        <f>_xlfn.CONCAT(Table356[[#This Row],[Monat]]," ",Table356[[#This Row],[Jahr]])</f>
        <v>März 2016</v>
      </c>
      <c r="G109">
        <v>4150.1000000000004</v>
      </c>
      <c r="H109">
        <v>2991</v>
      </c>
      <c r="I109">
        <v>3321</v>
      </c>
      <c r="J109">
        <v>70850.100000000006</v>
      </c>
      <c r="K109">
        <v>50226</v>
      </c>
      <c r="L109">
        <v>55751</v>
      </c>
      <c r="M109" s="8">
        <f>Table356[[#This Row],[Ausfuhr: Wert €]]*1000/Table356[[#This Row],[Ausfuhr: Gewicht]]</f>
        <v>720.70552516806822</v>
      </c>
      <c r="N109" s="8">
        <f>Table356[[#This Row],[Einfuhr: Wert €]]*1000/Table356[[#This Row],[Einfuhr: Gewicht]]</f>
        <v>708.90513916000111</v>
      </c>
      <c r="O109" s="8">
        <f>Table356[[#This Row],[Ausfuhr: Wert $]]*1000/Table356[[#This Row],[Ausfuhr: Gewicht]]</f>
        <v>800.2216814052673</v>
      </c>
      <c r="P109" s="8">
        <f>Table356[[#This Row],[Einfuhr: Wert $]]*1000/Table356[[#This Row],[Einfuhr: Gewicht]]</f>
        <v>786.88668047045803</v>
      </c>
    </row>
    <row r="110" spans="2:16" x14ac:dyDescent="0.25">
      <c r="B110">
        <f>(Table356[[#This Row],[Jahr]]-$C$8)*12+Table356[[#This Row],[Month nr]]</f>
        <v>100</v>
      </c>
      <c r="C110">
        <v>2016</v>
      </c>
      <c r="D110">
        <v>4</v>
      </c>
      <c r="E110" t="s">
        <v>16</v>
      </c>
      <c r="F110" t="str">
        <f>_xlfn.CONCAT(Table356[[#This Row],[Monat]]," ",Table356[[#This Row],[Jahr]])</f>
        <v>April 2016</v>
      </c>
      <c r="G110" s="10">
        <v>2830.2</v>
      </c>
      <c r="H110" s="10">
        <v>2370</v>
      </c>
      <c r="I110" s="10">
        <v>2692</v>
      </c>
      <c r="J110" s="10">
        <v>45131.19999999999</v>
      </c>
      <c r="K110" s="10">
        <v>32389</v>
      </c>
      <c r="L110" s="10">
        <v>36724</v>
      </c>
      <c r="M110" s="8">
        <f>Table356[[#This Row],[Ausfuhr: Wert €]]*1000/Table356[[#This Row],[Ausfuhr: Gewicht]]</f>
        <v>837.39665041339845</v>
      </c>
      <c r="N110" s="8">
        <f>Table356[[#This Row],[Einfuhr: Wert €]]*1000/Table356[[#This Row],[Einfuhr: Gewicht]]</f>
        <v>717.6631687169853</v>
      </c>
      <c r="O110" s="8">
        <f>Table356[[#This Row],[Ausfuhr: Wert $]]*1000/Table356[[#This Row],[Ausfuhr: Gewicht]]</f>
        <v>951.16952865521876</v>
      </c>
      <c r="P110" s="8">
        <f>Table356[[#This Row],[Einfuhr: Wert $]]*1000/Table356[[#This Row],[Einfuhr: Gewicht]]</f>
        <v>813.71645336264066</v>
      </c>
    </row>
    <row r="111" spans="2:16" x14ac:dyDescent="0.25">
      <c r="B111">
        <f>(Table356[[#This Row],[Jahr]]-$C$8)*12+Table356[[#This Row],[Month nr]]</f>
        <v>101</v>
      </c>
      <c r="C111">
        <v>2016</v>
      </c>
      <c r="D111">
        <v>5</v>
      </c>
      <c r="E111" t="s">
        <v>20</v>
      </c>
      <c r="F111" t="str">
        <f>_xlfn.CONCAT(Table356[[#This Row],[Monat]]," ",Table356[[#This Row],[Jahr]])</f>
        <v>Mai 2016</v>
      </c>
      <c r="G111">
        <v>2210.7000000000003</v>
      </c>
      <c r="H111">
        <v>1576</v>
      </c>
      <c r="I111">
        <v>1780</v>
      </c>
      <c r="J111">
        <v>34457.5</v>
      </c>
      <c r="K111">
        <v>26315</v>
      </c>
      <c r="L111">
        <v>29766</v>
      </c>
      <c r="M111" s="8">
        <f>Table356[[#This Row],[Ausfuhr: Wert €]]*1000/Table356[[#This Row],[Ausfuhr: Gewicht]]</f>
        <v>712.89636766634999</v>
      </c>
      <c r="N111" s="8">
        <f>Table356[[#This Row],[Einfuhr: Wert €]]*1000/Table356[[#This Row],[Einfuhr: Gewicht]]</f>
        <v>763.69440615250676</v>
      </c>
      <c r="O111" s="8">
        <f>Table356[[#This Row],[Ausfuhr: Wert $]]*1000/Table356[[#This Row],[Ausfuhr: Gewicht]]</f>
        <v>805.17483150133432</v>
      </c>
      <c r="P111" s="8">
        <f>Table356[[#This Row],[Einfuhr: Wert $]]*1000/Table356[[#This Row],[Einfuhr: Gewicht]]</f>
        <v>863.84676775738228</v>
      </c>
    </row>
    <row r="112" spans="2:16" x14ac:dyDescent="0.25">
      <c r="B112">
        <f>(Table356[[#This Row],[Jahr]]-$C$8)*12+Table356[[#This Row],[Month nr]]</f>
        <v>102</v>
      </c>
      <c r="C112">
        <v>2016</v>
      </c>
      <c r="D112">
        <v>6</v>
      </c>
      <c r="E112" t="s">
        <v>21</v>
      </c>
      <c r="F112" t="str">
        <f>_xlfn.CONCAT(Table356[[#This Row],[Monat]]," ",Table356[[#This Row],[Jahr]])</f>
        <v>Juni 2016</v>
      </c>
      <c r="G112">
        <v>1504.6000000000004</v>
      </c>
      <c r="H112">
        <v>1393</v>
      </c>
      <c r="I112">
        <v>1559</v>
      </c>
      <c r="J112">
        <v>16818.000000000004</v>
      </c>
      <c r="K112">
        <v>13842</v>
      </c>
      <c r="L112">
        <v>15542</v>
      </c>
      <c r="M112" s="8">
        <f>Table356[[#This Row],[Ausfuhr: Wert €]]*1000/Table356[[#This Row],[Ausfuhr: Gewicht]]</f>
        <v>925.82746244849102</v>
      </c>
      <c r="N112" s="8">
        <f>Table356[[#This Row],[Einfuhr: Wert €]]*1000/Table356[[#This Row],[Einfuhr: Gewicht]]</f>
        <v>823.04673564038512</v>
      </c>
      <c r="O112" s="8">
        <f>Table356[[#This Row],[Ausfuhr: Wert $]]*1000/Table356[[#This Row],[Ausfuhr: Gewicht]]</f>
        <v>1036.1557889139967</v>
      </c>
      <c r="P112" s="8">
        <f>Table356[[#This Row],[Einfuhr: Wert $]]*1000/Table356[[#This Row],[Einfuhr: Gewicht]]</f>
        <v>924.12890950172414</v>
      </c>
    </row>
    <row r="113" spans="2:16" x14ac:dyDescent="0.25">
      <c r="B113">
        <f>(Table356[[#This Row],[Jahr]]-$C$8)*12+Table356[[#This Row],[Month nr]]</f>
        <v>103</v>
      </c>
      <c r="C113">
        <v>2016</v>
      </c>
      <c r="D113">
        <v>7</v>
      </c>
      <c r="E113" t="s">
        <v>22</v>
      </c>
      <c r="F113" t="str">
        <f>_xlfn.CONCAT(Table356[[#This Row],[Monat]]," ",Table356[[#This Row],[Jahr]])</f>
        <v>Juli 2016</v>
      </c>
      <c r="G113">
        <v>1906</v>
      </c>
      <c r="H113">
        <v>1828</v>
      </c>
      <c r="I113">
        <v>2022</v>
      </c>
      <c r="J113">
        <v>12391.800000000001</v>
      </c>
      <c r="K113">
        <v>11367</v>
      </c>
      <c r="L113">
        <v>12582</v>
      </c>
      <c r="M113" s="8">
        <f>Table356[[#This Row],[Ausfuhr: Wert €]]*1000/Table356[[#This Row],[Ausfuhr: Gewicht]]</f>
        <v>959.07660020986361</v>
      </c>
      <c r="N113" s="8">
        <f>Table356[[#This Row],[Einfuhr: Wert €]]*1000/Table356[[#This Row],[Einfuhr: Gewicht]]</f>
        <v>917.3001500992591</v>
      </c>
      <c r="O113" s="8">
        <f>Table356[[#This Row],[Ausfuhr: Wert $]]*1000/Table356[[#This Row],[Ausfuhr: Gewicht]]</f>
        <v>1060.8604407135363</v>
      </c>
      <c r="P113" s="8">
        <f>Table356[[#This Row],[Einfuhr: Wert $]]*1000/Table356[[#This Row],[Einfuhr: Gewicht]]</f>
        <v>1015.3488597298212</v>
      </c>
    </row>
    <row r="114" spans="2:16" x14ac:dyDescent="0.25">
      <c r="B114">
        <f>(Table356[[#This Row],[Jahr]]-$C$8)*12+Table356[[#This Row],[Month nr]]</f>
        <v>104</v>
      </c>
      <c r="C114">
        <v>2016</v>
      </c>
      <c r="D114">
        <v>8</v>
      </c>
      <c r="E114" t="s">
        <v>17</v>
      </c>
      <c r="F114" t="str">
        <f>_xlfn.CONCAT(Table356[[#This Row],[Monat]]," ",Table356[[#This Row],[Jahr]])</f>
        <v>August 2016</v>
      </c>
      <c r="G114">
        <v>2433.4</v>
      </c>
      <c r="H114">
        <v>2291</v>
      </c>
      <c r="I114">
        <v>2571</v>
      </c>
      <c r="J114">
        <v>11515.700000000003</v>
      </c>
      <c r="K114">
        <v>10584</v>
      </c>
      <c r="L114">
        <v>11866</v>
      </c>
      <c r="M114" s="8">
        <f>Table356[[#This Row],[Ausfuhr: Wert €]]*1000/Table356[[#This Row],[Ausfuhr: Gewicht]]</f>
        <v>941.48105531355304</v>
      </c>
      <c r="N114" s="8">
        <f>Table356[[#This Row],[Einfuhr: Wert €]]*1000/Table356[[#This Row],[Einfuhr: Gewicht]]</f>
        <v>919.09306425141313</v>
      </c>
      <c r="O114" s="8">
        <f>Table356[[#This Row],[Ausfuhr: Wert $]]*1000/Table356[[#This Row],[Ausfuhr: Gewicht]]</f>
        <v>1056.5463959891511</v>
      </c>
      <c r="P114" s="8">
        <f>Table356[[#This Row],[Einfuhr: Wert $]]*1000/Table356[[#This Row],[Einfuhr: Gewicht]]</f>
        <v>1030.4193405524629</v>
      </c>
    </row>
    <row r="115" spans="2:16" x14ac:dyDescent="0.25">
      <c r="B115">
        <f>(Table356[[#This Row],[Jahr]]-$C$8)*12+Table356[[#This Row],[Month nr]]</f>
        <v>105</v>
      </c>
      <c r="C115">
        <v>2016</v>
      </c>
      <c r="D115">
        <v>9</v>
      </c>
      <c r="E115" t="s">
        <v>18</v>
      </c>
      <c r="F115" t="str">
        <f>_xlfn.CONCAT(Table356[[#This Row],[Monat]]," ",Table356[[#This Row],[Jahr]])</f>
        <v>September 2016</v>
      </c>
      <c r="G115">
        <v>1930.3</v>
      </c>
      <c r="H115">
        <v>2043</v>
      </c>
      <c r="I115">
        <v>2291</v>
      </c>
      <c r="J115">
        <v>12074.599999999999</v>
      </c>
      <c r="K115">
        <v>11666</v>
      </c>
      <c r="L115">
        <v>13082</v>
      </c>
      <c r="M115" s="8">
        <f>Table356[[#This Row],[Ausfuhr: Wert €]]*1000/Table356[[#This Row],[Ausfuhr: Gewicht]]</f>
        <v>1058.3847070403565</v>
      </c>
      <c r="N115" s="8">
        <f>Table356[[#This Row],[Einfuhr: Wert €]]*1000/Table356[[#This Row],[Einfuhr: Gewicht]]</f>
        <v>966.16036970168796</v>
      </c>
      <c r="O115" s="8">
        <f>Table356[[#This Row],[Ausfuhr: Wert $]]*1000/Table356[[#This Row],[Ausfuhr: Gewicht]]</f>
        <v>1186.8621457804486</v>
      </c>
      <c r="P115" s="8">
        <f>Table356[[#This Row],[Einfuhr: Wert $]]*1000/Table356[[#This Row],[Einfuhr: Gewicht]]</f>
        <v>1083.4313351995099</v>
      </c>
    </row>
    <row r="116" spans="2:16" x14ac:dyDescent="0.25">
      <c r="B116">
        <f>(Table356[[#This Row],[Jahr]]-$C$8)*12+Table356[[#This Row],[Month nr]]</f>
        <v>106</v>
      </c>
      <c r="C116">
        <v>2016</v>
      </c>
      <c r="D116">
        <v>10</v>
      </c>
      <c r="E116" t="s">
        <v>23</v>
      </c>
      <c r="F116" t="str">
        <f>_xlfn.CONCAT(Table356[[#This Row],[Monat]]," ",Table356[[#This Row],[Jahr]])</f>
        <v>Oktober 2016</v>
      </c>
      <c r="G116">
        <v>2114</v>
      </c>
      <c r="H116">
        <v>2200</v>
      </c>
      <c r="I116">
        <v>2428</v>
      </c>
      <c r="J116">
        <v>15421</v>
      </c>
      <c r="K116">
        <v>15086</v>
      </c>
      <c r="L116">
        <v>16632</v>
      </c>
      <c r="M116" s="8">
        <f>Table356[[#This Row],[Ausfuhr: Wert €]]*1000/Table356[[#This Row],[Ausfuhr: Gewicht]]</f>
        <v>1040.6811731315042</v>
      </c>
      <c r="N116" s="8">
        <f>Table356[[#This Row],[Einfuhr: Wert €]]*1000/Table356[[#This Row],[Einfuhr: Gewicht]]</f>
        <v>978.27637636988527</v>
      </c>
      <c r="O116" s="8">
        <f>Table356[[#This Row],[Ausfuhr: Wert $]]*1000/Table356[[#This Row],[Ausfuhr: Gewicht]]</f>
        <v>1148.5335856196784</v>
      </c>
      <c r="P116" s="8">
        <f>Table356[[#This Row],[Einfuhr: Wert $]]*1000/Table356[[#This Row],[Einfuhr: Gewicht]]</f>
        <v>1078.5292782569225</v>
      </c>
    </row>
    <row r="117" spans="2:16" x14ac:dyDescent="0.25">
      <c r="B117">
        <f>(Table356[[#This Row],[Jahr]]-$C$8)*12+Table356[[#This Row],[Month nr]]</f>
        <v>107</v>
      </c>
      <c r="C117">
        <v>2016</v>
      </c>
      <c r="D117">
        <v>11</v>
      </c>
      <c r="E117" t="s">
        <v>19</v>
      </c>
      <c r="F117" t="str">
        <f>_xlfn.CONCAT(Table356[[#This Row],[Monat]]," ",Table356[[#This Row],[Jahr]])</f>
        <v>November 2016</v>
      </c>
      <c r="G117">
        <v>2080.0999999999995</v>
      </c>
      <c r="H117">
        <v>1812</v>
      </c>
      <c r="I117">
        <v>1958</v>
      </c>
      <c r="J117">
        <v>38869</v>
      </c>
      <c r="K117">
        <v>30314</v>
      </c>
      <c r="L117">
        <v>32735</v>
      </c>
      <c r="M117" s="8">
        <f>Table356[[#This Row],[Ausfuhr: Wert €]]*1000/Table356[[#This Row],[Ausfuhr: Gewicht]]</f>
        <v>871.11196577087662</v>
      </c>
      <c r="N117" s="8">
        <f>Table356[[#This Row],[Einfuhr: Wert €]]*1000/Table356[[#This Row],[Einfuhr: Gewicht]]</f>
        <v>779.90172116596773</v>
      </c>
      <c r="O117" s="8">
        <f>Table356[[#This Row],[Ausfuhr: Wert $]]*1000/Table356[[#This Row],[Ausfuhr: Gewicht]]</f>
        <v>941.30089899524091</v>
      </c>
      <c r="P117" s="8">
        <f>Table356[[#This Row],[Einfuhr: Wert $]]*1000/Table356[[#This Row],[Einfuhr: Gewicht]]</f>
        <v>842.18786179217375</v>
      </c>
    </row>
    <row r="118" spans="2:16" x14ac:dyDescent="0.25">
      <c r="B118">
        <f>(Table356[[#This Row],[Jahr]]-$C$8)*12+Table356[[#This Row],[Month nr]]</f>
        <v>108</v>
      </c>
      <c r="C118">
        <v>2016</v>
      </c>
      <c r="D118">
        <v>12</v>
      </c>
      <c r="E118" t="s">
        <v>24</v>
      </c>
      <c r="F118" t="str">
        <f>_xlfn.CONCAT(Table356[[#This Row],[Monat]]," ",Table356[[#This Row],[Jahr]])</f>
        <v>Dezember 2016</v>
      </c>
      <c r="G118">
        <v>2967.1999999999994</v>
      </c>
      <c r="H118">
        <v>2406</v>
      </c>
      <c r="I118">
        <v>2538</v>
      </c>
      <c r="J118">
        <v>82667.900000000009</v>
      </c>
      <c r="K118">
        <v>57065</v>
      </c>
      <c r="L118">
        <v>60164</v>
      </c>
      <c r="M118" s="8">
        <f>Table356[[#This Row],[Ausfuhr: Wert €]]*1000/Table356[[#This Row],[Ausfuhr: Gewicht]]</f>
        <v>810.86546238878418</v>
      </c>
      <c r="N118" s="8">
        <f>Table356[[#This Row],[Einfuhr: Wert €]]*1000/Table356[[#This Row],[Einfuhr: Gewicht]]</f>
        <v>690.2921206417484</v>
      </c>
      <c r="O118" s="8">
        <f>Table356[[#This Row],[Ausfuhr: Wert $]]*1000/Table356[[#This Row],[Ausfuhr: Gewicht]]</f>
        <v>855.35184685899185</v>
      </c>
      <c r="P118" s="8">
        <f>Table356[[#This Row],[Einfuhr: Wert $]]*1000/Table356[[#This Row],[Einfuhr: Gewicht]]</f>
        <v>727.77946458056863</v>
      </c>
    </row>
    <row r="119" spans="2:16" x14ac:dyDescent="0.25">
      <c r="B119">
        <f>(Table356[[#This Row],[Jahr]]-$C$8)*12+Table356[[#This Row],[Month nr]]</f>
        <v>109</v>
      </c>
      <c r="C119">
        <v>2017</v>
      </c>
      <c r="D119">
        <v>1</v>
      </c>
      <c r="E119" t="s">
        <v>13</v>
      </c>
      <c r="F119" t="str">
        <f>_xlfn.CONCAT(Table356[[#This Row],[Monat]]," ",Table356[[#This Row],[Jahr]])</f>
        <v>Januar 2017</v>
      </c>
      <c r="G119">
        <v>3033.5</v>
      </c>
      <c r="H119">
        <v>2271</v>
      </c>
      <c r="I119">
        <v>2412</v>
      </c>
      <c r="J119">
        <v>73526.900000000023</v>
      </c>
      <c r="K119">
        <v>49672</v>
      </c>
      <c r="L119">
        <v>52725</v>
      </c>
      <c r="M119" s="8">
        <f>Table356[[#This Row],[Ausfuhr: Wert €]]*1000/Table356[[#This Row],[Ausfuhr: Gewicht]]</f>
        <v>748.64018460524142</v>
      </c>
      <c r="N119" s="8">
        <f>Table356[[#This Row],[Einfuhr: Wert €]]*1000/Table356[[#This Row],[Einfuhr: Gewicht]]</f>
        <v>675.56227720738923</v>
      </c>
      <c r="O119" s="8">
        <f>Table356[[#This Row],[Ausfuhr: Wert $]]*1000/Table356[[#This Row],[Ausfuhr: Gewicht]]</f>
        <v>795.12114718971486</v>
      </c>
      <c r="P119" s="8">
        <f>Table356[[#This Row],[Einfuhr: Wert $]]*1000/Table356[[#This Row],[Einfuhr: Gewicht]]</f>
        <v>717.08449560636973</v>
      </c>
    </row>
    <row r="120" spans="2:16" x14ac:dyDescent="0.25">
      <c r="B120">
        <f>(Table356[[#This Row],[Jahr]]-$C$8)*12+Table356[[#This Row],[Month nr]]</f>
        <v>110</v>
      </c>
      <c r="C120">
        <v>2017</v>
      </c>
      <c r="D120">
        <v>2</v>
      </c>
      <c r="E120" t="s">
        <v>14</v>
      </c>
      <c r="F120" t="str">
        <f>_xlfn.CONCAT(Table356[[#This Row],[Monat]]," ",Table356[[#This Row],[Jahr]])</f>
        <v>Februar 2017</v>
      </c>
      <c r="G120">
        <v>2431.3999999999996</v>
      </c>
      <c r="H120">
        <v>1983</v>
      </c>
      <c r="I120">
        <v>2110</v>
      </c>
      <c r="J120">
        <v>68621.100000000006</v>
      </c>
      <c r="K120">
        <v>48291</v>
      </c>
      <c r="L120">
        <v>51397</v>
      </c>
      <c r="M120" s="8">
        <f>Table356[[#This Row],[Ausfuhr: Wert €]]*1000/Table356[[#This Row],[Ausfuhr: Gewicht]]</f>
        <v>815.57950152175715</v>
      </c>
      <c r="N120" s="8">
        <f>Table356[[#This Row],[Einfuhr: Wert €]]*1000/Table356[[#This Row],[Einfuhr: Gewicht]]</f>
        <v>703.73398269628433</v>
      </c>
      <c r="O120" s="8">
        <f>Table356[[#This Row],[Ausfuhr: Wert $]]*1000/Table356[[#This Row],[Ausfuhr: Gewicht]]</f>
        <v>867.81278275890452</v>
      </c>
      <c r="P120" s="8">
        <f>Table356[[#This Row],[Einfuhr: Wert $]]*1000/Table356[[#This Row],[Einfuhr: Gewicht]]</f>
        <v>748.99702861073342</v>
      </c>
    </row>
    <row r="121" spans="2:16" x14ac:dyDescent="0.25">
      <c r="B121">
        <f>(Table356[[#This Row],[Jahr]]-$C$8)*12+Table356[[#This Row],[Month nr]]</f>
        <v>111</v>
      </c>
      <c r="C121">
        <v>2017</v>
      </c>
      <c r="D121">
        <v>3</v>
      </c>
      <c r="E121" t="s">
        <v>15</v>
      </c>
      <c r="F121" t="str">
        <f>_xlfn.CONCAT(Table356[[#This Row],[Monat]]," ",Table356[[#This Row],[Jahr]])</f>
        <v>März 2017</v>
      </c>
      <c r="G121">
        <v>2469.1000000000004</v>
      </c>
      <c r="H121">
        <v>1869</v>
      </c>
      <c r="I121">
        <v>1997</v>
      </c>
      <c r="J121">
        <v>58347.4</v>
      </c>
      <c r="K121">
        <v>41194</v>
      </c>
      <c r="L121">
        <v>44015</v>
      </c>
      <c r="M121" s="8">
        <f>Table356[[#This Row],[Ausfuhr: Wert €]]*1000/Table356[[#This Row],[Ausfuhr: Gewicht]]</f>
        <v>756.9559758616499</v>
      </c>
      <c r="N121" s="8">
        <f>Table356[[#This Row],[Einfuhr: Wert €]]*1000/Table356[[#This Row],[Einfuhr: Gewicht]]</f>
        <v>706.0126072455671</v>
      </c>
      <c r="O121" s="8">
        <f>Table356[[#This Row],[Ausfuhr: Wert $]]*1000/Table356[[#This Row],[Ausfuhr: Gewicht]]</f>
        <v>808.79672755254944</v>
      </c>
      <c r="P121" s="8">
        <f>Table356[[#This Row],[Einfuhr: Wert $]]*1000/Table356[[#This Row],[Einfuhr: Gewicht]]</f>
        <v>754.36094838844576</v>
      </c>
    </row>
    <row r="122" spans="2:16" x14ac:dyDescent="0.25">
      <c r="B122">
        <f>(Table356[[#This Row],[Jahr]]-$C$8)*12+Table356[[#This Row],[Month nr]]</f>
        <v>112</v>
      </c>
      <c r="C122">
        <v>2017</v>
      </c>
      <c r="D122">
        <v>4</v>
      </c>
      <c r="E122" t="s">
        <v>16</v>
      </c>
      <c r="F122" t="str">
        <f>_xlfn.CONCAT(Table356[[#This Row],[Monat]]," ",Table356[[#This Row],[Jahr]])</f>
        <v>April 2017</v>
      </c>
      <c r="G122">
        <v>2377.3000000000006</v>
      </c>
      <c r="H122">
        <v>1935</v>
      </c>
      <c r="I122">
        <v>2073</v>
      </c>
      <c r="J122">
        <v>41101</v>
      </c>
      <c r="K122">
        <v>31325</v>
      </c>
      <c r="L122">
        <v>33591</v>
      </c>
      <c r="M122" s="8">
        <f>Table356[[#This Row],[Ausfuhr: Wert €]]*1000/Table356[[#This Row],[Ausfuhr: Gewicht]]</f>
        <v>813.94859714802487</v>
      </c>
      <c r="N122" s="8">
        <f>Table356[[#This Row],[Einfuhr: Wert €]]*1000/Table356[[#This Row],[Einfuhr: Gewicht]]</f>
        <v>762.14690640130414</v>
      </c>
      <c r="O122" s="8">
        <f>Table356[[#This Row],[Ausfuhr: Wert $]]*1000/Table356[[#This Row],[Ausfuhr: Gewicht]]</f>
        <v>871.99764438648867</v>
      </c>
      <c r="P122" s="8">
        <f>Table356[[#This Row],[Einfuhr: Wert $]]*1000/Table356[[#This Row],[Einfuhr: Gewicht]]</f>
        <v>817.27938492980707</v>
      </c>
    </row>
    <row r="123" spans="2:16" x14ac:dyDescent="0.25">
      <c r="B123">
        <f>(Table356[[#This Row],[Jahr]]-$C$8)*12+Table356[[#This Row],[Month nr]]</f>
        <v>113</v>
      </c>
      <c r="C123">
        <v>2017</v>
      </c>
      <c r="D123">
        <v>5</v>
      </c>
      <c r="E123" t="s">
        <v>20</v>
      </c>
      <c r="F123" t="str">
        <f>_xlfn.CONCAT(Table356[[#This Row],[Monat]]," ",Table356[[#This Row],[Jahr]])</f>
        <v>Mai 2017</v>
      </c>
      <c r="G123">
        <v>2081.5000000000005</v>
      </c>
      <c r="H123">
        <v>1727</v>
      </c>
      <c r="I123">
        <v>1910</v>
      </c>
      <c r="J123">
        <v>28863.200000000001</v>
      </c>
      <c r="K123">
        <v>23080</v>
      </c>
      <c r="L123">
        <v>25525</v>
      </c>
      <c r="M123" s="8">
        <f>Table356[[#This Row],[Ausfuhr: Wert €]]*1000/Table356[[#This Row],[Ausfuhr: Gewicht]]</f>
        <v>829.69012731203441</v>
      </c>
      <c r="N123" s="8">
        <f>Table356[[#This Row],[Einfuhr: Wert €]]*1000/Table356[[#This Row],[Einfuhr: Gewicht]]</f>
        <v>799.63413620111419</v>
      </c>
      <c r="O123" s="8">
        <f>Table356[[#This Row],[Ausfuhr: Wert $]]*1000/Table356[[#This Row],[Ausfuhr: Gewicht]]</f>
        <v>917.60749459524357</v>
      </c>
      <c r="P123" s="8">
        <f>Table356[[#This Row],[Einfuhr: Wert $]]*1000/Table356[[#This Row],[Einfuhr: Gewicht]]</f>
        <v>884.34407827267933</v>
      </c>
    </row>
    <row r="124" spans="2:16" x14ac:dyDescent="0.25">
      <c r="B124">
        <f>(Table356[[#This Row],[Jahr]]-$C$8)*12+Table356[[#This Row],[Month nr]]</f>
        <v>114</v>
      </c>
      <c r="C124">
        <v>2017</v>
      </c>
      <c r="D124">
        <v>6</v>
      </c>
      <c r="E124" t="s">
        <v>21</v>
      </c>
      <c r="F124" t="str">
        <f>_xlfn.CONCAT(Table356[[#This Row],[Monat]]," ",Table356[[#This Row],[Jahr]])</f>
        <v>Juni 2017</v>
      </c>
      <c r="G124">
        <v>1495.6</v>
      </c>
      <c r="H124">
        <v>1174</v>
      </c>
      <c r="I124">
        <v>1320</v>
      </c>
      <c r="J124">
        <v>18014.899999999998</v>
      </c>
      <c r="K124">
        <v>14902</v>
      </c>
      <c r="L124">
        <v>16733</v>
      </c>
      <c r="M124" s="8">
        <f>Table356[[#This Row],[Ausfuhr: Wert €]]*1000/Table356[[#This Row],[Ausfuhr: Gewicht]]</f>
        <v>784.96924311313194</v>
      </c>
      <c r="N124" s="8">
        <f>Table356[[#This Row],[Einfuhr: Wert €]]*1000/Table356[[#This Row],[Einfuhr: Gewicht]]</f>
        <v>827.20414767775571</v>
      </c>
      <c r="O124" s="8">
        <f>Table356[[#This Row],[Ausfuhr: Wert $]]*1000/Table356[[#This Row],[Ausfuhr: Gewicht]]</f>
        <v>882.58892752072757</v>
      </c>
      <c r="P124" s="8">
        <f>Table356[[#This Row],[Einfuhr: Wert $]]*1000/Table356[[#This Row],[Einfuhr: Gewicht]]</f>
        <v>928.84223614896564</v>
      </c>
    </row>
    <row r="125" spans="2:16" x14ac:dyDescent="0.25">
      <c r="B125">
        <f>(Table356[[#This Row],[Jahr]]-$C$8)*12+Table356[[#This Row],[Month nr]]</f>
        <v>115</v>
      </c>
      <c r="C125">
        <v>2017</v>
      </c>
      <c r="D125">
        <v>7</v>
      </c>
      <c r="E125" t="s">
        <v>22</v>
      </c>
      <c r="F125" t="str">
        <f>_xlfn.CONCAT(Table356[[#This Row],[Monat]]," ",Table356[[#This Row],[Jahr]])</f>
        <v>Juli 2017</v>
      </c>
      <c r="G125">
        <v>1305.5</v>
      </c>
      <c r="H125">
        <v>1397</v>
      </c>
      <c r="I125">
        <v>1607</v>
      </c>
      <c r="J125">
        <v>12513.7</v>
      </c>
      <c r="K125">
        <v>11646</v>
      </c>
      <c r="L125">
        <v>13406</v>
      </c>
      <c r="M125" s="8">
        <f>Table356[[#This Row],[Ausfuhr: Wert €]]*1000/Table356[[#This Row],[Ausfuhr: Gewicht]]</f>
        <v>1070.088088854845</v>
      </c>
      <c r="N125" s="8">
        <f>Table356[[#This Row],[Einfuhr: Wert €]]*1000/Table356[[#This Row],[Einfuhr: Gewicht]]</f>
        <v>930.65999664367848</v>
      </c>
      <c r="O125" s="8">
        <f>Table356[[#This Row],[Ausfuhr: Wert $]]*1000/Table356[[#This Row],[Ausfuhr: Gewicht]]</f>
        <v>1230.9459977020299</v>
      </c>
      <c r="P125" s="8">
        <f>Table356[[#This Row],[Einfuhr: Wert $]]*1000/Table356[[#This Row],[Einfuhr: Gewicht]]</f>
        <v>1071.3058487897265</v>
      </c>
    </row>
    <row r="126" spans="2:16" x14ac:dyDescent="0.25">
      <c r="B126">
        <f>(Table356[[#This Row],[Jahr]]-$C$8)*12+Table356[[#This Row],[Month nr]]</f>
        <v>116</v>
      </c>
      <c r="C126">
        <v>2017</v>
      </c>
      <c r="D126">
        <v>8</v>
      </c>
      <c r="E126" t="s">
        <v>17</v>
      </c>
      <c r="F126" t="str">
        <f>_xlfn.CONCAT(Table356[[#This Row],[Monat]]," ",Table356[[#This Row],[Jahr]])</f>
        <v>August 2017</v>
      </c>
      <c r="G126">
        <v>3285.9000000000005</v>
      </c>
      <c r="H126">
        <v>2452</v>
      </c>
      <c r="I126">
        <v>2893</v>
      </c>
      <c r="J126">
        <v>12223</v>
      </c>
      <c r="K126">
        <v>11334</v>
      </c>
      <c r="L126">
        <v>13382</v>
      </c>
      <c r="M126" s="8">
        <f>Table356[[#This Row],[Ausfuhr: Wert €]]*1000/Table356[[#This Row],[Ausfuhr: Gewicht]]</f>
        <v>746.21869198697448</v>
      </c>
      <c r="N126" s="8">
        <f>Table356[[#This Row],[Einfuhr: Wert €]]*1000/Table356[[#This Row],[Einfuhr: Gewicht]]</f>
        <v>927.26826474678887</v>
      </c>
      <c r="O126" s="8">
        <f>Table356[[#This Row],[Ausfuhr: Wert $]]*1000/Table356[[#This Row],[Ausfuhr: Gewicht]]</f>
        <v>880.42849751970527</v>
      </c>
      <c r="P126" s="8">
        <f>Table356[[#This Row],[Einfuhr: Wert $]]*1000/Table356[[#This Row],[Einfuhr: Gewicht]]</f>
        <v>1094.8212386484497</v>
      </c>
    </row>
    <row r="127" spans="2:16" x14ac:dyDescent="0.25">
      <c r="B127">
        <f>(Table356[[#This Row],[Jahr]]-$C$8)*12+Table356[[#This Row],[Month nr]]</f>
        <v>117</v>
      </c>
      <c r="C127">
        <v>2017</v>
      </c>
      <c r="D127">
        <v>9</v>
      </c>
      <c r="E127" t="s">
        <v>18</v>
      </c>
      <c r="F127" t="str">
        <f>_xlfn.CONCAT(Table356[[#This Row],[Monat]]," ",Table356[[#This Row],[Jahr]])</f>
        <v>September 2017</v>
      </c>
      <c r="G127">
        <v>1748.8999999999999</v>
      </c>
      <c r="H127">
        <v>1987</v>
      </c>
      <c r="I127">
        <v>2365</v>
      </c>
      <c r="J127">
        <v>14274.7</v>
      </c>
      <c r="K127">
        <v>14441</v>
      </c>
      <c r="L127">
        <v>17207</v>
      </c>
      <c r="M127" s="8">
        <f>Table356[[#This Row],[Ausfuhr: Wert €]]*1000/Table356[[#This Row],[Ausfuhr: Gewicht]]</f>
        <v>1136.1427182800619</v>
      </c>
      <c r="N127" s="8">
        <f>Table356[[#This Row],[Einfuhr: Wert €]]*1000/Table356[[#This Row],[Einfuhr: Gewicht]]</f>
        <v>1011.649982136227</v>
      </c>
      <c r="O127" s="8">
        <f>Table356[[#This Row],[Ausfuhr: Wert $]]*1000/Table356[[#This Row],[Ausfuhr: Gewicht]]</f>
        <v>1352.2785751043514</v>
      </c>
      <c r="P127" s="8">
        <f>Table356[[#This Row],[Einfuhr: Wert $]]*1000/Table356[[#This Row],[Einfuhr: Gewicht]]</f>
        <v>1205.4193783407006</v>
      </c>
    </row>
    <row r="128" spans="2:16" x14ac:dyDescent="0.25">
      <c r="B128">
        <f>(Table356[[#This Row],[Jahr]]-$C$8)*12+Table356[[#This Row],[Month nr]]</f>
        <v>118</v>
      </c>
      <c r="C128">
        <v>2017</v>
      </c>
      <c r="D128">
        <v>10</v>
      </c>
      <c r="E128" t="s">
        <v>23</v>
      </c>
      <c r="F128" t="str">
        <f>_xlfn.CONCAT(Table356[[#This Row],[Monat]]," ",Table356[[#This Row],[Jahr]])</f>
        <v>Oktober 2017</v>
      </c>
      <c r="G128">
        <v>2644.3</v>
      </c>
      <c r="H128">
        <v>2623</v>
      </c>
      <c r="I128">
        <v>3087</v>
      </c>
      <c r="J128">
        <v>18571.299999999996</v>
      </c>
      <c r="K128">
        <v>18432</v>
      </c>
      <c r="L128">
        <v>21669</v>
      </c>
      <c r="M128" s="8">
        <f>Table356[[#This Row],[Ausfuhr: Wert €]]*1000/Table356[[#This Row],[Ausfuhr: Gewicht]]</f>
        <v>991.94493816889155</v>
      </c>
      <c r="N128" s="8">
        <f>Table356[[#This Row],[Einfuhr: Wert €]]*1000/Table356[[#This Row],[Einfuhr: Gewicht]]</f>
        <v>992.49917884046909</v>
      </c>
      <c r="O128" s="8">
        <f>Table356[[#This Row],[Ausfuhr: Wert $]]*1000/Table356[[#This Row],[Ausfuhr: Gewicht]]</f>
        <v>1167.416707635291</v>
      </c>
      <c r="P128" s="8">
        <f>Table356[[#This Row],[Einfuhr: Wert $]]*1000/Table356[[#This Row],[Einfuhr: Gewicht]]</f>
        <v>1166.8003855411309</v>
      </c>
    </row>
    <row r="129" spans="2:16" x14ac:dyDescent="0.25">
      <c r="B129">
        <f>(Table356[[#This Row],[Jahr]]-$C$8)*12+Table356[[#This Row],[Month nr]]</f>
        <v>119</v>
      </c>
      <c r="C129">
        <v>2017</v>
      </c>
      <c r="D129">
        <v>11</v>
      </c>
      <c r="E129" t="s">
        <v>19</v>
      </c>
      <c r="F129" t="str">
        <f>_xlfn.CONCAT(Table356[[#This Row],[Monat]]," ",Table356[[#This Row],[Jahr]])</f>
        <v>November 2017</v>
      </c>
      <c r="G129">
        <v>2291.9</v>
      </c>
      <c r="H129">
        <v>1566</v>
      </c>
      <c r="I129">
        <v>1840</v>
      </c>
      <c r="J129">
        <v>40939.4</v>
      </c>
      <c r="K129">
        <v>32548</v>
      </c>
      <c r="L129">
        <v>38204</v>
      </c>
      <c r="M129" s="8">
        <f>Table356[[#This Row],[Ausfuhr: Wert €]]*1000/Table356[[#This Row],[Ausfuhr: Gewicht]]</f>
        <v>683.27588463720053</v>
      </c>
      <c r="N129" s="8">
        <f>Table356[[#This Row],[Einfuhr: Wert €]]*1000/Table356[[#This Row],[Einfuhr: Gewicht]]</f>
        <v>795.02874981069579</v>
      </c>
      <c r="O129" s="8">
        <f>Table356[[#This Row],[Ausfuhr: Wert $]]*1000/Table356[[#This Row],[Ausfuhr: Gewicht]]</f>
        <v>802.82734848815392</v>
      </c>
      <c r="P129" s="8">
        <f>Table356[[#This Row],[Einfuhr: Wert $]]*1000/Table356[[#This Row],[Einfuhr: Gewicht]]</f>
        <v>933.18416977288382</v>
      </c>
    </row>
    <row r="130" spans="2:16" x14ac:dyDescent="0.25">
      <c r="B130">
        <f>(Table356[[#This Row],[Jahr]]-$C$8)*12+Table356[[#This Row],[Month nr]]</f>
        <v>120</v>
      </c>
      <c r="C130">
        <v>2017</v>
      </c>
      <c r="D130">
        <v>12</v>
      </c>
      <c r="E130" t="s">
        <v>24</v>
      </c>
      <c r="F130" t="str">
        <f>_xlfn.CONCAT(Table356[[#This Row],[Monat]]," ",Table356[[#This Row],[Jahr]])</f>
        <v>Dezember 2017</v>
      </c>
      <c r="G130">
        <v>2642.8</v>
      </c>
      <c r="H130">
        <v>1715</v>
      </c>
      <c r="I130">
        <v>2025</v>
      </c>
      <c r="J130">
        <v>75232.100000000006</v>
      </c>
      <c r="K130">
        <v>56901</v>
      </c>
      <c r="L130">
        <v>67347</v>
      </c>
      <c r="M130" s="8">
        <f>Table356[[#This Row],[Ausfuhr: Wert €]]*1000/Table356[[#This Row],[Ausfuhr: Gewicht]]</f>
        <v>648.93294990161939</v>
      </c>
      <c r="N130" s="8">
        <f>Table356[[#This Row],[Einfuhr: Wert €]]*1000/Table356[[#This Row],[Einfuhr: Gewicht]]</f>
        <v>756.33938172668309</v>
      </c>
      <c r="O130" s="8">
        <f>Table356[[#This Row],[Ausfuhr: Wert $]]*1000/Table356[[#This Row],[Ausfuhr: Gewicht]]</f>
        <v>766.23278341153321</v>
      </c>
      <c r="P130" s="8">
        <f>Table356[[#This Row],[Einfuhr: Wert $]]*1000/Table356[[#This Row],[Einfuhr: Gewicht]]</f>
        <v>895.18968631740961</v>
      </c>
    </row>
    <row r="131" spans="2:16" x14ac:dyDescent="0.25">
      <c r="B131">
        <f>(Table356[[#This Row],[Jahr]]-$C$8)*12+Table356[[#This Row],[Month nr]]</f>
        <v>121</v>
      </c>
      <c r="C131">
        <v>2018</v>
      </c>
      <c r="D131">
        <v>1</v>
      </c>
      <c r="E131" t="s">
        <v>13</v>
      </c>
      <c r="F131" t="str">
        <f>_xlfn.CONCAT(Table356[[#This Row],[Monat]]," ",Table356[[#This Row],[Jahr]])</f>
        <v>Januar 2018</v>
      </c>
      <c r="G131">
        <v>4115.8</v>
      </c>
      <c r="H131">
        <v>2636</v>
      </c>
      <c r="I131">
        <v>3214</v>
      </c>
      <c r="J131">
        <v>78443.399999999994</v>
      </c>
      <c r="K131">
        <v>55928</v>
      </c>
      <c r="L131">
        <v>68232</v>
      </c>
      <c r="M131" s="8">
        <f>Table356[[#This Row],[Ausfuhr: Wert €]]*1000/Table356[[#This Row],[Ausfuhr: Gewicht]]</f>
        <v>640.45872005442436</v>
      </c>
      <c r="N131" s="8">
        <f>Table356[[#This Row],[Einfuhr: Wert €]]*1000/Table356[[#This Row],[Einfuhr: Gewicht]]</f>
        <v>712.97266564172389</v>
      </c>
      <c r="O131" s="8">
        <f>Table356[[#This Row],[Ausfuhr: Wert $]]*1000/Table356[[#This Row],[Ausfuhr: Gewicht]]</f>
        <v>780.89314349579661</v>
      </c>
      <c r="P131" s="8">
        <f>Table356[[#This Row],[Einfuhr: Wert $]]*1000/Table356[[#This Row],[Einfuhr: Gewicht]]</f>
        <v>869.8246123956892</v>
      </c>
    </row>
    <row r="132" spans="2:16" x14ac:dyDescent="0.25">
      <c r="B132">
        <f>(Table356[[#This Row],[Jahr]]-$C$8)*12+Table356[[#This Row],[Month nr]]</f>
        <v>122</v>
      </c>
      <c r="C132">
        <v>2018</v>
      </c>
      <c r="D132">
        <v>2</v>
      </c>
      <c r="E132" t="s">
        <v>14</v>
      </c>
      <c r="F132" t="str">
        <f>_xlfn.CONCAT(Table356[[#This Row],[Monat]]," ",Table356[[#This Row],[Jahr]])</f>
        <v>Februar 2018</v>
      </c>
      <c r="G132">
        <v>2709.8000000000011</v>
      </c>
      <c r="H132">
        <v>2186</v>
      </c>
      <c r="I132">
        <v>2699</v>
      </c>
      <c r="J132">
        <v>70226.799999999988</v>
      </c>
      <c r="K132">
        <v>52669</v>
      </c>
      <c r="L132">
        <v>65035</v>
      </c>
      <c r="M132" s="8">
        <f>Table356[[#This Row],[Ausfuhr: Wert €]]*1000/Table356[[#This Row],[Ausfuhr: Gewicht]]</f>
        <v>806.70160159421323</v>
      </c>
      <c r="N132" s="8">
        <f>Table356[[#This Row],[Einfuhr: Wert €]]*1000/Table356[[#This Row],[Einfuhr: Gewicht]]</f>
        <v>749.98433646414207</v>
      </c>
      <c r="O132" s="8">
        <f>Table356[[#This Row],[Ausfuhr: Wert $]]*1000/Table356[[#This Row],[Ausfuhr: Gewicht]]</f>
        <v>996.01446601225143</v>
      </c>
      <c r="P132" s="8">
        <f>Table356[[#This Row],[Einfuhr: Wert $]]*1000/Table356[[#This Row],[Einfuhr: Gewicht]]</f>
        <v>926.07095866535303</v>
      </c>
    </row>
    <row r="133" spans="2:16" x14ac:dyDescent="0.25">
      <c r="B133">
        <f>(Table356[[#This Row],[Jahr]]-$C$8)*12+Table356[[#This Row],[Month nr]]</f>
        <v>123</v>
      </c>
      <c r="C133">
        <v>2018</v>
      </c>
      <c r="D133">
        <v>3</v>
      </c>
      <c r="E133" t="s">
        <v>15</v>
      </c>
      <c r="F133" t="str">
        <f>_xlfn.CONCAT(Table356[[#This Row],[Monat]]," ",Table356[[#This Row],[Jahr]])</f>
        <v>März 2018</v>
      </c>
      <c r="G133" s="10">
        <v>3214.8000000000006</v>
      </c>
      <c r="H133" s="10">
        <v>2656</v>
      </c>
      <c r="I133" s="10">
        <v>3274</v>
      </c>
      <c r="J133" s="10">
        <v>67290.799999999988</v>
      </c>
      <c r="K133" s="10">
        <v>51397</v>
      </c>
      <c r="L133" s="10">
        <v>63406</v>
      </c>
      <c r="M133" s="8">
        <f>Table356[[#This Row],[Ausfuhr: Wert €]]*1000/Table356[[#This Row],[Ausfuhr: Gewicht]]</f>
        <v>826.17892248351359</v>
      </c>
      <c r="N133" s="8">
        <f>Table356[[#This Row],[Einfuhr: Wert €]]*1000/Table356[[#This Row],[Einfuhr: Gewicht]]</f>
        <v>763.80426447597608</v>
      </c>
      <c r="O133" s="8">
        <f>Table356[[#This Row],[Ausfuhr: Wert $]]*1000/Table356[[#This Row],[Ausfuhr: Gewicht]]</f>
        <v>1018.4148314047528</v>
      </c>
      <c r="P133" s="8">
        <f>Table356[[#This Row],[Einfuhr: Wert $]]*1000/Table356[[#This Row],[Einfuhr: Gewicht]]</f>
        <v>942.2684824671428</v>
      </c>
    </row>
    <row r="134" spans="2:16" x14ac:dyDescent="0.25">
      <c r="B134">
        <f>(Table356[[#This Row],[Jahr]]-$C$8)*12+Table356[[#This Row],[Month nr]]</f>
        <v>124</v>
      </c>
      <c r="C134">
        <v>2018</v>
      </c>
      <c r="D134">
        <v>4</v>
      </c>
      <c r="E134" t="s">
        <v>16</v>
      </c>
      <c r="F134" t="str">
        <f>_xlfn.CONCAT(Table356[[#This Row],[Monat]]," ",Table356[[#This Row],[Jahr]])</f>
        <v>April 2018</v>
      </c>
      <c r="G134">
        <v>3093.4999999999995</v>
      </c>
      <c r="H134">
        <v>2545</v>
      </c>
      <c r="I134">
        <v>3125</v>
      </c>
      <c r="J134">
        <v>42002.100000000006</v>
      </c>
      <c r="K134">
        <v>32243</v>
      </c>
      <c r="L134">
        <v>39580</v>
      </c>
      <c r="M134" s="8">
        <f>Table356[[#This Row],[Ausfuhr: Wert €]]*1000/Table356[[#This Row],[Ausfuhr: Gewicht]]</f>
        <v>822.69274284790697</v>
      </c>
      <c r="N134" s="8">
        <f>Table356[[#This Row],[Einfuhr: Wert €]]*1000/Table356[[#This Row],[Einfuhr: Gewicht]]</f>
        <v>767.65209358579682</v>
      </c>
      <c r="O134" s="8">
        <f>Table356[[#This Row],[Ausfuhr: Wert $]]*1000/Table356[[#This Row],[Ausfuhr: Gewicht]]</f>
        <v>1010.1826410214968</v>
      </c>
      <c r="P134" s="8">
        <f>Table356[[#This Row],[Einfuhr: Wert $]]*1000/Table356[[#This Row],[Einfuhr: Gewicht]]</f>
        <v>942.33383568916781</v>
      </c>
    </row>
    <row r="135" spans="2:16" x14ac:dyDescent="0.25">
      <c r="B135">
        <f>(Table356[[#This Row],[Jahr]]-$C$8)*12+Table356[[#This Row],[Month nr]]</f>
        <v>125</v>
      </c>
      <c r="C135">
        <v>2018</v>
      </c>
      <c r="D135">
        <v>5</v>
      </c>
      <c r="E135" t="s">
        <v>20</v>
      </c>
      <c r="F135" t="str">
        <f>_xlfn.CONCAT(Table356[[#This Row],[Monat]]," ",Table356[[#This Row],[Jahr]])</f>
        <v>Mai 2018</v>
      </c>
      <c r="G135">
        <v>1786.9</v>
      </c>
      <c r="H135">
        <v>1653</v>
      </c>
      <c r="I135">
        <v>1951</v>
      </c>
      <c r="J135">
        <v>32558.600000000002</v>
      </c>
      <c r="K135">
        <v>25005</v>
      </c>
      <c r="L135">
        <v>29536</v>
      </c>
      <c r="M135" s="8">
        <f>Table356[[#This Row],[Ausfuhr: Wert €]]*1000/Table356[[#This Row],[Ausfuhr: Gewicht]]</f>
        <v>925.06575633779164</v>
      </c>
      <c r="N135" s="8">
        <f>Table356[[#This Row],[Einfuhr: Wert €]]*1000/Table356[[#This Row],[Einfuhr: Gewicht]]</f>
        <v>767.99985257351352</v>
      </c>
      <c r="O135" s="8">
        <f>Table356[[#This Row],[Ausfuhr: Wert $]]*1000/Table356[[#This Row],[Ausfuhr: Gewicht]]</f>
        <v>1091.8350215456935</v>
      </c>
      <c r="P135" s="8">
        <f>Table356[[#This Row],[Einfuhr: Wert $]]*1000/Table356[[#This Row],[Einfuhr: Gewicht]]</f>
        <v>907.16431296185942</v>
      </c>
    </row>
    <row r="136" spans="2:16" x14ac:dyDescent="0.25">
      <c r="B136">
        <f>(Table356[[#This Row],[Jahr]]-$C$8)*12+Table356[[#This Row],[Month nr]]</f>
        <v>126</v>
      </c>
      <c r="C136">
        <v>2018</v>
      </c>
      <c r="D136">
        <v>6</v>
      </c>
      <c r="E136" t="s">
        <v>21</v>
      </c>
      <c r="F136" t="str">
        <f>_xlfn.CONCAT(Table356[[#This Row],[Monat]]," ",Table356[[#This Row],[Jahr]])</f>
        <v>Juni 2018</v>
      </c>
      <c r="G136">
        <v>1676.8</v>
      </c>
      <c r="H136">
        <v>1534</v>
      </c>
      <c r="I136">
        <v>1789</v>
      </c>
      <c r="J136">
        <v>17319.899999999998</v>
      </c>
      <c r="K136">
        <v>14481</v>
      </c>
      <c r="L136">
        <v>16911</v>
      </c>
      <c r="M136" s="8">
        <f>Table356[[#This Row],[Ausfuhr: Wert €]]*1000/Table356[[#This Row],[Ausfuhr: Gewicht]]</f>
        <v>914.83778625954199</v>
      </c>
      <c r="N136" s="8">
        <f>Table356[[#This Row],[Einfuhr: Wert €]]*1000/Table356[[#This Row],[Einfuhr: Gewicht]]</f>
        <v>836.09027765749238</v>
      </c>
      <c r="O136" s="8">
        <f>Table356[[#This Row],[Ausfuhr: Wert $]]*1000/Table356[[#This Row],[Ausfuhr: Gewicht]]</f>
        <v>1066.9131679389313</v>
      </c>
      <c r="P136" s="8">
        <f>Table356[[#This Row],[Einfuhr: Wert $]]*1000/Table356[[#This Row],[Einfuhr: Gewicht]]</f>
        <v>976.3913186565743</v>
      </c>
    </row>
    <row r="137" spans="2:16" x14ac:dyDescent="0.25">
      <c r="B137">
        <f>(Table356[[#This Row],[Jahr]]-$C$8)*12+Table356[[#This Row],[Month nr]]</f>
        <v>127</v>
      </c>
      <c r="C137">
        <v>2018</v>
      </c>
      <c r="D137">
        <v>7</v>
      </c>
      <c r="E137" t="s">
        <v>22</v>
      </c>
      <c r="F137" t="str">
        <f>_xlfn.CONCAT(Table356[[#This Row],[Monat]]," ",Table356[[#This Row],[Jahr]])</f>
        <v>Juli 2018</v>
      </c>
      <c r="G137">
        <v>1760.6</v>
      </c>
      <c r="H137">
        <v>1887</v>
      </c>
      <c r="I137">
        <v>2207</v>
      </c>
      <c r="J137">
        <v>15502</v>
      </c>
      <c r="K137">
        <v>13207</v>
      </c>
      <c r="L137">
        <v>15432</v>
      </c>
      <c r="M137" s="8">
        <f>Table356[[#This Row],[Ausfuhr: Wert €]]*1000/Table356[[#This Row],[Ausfuhr: Gewicht]]</f>
        <v>1071.793706690901</v>
      </c>
      <c r="N137" s="8">
        <f>Table356[[#This Row],[Einfuhr: Wert €]]*1000/Table356[[#This Row],[Einfuhr: Gewicht]]</f>
        <v>851.9545865049671</v>
      </c>
      <c r="O137" s="8">
        <f>Table356[[#This Row],[Ausfuhr: Wert $]]*1000/Table356[[#This Row],[Ausfuhr: Gewicht]]</f>
        <v>1253.549926161536</v>
      </c>
      <c r="P137" s="8">
        <f>Table356[[#This Row],[Einfuhr: Wert $]]*1000/Table356[[#This Row],[Einfuhr: Gewicht]]</f>
        <v>995.48445361888787</v>
      </c>
    </row>
    <row r="138" spans="2:16" x14ac:dyDescent="0.25">
      <c r="B138">
        <f>(Table356[[#This Row],[Jahr]]-$C$8)*12+Table356[[#This Row],[Month nr]]</f>
        <v>128</v>
      </c>
      <c r="C138">
        <v>2018</v>
      </c>
      <c r="D138">
        <v>8</v>
      </c>
      <c r="E138" t="s">
        <v>17</v>
      </c>
      <c r="F138" t="str">
        <f>_xlfn.CONCAT(Table356[[#This Row],[Monat]]," ",Table356[[#This Row],[Jahr]])</f>
        <v>August 2018</v>
      </c>
      <c r="G138">
        <v>1657.3</v>
      </c>
      <c r="H138">
        <v>1954</v>
      </c>
      <c r="I138">
        <v>2257</v>
      </c>
      <c r="J138">
        <v>14503.999999999998</v>
      </c>
      <c r="K138">
        <v>13027</v>
      </c>
      <c r="L138">
        <v>15045</v>
      </c>
      <c r="M138" s="8">
        <f>Table356[[#This Row],[Ausfuhr: Wert €]]*1000/Table356[[#This Row],[Ausfuhr: Gewicht]]</f>
        <v>1179.0261268328004</v>
      </c>
      <c r="N138" s="8">
        <f>Table356[[#This Row],[Einfuhr: Wert €]]*1000/Table356[[#This Row],[Einfuhr: Gewicht]]</f>
        <v>898.16602316602325</v>
      </c>
      <c r="O138" s="8">
        <f>Table356[[#This Row],[Ausfuhr: Wert $]]*1000/Table356[[#This Row],[Ausfuhr: Gewicht]]</f>
        <v>1361.8536173293912</v>
      </c>
      <c r="P138" s="8">
        <f>Table356[[#This Row],[Einfuhr: Wert $]]*1000/Table356[[#This Row],[Einfuhr: Gewicht]]</f>
        <v>1037.3000551571981</v>
      </c>
    </row>
    <row r="139" spans="2:16" x14ac:dyDescent="0.25">
      <c r="B139">
        <f>(Table356[[#This Row],[Jahr]]-$C$8)*12+Table356[[#This Row],[Month nr]]</f>
        <v>129</v>
      </c>
      <c r="C139">
        <v>2018</v>
      </c>
      <c r="D139">
        <v>9</v>
      </c>
      <c r="E139" t="s">
        <v>18</v>
      </c>
      <c r="F139" t="str">
        <f>_xlfn.CONCAT(Table356[[#This Row],[Monat]]," ",Table356[[#This Row],[Jahr]])</f>
        <v>September 2018</v>
      </c>
      <c r="G139">
        <v>2552.1</v>
      </c>
      <c r="H139">
        <v>2682</v>
      </c>
      <c r="I139">
        <v>3127</v>
      </c>
      <c r="J139">
        <v>12626.999999999998</v>
      </c>
      <c r="K139">
        <v>12418</v>
      </c>
      <c r="L139">
        <v>14475</v>
      </c>
      <c r="M139" s="8">
        <f>Table356[[#This Row],[Ausfuhr: Wert €]]*1000/Table356[[#This Row],[Ausfuhr: Gewicht]]</f>
        <v>1050.8992594334079</v>
      </c>
      <c r="N139" s="8">
        <f>Table356[[#This Row],[Einfuhr: Wert €]]*1000/Table356[[#This Row],[Einfuhr: Gewicht]]</f>
        <v>983.4481666270691</v>
      </c>
      <c r="O139" s="8">
        <f>Table356[[#This Row],[Ausfuhr: Wert $]]*1000/Table356[[#This Row],[Ausfuhr: Gewicht]]</f>
        <v>1225.2654676540888</v>
      </c>
      <c r="P139" s="8">
        <f>Table356[[#This Row],[Einfuhr: Wert $]]*1000/Table356[[#This Row],[Einfuhr: Gewicht]]</f>
        <v>1146.353052981706</v>
      </c>
    </row>
    <row r="140" spans="2:16" x14ac:dyDescent="0.25">
      <c r="B140">
        <f>(Table356[[#This Row],[Jahr]]-$C$8)*12+Table356[[#This Row],[Month nr]]</f>
        <v>130</v>
      </c>
      <c r="C140">
        <v>2018</v>
      </c>
      <c r="D140">
        <v>10</v>
      </c>
      <c r="E140" t="s">
        <v>23</v>
      </c>
      <c r="F140" t="str">
        <f>_xlfn.CONCAT(Table356[[#This Row],[Monat]]," ",Table356[[#This Row],[Jahr]])</f>
        <v>Oktober 2018</v>
      </c>
      <c r="G140">
        <v>2751.7999999999993</v>
      </c>
      <c r="H140">
        <v>2993</v>
      </c>
      <c r="I140">
        <v>3438</v>
      </c>
      <c r="J140">
        <v>14928.3</v>
      </c>
      <c r="K140">
        <v>14631</v>
      </c>
      <c r="L140">
        <v>16800</v>
      </c>
      <c r="M140" s="8">
        <f>Table356[[#This Row],[Ausfuhr: Wert €]]*1000/Table356[[#This Row],[Ausfuhr: Gewicht]]</f>
        <v>1087.6517188749185</v>
      </c>
      <c r="N140" s="8">
        <f>Table356[[#This Row],[Einfuhr: Wert €]]*1000/Table356[[#This Row],[Einfuhr: Gewicht]]</f>
        <v>980.08480536966704</v>
      </c>
      <c r="O140" s="8">
        <f>Table356[[#This Row],[Ausfuhr: Wert $]]*1000/Table356[[#This Row],[Ausfuhr: Gewicht]]</f>
        <v>1249.3640526201036</v>
      </c>
      <c r="P140" s="8">
        <f>Table356[[#This Row],[Einfuhr: Wert $]]*1000/Table356[[#This Row],[Einfuhr: Gewicht]]</f>
        <v>1125.3793131166979</v>
      </c>
    </row>
    <row r="141" spans="2:16" x14ac:dyDescent="0.25">
      <c r="B141">
        <f>(Table356[[#This Row],[Jahr]]-$C$8)*12+Table356[[#This Row],[Month nr]]</f>
        <v>131</v>
      </c>
      <c r="C141">
        <v>2018</v>
      </c>
      <c r="D141">
        <v>11</v>
      </c>
      <c r="E141" t="s">
        <v>19</v>
      </c>
      <c r="F141" t="str">
        <f>_xlfn.CONCAT(Table356[[#This Row],[Monat]]," ",Table356[[#This Row],[Jahr]])</f>
        <v>November 2018</v>
      </c>
      <c r="G141">
        <v>2048.6</v>
      </c>
      <c r="H141">
        <v>1555</v>
      </c>
      <c r="I141">
        <v>1768</v>
      </c>
      <c r="J141">
        <v>37750.700000000004</v>
      </c>
      <c r="K141">
        <v>29673</v>
      </c>
      <c r="L141">
        <v>33730</v>
      </c>
      <c r="M141" s="8">
        <f>Table356[[#This Row],[Ausfuhr: Wert €]]*1000/Table356[[#This Row],[Ausfuhr: Gewicht]]</f>
        <v>759.0549643659084</v>
      </c>
      <c r="N141" s="8">
        <f>Table356[[#This Row],[Einfuhr: Wert €]]*1000/Table356[[#This Row],[Einfuhr: Gewicht]]</f>
        <v>786.0251597983613</v>
      </c>
      <c r="O141" s="8">
        <f>Table356[[#This Row],[Ausfuhr: Wert $]]*1000/Table356[[#This Row],[Ausfuhr: Gewicht]]</f>
        <v>863.02840964561165</v>
      </c>
      <c r="P141" s="8">
        <f>Table356[[#This Row],[Einfuhr: Wert $]]*1000/Table356[[#This Row],[Einfuhr: Gewicht]]</f>
        <v>893.49336568593424</v>
      </c>
    </row>
    <row r="142" spans="2:16" x14ac:dyDescent="0.25">
      <c r="B142">
        <f>(Table356[[#This Row],[Jahr]]-$C$8)*12+Table356[[#This Row],[Month nr]]</f>
        <v>132</v>
      </c>
      <c r="C142">
        <v>2018</v>
      </c>
      <c r="D142">
        <v>12</v>
      </c>
      <c r="E142" t="s">
        <v>24</v>
      </c>
      <c r="F142" t="str">
        <f>_xlfn.CONCAT(Table356[[#This Row],[Monat]]," ",Table356[[#This Row],[Jahr]])</f>
        <v>Dezember 2018</v>
      </c>
      <c r="G142">
        <v>1955.5</v>
      </c>
      <c r="H142">
        <v>1381</v>
      </c>
      <c r="I142">
        <v>1573</v>
      </c>
      <c r="J142">
        <v>69498.899999999994</v>
      </c>
      <c r="K142">
        <v>50472</v>
      </c>
      <c r="L142">
        <v>57458</v>
      </c>
      <c r="M142" s="8">
        <f>Table356[[#This Row],[Ausfuhr: Wert €]]*1000/Table356[[#This Row],[Ausfuhr: Gewicht]]</f>
        <v>706.21324469445153</v>
      </c>
      <c r="N142" s="8">
        <f>Table356[[#This Row],[Einfuhr: Wert €]]*1000/Table356[[#This Row],[Einfuhr: Gewicht]]</f>
        <v>726.22732158350709</v>
      </c>
      <c r="O142" s="8">
        <f>Table356[[#This Row],[Ausfuhr: Wert $]]*1000/Table356[[#This Row],[Ausfuhr: Gewicht]]</f>
        <v>804.39785221171053</v>
      </c>
      <c r="P142" s="8">
        <f>Table356[[#This Row],[Einfuhr: Wert $]]*1000/Table356[[#This Row],[Einfuhr: Gewicht]]</f>
        <v>826.7468981523449</v>
      </c>
    </row>
    <row r="143" spans="2:16" x14ac:dyDescent="0.25">
      <c r="B143">
        <f>(Table356[[#This Row],[Jahr]]-$C$8)*12+Table356[[#This Row],[Month nr]]</f>
        <v>133</v>
      </c>
      <c r="C143">
        <v>2019</v>
      </c>
      <c r="D143">
        <v>1</v>
      </c>
      <c r="E143" t="s">
        <v>13</v>
      </c>
      <c r="F143" t="str">
        <f>_xlfn.CONCAT(Table356[[#This Row],[Monat]]," ",Table356[[#This Row],[Jahr]])</f>
        <v>Januar 2019</v>
      </c>
      <c r="G143">
        <v>3553.8000000000006</v>
      </c>
      <c r="H143">
        <v>2470</v>
      </c>
      <c r="I143">
        <v>2824</v>
      </c>
      <c r="J143">
        <v>73200.400000000023</v>
      </c>
      <c r="K143">
        <v>50856</v>
      </c>
      <c r="L143">
        <v>58057</v>
      </c>
      <c r="M143" s="8">
        <f>Table356[[#This Row],[Ausfuhr: Wert €]]*1000/Table356[[#This Row],[Ausfuhr: Gewicht]]</f>
        <v>695.03067139400071</v>
      </c>
      <c r="N143" s="8">
        <f>Table356[[#This Row],[Einfuhr: Wert €]]*1000/Table356[[#This Row],[Einfuhr: Gewicht]]</f>
        <v>694.75030191091832</v>
      </c>
      <c r="O143" s="8">
        <f>Table356[[#This Row],[Ausfuhr: Wert $]]*1000/Table356[[#This Row],[Ausfuhr: Gewicht]]</f>
        <v>794.64235466261448</v>
      </c>
      <c r="P143" s="8">
        <f>Table356[[#This Row],[Einfuhr: Wert $]]*1000/Table356[[#This Row],[Einfuhr: Gewicht]]</f>
        <v>793.12408128917298</v>
      </c>
    </row>
    <row r="144" spans="2:16" x14ac:dyDescent="0.25">
      <c r="B144">
        <f>(Table356[[#This Row],[Jahr]]-$C$8)*12+Table356[[#This Row],[Month nr]]</f>
        <v>134</v>
      </c>
      <c r="C144">
        <v>2019</v>
      </c>
      <c r="D144">
        <v>2</v>
      </c>
      <c r="E144" t="s">
        <v>14</v>
      </c>
      <c r="F144" t="str">
        <f>_xlfn.CONCAT(Table356[[#This Row],[Monat]]," ",Table356[[#This Row],[Jahr]])</f>
        <v>Februar 2019</v>
      </c>
      <c r="G144">
        <v>3133.1</v>
      </c>
      <c r="H144">
        <v>2281</v>
      </c>
      <c r="I144">
        <v>2591</v>
      </c>
      <c r="J144">
        <v>64545.7</v>
      </c>
      <c r="K144">
        <v>44978</v>
      </c>
      <c r="L144">
        <v>51059</v>
      </c>
      <c r="M144" s="8">
        <f>Table356[[#This Row],[Ausfuhr: Wert €]]*1000/Table356[[#This Row],[Ausfuhr: Gewicht]]</f>
        <v>728.03293862308897</v>
      </c>
      <c r="N144" s="8">
        <f>Table356[[#This Row],[Einfuhr: Wert €]]*1000/Table356[[#This Row],[Einfuhr: Gewicht]]</f>
        <v>696.83960356770478</v>
      </c>
      <c r="O144" s="8">
        <f>Table356[[#This Row],[Ausfuhr: Wert $]]*1000/Table356[[#This Row],[Ausfuhr: Gewicht]]</f>
        <v>826.97647697168941</v>
      </c>
      <c r="P144" s="8">
        <f>Table356[[#This Row],[Einfuhr: Wert $]]*1000/Table356[[#This Row],[Einfuhr: Gewicht]]</f>
        <v>791.05192135184836</v>
      </c>
    </row>
    <row r="145" spans="2:16" x14ac:dyDescent="0.25">
      <c r="B145">
        <f>(Table356[[#This Row],[Jahr]]-$C$8)*12+Table356[[#This Row],[Month nr]]</f>
        <v>135</v>
      </c>
      <c r="C145">
        <v>2019</v>
      </c>
      <c r="D145">
        <v>3</v>
      </c>
      <c r="E145" t="s">
        <v>15</v>
      </c>
      <c r="F145" t="str">
        <f>_xlfn.CONCAT(Table356[[#This Row],[Monat]]," ",Table356[[#This Row],[Jahr]])</f>
        <v>März 2019</v>
      </c>
      <c r="G145" s="10">
        <v>2471.9</v>
      </c>
      <c r="H145" s="10">
        <v>2045</v>
      </c>
      <c r="I145" s="10">
        <v>2311</v>
      </c>
      <c r="J145" s="10">
        <v>54540.3</v>
      </c>
      <c r="K145" s="10">
        <v>36200</v>
      </c>
      <c r="L145" s="10">
        <v>40912</v>
      </c>
      <c r="M145" s="8">
        <f>Table356[[#This Row],[Ausfuhr: Wert €]]*1000/Table356[[#This Row],[Ausfuhr: Gewicht]]</f>
        <v>827.29883894979571</v>
      </c>
      <c r="N145" s="8">
        <f>Table356[[#This Row],[Einfuhr: Wert €]]*1000/Table356[[#This Row],[Einfuhr: Gewicht]]</f>
        <v>663.72938909393599</v>
      </c>
      <c r="O145" s="8">
        <f>Table356[[#This Row],[Ausfuhr: Wert $]]*1000/Table356[[#This Row],[Ausfuhr: Gewicht]]</f>
        <v>934.90837007969571</v>
      </c>
      <c r="P145" s="8">
        <f>Table356[[#This Row],[Einfuhr: Wert $]]*1000/Table356[[#This Row],[Einfuhr: Gewicht]]</f>
        <v>750.12422007213013</v>
      </c>
    </row>
    <row r="146" spans="2:16" x14ac:dyDescent="0.25">
      <c r="B146">
        <f>(Table356[[#This Row],[Jahr]]-$C$8)*12+Table356[[#This Row],[Month nr]]</f>
        <v>136</v>
      </c>
      <c r="C146">
        <v>2019</v>
      </c>
      <c r="D146">
        <v>4</v>
      </c>
      <c r="E146" t="s">
        <v>16</v>
      </c>
      <c r="F146" t="str">
        <f>_xlfn.CONCAT(Table356[[#This Row],[Monat]]," ",Table356[[#This Row],[Jahr]])</f>
        <v>April 2019</v>
      </c>
      <c r="G146">
        <v>2213</v>
      </c>
      <c r="H146">
        <v>1796</v>
      </c>
      <c r="I146">
        <v>2018</v>
      </c>
      <c r="J146">
        <v>45717.7</v>
      </c>
      <c r="K146">
        <v>30941</v>
      </c>
      <c r="L146">
        <v>34770</v>
      </c>
      <c r="M146" s="8">
        <f>Table356[[#This Row],[Ausfuhr: Wert €]]*1000/Table356[[#This Row],[Ausfuhr: Gewicht]]</f>
        <v>811.56800723000447</v>
      </c>
      <c r="N146" s="8">
        <f>Table356[[#This Row],[Einfuhr: Wert €]]*1000/Table356[[#This Row],[Einfuhr: Gewicht]]</f>
        <v>676.78382770786811</v>
      </c>
      <c r="O146" s="8">
        <f>Table356[[#This Row],[Ausfuhr: Wert $]]*1000/Table356[[#This Row],[Ausfuhr: Gewicht]]</f>
        <v>911.88431992769995</v>
      </c>
      <c r="P146" s="8">
        <f>Table356[[#This Row],[Einfuhr: Wert $]]*1000/Table356[[#This Row],[Einfuhr: Gewicht]]</f>
        <v>760.53694739674131</v>
      </c>
    </row>
    <row r="147" spans="2:16" x14ac:dyDescent="0.25">
      <c r="B147">
        <f>(Table356[[#This Row],[Jahr]]-$C$8)*12+Table356[[#This Row],[Month nr]]</f>
        <v>137</v>
      </c>
      <c r="C147">
        <v>2019</v>
      </c>
      <c r="D147">
        <v>5</v>
      </c>
      <c r="E147" t="s">
        <v>20</v>
      </c>
      <c r="F147" t="str">
        <f>_xlfn.CONCAT(Table356[[#This Row],[Monat]]," ",Table356[[#This Row],[Jahr]])</f>
        <v>Mai 2019</v>
      </c>
      <c r="G147">
        <v>982.69999999999993</v>
      </c>
      <c r="H147">
        <v>1066</v>
      </c>
      <c r="I147">
        <v>1189</v>
      </c>
      <c r="J147">
        <v>29058.5</v>
      </c>
      <c r="K147">
        <v>20469</v>
      </c>
      <c r="L147">
        <v>22893</v>
      </c>
      <c r="M147" s="8">
        <f>Table356[[#This Row],[Ausfuhr: Wert €]]*1000/Table356[[#This Row],[Ausfuhr: Gewicht]]</f>
        <v>1084.7664597537398</v>
      </c>
      <c r="N147" s="8">
        <f>Table356[[#This Row],[Einfuhr: Wert €]]*1000/Table356[[#This Row],[Einfuhr: Gewicht]]</f>
        <v>704.40662800901634</v>
      </c>
      <c r="O147" s="8">
        <f>Table356[[#This Row],[Ausfuhr: Wert $]]*1000/Table356[[#This Row],[Ausfuhr: Gewicht]]</f>
        <v>1209.931820494556</v>
      </c>
      <c r="P147" s="8">
        <f>Table356[[#This Row],[Einfuhr: Wert $]]*1000/Table356[[#This Row],[Einfuhr: Gewicht]]</f>
        <v>787.824560799766</v>
      </c>
    </row>
    <row r="148" spans="2:16" x14ac:dyDescent="0.25">
      <c r="B148">
        <f>(Table356[[#This Row],[Jahr]]-$C$8)*12+Table356[[#This Row],[Month nr]]</f>
        <v>138</v>
      </c>
      <c r="C148">
        <v>2019</v>
      </c>
      <c r="D148">
        <v>6</v>
      </c>
      <c r="E148" t="s">
        <v>21</v>
      </c>
      <c r="F148" t="str">
        <f>_xlfn.CONCAT(Table356[[#This Row],[Monat]]," ",Table356[[#This Row],[Jahr]])</f>
        <v>Juni 2019</v>
      </c>
      <c r="G148">
        <v>1222.5999999999999</v>
      </c>
      <c r="H148">
        <v>1123</v>
      </c>
      <c r="I148">
        <v>1271</v>
      </c>
      <c r="J148">
        <v>26132.799999999999</v>
      </c>
      <c r="K148">
        <v>17518</v>
      </c>
      <c r="L148">
        <v>19783</v>
      </c>
      <c r="M148" s="8">
        <f>Table356[[#This Row],[Ausfuhr: Wert €]]*1000/Table356[[#This Row],[Ausfuhr: Gewicht]]</f>
        <v>918.53427122525773</v>
      </c>
      <c r="N148" s="8">
        <f>Table356[[#This Row],[Einfuhr: Wert €]]*1000/Table356[[#This Row],[Einfuhr: Gewicht]]</f>
        <v>670.34531316965649</v>
      </c>
      <c r="O148" s="8">
        <f>Table356[[#This Row],[Ausfuhr: Wert $]]*1000/Table356[[#This Row],[Ausfuhr: Gewicht]]</f>
        <v>1039.5877637821038</v>
      </c>
      <c r="P148" s="8">
        <f>Table356[[#This Row],[Einfuhr: Wert $]]*1000/Table356[[#This Row],[Einfuhr: Gewicht]]</f>
        <v>757.01800036735449</v>
      </c>
    </row>
    <row r="149" spans="2:16" x14ac:dyDescent="0.25">
      <c r="B149">
        <f>(Table356[[#This Row],[Jahr]]-$C$8)*12+Table356[[#This Row],[Month nr]]</f>
        <v>139</v>
      </c>
      <c r="C149">
        <v>2019</v>
      </c>
      <c r="D149">
        <v>7</v>
      </c>
      <c r="E149" t="s">
        <v>22</v>
      </c>
      <c r="F149" t="str">
        <f>_xlfn.CONCAT(Table356[[#This Row],[Monat]]," ",Table356[[#This Row],[Jahr]])</f>
        <v>Juli 2019</v>
      </c>
      <c r="G149">
        <v>1021.0000000000001</v>
      </c>
      <c r="H149">
        <v>1055</v>
      </c>
      <c r="I149">
        <v>1180</v>
      </c>
      <c r="J149">
        <v>17207.3</v>
      </c>
      <c r="K149">
        <v>13561</v>
      </c>
      <c r="L149">
        <v>15212</v>
      </c>
      <c r="M149" s="8">
        <f>Table356[[#This Row],[Ausfuhr: Wert €]]*1000/Table356[[#This Row],[Ausfuhr: Gewicht]]</f>
        <v>1033.3006856023505</v>
      </c>
      <c r="N149" s="8">
        <f>Table356[[#This Row],[Einfuhr: Wert €]]*1000/Table356[[#This Row],[Einfuhr: Gewicht]]</f>
        <v>788.09575005956776</v>
      </c>
      <c r="O149" s="8">
        <f>Table356[[#This Row],[Ausfuhr: Wert $]]*1000/Table356[[#This Row],[Ausfuhr: Gewicht]]</f>
        <v>1155.7296767874632</v>
      </c>
      <c r="P149" s="8">
        <f>Table356[[#This Row],[Einfuhr: Wert $]]*1000/Table356[[#This Row],[Einfuhr: Gewicht]]</f>
        <v>884.04340018480536</v>
      </c>
    </row>
    <row r="150" spans="2:16" x14ac:dyDescent="0.25">
      <c r="B150">
        <f>(Table356[[#This Row],[Jahr]]-$C$8)*12+Table356[[#This Row],[Month nr]]</f>
        <v>140</v>
      </c>
      <c r="C150">
        <v>2019</v>
      </c>
      <c r="D150">
        <v>8</v>
      </c>
      <c r="E150" t="s">
        <v>17</v>
      </c>
      <c r="F150" t="str">
        <f>_xlfn.CONCAT(Table356[[#This Row],[Monat]]," ",Table356[[#This Row],[Jahr]])</f>
        <v>August 2019</v>
      </c>
      <c r="G150">
        <v>1726.4000000000003</v>
      </c>
      <c r="H150">
        <v>2452</v>
      </c>
      <c r="I150">
        <v>2726</v>
      </c>
      <c r="J150">
        <v>13977.299999999997</v>
      </c>
      <c r="K150">
        <v>13077</v>
      </c>
      <c r="L150">
        <v>14547</v>
      </c>
      <c r="M150" s="8">
        <f>Table356[[#This Row],[Ausfuhr: Wert €]]*1000/Table356[[#This Row],[Ausfuhr: Gewicht]]</f>
        <v>1420.2965708989802</v>
      </c>
      <c r="N150" s="8">
        <f>Table356[[#This Row],[Einfuhr: Wert €]]*1000/Table356[[#This Row],[Einfuhr: Gewicht]]</f>
        <v>935.58841836406191</v>
      </c>
      <c r="O150" s="8">
        <f>Table356[[#This Row],[Ausfuhr: Wert $]]*1000/Table356[[#This Row],[Ausfuhr: Gewicht]]</f>
        <v>1579.0083410565335</v>
      </c>
      <c r="P150" s="8">
        <f>Table356[[#This Row],[Einfuhr: Wert $]]*1000/Table356[[#This Row],[Einfuhr: Gewicht]]</f>
        <v>1040.7589448605956</v>
      </c>
    </row>
    <row r="151" spans="2:16" x14ac:dyDescent="0.25">
      <c r="B151">
        <f>(Table356[[#This Row],[Jahr]]-$C$8)*12+Table356[[#This Row],[Month nr]]</f>
        <v>141</v>
      </c>
      <c r="C151">
        <v>2019</v>
      </c>
      <c r="D151">
        <v>9</v>
      </c>
      <c r="E151" t="s">
        <v>18</v>
      </c>
      <c r="F151" t="str">
        <f>_xlfn.CONCAT(Table356[[#This Row],[Monat]]," ",Table356[[#This Row],[Jahr]])</f>
        <v>September 2019</v>
      </c>
      <c r="G151">
        <v>1694.9</v>
      </c>
      <c r="H151">
        <v>1917</v>
      </c>
      <c r="I151">
        <v>2113</v>
      </c>
      <c r="J151">
        <v>16533.599999999999</v>
      </c>
      <c r="K151">
        <v>16143</v>
      </c>
      <c r="L151">
        <v>17759</v>
      </c>
      <c r="M151" s="8">
        <f>Table356[[#This Row],[Ausfuhr: Wert €]]*1000/Table356[[#This Row],[Ausfuhr: Gewicht]]</f>
        <v>1131.0401793616143</v>
      </c>
      <c r="N151" s="8">
        <f>Table356[[#This Row],[Einfuhr: Wert €]]*1000/Table356[[#This Row],[Einfuhr: Gewicht]]</f>
        <v>976.37538104224132</v>
      </c>
      <c r="O151" s="8">
        <f>Table356[[#This Row],[Ausfuhr: Wert $]]*1000/Table356[[#This Row],[Ausfuhr: Gewicht]]</f>
        <v>1246.681220130981</v>
      </c>
      <c r="P151" s="8">
        <f>Table356[[#This Row],[Einfuhr: Wert $]]*1000/Table356[[#This Row],[Einfuhr: Gewicht]]</f>
        <v>1074.1157400687086</v>
      </c>
    </row>
    <row r="152" spans="2:16" x14ac:dyDescent="0.25">
      <c r="B152">
        <f>(Table356[[#This Row],[Jahr]]-$C$8)*12+Table356[[#This Row],[Month nr]]</f>
        <v>142</v>
      </c>
      <c r="C152">
        <v>2019</v>
      </c>
      <c r="D152">
        <v>10</v>
      </c>
      <c r="E152" t="s">
        <v>23</v>
      </c>
      <c r="F152" t="str">
        <f>_xlfn.CONCAT(Table356[[#This Row],[Monat]]," ",Table356[[#This Row],[Jahr]])</f>
        <v>Oktober 2019</v>
      </c>
      <c r="G152">
        <v>1845.6999999999998</v>
      </c>
      <c r="H152">
        <v>2087</v>
      </c>
      <c r="I152">
        <v>2307</v>
      </c>
      <c r="J152">
        <v>15241.900000000001</v>
      </c>
      <c r="K152">
        <v>15452</v>
      </c>
      <c r="L152">
        <v>17078</v>
      </c>
      <c r="M152" s="8">
        <f>Table356[[#This Row],[Ausfuhr: Wert €]]*1000/Table356[[#This Row],[Ausfuhr: Gewicht]]</f>
        <v>1130.7363060085606</v>
      </c>
      <c r="N152" s="8">
        <f>Table356[[#This Row],[Einfuhr: Wert €]]*1000/Table356[[#This Row],[Einfuhr: Gewicht]]</f>
        <v>1013.784370714937</v>
      </c>
      <c r="O152" s="8">
        <f>Table356[[#This Row],[Ausfuhr: Wert $]]*1000/Table356[[#This Row],[Ausfuhr: Gewicht]]</f>
        <v>1249.9322750176086</v>
      </c>
      <c r="P152" s="8">
        <f>Table356[[#This Row],[Einfuhr: Wert $]]*1000/Table356[[#This Row],[Einfuhr: Gewicht]]</f>
        <v>1120.4639841489577</v>
      </c>
    </row>
    <row r="153" spans="2:16" x14ac:dyDescent="0.25">
      <c r="B153">
        <f>(Table356[[#This Row],[Jahr]]-$C$8)*12+Table356[[#This Row],[Month nr]]</f>
        <v>143</v>
      </c>
      <c r="C153">
        <v>2019</v>
      </c>
      <c r="D153">
        <v>11</v>
      </c>
      <c r="E153" t="s">
        <v>19</v>
      </c>
      <c r="F153" t="str">
        <f>_xlfn.CONCAT(Table356[[#This Row],[Monat]]," ",Table356[[#This Row],[Jahr]])</f>
        <v>November 2019</v>
      </c>
      <c r="G153">
        <v>1182.5999999999997</v>
      </c>
      <c r="H153">
        <v>1010</v>
      </c>
      <c r="I153">
        <v>1115</v>
      </c>
      <c r="J153">
        <v>41202.5</v>
      </c>
      <c r="K153">
        <v>34710</v>
      </c>
      <c r="L153">
        <v>38358</v>
      </c>
      <c r="M153" s="8">
        <f>Table356[[#This Row],[Ausfuhr: Wert €]]*1000/Table356[[#This Row],[Ausfuhr: Gewicht]]</f>
        <v>854.05039742939312</v>
      </c>
      <c r="N153" s="8">
        <f>Table356[[#This Row],[Einfuhr: Wert €]]*1000/Table356[[#This Row],[Einfuhr: Gewicht]]</f>
        <v>842.42461015715071</v>
      </c>
      <c r="O153" s="8">
        <f>Table356[[#This Row],[Ausfuhr: Wert $]]*1000/Table356[[#This Row],[Ausfuhr: Gewicht]]</f>
        <v>942.83781498393398</v>
      </c>
      <c r="P153" s="8">
        <f>Table356[[#This Row],[Einfuhr: Wert $]]*1000/Table356[[#This Row],[Einfuhr: Gewicht]]</f>
        <v>930.96292700685638</v>
      </c>
    </row>
    <row r="154" spans="2:16" x14ac:dyDescent="0.25">
      <c r="B154">
        <f>(Table356[[#This Row],[Jahr]]-$C$8)*12+Table356[[#This Row],[Month nr]]</f>
        <v>144</v>
      </c>
      <c r="C154">
        <v>2019</v>
      </c>
      <c r="D154">
        <v>12</v>
      </c>
      <c r="E154" t="s">
        <v>24</v>
      </c>
      <c r="F154" t="str">
        <f>_xlfn.CONCAT(Table356[[#This Row],[Monat]]," ",Table356[[#This Row],[Jahr]])</f>
        <v>Dezember 2019</v>
      </c>
      <c r="G154">
        <v>1481.1999999999998</v>
      </c>
      <c r="H154">
        <v>1214</v>
      </c>
      <c r="I154">
        <v>1347</v>
      </c>
      <c r="J154">
        <v>66473.899999999994</v>
      </c>
      <c r="K154">
        <v>51192</v>
      </c>
      <c r="L154">
        <v>56889</v>
      </c>
      <c r="M154" s="8">
        <f>Table356[[#This Row],[Ausfuhr: Wert €]]*1000/Table356[[#This Row],[Ausfuhr: Gewicht]]</f>
        <v>819.60572508776681</v>
      </c>
      <c r="N154" s="8">
        <f>Table356[[#This Row],[Einfuhr: Wert €]]*1000/Table356[[#This Row],[Einfuhr: Gewicht]]</f>
        <v>770.10676370725957</v>
      </c>
      <c r="O154" s="8">
        <f>Table356[[#This Row],[Ausfuhr: Wert $]]*1000/Table356[[#This Row],[Ausfuhr: Gewicht]]</f>
        <v>909.39778557926013</v>
      </c>
      <c r="P154" s="8">
        <f>Table356[[#This Row],[Einfuhr: Wert $]]*1000/Table356[[#This Row],[Einfuhr: Gewicht]]</f>
        <v>855.80957338143253</v>
      </c>
    </row>
    <row r="155" spans="2:16" x14ac:dyDescent="0.25">
      <c r="B155">
        <f>(Table356[[#This Row],[Jahr]]-$C$8)*12+Table356[[#This Row],[Month nr]]</f>
        <v>145</v>
      </c>
      <c r="C155">
        <v>2020</v>
      </c>
      <c r="D155">
        <v>1</v>
      </c>
      <c r="E155" t="s">
        <v>13</v>
      </c>
      <c r="F155" t="str">
        <f>_xlfn.CONCAT(Table356[[#This Row],[Monat]]," ",Table356[[#This Row],[Jahr]])</f>
        <v>Januar 2020</v>
      </c>
      <c r="G155">
        <v>2476.2999999999997</v>
      </c>
      <c r="H155">
        <v>1988</v>
      </c>
      <c r="I155">
        <v>2207</v>
      </c>
      <c r="J155">
        <v>77764.89999999998</v>
      </c>
      <c r="K155">
        <v>59192</v>
      </c>
      <c r="L155">
        <v>65704</v>
      </c>
      <c r="M155" s="8">
        <f>Table356[[#This Row],[Ausfuhr: Wert €]]*1000/Table356[[#This Row],[Ausfuhr: Gewicht]]</f>
        <v>802.81064491378277</v>
      </c>
      <c r="N155" s="8">
        <f>Table356[[#This Row],[Einfuhr: Wert €]]*1000/Table356[[#This Row],[Einfuhr: Gewicht]]</f>
        <v>761.16602734652804</v>
      </c>
      <c r="O155" s="8">
        <f>Table356[[#This Row],[Ausfuhr: Wert $]]*1000/Table356[[#This Row],[Ausfuhr: Gewicht]]</f>
        <v>891.24904090780615</v>
      </c>
      <c r="P155" s="8">
        <f>Table356[[#This Row],[Einfuhr: Wert $]]*1000/Table356[[#This Row],[Einfuhr: Gewicht]]</f>
        <v>844.90560651399301</v>
      </c>
    </row>
    <row r="156" spans="2:16" x14ac:dyDescent="0.25">
      <c r="B156">
        <f>(Table356[[#This Row],[Jahr]]-$C$8)*12+Table356[[#This Row],[Month nr]]</f>
        <v>146</v>
      </c>
      <c r="C156">
        <v>2020</v>
      </c>
      <c r="D156">
        <v>2</v>
      </c>
      <c r="E156" t="s">
        <v>14</v>
      </c>
      <c r="F156" t="str">
        <f>_xlfn.CONCAT(Table356[[#This Row],[Monat]]," ",Table356[[#This Row],[Jahr]])</f>
        <v>Februar 2020</v>
      </c>
      <c r="G156">
        <v>2443</v>
      </c>
      <c r="H156">
        <v>2054</v>
      </c>
      <c r="I156">
        <v>2237</v>
      </c>
      <c r="J156">
        <v>67027</v>
      </c>
      <c r="K156">
        <v>53719</v>
      </c>
      <c r="L156">
        <v>58579</v>
      </c>
      <c r="M156" s="8">
        <f>Table356[[#This Row],[Ausfuhr: Wert €]]*1000/Table356[[#This Row],[Ausfuhr: Gewicht]]</f>
        <v>840.76954564060577</v>
      </c>
      <c r="N156" s="8">
        <f>Table356[[#This Row],[Einfuhr: Wert €]]*1000/Table356[[#This Row],[Einfuhr: Gewicht]]</f>
        <v>801.45314574723614</v>
      </c>
      <c r="O156" s="8">
        <f>Table356[[#This Row],[Ausfuhr: Wert $]]*1000/Table356[[#This Row],[Ausfuhr: Gewicht]]</f>
        <v>915.67744576340567</v>
      </c>
      <c r="P156" s="8">
        <f>Table356[[#This Row],[Einfuhr: Wert $]]*1000/Table356[[#This Row],[Einfuhr: Gewicht]]</f>
        <v>873.9612395004998</v>
      </c>
    </row>
    <row r="157" spans="2:16" x14ac:dyDescent="0.25">
      <c r="B157">
        <f>(Table356[[#This Row],[Jahr]]-$C$8)*12+Table356[[#This Row],[Month nr]]</f>
        <v>147</v>
      </c>
      <c r="C157">
        <v>2020</v>
      </c>
      <c r="D157">
        <v>3</v>
      </c>
      <c r="E157" t="s">
        <v>15</v>
      </c>
      <c r="F157" t="str">
        <f>_xlfn.CONCAT(Table356[[#This Row],[Monat]]," ",Table356[[#This Row],[Jahr]])</f>
        <v>März 2020</v>
      </c>
      <c r="G157" s="10">
        <v>2897.8999999999996</v>
      </c>
      <c r="H157" s="10">
        <v>2410</v>
      </c>
      <c r="I157" s="10">
        <v>2666</v>
      </c>
      <c r="J157" s="10">
        <v>72324.600000000006</v>
      </c>
      <c r="K157" s="10">
        <v>57819</v>
      </c>
      <c r="L157" s="10">
        <v>63966</v>
      </c>
      <c r="M157" s="8">
        <f>Table356[[#This Row],[Ausfuhr: Wert €]]*1000/Table356[[#This Row],[Ausfuhr: Gewicht]]</f>
        <v>831.63670243969784</v>
      </c>
      <c r="N157" s="8">
        <f>Table356[[#This Row],[Einfuhr: Wert €]]*1000/Table356[[#This Row],[Einfuhr: Gewicht]]</f>
        <v>799.43753577620885</v>
      </c>
      <c r="O157" s="8">
        <f>Table356[[#This Row],[Ausfuhr: Wert $]]*1000/Table356[[#This Row],[Ausfuhr: Gewicht]]</f>
        <v>919.97653473204741</v>
      </c>
      <c r="P157" s="8">
        <f>Table356[[#This Row],[Einfuhr: Wert $]]*1000/Table356[[#This Row],[Einfuhr: Gewicht]]</f>
        <v>884.42936428269218</v>
      </c>
    </row>
    <row r="158" spans="2:16" x14ac:dyDescent="0.25">
      <c r="B158">
        <f>(Table356[[#This Row],[Jahr]]-$C$8)*12+Table356[[#This Row],[Month nr]]</f>
        <v>148</v>
      </c>
      <c r="C158">
        <v>2020</v>
      </c>
      <c r="D158">
        <v>4</v>
      </c>
      <c r="E158" t="s">
        <v>16</v>
      </c>
      <c r="F158" t="str">
        <f>_xlfn.CONCAT(Table356[[#This Row],[Monat]]," ",Table356[[#This Row],[Jahr]])</f>
        <v>April 2020</v>
      </c>
      <c r="G158">
        <v>2329.3999999999996</v>
      </c>
      <c r="H158">
        <v>2217</v>
      </c>
      <c r="I158">
        <v>2409</v>
      </c>
      <c r="J158">
        <v>56895.400000000009</v>
      </c>
      <c r="K158">
        <v>53197</v>
      </c>
      <c r="L158">
        <v>57783</v>
      </c>
      <c r="M158" s="8">
        <f>Table356[[#This Row],[Ausfuhr: Wert €]]*1000/Table356[[#This Row],[Ausfuhr: Gewicht]]</f>
        <v>951.74723104662155</v>
      </c>
      <c r="N158" s="8">
        <f>Table356[[#This Row],[Einfuhr: Wert €]]*1000/Table356[[#This Row],[Einfuhr: Gewicht]]</f>
        <v>934.99650235344143</v>
      </c>
      <c r="O158" s="8">
        <f>Table356[[#This Row],[Ausfuhr: Wert $]]*1000/Table356[[#This Row],[Ausfuhr: Gewicht]]</f>
        <v>1034.1718897570192</v>
      </c>
      <c r="P158" s="8">
        <f>Table356[[#This Row],[Einfuhr: Wert $]]*1000/Table356[[#This Row],[Einfuhr: Gewicht]]</f>
        <v>1015.6005582173601</v>
      </c>
    </row>
    <row r="159" spans="2:16" x14ac:dyDescent="0.25">
      <c r="B159">
        <f>(Table356[[#This Row],[Jahr]]-$C$8)*12+Table356[[#This Row],[Month nr]]</f>
        <v>149</v>
      </c>
      <c r="C159">
        <v>2020</v>
      </c>
      <c r="D159">
        <v>5</v>
      </c>
      <c r="E159" t="s">
        <v>20</v>
      </c>
      <c r="F159" t="str">
        <f>_xlfn.CONCAT(Table356[[#This Row],[Monat]]," ",Table356[[#This Row],[Jahr]])</f>
        <v>Mai 2020</v>
      </c>
      <c r="G159">
        <v>859.39999999999986</v>
      </c>
      <c r="H159">
        <v>1087</v>
      </c>
      <c r="I159">
        <v>1186</v>
      </c>
      <c r="J159">
        <v>30838.2</v>
      </c>
      <c r="K159">
        <v>31690</v>
      </c>
      <c r="L159">
        <v>34549</v>
      </c>
      <c r="M159" s="8">
        <f>Table356[[#This Row],[Ausfuhr: Wert €]]*1000/Table356[[#This Row],[Ausfuhr: Gewicht]]</f>
        <v>1264.8359320456134</v>
      </c>
      <c r="N159" s="8">
        <f>Table356[[#This Row],[Einfuhr: Wert €]]*1000/Table356[[#This Row],[Einfuhr: Gewicht]]</f>
        <v>1027.6215862145002</v>
      </c>
      <c r="O159" s="8">
        <f>Table356[[#This Row],[Ausfuhr: Wert $]]*1000/Table356[[#This Row],[Ausfuhr: Gewicht]]</f>
        <v>1380.0325808703749</v>
      </c>
      <c r="P159" s="8">
        <f>Table356[[#This Row],[Einfuhr: Wert $]]*1000/Table356[[#This Row],[Einfuhr: Gewicht]]</f>
        <v>1120.3312774416147</v>
      </c>
    </row>
    <row r="160" spans="2:16" x14ac:dyDescent="0.25">
      <c r="B160">
        <f>(Table356[[#This Row],[Jahr]]-$C$8)*12+Table356[[#This Row],[Month nr]]</f>
        <v>150</v>
      </c>
      <c r="C160">
        <v>2020</v>
      </c>
      <c r="D160">
        <v>6</v>
      </c>
      <c r="E160" t="s">
        <v>21</v>
      </c>
      <c r="F160" t="str">
        <f>_xlfn.CONCAT(Table356[[#This Row],[Monat]]," ",Table356[[#This Row],[Jahr]])</f>
        <v>Juni 2020</v>
      </c>
      <c r="G160">
        <v>1028.7</v>
      </c>
      <c r="H160">
        <v>1103</v>
      </c>
      <c r="I160">
        <v>1241</v>
      </c>
      <c r="J160">
        <v>18604.8</v>
      </c>
      <c r="K160">
        <v>21720</v>
      </c>
      <c r="L160">
        <v>24444</v>
      </c>
      <c r="M160" s="8">
        <f>Table356[[#This Row],[Ausfuhr: Wert €]]*1000/Table356[[#This Row],[Ausfuhr: Gewicht]]</f>
        <v>1072.2270827257703</v>
      </c>
      <c r="N160" s="8">
        <f>Table356[[#This Row],[Einfuhr: Wert €]]*1000/Table356[[#This Row],[Einfuhr: Gewicht]]</f>
        <v>1167.4406604747162</v>
      </c>
      <c r="O160" s="8">
        <f>Table356[[#This Row],[Ausfuhr: Wert $]]*1000/Table356[[#This Row],[Ausfuhr: Gewicht]]</f>
        <v>1206.3769806551959</v>
      </c>
      <c r="P160" s="8">
        <f>Table356[[#This Row],[Einfuhr: Wert $]]*1000/Table356[[#This Row],[Einfuhr: Gewicht]]</f>
        <v>1313.8544891640868</v>
      </c>
    </row>
    <row r="161" spans="2:16" x14ac:dyDescent="0.25">
      <c r="B161">
        <f>(Table356[[#This Row],[Jahr]]-$C$8)*12+Table356[[#This Row],[Month nr]]</f>
        <v>151</v>
      </c>
      <c r="C161">
        <v>2020</v>
      </c>
      <c r="D161">
        <v>7</v>
      </c>
      <c r="E161" t="s">
        <v>22</v>
      </c>
      <c r="F161" t="str">
        <f>_xlfn.CONCAT(Table356[[#This Row],[Monat]]," ",Table356[[#This Row],[Jahr]])</f>
        <v>Juli 2020</v>
      </c>
      <c r="G161">
        <v>1294.1999999999998</v>
      </c>
      <c r="H161">
        <v>1563</v>
      </c>
      <c r="I161">
        <v>1791</v>
      </c>
      <c r="J161">
        <v>13177.699999999999</v>
      </c>
      <c r="K161">
        <v>15350</v>
      </c>
      <c r="L161">
        <v>17591</v>
      </c>
      <c r="M161" s="8">
        <f>Table356[[#This Row],[Ausfuhr: Wert €]]*1000/Table356[[#This Row],[Ausfuhr: Gewicht]]</f>
        <v>1207.6958738989338</v>
      </c>
      <c r="N161" s="8">
        <f>Table356[[#This Row],[Einfuhr: Wert €]]*1000/Table356[[#This Row],[Einfuhr: Gewicht]]</f>
        <v>1164.8466727881193</v>
      </c>
      <c r="O161" s="8">
        <f>Table356[[#This Row],[Ausfuhr: Wert $]]*1000/Table356[[#This Row],[Ausfuhr: Gewicht]]</f>
        <v>1383.8664812239224</v>
      </c>
      <c r="P161" s="8">
        <f>Table356[[#This Row],[Einfuhr: Wert $]]*1000/Table356[[#This Row],[Einfuhr: Gewicht]]</f>
        <v>1334.906698437512</v>
      </c>
    </row>
    <row r="162" spans="2:16" x14ac:dyDescent="0.25">
      <c r="B162">
        <f>(Table356[[#This Row],[Jahr]]-$C$8)*12+Table356[[#This Row],[Month nr]]</f>
        <v>152</v>
      </c>
      <c r="C162">
        <v>2020</v>
      </c>
      <c r="D162">
        <v>8</v>
      </c>
      <c r="E162" t="s">
        <v>17</v>
      </c>
      <c r="F162" t="str">
        <f>_xlfn.CONCAT(Table356[[#This Row],[Monat]]," ",Table356[[#This Row],[Jahr]])</f>
        <v>August 2020</v>
      </c>
      <c r="G162">
        <v>1476.6000000000001</v>
      </c>
      <c r="H162">
        <v>1894</v>
      </c>
      <c r="I162">
        <v>2240</v>
      </c>
      <c r="J162">
        <v>9647.8999999999978</v>
      </c>
      <c r="K162">
        <v>11283</v>
      </c>
      <c r="L162">
        <v>13341</v>
      </c>
      <c r="M162" s="8">
        <f>Table356[[#This Row],[Ausfuhr: Wert €]]*1000/Table356[[#This Row],[Ausfuhr: Gewicht]]</f>
        <v>1282.6764187999456</v>
      </c>
      <c r="N162" s="8">
        <f>Table356[[#This Row],[Einfuhr: Wert €]]*1000/Table356[[#This Row],[Einfuhr: Gewicht]]</f>
        <v>1169.4772955772762</v>
      </c>
      <c r="O162" s="8">
        <f>Table356[[#This Row],[Ausfuhr: Wert $]]*1000/Table356[[#This Row],[Ausfuhr: Gewicht]]</f>
        <v>1516.9985100907488</v>
      </c>
      <c r="P162" s="8">
        <f>Table356[[#This Row],[Einfuhr: Wert $]]*1000/Table356[[#This Row],[Einfuhr: Gewicht]]</f>
        <v>1382.7879642201933</v>
      </c>
    </row>
    <row r="163" spans="2:16" x14ac:dyDescent="0.25">
      <c r="B163">
        <f>(Table356[[#This Row],[Jahr]]-$C$8)*12+Table356[[#This Row],[Month nr]]</f>
        <v>153</v>
      </c>
      <c r="C163">
        <v>2020</v>
      </c>
      <c r="D163">
        <v>9</v>
      </c>
      <c r="E163" t="s">
        <v>18</v>
      </c>
      <c r="F163" t="str">
        <f>_xlfn.CONCAT(Table356[[#This Row],[Monat]]," ",Table356[[#This Row],[Jahr]])</f>
        <v>September 2020</v>
      </c>
      <c r="G163">
        <v>1368.7</v>
      </c>
      <c r="H163">
        <v>2004</v>
      </c>
      <c r="I163">
        <v>2364</v>
      </c>
      <c r="J163">
        <v>14813.4</v>
      </c>
      <c r="K163">
        <v>18573</v>
      </c>
      <c r="L163">
        <v>21898</v>
      </c>
      <c r="M163" s="8">
        <f>Table356[[#This Row],[Ausfuhr: Wert €]]*1000/Table356[[#This Row],[Ausfuhr: Gewicht]]</f>
        <v>1464.1630744502081</v>
      </c>
      <c r="N163" s="8">
        <f>Table356[[#This Row],[Einfuhr: Wert €]]*1000/Table356[[#This Row],[Einfuhr: Gewicht]]</f>
        <v>1253.7972376361943</v>
      </c>
      <c r="O163" s="8">
        <f>Table356[[#This Row],[Ausfuhr: Wert $]]*1000/Table356[[#This Row],[Ausfuhr: Gewicht]]</f>
        <v>1727.1863812376707</v>
      </c>
      <c r="P163" s="8">
        <f>Table356[[#This Row],[Einfuhr: Wert $]]*1000/Table356[[#This Row],[Einfuhr: Gewicht]]</f>
        <v>1478.2561734645658</v>
      </c>
    </row>
  </sheetData>
  <mergeCells count="12">
    <mergeCell ref="A5:F5"/>
    <mergeCell ref="G8:H8"/>
    <mergeCell ref="J8:K8"/>
    <mergeCell ref="M9:N9"/>
    <mergeCell ref="O9:P9"/>
    <mergeCell ref="A6:F6"/>
    <mergeCell ref="A4:F4"/>
    <mergeCell ref="A1:F1"/>
    <mergeCell ref="H1:L1"/>
    <mergeCell ref="A2:F2"/>
    <mergeCell ref="H2:L2"/>
    <mergeCell ref="A3:F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0FD0-CC56-47BA-B18B-1D679BF60E8C}">
  <sheetPr codeName="Sheet6">
    <tabColor theme="5" tint="-0.249977111117893"/>
  </sheetPr>
  <dimension ref="A1:P163"/>
  <sheetViews>
    <sheetView zoomScaleNormal="100" workbookViewId="0">
      <selection activeCell="Y30" sqref="R10:Y30"/>
    </sheetView>
  </sheetViews>
  <sheetFormatPr defaultRowHeight="15" x14ac:dyDescent="0.25"/>
  <cols>
    <col min="6" max="6" width="12.7109375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51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60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(Table3567[[#This Row],[Jahr]]-$C$8)*12+Table3567[[#This Row],[Month nr]]</f>
        <v>1</v>
      </c>
      <c r="C11">
        <v>2008</v>
      </c>
      <c r="D11">
        <v>1</v>
      </c>
      <c r="E11" t="s">
        <v>13</v>
      </c>
      <c r="F11" t="str">
        <f>_xlfn.CONCAT(Table3567[[#This Row],[Monat]]," ",Table3567[[#This Row],[Jahr]])</f>
        <v>Januar 2008</v>
      </c>
      <c r="G11">
        <v>156.60000000000002</v>
      </c>
      <c r="H11">
        <v>556</v>
      </c>
      <c r="I11">
        <v>818</v>
      </c>
      <c r="J11">
        <v>1073</v>
      </c>
      <c r="K11">
        <v>3492</v>
      </c>
      <c r="L11">
        <v>5138</v>
      </c>
      <c r="M11" s="8">
        <f>Table3567[[#This Row],[Ausfuhr: Wert €]]*1000/Table3567[[#This Row],[Ausfuhr: Gewicht]]</f>
        <v>3550.4469987228604</v>
      </c>
      <c r="N11" s="8">
        <f>Table3567[[#This Row],[Einfuhr: Wert €]]*1000/Table3567[[#This Row],[Einfuhr: Gewicht]]</f>
        <v>3254.4268406337374</v>
      </c>
      <c r="O11" s="8">
        <f>Table3567[[#This Row],[Ausfuhr: Wert $]]*1000/Table3567[[#This Row],[Ausfuhr: Gewicht]]</f>
        <v>5223.4993614303949</v>
      </c>
      <c r="P11" s="8">
        <f>Table3567[[#This Row],[Einfuhr: Wert $]]*1000/Table3567[[#This Row],[Einfuhr: Gewicht]]</f>
        <v>4788.4436160298228</v>
      </c>
    </row>
    <row r="12" spans="1:16" x14ac:dyDescent="0.25">
      <c r="B12">
        <f>(Table3567[[#This Row],[Jahr]]-$C$8)*12+Table3567[[#This Row],[Month nr]]</f>
        <v>2</v>
      </c>
      <c r="C12">
        <v>2008</v>
      </c>
      <c r="D12">
        <v>2</v>
      </c>
      <c r="E12" t="s">
        <v>14</v>
      </c>
      <c r="F12" t="str">
        <f>_xlfn.CONCAT(Table3567[[#This Row],[Monat]]," ",Table3567[[#This Row],[Jahr]])</f>
        <v>Februar 2008</v>
      </c>
      <c r="G12">
        <v>183.30000000000004</v>
      </c>
      <c r="H12">
        <v>552</v>
      </c>
      <c r="I12">
        <v>812</v>
      </c>
      <c r="J12">
        <v>4187.3999999999996</v>
      </c>
      <c r="K12">
        <v>11563</v>
      </c>
      <c r="L12">
        <v>17053</v>
      </c>
      <c r="M12" s="8">
        <f>Table3567[[#This Row],[Ausfuhr: Wert €]]*1000/Table3567[[#This Row],[Ausfuhr: Gewicht]]</f>
        <v>3011.4566284779044</v>
      </c>
      <c r="N12" s="8">
        <f>Table3567[[#This Row],[Einfuhr: Wert €]]*1000/Table3567[[#This Row],[Einfuhr: Gewicht]]</f>
        <v>2761.3793762239102</v>
      </c>
      <c r="O12" s="8">
        <f>Table3567[[#This Row],[Ausfuhr: Wert $]]*1000/Table3567[[#This Row],[Ausfuhr: Gewicht]]</f>
        <v>4429.8963447899605</v>
      </c>
      <c r="P12" s="8">
        <f>Table3567[[#This Row],[Einfuhr: Wert $]]*1000/Table3567[[#This Row],[Einfuhr: Gewicht]]</f>
        <v>4072.4554616229643</v>
      </c>
    </row>
    <row r="13" spans="1:16" x14ac:dyDescent="0.25">
      <c r="B13">
        <f>(Table3567[[#This Row],[Jahr]]-$C$8)*12+Table3567[[#This Row],[Month nr]]</f>
        <v>3</v>
      </c>
      <c r="C13">
        <v>2008</v>
      </c>
      <c r="D13">
        <v>3</v>
      </c>
      <c r="E13" t="s">
        <v>15</v>
      </c>
      <c r="F13" t="str">
        <f>_xlfn.CONCAT(Table3567[[#This Row],[Monat]]," ",Table3567[[#This Row],[Jahr]])</f>
        <v>März 2008</v>
      </c>
      <c r="G13">
        <v>929.70000000000016</v>
      </c>
      <c r="H13">
        <v>2212</v>
      </c>
      <c r="I13">
        <v>3436</v>
      </c>
      <c r="J13">
        <v>9945.9</v>
      </c>
      <c r="K13">
        <v>20528</v>
      </c>
      <c r="L13">
        <v>31872</v>
      </c>
      <c r="M13" s="8">
        <f>Table3567[[#This Row],[Ausfuhr: Wert €]]*1000/Table3567[[#This Row],[Ausfuhr: Gewicht]]</f>
        <v>2379.2621275680322</v>
      </c>
      <c r="N13" s="8">
        <f>Table3567[[#This Row],[Einfuhr: Wert €]]*1000/Table3567[[#This Row],[Einfuhr: Gewicht]]</f>
        <v>2063.9660563649345</v>
      </c>
      <c r="O13" s="8">
        <f>Table3567[[#This Row],[Ausfuhr: Wert $]]*1000/Table3567[[#This Row],[Ausfuhr: Gewicht]]</f>
        <v>3695.8158545767446</v>
      </c>
      <c r="P13" s="8">
        <f>Table3567[[#This Row],[Einfuhr: Wert $]]*1000/Table3567[[#This Row],[Einfuhr: Gewicht]]</f>
        <v>3204.5365426959852</v>
      </c>
    </row>
    <row r="14" spans="1:16" x14ac:dyDescent="0.25">
      <c r="B14">
        <f>(Table3567[[#This Row],[Jahr]]-$C$8)*12+Table3567[[#This Row],[Month nr]]</f>
        <v>4</v>
      </c>
      <c r="C14">
        <v>2008</v>
      </c>
      <c r="D14">
        <v>4</v>
      </c>
      <c r="E14" t="s">
        <v>16</v>
      </c>
      <c r="F14" t="str">
        <f>_xlfn.CONCAT(Table3567[[#This Row],[Monat]]," ",Table3567[[#This Row],[Jahr]])</f>
        <v>April 2008</v>
      </c>
      <c r="G14" s="10">
        <v>946.1</v>
      </c>
      <c r="H14" s="10">
        <v>2097</v>
      </c>
      <c r="I14" s="10">
        <v>3302</v>
      </c>
      <c r="J14" s="10">
        <v>25397.799999999996</v>
      </c>
      <c r="K14" s="10">
        <v>49206</v>
      </c>
      <c r="L14" s="10">
        <v>77503</v>
      </c>
      <c r="M14" s="8">
        <f>Table3567[[#This Row],[Ausfuhr: Wert €]]*1000/Table3567[[#This Row],[Ausfuhr: Gewicht]]</f>
        <v>2216.4676038473735</v>
      </c>
      <c r="N14" s="8">
        <f>Table3567[[#This Row],[Einfuhr: Wert €]]*1000/Table3567[[#This Row],[Einfuhr: Gewicht]]</f>
        <v>1937.411901818268</v>
      </c>
      <c r="O14" s="8">
        <f>Table3567[[#This Row],[Ausfuhr: Wert $]]*1000/Table3567[[#This Row],[Ausfuhr: Gewicht]]</f>
        <v>3490.1173237501321</v>
      </c>
      <c r="P14" s="8">
        <f>Table3567[[#This Row],[Einfuhr: Wert $]]*1000/Table3567[[#This Row],[Einfuhr: Gewicht]]</f>
        <v>3051.5635212498723</v>
      </c>
    </row>
    <row r="15" spans="1:16" x14ac:dyDescent="0.25">
      <c r="B15">
        <f>(Table3567[[#This Row],[Jahr]]-$C$8)*12+Table3567[[#This Row],[Month nr]]</f>
        <v>5</v>
      </c>
      <c r="C15">
        <v>2008</v>
      </c>
      <c r="D15">
        <v>5</v>
      </c>
      <c r="E15" t="s">
        <v>20</v>
      </c>
      <c r="F15" t="str">
        <f>_xlfn.CONCAT(Table3567[[#This Row],[Monat]]," ",Table3567[[#This Row],[Jahr]])</f>
        <v>Mai 2008</v>
      </c>
      <c r="G15">
        <v>1169.5000000000002</v>
      </c>
      <c r="H15">
        <v>2507</v>
      </c>
      <c r="I15">
        <v>3902</v>
      </c>
      <c r="J15">
        <v>23498.2</v>
      </c>
      <c r="K15">
        <v>48179</v>
      </c>
      <c r="L15">
        <v>74948</v>
      </c>
      <c r="M15" s="8">
        <f>Table3567[[#This Row],[Ausfuhr: Wert €]]*1000/Table3567[[#This Row],[Ausfuhr: Gewicht]]</f>
        <v>2143.6511329628042</v>
      </c>
      <c r="N15" s="8">
        <f>Table3567[[#This Row],[Einfuhr: Wert €]]*1000/Table3567[[#This Row],[Einfuhr: Gewicht]]</f>
        <v>2050.3272591092082</v>
      </c>
      <c r="O15" s="8">
        <f>Table3567[[#This Row],[Ausfuhr: Wert $]]*1000/Table3567[[#This Row],[Ausfuhr: Gewicht]]</f>
        <v>3336.4685763146636</v>
      </c>
      <c r="P15" s="8">
        <f>Table3567[[#This Row],[Einfuhr: Wert $]]*1000/Table3567[[#This Row],[Einfuhr: Gewicht]]</f>
        <v>3189.5208994731511</v>
      </c>
    </row>
    <row r="16" spans="1:16" x14ac:dyDescent="0.25">
      <c r="B16">
        <f>(Table3567[[#This Row],[Jahr]]-$C$8)*12+Table3567[[#This Row],[Month nr]]</f>
        <v>6</v>
      </c>
      <c r="C16">
        <v>2008</v>
      </c>
      <c r="D16">
        <v>6</v>
      </c>
      <c r="E16" t="s">
        <v>21</v>
      </c>
      <c r="F16" t="str">
        <f>_xlfn.CONCAT(Table3567[[#This Row],[Monat]]," ",Table3567[[#This Row],[Jahr]])</f>
        <v>Juni 2008</v>
      </c>
      <c r="G16">
        <v>4402.2</v>
      </c>
      <c r="H16">
        <v>9462</v>
      </c>
      <c r="I16">
        <v>14714</v>
      </c>
      <c r="J16">
        <v>16478.699999999997</v>
      </c>
      <c r="K16">
        <v>27225</v>
      </c>
      <c r="L16">
        <v>42342</v>
      </c>
      <c r="M16" s="8">
        <f>Table3567[[#This Row],[Ausfuhr: Wert €]]*1000/Table3567[[#This Row],[Ausfuhr: Gewicht]]</f>
        <v>2149.3798555267822</v>
      </c>
      <c r="N16" s="8">
        <f>Table3567[[#This Row],[Einfuhr: Wert €]]*1000/Table3567[[#This Row],[Einfuhr: Gewicht]]</f>
        <v>1652.1327531904826</v>
      </c>
      <c r="O16" s="8">
        <f>Table3567[[#This Row],[Ausfuhr: Wert $]]*1000/Table3567[[#This Row],[Ausfuhr: Gewicht]]</f>
        <v>3342.4196992412885</v>
      </c>
      <c r="P16" s="8">
        <f>Table3567[[#This Row],[Einfuhr: Wert $]]*1000/Table3567[[#This Row],[Einfuhr: Gewicht]]</f>
        <v>2569.4988075515671</v>
      </c>
    </row>
    <row r="17" spans="2:16" x14ac:dyDescent="0.25">
      <c r="B17">
        <f>(Table3567[[#This Row],[Jahr]]-$C$8)*12+Table3567[[#This Row],[Month nr]]</f>
        <v>7</v>
      </c>
      <c r="C17">
        <v>2008</v>
      </c>
      <c r="D17">
        <v>7</v>
      </c>
      <c r="E17" t="s">
        <v>22</v>
      </c>
      <c r="F17" t="str">
        <f>_xlfn.CONCAT(Table3567[[#This Row],[Monat]]," ",Table3567[[#This Row],[Jahr]])</f>
        <v>Juli 2008</v>
      </c>
      <c r="G17">
        <v>1903.6000000000001</v>
      </c>
      <c r="H17">
        <v>4325</v>
      </c>
      <c r="I17">
        <v>6821</v>
      </c>
      <c r="J17">
        <v>5110.1000000000004</v>
      </c>
      <c r="K17">
        <v>9367</v>
      </c>
      <c r="L17">
        <v>14771</v>
      </c>
      <c r="M17" s="8">
        <f>Table3567[[#This Row],[Ausfuhr: Wert €]]*1000/Table3567[[#This Row],[Ausfuhr: Gewicht]]</f>
        <v>2272.0109266652657</v>
      </c>
      <c r="N17" s="8">
        <f>Table3567[[#This Row],[Einfuhr: Wert €]]*1000/Table3567[[#This Row],[Einfuhr: Gewicht]]</f>
        <v>1833.0365354885421</v>
      </c>
      <c r="O17" s="8">
        <f>Table3567[[#This Row],[Ausfuhr: Wert $]]*1000/Table3567[[#This Row],[Ausfuhr: Gewicht]]</f>
        <v>3583.2107585627232</v>
      </c>
      <c r="P17" s="8">
        <f>Table3567[[#This Row],[Einfuhr: Wert $]]*1000/Table3567[[#This Row],[Einfuhr: Gewicht]]</f>
        <v>2890.5500870824444</v>
      </c>
    </row>
    <row r="18" spans="2:16" x14ac:dyDescent="0.25">
      <c r="B18">
        <f>(Table3567[[#This Row],[Jahr]]-$C$8)*12+Table3567[[#This Row],[Month nr]]</f>
        <v>8</v>
      </c>
      <c r="C18">
        <v>2008</v>
      </c>
      <c r="D18">
        <v>8</v>
      </c>
      <c r="E18" t="s">
        <v>17</v>
      </c>
      <c r="F18" t="str">
        <f>_xlfn.CONCAT(Table3567[[#This Row],[Monat]]," ",Table3567[[#This Row],[Jahr]])</f>
        <v>August 2008</v>
      </c>
      <c r="G18">
        <v>724.49999999999989</v>
      </c>
      <c r="H18">
        <v>1818</v>
      </c>
      <c r="I18">
        <v>2722</v>
      </c>
      <c r="J18">
        <v>1208.1000000000001</v>
      </c>
      <c r="K18">
        <v>2860</v>
      </c>
      <c r="L18">
        <v>4282</v>
      </c>
      <c r="M18" s="8">
        <f>Table3567[[#This Row],[Ausfuhr: Wert €]]*1000/Table3567[[#This Row],[Ausfuhr: Gewicht]]</f>
        <v>2509.3167701863358</v>
      </c>
      <c r="N18" s="8">
        <f>Table3567[[#This Row],[Einfuhr: Wert €]]*1000/Table3567[[#This Row],[Einfuhr: Gewicht]]</f>
        <v>2367.3536958861018</v>
      </c>
      <c r="O18" s="8">
        <f>Table3567[[#This Row],[Ausfuhr: Wert $]]*1000/Table3567[[#This Row],[Ausfuhr: Gewicht]]</f>
        <v>3757.0738440303662</v>
      </c>
      <c r="P18" s="8">
        <f>Table3567[[#This Row],[Einfuhr: Wert $]]*1000/Table3567[[#This Row],[Einfuhr: Gewicht]]</f>
        <v>3544.408575449052</v>
      </c>
    </row>
    <row r="19" spans="2:16" x14ac:dyDescent="0.25">
      <c r="B19">
        <f>(Table3567[[#This Row],[Jahr]]-$C$8)*12+Table3567[[#This Row],[Month nr]]</f>
        <v>9</v>
      </c>
      <c r="C19">
        <v>2008</v>
      </c>
      <c r="D19">
        <v>9</v>
      </c>
      <c r="E19" t="s">
        <v>18</v>
      </c>
      <c r="F19" t="str">
        <f>_xlfn.CONCAT(Table3567[[#This Row],[Monat]]," ",Table3567[[#This Row],[Jahr]])</f>
        <v>September 2008</v>
      </c>
      <c r="G19">
        <v>946.2</v>
      </c>
      <c r="H19">
        <v>2285</v>
      </c>
      <c r="I19">
        <v>3285</v>
      </c>
      <c r="J19">
        <v>1543.2</v>
      </c>
      <c r="K19">
        <v>3082</v>
      </c>
      <c r="L19">
        <v>4429</v>
      </c>
      <c r="M19" s="8">
        <f>Table3567[[#This Row],[Ausfuhr: Wert €]]*1000/Table3567[[#This Row],[Ausfuhr: Gewicht]]</f>
        <v>2414.9228492919042</v>
      </c>
      <c r="N19" s="8">
        <f>Table3567[[#This Row],[Einfuhr: Wert €]]*1000/Table3567[[#This Row],[Einfuhr: Gewicht]]</f>
        <v>1997.1487817522031</v>
      </c>
      <c r="O19" s="8">
        <f>Table3567[[#This Row],[Ausfuhr: Wert $]]*1000/Table3567[[#This Row],[Ausfuhr: Gewicht]]</f>
        <v>3471.7818642993025</v>
      </c>
      <c r="P19" s="8">
        <f>Table3567[[#This Row],[Einfuhr: Wert $]]*1000/Table3567[[#This Row],[Einfuhr: Gewicht]]</f>
        <v>2870.0103680663556</v>
      </c>
    </row>
    <row r="20" spans="2:16" x14ac:dyDescent="0.25">
      <c r="B20">
        <f>(Table3567[[#This Row],[Jahr]]-$C$8)*12+Table3567[[#This Row],[Month nr]]</f>
        <v>10</v>
      </c>
      <c r="C20">
        <v>2008</v>
      </c>
      <c r="D20">
        <v>10</v>
      </c>
      <c r="E20" t="s">
        <v>23</v>
      </c>
      <c r="F20" t="str">
        <f>_xlfn.CONCAT(Table3567[[#This Row],[Monat]]," ",Table3567[[#This Row],[Jahr]])</f>
        <v>Oktober 2008</v>
      </c>
      <c r="G20">
        <v>119.39999999999999</v>
      </c>
      <c r="H20">
        <v>401</v>
      </c>
      <c r="I20">
        <v>536</v>
      </c>
      <c r="J20">
        <v>713.2</v>
      </c>
      <c r="K20">
        <v>1844</v>
      </c>
      <c r="L20">
        <v>2457</v>
      </c>
      <c r="M20" s="8">
        <f>Table3567[[#This Row],[Ausfuhr: Wert €]]*1000/Table3567[[#This Row],[Ausfuhr: Gewicht]]</f>
        <v>3358.4589614740371</v>
      </c>
      <c r="N20" s="8">
        <f>Table3567[[#This Row],[Einfuhr: Wert €]]*1000/Table3567[[#This Row],[Einfuhr: Gewicht]]</f>
        <v>2585.5300056085248</v>
      </c>
      <c r="O20" s="8">
        <f>Table3567[[#This Row],[Ausfuhr: Wert $]]*1000/Table3567[[#This Row],[Ausfuhr: Gewicht]]</f>
        <v>4489.1122278056955</v>
      </c>
      <c r="P20" s="8">
        <f>Table3567[[#This Row],[Einfuhr: Wert $]]*1000/Table3567[[#This Row],[Einfuhr: Gewicht]]</f>
        <v>3445.0364554122266</v>
      </c>
    </row>
    <row r="21" spans="2:16" x14ac:dyDescent="0.25">
      <c r="B21">
        <f>(Table3567[[#This Row],[Jahr]]-$C$8)*12+Table3567[[#This Row],[Month nr]]</f>
        <v>11</v>
      </c>
      <c r="C21">
        <v>2008</v>
      </c>
      <c r="D21">
        <v>11</v>
      </c>
      <c r="E21" t="s">
        <v>19</v>
      </c>
      <c r="F21" t="str">
        <f>_xlfn.CONCAT(Table3567[[#This Row],[Monat]]," ",Table3567[[#This Row],[Jahr]])</f>
        <v>November 2008</v>
      </c>
      <c r="G21">
        <v>67.7</v>
      </c>
      <c r="H21">
        <v>245</v>
      </c>
      <c r="I21">
        <v>313</v>
      </c>
      <c r="J21">
        <v>476</v>
      </c>
      <c r="K21">
        <v>1779</v>
      </c>
      <c r="L21">
        <v>2265</v>
      </c>
      <c r="M21" s="8">
        <f>Table3567[[#This Row],[Ausfuhr: Wert €]]*1000/Table3567[[#This Row],[Ausfuhr: Gewicht]]</f>
        <v>3618.90694239291</v>
      </c>
      <c r="N21" s="8">
        <f>Table3567[[#This Row],[Einfuhr: Wert €]]*1000/Table3567[[#This Row],[Einfuhr: Gewicht]]</f>
        <v>3737.3949579831933</v>
      </c>
      <c r="O21" s="8">
        <f>Table3567[[#This Row],[Ausfuhr: Wert $]]*1000/Table3567[[#This Row],[Ausfuhr: Gewicht]]</f>
        <v>4623.3382570162476</v>
      </c>
      <c r="P21" s="8">
        <f>Table3567[[#This Row],[Einfuhr: Wert $]]*1000/Table3567[[#This Row],[Einfuhr: Gewicht]]</f>
        <v>4758.4033613445381</v>
      </c>
    </row>
    <row r="22" spans="2:16" x14ac:dyDescent="0.25">
      <c r="B22">
        <f>(Table3567[[#This Row],[Jahr]]-$C$8)*12+Table3567[[#This Row],[Month nr]]</f>
        <v>12</v>
      </c>
      <c r="C22">
        <v>2008</v>
      </c>
      <c r="D22">
        <v>12</v>
      </c>
      <c r="E22" t="s">
        <v>24</v>
      </c>
      <c r="F22" t="str">
        <f>_xlfn.CONCAT(Table3567[[#This Row],[Monat]]," ",Table3567[[#This Row],[Jahr]])</f>
        <v>Dezember 2008</v>
      </c>
      <c r="G22">
        <v>145.69999999999999</v>
      </c>
      <c r="H22">
        <v>692</v>
      </c>
      <c r="I22">
        <v>928</v>
      </c>
      <c r="J22">
        <v>1743.9999999999998</v>
      </c>
      <c r="K22">
        <v>3752</v>
      </c>
      <c r="L22">
        <v>5047</v>
      </c>
      <c r="M22" s="8">
        <f>Table3567[[#This Row],[Ausfuhr: Wert €]]*1000/Table3567[[#This Row],[Ausfuhr: Gewicht]]</f>
        <v>4749.4852436513384</v>
      </c>
      <c r="N22" s="8">
        <f>Table3567[[#This Row],[Einfuhr: Wert €]]*1000/Table3567[[#This Row],[Einfuhr: Gewicht]]</f>
        <v>2151.3761467889913</v>
      </c>
      <c r="O22" s="8">
        <f>Table3567[[#This Row],[Ausfuhr: Wert $]]*1000/Table3567[[#This Row],[Ausfuhr: Gewicht]]</f>
        <v>6369.2518874399457</v>
      </c>
      <c r="P22" s="8">
        <f>Table3567[[#This Row],[Einfuhr: Wert $]]*1000/Table3567[[#This Row],[Einfuhr: Gewicht]]</f>
        <v>2893.9220183486241</v>
      </c>
    </row>
    <row r="23" spans="2:16" x14ac:dyDescent="0.25">
      <c r="B23">
        <f>(Table3567[[#This Row],[Jahr]]-$C$8)*12+Table3567[[#This Row],[Month nr]]</f>
        <v>13</v>
      </c>
      <c r="C23">
        <v>2009</v>
      </c>
      <c r="D23">
        <v>1</v>
      </c>
      <c r="E23" t="s">
        <v>13</v>
      </c>
      <c r="F23" t="str">
        <f>_xlfn.CONCAT(Table3567[[#This Row],[Monat]]," ",Table3567[[#This Row],[Jahr]])</f>
        <v>Januar 2009</v>
      </c>
      <c r="G23">
        <v>241.29999999999998</v>
      </c>
      <c r="H23">
        <v>977</v>
      </c>
      <c r="I23">
        <v>1294</v>
      </c>
      <c r="J23">
        <v>1251.9000000000001</v>
      </c>
      <c r="K23">
        <v>4081</v>
      </c>
      <c r="L23">
        <v>5402</v>
      </c>
      <c r="M23" s="8">
        <f>Table3567[[#This Row],[Ausfuhr: Wert €]]*1000/Table3567[[#This Row],[Ausfuhr: Gewicht]]</f>
        <v>4048.9017820140907</v>
      </c>
      <c r="N23" s="8">
        <f>Table3567[[#This Row],[Einfuhr: Wert €]]*1000/Table3567[[#This Row],[Einfuhr: Gewicht]]</f>
        <v>3259.8450355459699</v>
      </c>
      <c r="O23" s="8">
        <f>Table3567[[#This Row],[Ausfuhr: Wert $]]*1000/Table3567[[#This Row],[Ausfuhr: Gewicht]]</f>
        <v>5362.6191462909246</v>
      </c>
      <c r="P23" s="8">
        <f>Table3567[[#This Row],[Einfuhr: Wert $]]*1000/Table3567[[#This Row],[Einfuhr: Gewicht]]</f>
        <v>4315.0411374710438</v>
      </c>
    </row>
    <row r="24" spans="2:16" x14ac:dyDescent="0.25">
      <c r="B24">
        <f>(Table3567[[#This Row],[Jahr]]-$C$8)*12+Table3567[[#This Row],[Month nr]]</f>
        <v>14</v>
      </c>
      <c r="C24">
        <v>2009</v>
      </c>
      <c r="D24">
        <v>2</v>
      </c>
      <c r="E24" t="s">
        <v>14</v>
      </c>
      <c r="F24" t="str">
        <f>_xlfn.CONCAT(Table3567[[#This Row],[Monat]]," ",Table3567[[#This Row],[Jahr]])</f>
        <v>Februar 2009</v>
      </c>
      <c r="G24">
        <v>203.40000000000003</v>
      </c>
      <c r="H24">
        <v>620</v>
      </c>
      <c r="I24">
        <v>790</v>
      </c>
      <c r="J24">
        <v>3900</v>
      </c>
      <c r="K24">
        <v>9669</v>
      </c>
      <c r="L24">
        <v>12363</v>
      </c>
      <c r="M24" s="8">
        <f>Table3567[[#This Row],[Ausfuhr: Wert €]]*1000/Table3567[[#This Row],[Ausfuhr: Gewicht]]</f>
        <v>3048.1809242871186</v>
      </c>
      <c r="N24" s="8">
        <f>Table3567[[#This Row],[Einfuhr: Wert €]]*1000/Table3567[[#This Row],[Einfuhr: Gewicht]]</f>
        <v>2479.2307692307691</v>
      </c>
      <c r="O24" s="8">
        <f>Table3567[[#This Row],[Ausfuhr: Wert $]]*1000/Table3567[[#This Row],[Ausfuhr: Gewicht]]</f>
        <v>3883.9724680432637</v>
      </c>
      <c r="P24" s="8">
        <f>Table3567[[#This Row],[Einfuhr: Wert $]]*1000/Table3567[[#This Row],[Einfuhr: Gewicht]]</f>
        <v>3170</v>
      </c>
    </row>
    <row r="25" spans="2:16" x14ac:dyDescent="0.25">
      <c r="B25">
        <f>(Table3567[[#This Row],[Jahr]]-$C$8)*12+Table3567[[#This Row],[Month nr]]</f>
        <v>15</v>
      </c>
      <c r="C25">
        <v>2009</v>
      </c>
      <c r="D25">
        <v>3</v>
      </c>
      <c r="E25" t="s">
        <v>15</v>
      </c>
      <c r="F25" t="str">
        <f>_xlfn.CONCAT(Table3567[[#This Row],[Monat]]," ",Table3567[[#This Row],[Jahr]])</f>
        <v>März 2009</v>
      </c>
      <c r="G25">
        <v>603.09999999999991</v>
      </c>
      <c r="H25">
        <v>1391</v>
      </c>
      <c r="I25">
        <v>1809</v>
      </c>
      <c r="J25">
        <v>12151</v>
      </c>
      <c r="K25">
        <v>22275</v>
      </c>
      <c r="L25">
        <v>29068</v>
      </c>
      <c r="M25" s="8">
        <f>Table3567[[#This Row],[Ausfuhr: Wert €]]*1000/Table3567[[#This Row],[Ausfuhr: Gewicht]]</f>
        <v>2306.416846294147</v>
      </c>
      <c r="N25" s="8">
        <f>Table3567[[#This Row],[Einfuhr: Wert €]]*1000/Table3567[[#This Row],[Einfuhr: Gewicht]]</f>
        <v>1833.1824541190026</v>
      </c>
      <c r="O25" s="8">
        <f>Table3567[[#This Row],[Ausfuhr: Wert $]]*1000/Table3567[[#This Row],[Ausfuhr: Gewicht]]</f>
        <v>2999.5025700547176</v>
      </c>
      <c r="P25" s="8">
        <f>Table3567[[#This Row],[Einfuhr: Wert $]]*1000/Table3567[[#This Row],[Einfuhr: Gewicht]]</f>
        <v>2392.2310920911859</v>
      </c>
    </row>
    <row r="26" spans="2:16" x14ac:dyDescent="0.25">
      <c r="B26">
        <f>(Table3567[[#This Row],[Jahr]]-$C$8)*12+Table3567[[#This Row],[Month nr]]</f>
        <v>16</v>
      </c>
      <c r="C26">
        <v>2009</v>
      </c>
      <c r="D26">
        <v>4</v>
      </c>
      <c r="E26" t="s">
        <v>16</v>
      </c>
      <c r="F26" t="str">
        <f>_xlfn.CONCAT(Table3567[[#This Row],[Monat]]," ",Table3567[[#This Row],[Jahr]])</f>
        <v>April 2009</v>
      </c>
      <c r="G26" s="10">
        <v>1649.8999999999999</v>
      </c>
      <c r="H26" s="10">
        <v>3237</v>
      </c>
      <c r="I26" s="10">
        <v>4272</v>
      </c>
      <c r="J26" s="10">
        <v>37053.199999999997</v>
      </c>
      <c r="K26" s="10">
        <v>64311</v>
      </c>
      <c r="L26" s="10">
        <v>84828</v>
      </c>
      <c r="M26" s="8">
        <f>Table3567[[#This Row],[Ausfuhr: Wert €]]*1000/Table3567[[#This Row],[Ausfuhr: Gewicht]]</f>
        <v>1961.9370870961877</v>
      </c>
      <c r="N26" s="8">
        <f>Table3567[[#This Row],[Einfuhr: Wert €]]*1000/Table3567[[#This Row],[Einfuhr: Gewicht]]</f>
        <v>1735.6395668930081</v>
      </c>
      <c r="O26" s="8">
        <f>Table3567[[#This Row],[Ausfuhr: Wert $]]*1000/Table3567[[#This Row],[Ausfuhr: Gewicht]]</f>
        <v>2589.2478332020123</v>
      </c>
      <c r="P26" s="8">
        <f>Table3567[[#This Row],[Einfuhr: Wert $]]*1000/Table3567[[#This Row],[Einfuhr: Gewicht]]</f>
        <v>2289.356924638088</v>
      </c>
    </row>
    <row r="27" spans="2:16" x14ac:dyDescent="0.25">
      <c r="B27">
        <f>(Table3567[[#This Row],[Jahr]]-$C$8)*12+Table3567[[#This Row],[Month nr]]</f>
        <v>17</v>
      </c>
      <c r="C27">
        <v>2009</v>
      </c>
      <c r="D27">
        <v>5</v>
      </c>
      <c r="E27" t="s">
        <v>20</v>
      </c>
      <c r="F27" t="str">
        <f>_xlfn.CONCAT(Table3567[[#This Row],[Monat]]," ",Table3567[[#This Row],[Jahr]])</f>
        <v>Mai 2009</v>
      </c>
      <c r="G27">
        <v>1900.6999999999998</v>
      </c>
      <c r="H27">
        <v>4008</v>
      </c>
      <c r="I27">
        <v>5471</v>
      </c>
      <c r="J27">
        <v>32753.4</v>
      </c>
      <c r="K27">
        <v>57504</v>
      </c>
      <c r="L27">
        <v>78495</v>
      </c>
      <c r="M27" s="8">
        <f>Table3567[[#This Row],[Ausfuhr: Wert €]]*1000/Table3567[[#This Row],[Ausfuhr: Gewicht]]</f>
        <v>2108.6967959172939</v>
      </c>
      <c r="N27" s="8">
        <f>Table3567[[#This Row],[Einfuhr: Wert €]]*1000/Table3567[[#This Row],[Einfuhr: Gewicht]]</f>
        <v>1755.6650607265199</v>
      </c>
      <c r="O27" s="8">
        <f>Table3567[[#This Row],[Ausfuhr: Wert $]]*1000/Table3567[[#This Row],[Ausfuhr: Gewicht]]</f>
        <v>2878.4132161835114</v>
      </c>
      <c r="P27" s="8">
        <f>Table3567[[#This Row],[Einfuhr: Wert $]]*1000/Table3567[[#This Row],[Einfuhr: Gewicht]]</f>
        <v>2396.545091501951</v>
      </c>
    </row>
    <row r="28" spans="2:16" x14ac:dyDescent="0.25">
      <c r="B28">
        <f>(Table3567[[#This Row],[Jahr]]-$C$8)*12+Table3567[[#This Row],[Month nr]]</f>
        <v>18</v>
      </c>
      <c r="C28">
        <v>2009</v>
      </c>
      <c r="D28">
        <v>6</v>
      </c>
      <c r="E28" t="s">
        <v>21</v>
      </c>
      <c r="F28" t="str">
        <f>_xlfn.CONCAT(Table3567[[#This Row],[Monat]]," ",Table3567[[#This Row],[Jahr]])</f>
        <v>Juni 2009</v>
      </c>
      <c r="G28">
        <v>4458.1999999999989</v>
      </c>
      <c r="H28">
        <v>9824</v>
      </c>
      <c r="I28">
        <v>13771</v>
      </c>
      <c r="J28">
        <v>13537.999999999998</v>
      </c>
      <c r="K28">
        <v>18288</v>
      </c>
      <c r="L28">
        <v>25633</v>
      </c>
      <c r="M28" s="8">
        <f>Table3567[[#This Row],[Ausfuhr: Wert €]]*1000/Table3567[[#This Row],[Ausfuhr: Gewicht]]</f>
        <v>2203.579920147145</v>
      </c>
      <c r="N28" s="8">
        <f>Table3567[[#This Row],[Einfuhr: Wert €]]*1000/Table3567[[#This Row],[Einfuhr: Gewicht]]</f>
        <v>1350.8642340079778</v>
      </c>
      <c r="O28" s="8">
        <f>Table3567[[#This Row],[Ausfuhr: Wert $]]*1000/Table3567[[#This Row],[Ausfuhr: Gewicht]]</f>
        <v>3088.9148086671757</v>
      </c>
      <c r="P28" s="8">
        <f>Table3567[[#This Row],[Einfuhr: Wert $]]*1000/Table3567[[#This Row],[Einfuhr: Gewicht]]</f>
        <v>1893.4111390161031</v>
      </c>
    </row>
    <row r="29" spans="2:16" x14ac:dyDescent="0.25">
      <c r="B29">
        <f>(Table3567[[#This Row],[Jahr]]-$C$8)*12+Table3567[[#This Row],[Month nr]]</f>
        <v>19</v>
      </c>
      <c r="C29">
        <v>2009</v>
      </c>
      <c r="D29">
        <v>7</v>
      </c>
      <c r="E29" t="s">
        <v>22</v>
      </c>
      <c r="F29" t="str">
        <f>_xlfn.CONCAT(Table3567[[#This Row],[Monat]]," ",Table3567[[#This Row],[Jahr]])</f>
        <v>Juli 2009</v>
      </c>
      <c r="G29">
        <v>3502.7</v>
      </c>
      <c r="H29">
        <v>7923</v>
      </c>
      <c r="I29">
        <v>11162</v>
      </c>
      <c r="J29">
        <v>4315.3</v>
      </c>
      <c r="K29">
        <v>4876</v>
      </c>
      <c r="L29">
        <v>6868</v>
      </c>
      <c r="M29" s="8">
        <f>Table3567[[#This Row],[Ausfuhr: Wert €]]*1000/Table3567[[#This Row],[Ausfuhr: Gewicht]]</f>
        <v>2261.9693379393043</v>
      </c>
      <c r="N29" s="8">
        <f>Table3567[[#This Row],[Einfuhr: Wert €]]*1000/Table3567[[#This Row],[Einfuhr: Gewicht]]</f>
        <v>1129.9330289898733</v>
      </c>
      <c r="O29" s="8">
        <f>Table3567[[#This Row],[Ausfuhr: Wert $]]*1000/Table3567[[#This Row],[Ausfuhr: Gewicht]]</f>
        <v>3186.6845576269739</v>
      </c>
      <c r="P29" s="8">
        <f>Table3567[[#This Row],[Einfuhr: Wert $]]*1000/Table3567[[#This Row],[Einfuhr: Gewicht]]</f>
        <v>1591.5463583064909</v>
      </c>
    </row>
    <row r="30" spans="2:16" x14ac:dyDescent="0.25">
      <c r="B30">
        <f>(Table3567[[#This Row],[Jahr]]-$C$8)*12+Table3567[[#This Row],[Month nr]]</f>
        <v>20</v>
      </c>
      <c r="C30">
        <v>2009</v>
      </c>
      <c r="D30">
        <v>8</v>
      </c>
      <c r="E30" t="s">
        <v>17</v>
      </c>
      <c r="F30" t="str">
        <f>_xlfn.CONCAT(Table3567[[#This Row],[Monat]]," ",Table3567[[#This Row],[Jahr]])</f>
        <v>August 2009</v>
      </c>
      <c r="G30">
        <v>683.90000000000009</v>
      </c>
      <c r="H30">
        <v>1739</v>
      </c>
      <c r="I30">
        <v>2486</v>
      </c>
      <c r="J30">
        <v>1151.4000000000001</v>
      </c>
      <c r="K30">
        <v>2924</v>
      </c>
      <c r="L30">
        <v>4169</v>
      </c>
      <c r="M30" s="8">
        <f>Table3567[[#This Row],[Ausfuhr: Wert €]]*1000/Table3567[[#This Row],[Ausfuhr: Gewicht]]</f>
        <v>2542.7694107325628</v>
      </c>
      <c r="N30" s="8">
        <f>Table3567[[#This Row],[Einfuhr: Wert €]]*1000/Table3567[[#This Row],[Einfuhr: Gewicht]]</f>
        <v>2539.517109605697</v>
      </c>
      <c r="O30" s="8">
        <f>Table3567[[#This Row],[Ausfuhr: Wert $]]*1000/Table3567[[#This Row],[Ausfuhr: Gewicht]]</f>
        <v>3635.0343617487933</v>
      </c>
      <c r="P30" s="8">
        <f>Table3567[[#This Row],[Einfuhr: Wert $]]*1000/Table3567[[#This Row],[Einfuhr: Gewicht]]</f>
        <v>3620.8094493659892</v>
      </c>
    </row>
    <row r="31" spans="2:16" x14ac:dyDescent="0.25">
      <c r="B31">
        <f>(Table3567[[#This Row],[Jahr]]-$C$8)*12+Table3567[[#This Row],[Month nr]]</f>
        <v>21</v>
      </c>
      <c r="C31">
        <v>2009</v>
      </c>
      <c r="D31">
        <v>9</v>
      </c>
      <c r="E31" t="s">
        <v>18</v>
      </c>
      <c r="F31" t="str">
        <f>_xlfn.CONCAT(Table3567[[#This Row],[Monat]]," ",Table3567[[#This Row],[Jahr]])</f>
        <v>September 2009</v>
      </c>
      <c r="G31">
        <v>300.59999999999997</v>
      </c>
      <c r="H31">
        <v>853</v>
      </c>
      <c r="I31">
        <v>1243</v>
      </c>
      <c r="J31">
        <v>561.29999999999995</v>
      </c>
      <c r="K31">
        <v>1522</v>
      </c>
      <c r="L31">
        <v>2217</v>
      </c>
      <c r="M31" s="8">
        <f>Table3567[[#This Row],[Ausfuhr: Wert €]]*1000/Table3567[[#This Row],[Ausfuhr: Gewicht]]</f>
        <v>2837.658017298736</v>
      </c>
      <c r="N31" s="8">
        <f>Table3567[[#This Row],[Einfuhr: Wert €]]*1000/Table3567[[#This Row],[Einfuhr: Gewicht]]</f>
        <v>2711.5624443256729</v>
      </c>
      <c r="O31" s="8">
        <f>Table3567[[#This Row],[Ausfuhr: Wert $]]*1000/Table3567[[#This Row],[Ausfuhr: Gewicht]]</f>
        <v>4135.0632069194944</v>
      </c>
      <c r="P31" s="8">
        <f>Table3567[[#This Row],[Einfuhr: Wert $]]*1000/Table3567[[#This Row],[Einfuhr: Gewicht]]</f>
        <v>3949.7594869053987</v>
      </c>
    </row>
    <row r="32" spans="2:16" x14ac:dyDescent="0.25">
      <c r="B32">
        <f>(Table3567[[#This Row],[Jahr]]-$C$8)*12+Table3567[[#This Row],[Month nr]]</f>
        <v>22</v>
      </c>
      <c r="C32">
        <v>2009</v>
      </c>
      <c r="D32">
        <v>10</v>
      </c>
      <c r="E32" t="s">
        <v>23</v>
      </c>
      <c r="F32" t="str">
        <f>_xlfn.CONCAT(Table3567[[#This Row],[Monat]]," ",Table3567[[#This Row],[Jahr]])</f>
        <v>Oktober 2009</v>
      </c>
      <c r="G32">
        <v>226.8</v>
      </c>
      <c r="H32">
        <v>653</v>
      </c>
      <c r="I32">
        <v>967</v>
      </c>
      <c r="J32">
        <v>900.50000000000011</v>
      </c>
      <c r="K32">
        <v>2682</v>
      </c>
      <c r="L32">
        <v>3973</v>
      </c>
      <c r="M32" s="8">
        <f>Table3567[[#This Row],[Ausfuhr: Wert €]]*1000/Table3567[[#This Row],[Ausfuhr: Gewicht]]</f>
        <v>2879.1887125220455</v>
      </c>
      <c r="N32" s="8">
        <f>Table3567[[#This Row],[Einfuhr: Wert €]]*1000/Table3567[[#This Row],[Einfuhr: Gewicht]]</f>
        <v>2978.3453636868403</v>
      </c>
      <c r="O32" s="8">
        <f>Table3567[[#This Row],[Ausfuhr: Wert $]]*1000/Table3567[[#This Row],[Ausfuhr: Gewicht]]</f>
        <v>4263.6684303350967</v>
      </c>
      <c r="P32" s="8">
        <f>Table3567[[#This Row],[Einfuhr: Wert $]]*1000/Table3567[[#This Row],[Einfuhr: Gewicht]]</f>
        <v>4411.99333703498</v>
      </c>
    </row>
    <row r="33" spans="2:16" x14ac:dyDescent="0.25">
      <c r="B33">
        <f>(Table3567[[#This Row],[Jahr]]-$C$8)*12+Table3567[[#This Row],[Month nr]]</f>
        <v>23</v>
      </c>
      <c r="C33">
        <v>2009</v>
      </c>
      <c r="D33">
        <v>11</v>
      </c>
      <c r="E33" t="s">
        <v>19</v>
      </c>
      <c r="F33" t="str">
        <f>_xlfn.CONCAT(Table3567[[#This Row],[Monat]]," ",Table3567[[#This Row],[Jahr]])</f>
        <v>November 2009</v>
      </c>
      <c r="G33">
        <v>95</v>
      </c>
      <c r="H33">
        <v>411</v>
      </c>
      <c r="I33">
        <v>616</v>
      </c>
      <c r="J33">
        <v>683.2</v>
      </c>
      <c r="K33">
        <v>2276</v>
      </c>
      <c r="L33">
        <v>3396</v>
      </c>
      <c r="M33" s="8">
        <f>Table3567[[#This Row],[Ausfuhr: Wert €]]*1000/Table3567[[#This Row],[Ausfuhr: Gewicht]]</f>
        <v>4326.3157894736842</v>
      </c>
      <c r="N33" s="8">
        <f>Table3567[[#This Row],[Einfuhr: Wert €]]*1000/Table3567[[#This Row],[Einfuhr: Gewicht]]</f>
        <v>3331.3817330210773</v>
      </c>
      <c r="O33" s="8">
        <f>Table3567[[#This Row],[Ausfuhr: Wert $]]*1000/Table3567[[#This Row],[Ausfuhr: Gewicht]]</f>
        <v>6484.2105263157891</v>
      </c>
      <c r="P33" s="8">
        <f>Table3567[[#This Row],[Einfuhr: Wert $]]*1000/Table3567[[#This Row],[Einfuhr: Gewicht]]</f>
        <v>4970.7259953161592</v>
      </c>
    </row>
    <row r="34" spans="2:16" x14ac:dyDescent="0.25">
      <c r="B34">
        <f>(Table3567[[#This Row],[Jahr]]-$C$8)*12+Table3567[[#This Row],[Month nr]]</f>
        <v>24</v>
      </c>
      <c r="C34">
        <v>2009</v>
      </c>
      <c r="D34">
        <v>12</v>
      </c>
      <c r="E34" t="s">
        <v>24</v>
      </c>
      <c r="F34" t="str">
        <f>_xlfn.CONCAT(Table3567[[#This Row],[Monat]]," ",Table3567[[#This Row],[Jahr]])</f>
        <v>Dezember 2009</v>
      </c>
      <c r="G34">
        <v>260.79999999999995</v>
      </c>
      <c r="H34">
        <v>1169</v>
      </c>
      <c r="I34">
        <v>1711</v>
      </c>
      <c r="J34">
        <v>988.80000000000007</v>
      </c>
      <c r="K34">
        <v>3209</v>
      </c>
      <c r="L34">
        <v>4691</v>
      </c>
      <c r="M34" s="8">
        <f>Table3567[[#This Row],[Ausfuhr: Wert €]]*1000/Table3567[[#This Row],[Ausfuhr: Gewicht]]</f>
        <v>4482.3619631901847</v>
      </c>
      <c r="N34" s="8">
        <f>Table3567[[#This Row],[Einfuhr: Wert €]]*1000/Table3567[[#This Row],[Einfuhr: Gewicht]]</f>
        <v>3245.3478964401293</v>
      </c>
      <c r="O34" s="8">
        <f>Table3567[[#This Row],[Ausfuhr: Wert $]]*1000/Table3567[[#This Row],[Ausfuhr: Gewicht]]</f>
        <v>6560.5828220858912</v>
      </c>
      <c r="P34" s="8">
        <f>Table3567[[#This Row],[Einfuhr: Wert $]]*1000/Table3567[[#This Row],[Einfuhr: Gewicht]]</f>
        <v>4744.1343042071194</v>
      </c>
    </row>
    <row r="35" spans="2:16" x14ac:dyDescent="0.25">
      <c r="B35">
        <f>(Table3567[[#This Row],[Jahr]]-$C$8)*12+Table3567[[#This Row],[Month nr]]</f>
        <v>25</v>
      </c>
      <c r="C35">
        <v>2010</v>
      </c>
      <c r="D35">
        <v>1</v>
      </c>
      <c r="E35" t="s">
        <v>13</v>
      </c>
      <c r="F35" t="str">
        <f>_xlfn.CONCAT(Table3567[[#This Row],[Monat]]," ",Table3567[[#This Row],[Jahr]])</f>
        <v>Januar 2010</v>
      </c>
      <c r="G35">
        <v>424.7</v>
      </c>
      <c r="H35">
        <v>1285</v>
      </c>
      <c r="I35">
        <v>1833</v>
      </c>
      <c r="J35">
        <v>1502.8999999999999</v>
      </c>
      <c r="K35">
        <v>3546</v>
      </c>
      <c r="L35">
        <v>5059</v>
      </c>
      <c r="M35" s="8">
        <f>Table3567[[#This Row],[Ausfuhr: Wert €]]*1000/Table3567[[#This Row],[Ausfuhr: Gewicht]]</f>
        <v>3025.665175417942</v>
      </c>
      <c r="N35" s="8">
        <f>Table3567[[#This Row],[Einfuhr: Wert €]]*1000/Table3567[[#This Row],[Einfuhr: Gewicht]]</f>
        <v>2359.4384190564911</v>
      </c>
      <c r="O35" s="8">
        <f>Table3567[[#This Row],[Ausfuhr: Wert $]]*1000/Table3567[[#This Row],[Ausfuhr: Gewicht]]</f>
        <v>4315.9877560631039</v>
      </c>
      <c r="P35" s="8">
        <f>Table3567[[#This Row],[Einfuhr: Wert $]]*1000/Table3567[[#This Row],[Einfuhr: Gewicht]]</f>
        <v>3366.1587597311868</v>
      </c>
    </row>
    <row r="36" spans="2:16" x14ac:dyDescent="0.25">
      <c r="B36">
        <f>(Table3567[[#This Row],[Jahr]]-$C$8)*12+Table3567[[#This Row],[Month nr]]</f>
        <v>26</v>
      </c>
      <c r="C36">
        <v>2010</v>
      </c>
      <c r="D36">
        <v>2</v>
      </c>
      <c r="E36" t="s">
        <v>14</v>
      </c>
      <c r="F36" t="str">
        <f>_xlfn.CONCAT(Table3567[[#This Row],[Monat]]," ",Table3567[[#This Row],[Jahr]])</f>
        <v>Februar 2010</v>
      </c>
      <c r="G36">
        <v>283.7</v>
      </c>
      <c r="H36">
        <v>641</v>
      </c>
      <c r="I36">
        <v>876</v>
      </c>
      <c r="J36">
        <v>3500.9</v>
      </c>
      <c r="K36">
        <v>7890</v>
      </c>
      <c r="L36">
        <v>10798</v>
      </c>
      <c r="M36" s="8">
        <f>Table3567[[#This Row],[Ausfuhr: Wert €]]*1000/Table3567[[#This Row],[Ausfuhr: Gewicht]]</f>
        <v>2259.4289742685937</v>
      </c>
      <c r="N36" s="8">
        <f>Table3567[[#This Row],[Einfuhr: Wert €]]*1000/Table3567[[#This Row],[Einfuhr: Gewicht]]</f>
        <v>2253.7061898368988</v>
      </c>
      <c r="O36" s="8">
        <f>Table3567[[#This Row],[Ausfuhr: Wert $]]*1000/Table3567[[#This Row],[Ausfuhr: Gewicht]]</f>
        <v>3087.7687698272825</v>
      </c>
      <c r="P36" s="8">
        <f>Table3567[[#This Row],[Einfuhr: Wert $]]*1000/Table3567[[#This Row],[Einfuhr: Gewicht]]</f>
        <v>3084.3497386386357</v>
      </c>
    </row>
    <row r="37" spans="2:16" x14ac:dyDescent="0.25">
      <c r="B37">
        <f>(Table3567[[#This Row],[Jahr]]-$C$8)*12+Table3567[[#This Row],[Month nr]]</f>
        <v>27</v>
      </c>
      <c r="C37">
        <v>2010</v>
      </c>
      <c r="D37">
        <v>3</v>
      </c>
      <c r="E37" t="s">
        <v>15</v>
      </c>
      <c r="F37" t="str">
        <f>_xlfn.CONCAT(Table3567[[#This Row],[Monat]]," ",Table3567[[#This Row],[Jahr]])</f>
        <v>März 2010</v>
      </c>
      <c r="G37">
        <v>733.3</v>
      </c>
      <c r="H37">
        <v>1959</v>
      </c>
      <c r="I37">
        <v>2660</v>
      </c>
      <c r="J37">
        <v>11662.7</v>
      </c>
      <c r="K37">
        <v>25324</v>
      </c>
      <c r="L37">
        <v>34362</v>
      </c>
      <c r="M37" s="8">
        <f>Table3567[[#This Row],[Ausfuhr: Wert €]]*1000/Table3567[[#This Row],[Ausfuhr: Gewicht]]</f>
        <v>2671.4850675030684</v>
      </c>
      <c r="N37" s="8">
        <f>Table3567[[#This Row],[Einfuhr: Wert €]]*1000/Table3567[[#This Row],[Einfuhr: Gewicht]]</f>
        <v>2171.3668361528635</v>
      </c>
      <c r="O37" s="8">
        <f>Table3567[[#This Row],[Ausfuhr: Wert $]]*1000/Table3567[[#This Row],[Ausfuhr: Gewicht]]</f>
        <v>3627.4376108004913</v>
      </c>
      <c r="P37" s="8">
        <f>Table3567[[#This Row],[Einfuhr: Wert $]]*1000/Table3567[[#This Row],[Einfuhr: Gewicht]]</f>
        <v>2946.3160331655617</v>
      </c>
    </row>
    <row r="38" spans="2:16" x14ac:dyDescent="0.25">
      <c r="B38">
        <f>(Table3567[[#This Row],[Jahr]]-$C$8)*12+Table3567[[#This Row],[Month nr]]</f>
        <v>28</v>
      </c>
      <c r="C38">
        <v>2010</v>
      </c>
      <c r="D38">
        <v>4</v>
      </c>
      <c r="E38" t="s">
        <v>16</v>
      </c>
      <c r="F38" t="str">
        <f>_xlfn.CONCAT(Table3567[[#This Row],[Monat]]," ",Table3567[[#This Row],[Jahr]])</f>
        <v>April 2010</v>
      </c>
      <c r="G38" s="10">
        <v>1119.9999999999998</v>
      </c>
      <c r="H38" s="10">
        <v>2233</v>
      </c>
      <c r="I38" s="10">
        <v>2997</v>
      </c>
      <c r="J38" s="10">
        <v>27678.799999999996</v>
      </c>
      <c r="K38" s="10">
        <v>46427</v>
      </c>
      <c r="L38" s="10">
        <v>62242</v>
      </c>
      <c r="M38" s="8">
        <f>Table3567[[#This Row],[Ausfuhr: Wert €]]*1000/Table3567[[#This Row],[Ausfuhr: Gewicht]]</f>
        <v>1993.7500000000005</v>
      </c>
      <c r="N38" s="8">
        <f>Table3567[[#This Row],[Einfuhr: Wert €]]*1000/Table3567[[#This Row],[Einfuhr: Gewicht]]</f>
        <v>1677.3487289911416</v>
      </c>
      <c r="O38" s="8">
        <f>Table3567[[#This Row],[Ausfuhr: Wert $]]*1000/Table3567[[#This Row],[Ausfuhr: Gewicht]]</f>
        <v>2675.8928571428578</v>
      </c>
      <c r="P38" s="8">
        <f>Table3567[[#This Row],[Einfuhr: Wert $]]*1000/Table3567[[#This Row],[Einfuhr: Gewicht]]</f>
        <v>2248.7246556931664</v>
      </c>
    </row>
    <row r="39" spans="2:16" x14ac:dyDescent="0.25">
      <c r="B39">
        <f>(Table3567[[#This Row],[Jahr]]-$C$8)*12+Table3567[[#This Row],[Month nr]]</f>
        <v>29</v>
      </c>
      <c r="C39">
        <v>2010</v>
      </c>
      <c r="D39">
        <v>5</v>
      </c>
      <c r="E39" t="s">
        <v>20</v>
      </c>
      <c r="F39" t="str">
        <f>_xlfn.CONCAT(Table3567[[#This Row],[Monat]]," ",Table3567[[#This Row],[Jahr]])</f>
        <v>Mai 2010</v>
      </c>
      <c r="G39">
        <v>878.69999999999993</v>
      </c>
      <c r="H39">
        <v>2163</v>
      </c>
      <c r="I39">
        <v>2714</v>
      </c>
      <c r="J39">
        <v>36576.19999999999</v>
      </c>
      <c r="K39">
        <v>72048</v>
      </c>
      <c r="L39">
        <v>90526</v>
      </c>
      <c r="M39" s="8">
        <f>Table3567[[#This Row],[Ausfuhr: Wert €]]*1000/Table3567[[#This Row],[Ausfuhr: Gewicht]]</f>
        <v>2461.5909866848756</v>
      </c>
      <c r="N39" s="8">
        <f>Table3567[[#This Row],[Einfuhr: Wert €]]*1000/Table3567[[#This Row],[Einfuhr: Gewicht]]</f>
        <v>1969.8055019384194</v>
      </c>
      <c r="O39" s="8">
        <f>Table3567[[#This Row],[Ausfuhr: Wert $]]*1000/Table3567[[#This Row],[Ausfuhr: Gewicht]]</f>
        <v>3088.6536929555027</v>
      </c>
      <c r="P39" s="8">
        <f>Table3567[[#This Row],[Einfuhr: Wert $]]*1000/Table3567[[#This Row],[Einfuhr: Gewicht]]</f>
        <v>2474.9974026826194</v>
      </c>
    </row>
    <row r="40" spans="2:16" x14ac:dyDescent="0.25">
      <c r="B40">
        <f>(Table3567[[#This Row],[Jahr]]-$C$8)*12+Table3567[[#This Row],[Month nr]]</f>
        <v>30</v>
      </c>
      <c r="C40">
        <v>2010</v>
      </c>
      <c r="D40">
        <v>6</v>
      </c>
      <c r="E40" t="s">
        <v>21</v>
      </c>
      <c r="F40" t="str">
        <f>_xlfn.CONCAT(Table3567[[#This Row],[Monat]]," ",Table3567[[#This Row],[Jahr]])</f>
        <v>Juni 2010</v>
      </c>
      <c r="G40">
        <v>4636.3999999999996</v>
      </c>
      <c r="H40">
        <v>10555</v>
      </c>
      <c r="I40">
        <v>12886</v>
      </c>
      <c r="J40">
        <v>14608.5</v>
      </c>
      <c r="K40">
        <v>22576</v>
      </c>
      <c r="L40">
        <v>27564</v>
      </c>
      <c r="M40" s="8">
        <f>Table3567[[#This Row],[Ausfuhr: Wert €]]*1000/Table3567[[#This Row],[Ausfuhr: Gewicht]]</f>
        <v>2276.550772150807</v>
      </c>
      <c r="N40" s="8">
        <f>Table3567[[#This Row],[Einfuhr: Wert €]]*1000/Table3567[[#This Row],[Einfuhr: Gewicht]]</f>
        <v>1545.4016497244754</v>
      </c>
      <c r="O40" s="8">
        <f>Table3567[[#This Row],[Ausfuhr: Wert $]]*1000/Table3567[[#This Row],[Ausfuhr: Gewicht]]</f>
        <v>2779.311534811492</v>
      </c>
      <c r="P40" s="8">
        <f>Table3567[[#This Row],[Einfuhr: Wert $]]*1000/Table3567[[#This Row],[Einfuhr: Gewicht]]</f>
        <v>1886.8466988397165</v>
      </c>
    </row>
    <row r="41" spans="2:16" x14ac:dyDescent="0.25">
      <c r="B41">
        <f>(Table3567[[#This Row],[Jahr]]-$C$8)*12+Table3567[[#This Row],[Month nr]]</f>
        <v>31</v>
      </c>
      <c r="C41">
        <v>2010</v>
      </c>
      <c r="D41">
        <v>7</v>
      </c>
      <c r="E41" t="s">
        <v>22</v>
      </c>
      <c r="F41" t="str">
        <f>_xlfn.CONCAT(Table3567[[#This Row],[Monat]]," ",Table3567[[#This Row],[Jahr]])</f>
        <v>Juli 2010</v>
      </c>
      <c r="G41">
        <v>2222.1</v>
      </c>
      <c r="H41">
        <v>4279</v>
      </c>
      <c r="I41">
        <v>5461</v>
      </c>
      <c r="J41">
        <v>4152.9999999999991</v>
      </c>
      <c r="K41">
        <v>6037</v>
      </c>
      <c r="L41">
        <v>7709</v>
      </c>
      <c r="M41" s="8">
        <f>Table3567[[#This Row],[Ausfuhr: Wert €]]*1000/Table3567[[#This Row],[Ausfuhr: Gewicht]]</f>
        <v>1925.6559110751093</v>
      </c>
      <c r="N41" s="8">
        <f>Table3567[[#This Row],[Einfuhr: Wert €]]*1000/Table3567[[#This Row],[Einfuhr: Gewicht]]</f>
        <v>1453.6479653262704</v>
      </c>
      <c r="O41" s="8">
        <f>Table3567[[#This Row],[Ausfuhr: Wert $]]*1000/Table3567[[#This Row],[Ausfuhr: Gewicht]]</f>
        <v>2457.5851671841951</v>
      </c>
      <c r="P41" s="8">
        <f>Table3567[[#This Row],[Einfuhr: Wert $]]*1000/Table3567[[#This Row],[Einfuhr: Gewicht]]</f>
        <v>1856.2484950638097</v>
      </c>
    </row>
    <row r="42" spans="2:16" x14ac:dyDescent="0.25">
      <c r="B42">
        <f>(Table3567[[#This Row],[Jahr]]-$C$8)*12+Table3567[[#This Row],[Month nr]]</f>
        <v>32</v>
      </c>
      <c r="C42">
        <v>2010</v>
      </c>
      <c r="D42">
        <v>8</v>
      </c>
      <c r="E42" t="s">
        <v>17</v>
      </c>
      <c r="F42" t="str">
        <f>_xlfn.CONCAT(Table3567[[#This Row],[Monat]]," ",Table3567[[#This Row],[Jahr]])</f>
        <v>August 2010</v>
      </c>
      <c r="G42">
        <v>998.00000000000011</v>
      </c>
      <c r="H42">
        <v>2239</v>
      </c>
      <c r="I42">
        <v>2887</v>
      </c>
      <c r="J42">
        <v>1104.2</v>
      </c>
      <c r="K42">
        <v>2713</v>
      </c>
      <c r="L42">
        <v>3499</v>
      </c>
      <c r="M42" s="8">
        <f>Table3567[[#This Row],[Ausfuhr: Wert €]]*1000/Table3567[[#This Row],[Ausfuhr: Gewicht]]</f>
        <v>2243.4869739478954</v>
      </c>
      <c r="N42" s="8">
        <f>Table3567[[#This Row],[Einfuhr: Wert €]]*1000/Table3567[[#This Row],[Einfuhr: Gewicht]]</f>
        <v>2456.9824307190725</v>
      </c>
      <c r="O42" s="8">
        <f>Table3567[[#This Row],[Ausfuhr: Wert $]]*1000/Table3567[[#This Row],[Ausfuhr: Gewicht]]</f>
        <v>2892.7855711422844</v>
      </c>
      <c r="P42" s="8">
        <f>Table3567[[#This Row],[Einfuhr: Wert $]]*1000/Table3567[[#This Row],[Einfuhr: Gewicht]]</f>
        <v>3168.809998188734</v>
      </c>
    </row>
    <row r="43" spans="2:16" x14ac:dyDescent="0.25">
      <c r="B43">
        <f>(Table3567[[#This Row],[Jahr]]-$C$8)*12+Table3567[[#This Row],[Month nr]]</f>
        <v>33</v>
      </c>
      <c r="C43">
        <v>2010</v>
      </c>
      <c r="D43">
        <v>9</v>
      </c>
      <c r="E43" t="s">
        <v>18</v>
      </c>
      <c r="F43" t="str">
        <f>_xlfn.CONCAT(Table3567[[#This Row],[Monat]]," ",Table3567[[#This Row],[Jahr]])</f>
        <v>September 2010</v>
      </c>
      <c r="G43">
        <v>345.6</v>
      </c>
      <c r="H43">
        <v>786</v>
      </c>
      <c r="I43">
        <v>1027</v>
      </c>
      <c r="J43">
        <v>553.1</v>
      </c>
      <c r="K43">
        <v>1358</v>
      </c>
      <c r="L43">
        <v>1778</v>
      </c>
      <c r="M43" s="8">
        <f>Table3567[[#This Row],[Ausfuhr: Wert €]]*1000/Table3567[[#This Row],[Ausfuhr: Gewicht]]</f>
        <v>2274.3055555555552</v>
      </c>
      <c r="N43" s="8">
        <f>Table3567[[#This Row],[Einfuhr: Wert €]]*1000/Table3567[[#This Row],[Einfuhr: Gewicht]]</f>
        <v>2455.2522147893687</v>
      </c>
      <c r="O43" s="8">
        <f>Table3567[[#This Row],[Ausfuhr: Wert $]]*1000/Table3567[[#This Row],[Ausfuhr: Gewicht]]</f>
        <v>2971.6435185185182</v>
      </c>
      <c r="P43" s="8">
        <f>Table3567[[#This Row],[Einfuhr: Wert $]]*1000/Table3567[[#This Row],[Einfuhr: Gewicht]]</f>
        <v>3214.6085698788643</v>
      </c>
    </row>
    <row r="44" spans="2:16" x14ac:dyDescent="0.25">
      <c r="B44">
        <f>(Table3567[[#This Row],[Jahr]]-$C$8)*12+Table3567[[#This Row],[Month nr]]</f>
        <v>34</v>
      </c>
      <c r="C44">
        <v>2010</v>
      </c>
      <c r="D44">
        <v>10</v>
      </c>
      <c r="E44" t="s">
        <v>23</v>
      </c>
      <c r="F44" t="str">
        <f>_xlfn.CONCAT(Table3567[[#This Row],[Monat]]," ",Table3567[[#This Row],[Jahr]])</f>
        <v>Oktober 2010</v>
      </c>
      <c r="G44">
        <v>145.49999999999997</v>
      </c>
      <c r="H44">
        <v>389</v>
      </c>
      <c r="I44">
        <v>540</v>
      </c>
      <c r="J44">
        <v>909.7</v>
      </c>
      <c r="K44">
        <v>2285</v>
      </c>
      <c r="L44">
        <v>3174</v>
      </c>
      <c r="M44" s="8">
        <f>Table3567[[#This Row],[Ausfuhr: Wert €]]*1000/Table3567[[#This Row],[Ausfuhr: Gewicht]]</f>
        <v>2673.5395189003443</v>
      </c>
      <c r="N44" s="8">
        <f>Table3567[[#This Row],[Einfuhr: Wert €]]*1000/Table3567[[#This Row],[Einfuhr: Gewicht]]</f>
        <v>2511.8170825546881</v>
      </c>
      <c r="O44" s="8">
        <f>Table3567[[#This Row],[Ausfuhr: Wert $]]*1000/Table3567[[#This Row],[Ausfuhr: Gewicht]]</f>
        <v>3711.3402061855677</v>
      </c>
      <c r="P44" s="8">
        <f>Table3567[[#This Row],[Einfuhr: Wert $]]*1000/Table3567[[#This Row],[Einfuhr: Gewicht]]</f>
        <v>3489.0623282400788</v>
      </c>
    </row>
    <row r="45" spans="2:16" x14ac:dyDescent="0.25">
      <c r="B45">
        <f>(Table3567[[#This Row],[Jahr]]-$C$8)*12+Table3567[[#This Row],[Month nr]]</f>
        <v>35</v>
      </c>
      <c r="C45">
        <v>2010</v>
      </c>
      <c r="D45">
        <v>11</v>
      </c>
      <c r="E45" t="s">
        <v>19</v>
      </c>
      <c r="F45" t="str">
        <f>_xlfn.CONCAT(Table3567[[#This Row],[Monat]]," ",Table3567[[#This Row],[Jahr]])</f>
        <v>November 2010</v>
      </c>
      <c r="G45">
        <v>77.400000000000006</v>
      </c>
      <c r="H45">
        <v>229</v>
      </c>
      <c r="I45">
        <v>313</v>
      </c>
      <c r="J45">
        <v>703</v>
      </c>
      <c r="K45">
        <v>2427</v>
      </c>
      <c r="L45">
        <v>3314</v>
      </c>
      <c r="M45" s="8">
        <f>Table3567[[#This Row],[Ausfuhr: Wert €]]*1000/Table3567[[#This Row],[Ausfuhr: Gewicht]]</f>
        <v>2958.6563307493539</v>
      </c>
      <c r="N45" s="8">
        <f>Table3567[[#This Row],[Einfuhr: Wert €]]*1000/Table3567[[#This Row],[Einfuhr: Gewicht]]</f>
        <v>3452.3470839260312</v>
      </c>
      <c r="O45" s="8">
        <f>Table3567[[#This Row],[Ausfuhr: Wert $]]*1000/Table3567[[#This Row],[Ausfuhr: Gewicht]]</f>
        <v>4043.9276485788109</v>
      </c>
      <c r="P45" s="8">
        <f>Table3567[[#This Row],[Einfuhr: Wert $]]*1000/Table3567[[#This Row],[Einfuhr: Gewicht]]</f>
        <v>4714.0825035561875</v>
      </c>
    </row>
    <row r="46" spans="2:16" x14ac:dyDescent="0.25">
      <c r="B46">
        <f>(Table3567[[#This Row],[Jahr]]-$C$8)*12+Table3567[[#This Row],[Month nr]]</f>
        <v>36</v>
      </c>
      <c r="C46">
        <v>2010</v>
      </c>
      <c r="D46">
        <v>12</v>
      </c>
      <c r="E46" t="s">
        <v>24</v>
      </c>
      <c r="F46" t="str">
        <f>_xlfn.CONCAT(Table3567[[#This Row],[Monat]]," ",Table3567[[#This Row],[Jahr]])</f>
        <v>Dezember 2010</v>
      </c>
      <c r="G46">
        <v>310</v>
      </c>
      <c r="H46">
        <v>1566</v>
      </c>
      <c r="I46">
        <v>2069</v>
      </c>
      <c r="J46">
        <v>1038.3999999999999</v>
      </c>
      <c r="K46">
        <v>3905</v>
      </c>
      <c r="L46">
        <v>5162</v>
      </c>
      <c r="M46" s="8">
        <f>Table3567[[#This Row],[Ausfuhr: Wert €]]*1000/Table3567[[#This Row],[Ausfuhr: Gewicht]]</f>
        <v>5051.6129032258068</v>
      </c>
      <c r="N46" s="8">
        <f>Table3567[[#This Row],[Einfuhr: Wert €]]*1000/Table3567[[#This Row],[Einfuhr: Gewicht]]</f>
        <v>3760.5932203389834</v>
      </c>
      <c r="O46" s="8">
        <f>Table3567[[#This Row],[Ausfuhr: Wert $]]*1000/Table3567[[#This Row],[Ausfuhr: Gewicht]]</f>
        <v>6674.1935483870966</v>
      </c>
      <c r="P46" s="8">
        <f>Table3567[[#This Row],[Einfuhr: Wert $]]*1000/Table3567[[#This Row],[Einfuhr: Gewicht]]</f>
        <v>4971.1093990755016</v>
      </c>
    </row>
    <row r="47" spans="2:16" x14ac:dyDescent="0.25">
      <c r="B47">
        <f>(Table3567[[#This Row],[Jahr]]-$C$8)*12+Table3567[[#This Row],[Month nr]]</f>
        <v>37</v>
      </c>
      <c r="C47">
        <v>2011</v>
      </c>
      <c r="D47">
        <v>1</v>
      </c>
      <c r="E47" t="s">
        <v>13</v>
      </c>
      <c r="F47" t="str">
        <f>_xlfn.CONCAT(Table3567[[#This Row],[Monat]]," ",Table3567[[#This Row],[Jahr]])</f>
        <v>Januar 2011</v>
      </c>
      <c r="G47" s="6">
        <v>198.10000000000002</v>
      </c>
      <c r="H47" s="6">
        <v>730</v>
      </c>
      <c r="I47" s="6">
        <v>976</v>
      </c>
      <c r="J47" s="6">
        <v>1239.5</v>
      </c>
      <c r="K47" s="6">
        <v>3571</v>
      </c>
      <c r="L47" s="6">
        <v>4772</v>
      </c>
      <c r="M47" s="8">
        <f>Table3567[[#This Row],[Ausfuhr: Wert €]]*1000/Table3567[[#This Row],[Ausfuhr: Gewicht]]</f>
        <v>3685.0075719333668</v>
      </c>
      <c r="N47" s="8">
        <f>Table3567[[#This Row],[Einfuhr: Wert €]]*1000/Table3567[[#This Row],[Einfuhr: Gewicht]]</f>
        <v>2881.0004033884629</v>
      </c>
      <c r="O47" s="8">
        <f>Table3567[[#This Row],[Ausfuhr: Wert $]]*1000/Table3567[[#This Row],[Ausfuhr: Gewicht]]</f>
        <v>4926.8046441191309</v>
      </c>
      <c r="P47" s="8">
        <f>Table3567[[#This Row],[Einfuhr: Wert $]]*1000/Table3567[[#This Row],[Einfuhr: Gewicht]]</f>
        <v>3849.9394917305367</v>
      </c>
    </row>
    <row r="48" spans="2:16" x14ac:dyDescent="0.25">
      <c r="B48">
        <f>(Table3567[[#This Row],[Jahr]]-$C$8)*12+Table3567[[#This Row],[Month nr]]</f>
        <v>38</v>
      </c>
      <c r="C48">
        <v>2011</v>
      </c>
      <c r="D48">
        <v>2</v>
      </c>
      <c r="E48" t="s">
        <v>14</v>
      </c>
      <c r="F48" t="str">
        <f>_xlfn.CONCAT(Table3567[[#This Row],[Monat]]," ",Table3567[[#This Row],[Jahr]])</f>
        <v>Februar 2011</v>
      </c>
      <c r="G48" s="7">
        <v>415.7</v>
      </c>
      <c r="H48" s="7">
        <v>1199</v>
      </c>
      <c r="I48" s="7">
        <v>1635</v>
      </c>
      <c r="J48" s="7">
        <v>5419.6</v>
      </c>
      <c r="K48" s="7">
        <v>13409</v>
      </c>
      <c r="L48" s="7">
        <v>18301</v>
      </c>
      <c r="M48" s="8">
        <f>Table3567[[#This Row],[Ausfuhr: Wert €]]*1000/Table3567[[#This Row],[Ausfuhr: Gewicht]]</f>
        <v>2884.2915564108735</v>
      </c>
      <c r="N48" s="8">
        <f>Table3567[[#This Row],[Einfuhr: Wert €]]*1000/Table3567[[#This Row],[Einfuhr: Gewicht]]</f>
        <v>2474.1678352645949</v>
      </c>
      <c r="O48" s="8">
        <f>Table3567[[#This Row],[Ausfuhr: Wert $]]*1000/Table3567[[#This Row],[Ausfuhr: Gewicht]]</f>
        <v>3933.1248496511907</v>
      </c>
      <c r="P48" s="8">
        <f>Table3567[[#This Row],[Einfuhr: Wert $]]*1000/Table3567[[#This Row],[Einfuhr: Gewicht]]</f>
        <v>3376.817477304598</v>
      </c>
    </row>
    <row r="49" spans="2:16" x14ac:dyDescent="0.25">
      <c r="B49">
        <f>(Table3567[[#This Row],[Jahr]]-$C$8)*12+Table3567[[#This Row],[Month nr]]</f>
        <v>39</v>
      </c>
      <c r="C49">
        <v>2011</v>
      </c>
      <c r="D49">
        <v>3</v>
      </c>
      <c r="E49" t="s">
        <v>15</v>
      </c>
      <c r="F49" t="str">
        <f>_xlfn.CONCAT(Table3567[[#This Row],[Monat]]," ",Table3567[[#This Row],[Jahr]])</f>
        <v>März 2011</v>
      </c>
      <c r="G49" s="6">
        <v>616.9</v>
      </c>
      <c r="H49" s="6">
        <v>1613</v>
      </c>
      <c r="I49" s="6">
        <v>2261</v>
      </c>
      <c r="J49" s="6">
        <v>14190.4</v>
      </c>
      <c r="K49" s="6">
        <v>30479</v>
      </c>
      <c r="L49" s="6">
        <v>42666</v>
      </c>
      <c r="M49" s="8">
        <f>Table3567[[#This Row],[Ausfuhr: Wert €]]*1000/Table3567[[#This Row],[Ausfuhr: Gewicht]]</f>
        <v>2614.6863349003079</v>
      </c>
      <c r="N49" s="8">
        <f>Table3567[[#This Row],[Einfuhr: Wert €]]*1000/Table3567[[#This Row],[Einfuhr: Gewicht]]</f>
        <v>2147.8605254256399</v>
      </c>
      <c r="O49" s="8">
        <f>Table3567[[#This Row],[Ausfuhr: Wert $]]*1000/Table3567[[#This Row],[Ausfuhr: Gewicht]]</f>
        <v>3665.0996920084294</v>
      </c>
      <c r="P49" s="8">
        <f>Table3567[[#This Row],[Einfuhr: Wert $]]*1000/Table3567[[#This Row],[Einfuhr: Gewicht]]</f>
        <v>3006.680572781599</v>
      </c>
    </row>
    <row r="50" spans="2:16" x14ac:dyDescent="0.25">
      <c r="B50">
        <f>(Table3567[[#This Row],[Jahr]]-$C$8)*12+Table3567[[#This Row],[Month nr]]</f>
        <v>40</v>
      </c>
      <c r="C50">
        <v>2011</v>
      </c>
      <c r="D50">
        <v>4</v>
      </c>
      <c r="E50" t="s">
        <v>16</v>
      </c>
      <c r="F50" t="str">
        <f>_xlfn.CONCAT(Table3567[[#This Row],[Monat]]," ",Table3567[[#This Row],[Jahr]])</f>
        <v>April 2011</v>
      </c>
      <c r="G50" s="7">
        <v>1437.6</v>
      </c>
      <c r="H50" s="7">
        <v>3261</v>
      </c>
      <c r="I50" s="7">
        <v>4713</v>
      </c>
      <c r="J50" s="7">
        <v>32546.1</v>
      </c>
      <c r="K50" s="7">
        <v>63458</v>
      </c>
      <c r="L50" s="7">
        <v>91647</v>
      </c>
      <c r="M50" s="8">
        <f>Table3567[[#This Row],[Ausfuhr: Wert €]]*1000/Table3567[[#This Row],[Ausfuhr: Gewicht]]</f>
        <v>2268.363939899833</v>
      </c>
      <c r="N50" s="8">
        <f>Table3567[[#This Row],[Einfuhr: Wert €]]*1000/Table3567[[#This Row],[Einfuhr: Gewicht]]</f>
        <v>1949.7881466596614</v>
      </c>
      <c r="O50" s="8">
        <f>Table3567[[#This Row],[Ausfuhr: Wert $]]*1000/Table3567[[#This Row],[Ausfuhr: Gewicht]]</f>
        <v>3278.3806343906513</v>
      </c>
      <c r="P50" s="8">
        <f>Table3567[[#This Row],[Einfuhr: Wert $]]*1000/Table3567[[#This Row],[Einfuhr: Gewicht]]</f>
        <v>2815.9134274152666</v>
      </c>
    </row>
    <row r="51" spans="2:16" x14ac:dyDescent="0.25">
      <c r="B51">
        <f>(Table3567[[#This Row],[Jahr]]-$C$8)*12+Table3567[[#This Row],[Month nr]]</f>
        <v>41</v>
      </c>
      <c r="C51">
        <v>2011</v>
      </c>
      <c r="D51">
        <v>5</v>
      </c>
      <c r="E51" t="s">
        <v>20</v>
      </c>
      <c r="F51" t="str">
        <f>_xlfn.CONCAT(Table3567[[#This Row],[Monat]]," ",Table3567[[#This Row],[Jahr]])</f>
        <v>Mai 2011</v>
      </c>
      <c r="G51" s="6">
        <v>1948.8999999999999</v>
      </c>
      <c r="H51" s="6">
        <v>4222</v>
      </c>
      <c r="I51" s="6">
        <v>6059</v>
      </c>
      <c r="J51" s="6">
        <v>28761.600000000002</v>
      </c>
      <c r="K51" s="6">
        <v>48266</v>
      </c>
      <c r="L51" s="6">
        <v>69255</v>
      </c>
      <c r="M51" s="8">
        <f>Table3567[[#This Row],[Ausfuhr: Wert €]]*1000/Table3567[[#This Row],[Ausfuhr: Gewicht]]</f>
        <v>2166.3502488583304</v>
      </c>
      <c r="N51" s="8">
        <f>Table3567[[#This Row],[Einfuhr: Wert €]]*1000/Table3567[[#This Row],[Einfuhr: Gewicht]]</f>
        <v>1678.1402981753447</v>
      </c>
      <c r="O51" s="8">
        <f>Table3567[[#This Row],[Ausfuhr: Wert $]]*1000/Table3567[[#This Row],[Ausfuhr: Gewicht]]</f>
        <v>3108.933244394274</v>
      </c>
      <c r="P51" s="8">
        <f>Table3567[[#This Row],[Einfuhr: Wert $]]*1000/Table3567[[#This Row],[Einfuhr: Gewicht]]</f>
        <v>2407.8980307076099</v>
      </c>
    </row>
    <row r="52" spans="2:16" x14ac:dyDescent="0.25">
      <c r="B52">
        <f>(Table3567[[#This Row],[Jahr]]-$C$8)*12+Table3567[[#This Row],[Month nr]]</f>
        <v>42</v>
      </c>
      <c r="C52">
        <v>2011</v>
      </c>
      <c r="D52">
        <v>6</v>
      </c>
      <c r="E52" t="s">
        <v>21</v>
      </c>
      <c r="F52" t="str">
        <f>_xlfn.CONCAT(Table3567[[#This Row],[Monat]]," ",Table3567[[#This Row],[Jahr]])</f>
        <v>Juni 2011</v>
      </c>
      <c r="G52" s="7">
        <v>2872</v>
      </c>
      <c r="H52" s="7">
        <v>7037</v>
      </c>
      <c r="I52" s="7">
        <v>10126</v>
      </c>
      <c r="J52" s="7">
        <v>15013.4</v>
      </c>
      <c r="K52" s="7">
        <v>22798</v>
      </c>
      <c r="L52" s="7">
        <v>32799</v>
      </c>
      <c r="M52" s="8">
        <f>Table3567[[#This Row],[Ausfuhr: Wert €]]*1000/Table3567[[#This Row],[Ausfuhr: Gewicht]]</f>
        <v>2450.2089136490249</v>
      </c>
      <c r="N52" s="8">
        <f>Table3567[[#This Row],[Einfuhr: Wert €]]*1000/Table3567[[#This Row],[Einfuhr: Gewicht]]</f>
        <v>1518.5101309496849</v>
      </c>
      <c r="O52" s="8">
        <f>Table3567[[#This Row],[Ausfuhr: Wert $]]*1000/Table3567[[#This Row],[Ausfuhr: Gewicht]]</f>
        <v>3525.7660167130921</v>
      </c>
      <c r="P52" s="8">
        <f>Table3567[[#This Row],[Einfuhr: Wert $]]*1000/Table3567[[#This Row],[Einfuhr: Gewicht]]</f>
        <v>2184.6483807798368</v>
      </c>
    </row>
    <row r="53" spans="2:16" x14ac:dyDescent="0.25">
      <c r="B53">
        <f>(Table3567[[#This Row],[Jahr]]-$C$8)*12+Table3567[[#This Row],[Month nr]]</f>
        <v>43</v>
      </c>
      <c r="C53">
        <v>2011</v>
      </c>
      <c r="D53">
        <v>7</v>
      </c>
      <c r="E53" t="s">
        <v>22</v>
      </c>
      <c r="F53" t="str">
        <f>_xlfn.CONCAT(Table3567[[#This Row],[Monat]]," ",Table3567[[#This Row],[Jahr]])</f>
        <v>Juli 2011</v>
      </c>
      <c r="G53" s="6">
        <v>2724.6000000000004</v>
      </c>
      <c r="H53" s="6">
        <v>6838</v>
      </c>
      <c r="I53" s="6">
        <v>9749</v>
      </c>
      <c r="J53" s="6">
        <v>1502.3999999999999</v>
      </c>
      <c r="K53" s="6">
        <v>2927</v>
      </c>
      <c r="L53" s="6">
        <v>4176</v>
      </c>
      <c r="M53" s="8">
        <f>Table3567[[#This Row],[Ausfuhr: Wert €]]*1000/Table3567[[#This Row],[Ausfuhr: Gewicht]]</f>
        <v>2509.7261983410403</v>
      </c>
      <c r="N53" s="8">
        <f>Table3567[[#This Row],[Einfuhr: Wert €]]*1000/Table3567[[#This Row],[Einfuhr: Gewicht]]</f>
        <v>1948.2161874334399</v>
      </c>
      <c r="O53" s="8">
        <f>Table3567[[#This Row],[Ausfuhr: Wert $]]*1000/Table3567[[#This Row],[Ausfuhr: Gewicht]]</f>
        <v>3578.1399104455695</v>
      </c>
      <c r="P53" s="8">
        <f>Table3567[[#This Row],[Einfuhr: Wert $]]*1000/Table3567[[#This Row],[Einfuhr: Gewicht]]</f>
        <v>2779.5527156549524</v>
      </c>
    </row>
    <row r="54" spans="2:16" x14ac:dyDescent="0.25">
      <c r="B54">
        <f>(Table3567[[#This Row],[Jahr]]-$C$8)*12+Table3567[[#This Row],[Month nr]]</f>
        <v>44</v>
      </c>
      <c r="C54">
        <v>2011</v>
      </c>
      <c r="D54">
        <v>8</v>
      </c>
      <c r="E54" t="s">
        <v>17</v>
      </c>
      <c r="F54" t="str">
        <f>_xlfn.CONCAT(Table3567[[#This Row],[Monat]]," ",Table3567[[#This Row],[Jahr]])</f>
        <v>August 2011</v>
      </c>
      <c r="G54" s="7">
        <v>900.2</v>
      </c>
      <c r="H54" s="7">
        <v>2029</v>
      </c>
      <c r="I54" s="7">
        <v>2912</v>
      </c>
      <c r="J54" s="7">
        <v>1038.2</v>
      </c>
      <c r="K54" s="7">
        <v>2084</v>
      </c>
      <c r="L54" s="7">
        <v>2990</v>
      </c>
      <c r="M54" s="8">
        <f>Table3567[[#This Row],[Ausfuhr: Wert €]]*1000/Table3567[[#This Row],[Ausfuhr: Gewicht]]</f>
        <v>2253.9435680959787</v>
      </c>
      <c r="N54" s="8">
        <f>Table3567[[#This Row],[Einfuhr: Wert €]]*1000/Table3567[[#This Row],[Einfuhr: Gewicht]]</f>
        <v>2007.320362165286</v>
      </c>
      <c r="O54" s="8">
        <f>Table3567[[#This Row],[Ausfuhr: Wert $]]*1000/Table3567[[#This Row],[Ausfuhr: Gewicht]]</f>
        <v>3234.8367029548986</v>
      </c>
      <c r="P54" s="8">
        <f>Table3567[[#This Row],[Einfuhr: Wert $]]*1000/Table3567[[#This Row],[Einfuhr: Gewicht]]</f>
        <v>2879.984588711231</v>
      </c>
    </row>
    <row r="55" spans="2:16" x14ac:dyDescent="0.25">
      <c r="B55">
        <f>(Table3567[[#This Row],[Jahr]]-$C$8)*12+Table3567[[#This Row],[Month nr]]</f>
        <v>45</v>
      </c>
      <c r="C55">
        <v>2011</v>
      </c>
      <c r="D55">
        <v>9</v>
      </c>
      <c r="E55" t="s">
        <v>18</v>
      </c>
      <c r="F55" t="str">
        <f>_xlfn.CONCAT(Table3567[[#This Row],[Monat]]," ",Table3567[[#This Row],[Jahr]])</f>
        <v>September 2011</v>
      </c>
      <c r="G55" s="6">
        <v>478.40000000000015</v>
      </c>
      <c r="H55" s="6">
        <v>998</v>
      </c>
      <c r="I55" s="6">
        <v>1376</v>
      </c>
      <c r="J55" s="6">
        <v>943.6</v>
      </c>
      <c r="K55" s="6">
        <v>2318</v>
      </c>
      <c r="L55" s="6">
        <v>3192</v>
      </c>
      <c r="M55" s="8">
        <f>Table3567[[#This Row],[Ausfuhr: Wert €]]*1000/Table3567[[#This Row],[Ausfuhr: Gewicht]]</f>
        <v>2086.1204013377919</v>
      </c>
      <c r="N55" s="8">
        <f>Table3567[[#This Row],[Einfuhr: Wert €]]*1000/Table3567[[#This Row],[Einfuhr: Gewicht]]</f>
        <v>2456.549385332768</v>
      </c>
      <c r="O55" s="8">
        <f>Table3567[[#This Row],[Ausfuhr: Wert $]]*1000/Table3567[[#This Row],[Ausfuhr: Gewicht]]</f>
        <v>2876.2541806020058</v>
      </c>
      <c r="P55" s="8">
        <f>Table3567[[#This Row],[Einfuhr: Wert $]]*1000/Table3567[[#This Row],[Einfuhr: Gewicht]]</f>
        <v>3382.7893175074182</v>
      </c>
    </row>
    <row r="56" spans="2:16" x14ac:dyDescent="0.25">
      <c r="B56">
        <f>(Table3567[[#This Row],[Jahr]]-$C$8)*12+Table3567[[#This Row],[Month nr]]</f>
        <v>46</v>
      </c>
      <c r="C56">
        <v>2011</v>
      </c>
      <c r="D56">
        <v>10</v>
      </c>
      <c r="E56" t="s">
        <v>23</v>
      </c>
      <c r="F56" t="str">
        <f>_xlfn.CONCAT(Table3567[[#This Row],[Monat]]," ",Table3567[[#This Row],[Jahr]])</f>
        <v>Oktober 2011</v>
      </c>
      <c r="G56" s="7">
        <v>184.79999999999998</v>
      </c>
      <c r="H56" s="7">
        <v>420</v>
      </c>
      <c r="I56" s="7">
        <v>580</v>
      </c>
      <c r="J56" s="7">
        <v>927.59999999999991</v>
      </c>
      <c r="K56" s="7">
        <v>2539</v>
      </c>
      <c r="L56" s="7">
        <v>3477</v>
      </c>
      <c r="M56" s="8">
        <f>Table3567[[#This Row],[Ausfuhr: Wert €]]*1000/Table3567[[#This Row],[Ausfuhr: Gewicht]]</f>
        <v>2272.727272727273</v>
      </c>
      <c r="N56" s="8">
        <f>Table3567[[#This Row],[Einfuhr: Wert €]]*1000/Table3567[[#This Row],[Einfuhr: Gewicht]]</f>
        <v>2737.1711944803797</v>
      </c>
      <c r="O56" s="8">
        <f>Table3567[[#This Row],[Ausfuhr: Wert $]]*1000/Table3567[[#This Row],[Ausfuhr: Gewicht]]</f>
        <v>3138.5281385281387</v>
      </c>
      <c r="P56" s="8">
        <f>Table3567[[#This Row],[Einfuhr: Wert $]]*1000/Table3567[[#This Row],[Einfuhr: Gewicht]]</f>
        <v>3748.382923673998</v>
      </c>
    </row>
    <row r="57" spans="2:16" x14ac:dyDescent="0.25">
      <c r="B57">
        <f>(Table3567[[#This Row],[Jahr]]-$C$8)*12+Table3567[[#This Row],[Month nr]]</f>
        <v>47</v>
      </c>
      <c r="C57">
        <v>2011</v>
      </c>
      <c r="D57">
        <v>11</v>
      </c>
      <c r="E57" t="s">
        <v>19</v>
      </c>
      <c r="F57" t="str">
        <f>_xlfn.CONCAT(Table3567[[#This Row],[Monat]]," ",Table3567[[#This Row],[Jahr]])</f>
        <v>November 2011</v>
      </c>
      <c r="G57" s="6">
        <v>79.2</v>
      </c>
      <c r="H57" s="6">
        <v>295</v>
      </c>
      <c r="I57" s="6">
        <v>398</v>
      </c>
      <c r="J57" s="6">
        <v>475.79999999999995</v>
      </c>
      <c r="K57" s="6">
        <v>1834</v>
      </c>
      <c r="L57" s="6">
        <v>2487</v>
      </c>
      <c r="M57" s="8">
        <f>Table3567[[#This Row],[Ausfuhr: Wert €]]*1000/Table3567[[#This Row],[Ausfuhr: Gewicht]]</f>
        <v>3724.7474747474748</v>
      </c>
      <c r="N57" s="8">
        <f>Table3567[[#This Row],[Einfuhr: Wert €]]*1000/Table3567[[#This Row],[Einfuhr: Gewicht]]</f>
        <v>3854.5607398066418</v>
      </c>
      <c r="O57" s="8">
        <f>Table3567[[#This Row],[Ausfuhr: Wert $]]*1000/Table3567[[#This Row],[Ausfuhr: Gewicht]]</f>
        <v>5025.2525252525247</v>
      </c>
      <c r="P57" s="8">
        <f>Table3567[[#This Row],[Einfuhr: Wert $]]*1000/Table3567[[#This Row],[Einfuhr: Gewicht]]</f>
        <v>5226.9861286254736</v>
      </c>
    </row>
    <row r="58" spans="2:16" x14ac:dyDescent="0.25">
      <c r="B58">
        <f>(Table3567[[#This Row],[Jahr]]-$C$8)*12+Table3567[[#This Row],[Month nr]]</f>
        <v>48</v>
      </c>
      <c r="C58">
        <v>2011</v>
      </c>
      <c r="D58">
        <v>12</v>
      </c>
      <c r="E58" t="s">
        <v>24</v>
      </c>
      <c r="F58" t="str">
        <f>_xlfn.CONCAT(Table3567[[#This Row],[Monat]]," ",Table3567[[#This Row],[Jahr]])</f>
        <v>Dezember 2011</v>
      </c>
      <c r="G58" s="7">
        <v>223.2</v>
      </c>
      <c r="H58" s="7">
        <v>1219</v>
      </c>
      <c r="I58" s="7">
        <v>1607</v>
      </c>
      <c r="J58" s="7">
        <v>1314.6999999999998</v>
      </c>
      <c r="K58" s="7">
        <v>4987</v>
      </c>
      <c r="L58" s="7">
        <v>6575</v>
      </c>
      <c r="M58" s="8">
        <f>Table3567[[#This Row],[Ausfuhr: Wert €]]*1000/Table3567[[#This Row],[Ausfuhr: Gewicht]]</f>
        <v>5461.4695340501794</v>
      </c>
      <c r="N58" s="8">
        <f>Table3567[[#This Row],[Einfuhr: Wert €]]*1000/Table3567[[#This Row],[Einfuhr: Gewicht]]</f>
        <v>3793.2608199589267</v>
      </c>
      <c r="O58" s="8">
        <f>Table3567[[#This Row],[Ausfuhr: Wert $]]*1000/Table3567[[#This Row],[Ausfuhr: Gewicht]]</f>
        <v>7199.8207885304664</v>
      </c>
      <c r="P58" s="8">
        <f>Table3567[[#This Row],[Einfuhr: Wert $]]*1000/Table3567[[#This Row],[Einfuhr: Gewicht]]</f>
        <v>5001.1409447022143</v>
      </c>
    </row>
    <row r="59" spans="2:16" x14ac:dyDescent="0.25">
      <c r="B59">
        <f>(Table3567[[#This Row],[Jahr]]-$C$8)*12+Table3567[[#This Row],[Month nr]]</f>
        <v>49</v>
      </c>
      <c r="C59">
        <v>2012</v>
      </c>
      <c r="D59">
        <v>1</v>
      </c>
      <c r="E59" t="s">
        <v>13</v>
      </c>
      <c r="F59" t="str">
        <f>_xlfn.CONCAT(Table3567[[#This Row],[Monat]]," ",Table3567[[#This Row],[Jahr]])</f>
        <v>Januar 2012</v>
      </c>
      <c r="G59">
        <v>515.4</v>
      </c>
      <c r="H59">
        <v>2681</v>
      </c>
      <c r="I59">
        <v>3463</v>
      </c>
      <c r="J59">
        <v>2227.1</v>
      </c>
      <c r="K59">
        <v>7352</v>
      </c>
      <c r="L59">
        <v>9487</v>
      </c>
      <c r="M59" s="8">
        <f>Table3567[[#This Row],[Ausfuhr: Wert €]]*1000/Table3567[[#This Row],[Ausfuhr: Gewicht]]</f>
        <v>5201.7850213426464</v>
      </c>
      <c r="N59" s="8">
        <f>Table3567[[#This Row],[Einfuhr: Wert €]]*1000/Table3567[[#This Row],[Einfuhr: Gewicht]]</f>
        <v>3301.1539670423422</v>
      </c>
      <c r="O59" s="8">
        <f>Table3567[[#This Row],[Ausfuhr: Wert $]]*1000/Table3567[[#This Row],[Ausfuhr: Gewicht]]</f>
        <v>6719.0531625921622</v>
      </c>
      <c r="P59" s="8">
        <f>Table3567[[#This Row],[Einfuhr: Wert $]]*1000/Table3567[[#This Row],[Einfuhr: Gewicht]]</f>
        <v>4259.7997395716402</v>
      </c>
    </row>
    <row r="60" spans="2:16" x14ac:dyDescent="0.25">
      <c r="B60">
        <f>(Table3567[[#This Row],[Jahr]]-$C$8)*12+Table3567[[#This Row],[Month nr]]</f>
        <v>50</v>
      </c>
      <c r="C60">
        <v>2012</v>
      </c>
      <c r="D60">
        <v>2</v>
      </c>
      <c r="E60" t="s">
        <v>14</v>
      </c>
      <c r="F60" t="str">
        <f>_xlfn.CONCAT(Table3567[[#This Row],[Monat]]," ",Table3567[[#This Row],[Jahr]])</f>
        <v>Februar 2012</v>
      </c>
      <c r="G60">
        <v>432.59999999999997</v>
      </c>
      <c r="H60">
        <v>1445</v>
      </c>
      <c r="I60">
        <v>1913</v>
      </c>
      <c r="J60">
        <v>5009.6000000000004</v>
      </c>
      <c r="K60">
        <v>11226</v>
      </c>
      <c r="L60">
        <v>14843</v>
      </c>
      <c r="M60" s="8">
        <f>Table3567[[#This Row],[Ausfuhr: Wert €]]*1000/Table3567[[#This Row],[Ausfuhr: Gewicht]]</f>
        <v>3340.2681460933891</v>
      </c>
      <c r="N60" s="8">
        <f>Table3567[[#This Row],[Einfuhr: Wert €]]*1000/Table3567[[#This Row],[Einfuhr: Gewicht]]</f>
        <v>2240.8974768444587</v>
      </c>
      <c r="O60" s="8">
        <f>Table3567[[#This Row],[Ausfuhr: Wert $]]*1000/Table3567[[#This Row],[Ausfuhr: Gewicht]]</f>
        <v>4422.0989366620443</v>
      </c>
      <c r="P60" s="8">
        <f>Table3567[[#This Row],[Einfuhr: Wert $]]*1000/Table3567[[#This Row],[Einfuhr: Gewicht]]</f>
        <v>2962.911210475886</v>
      </c>
    </row>
    <row r="61" spans="2:16" x14ac:dyDescent="0.25">
      <c r="B61">
        <f>(Table3567[[#This Row],[Jahr]]-$C$8)*12+Table3567[[#This Row],[Month nr]]</f>
        <v>51</v>
      </c>
      <c r="C61">
        <v>2012</v>
      </c>
      <c r="D61">
        <v>3</v>
      </c>
      <c r="E61" t="s">
        <v>15</v>
      </c>
      <c r="F61" t="str">
        <f>_xlfn.CONCAT(Table3567[[#This Row],[Monat]]," ",Table3567[[#This Row],[Jahr]])</f>
        <v>März 2012</v>
      </c>
      <c r="G61">
        <v>1140.8</v>
      </c>
      <c r="H61">
        <v>3004</v>
      </c>
      <c r="I61">
        <v>3967</v>
      </c>
      <c r="J61">
        <v>17613.5</v>
      </c>
      <c r="K61">
        <v>40366</v>
      </c>
      <c r="L61">
        <v>53286</v>
      </c>
      <c r="M61" s="8">
        <f>Table3567[[#This Row],[Ausfuhr: Wert €]]*1000/Table3567[[#This Row],[Ausfuhr: Gewicht]]</f>
        <v>2633.2398316970548</v>
      </c>
      <c r="N61" s="8">
        <f>Table3567[[#This Row],[Einfuhr: Wert €]]*1000/Table3567[[#This Row],[Einfuhr: Gewicht]]</f>
        <v>2291.7648394697248</v>
      </c>
      <c r="O61" s="8">
        <f>Table3567[[#This Row],[Ausfuhr: Wert $]]*1000/Table3567[[#This Row],[Ausfuhr: Gewicht]]</f>
        <v>3477.3842917251054</v>
      </c>
      <c r="P61" s="8">
        <f>Table3567[[#This Row],[Einfuhr: Wert $]]*1000/Table3567[[#This Row],[Einfuhr: Gewicht]]</f>
        <v>3025.2930990433474</v>
      </c>
    </row>
    <row r="62" spans="2:16" x14ac:dyDescent="0.25">
      <c r="B62">
        <f>(Table3567[[#This Row],[Jahr]]-$C$8)*12+Table3567[[#This Row],[Month nr]]</f>
        <v>52</v>
      </c>
      <c r="C62">
        <v>2012</v>
      </c>
      <c r="D62">
        <v>4</v>
      </c>
      <c r="E62" t="s">
        <v>16</v>
      </c>
      <c r="F62" t="str">
        <f>_xlfn.CONCAT(Table3567[[#This Row],[Monat]]," ",Table3567[[#This Row],[Jahr]])</f>
        <v>April 2012</v>
      </c>
      <c r="G62" s="10">
        <v>1187.7999999999997</v>
      </c>
      <c r="H62" s="10">
        <v>2561</v>
      </c>
      <c r="I62" s="10">
        <v>3373</v>
      </c>
      <c r="J62" s="10">
        <v>28683</v>
      </c>
      <c r="K62" s="10">
        <v>55126</v>
      </c>
      <c r="L62" s="10">
        <v>72555</v>
      </c>
      <c r="M62" s="8">
        <f>Table3567[[#This Row],[Ausfuhr: Wert €]]*1000/Table3567[[#This Row],[Ausfuhr: Gewicht]]</f>
        <v>2156.0868833136897</v>
      </c>
      <c r="N62" s="8">
        <f>Table3567[[#This Row],[Einfuhr: Wert €]]*1000/Table3567[[#This Row],[Einfuhr: Gewicht]]</f>
        <v>1921.9049611267999</v>
      </c>
      <c r="O62" s="8">
        <f>Table3567[[#This Row],[Ausfuhr: Wert $]]*1000/Table3567[[#This Row],[Ausfuhr: Gewicht]]</f>
        <v>2839.7036538137741</v>
      </c>
      <c r="P62" s="8">
        <f>Table3567[[#This Row],[Einfuhr: Wert $]]*1000/Table3567[[#This Row],[Einfuhr: Gewicht]]</f>
        <v>2529.5471185022488</v>
      </c>
    </row>
    <row r="63" spans="2:16" x14ac:dyDescent="0.25">
      <c r="B63">
        <f>(Table3567[[#This Row],[Jahr]]-$C$8)*12+Table3567[[#This Row],[Month nr]]</f>
        <v>53</v>
      </c>
      <c r="C63">
        <v>2012</v>
      </c>
      <c r="D63">
        <v>5</v>
      </c>
      <c r="E63" t="s">
        <v>20</v>
      </c>
      <c r="F63" t="str">
        <f>_xlfn.CONCAT(Table3567[[#This Row],[Monat]]," ",Table3567[[#This Row],[Jahr]])</f>
        <v>Mai 2012</v>
      </c>
      <c r="G63">
        <v>1748.7999999999997</v>
      </c>
      <c r="H63">
        <v>3665</v>
      </c>
      <c r="I63">
        <v>4686</v>
      </c>
      <c r="J63">
        <v>39102.9</v>
      </c>
      <c r="K63">
        <v>69525</v>
      </c>
      <c r="L63">
        <v>88916</v>
      </c>
      <c r="M63" s="8">
        <f>Table3567[[#This Row],[Ausfuhr: Wert €]]*1000/Table3567[[#This Row],[Ausfuhr: Gewicht]]</f>
        <v>2095.7227813357736</v>
      </c>
      <c r="N63" s="8">
        <f>Table3567[[#This Row],[Einfuhr: Wert €]]*1000/Table3567[[#This Row],[Einfuhr: Gewicht]]</f>
        <v>1778.0011201215254</v>
      </c>
      <c r="O63" s="8">
        <f>Table3567[[#This Row],[Ausfuhr: Wert $]]*1000/Table3567[[#This Row],[Ausfuhr: Gewicht]]</f>
        <v>2679.5516925892043</v>
      </c>
      <c r="P63" s="8">
        <f>Table3567[[#This Row],[Einfuhr: Wert $]]*1000/Table3567[[#This Row],[Einfuhr: Gewicht]]</f>
        <v>2273.8978438939312</v>
      </c>
    </row>
    <row r="64" spans="2:16" x14ac:dyDescent="0.25">
      <c r="B64">
        <f>(Table3567[[#This Row],[Jahr]]-$C$8)*12+Table3567[[#This Row],[Month nr]]</f>
        <v>54</v>
      </c>
      <c r="C64">
        <v>2012</v>
      </c>
      <c r="D64">
        <v>6</v>
      </c>
      <c r="E64" t="s">
        <v>21</v>
      </c>
      <c r="F64" t="str">
        <f>_xlfn.CONCAT(Table3567[[#This Row],[Monat]]," ",Table3567[[#This Row],[Jahr]])</f>
        <v>Juni 2012</v>
      </c>
      <c r="G64">
        <v>4994.7</v>
      </c>
      <c r="H64">
        <v>9674</v>
      </c>
      <c r="I64">
        <v>12119</v>
      </c>
      <c r="J64">
        <v>16328.099999999999</v>
      </c>
      <c r="K64">
        <v>25033</v>
      </c>
      <c r="L64">
        <v>31358</v>
      </c>
      <c r="M64" s="8">
        <f>Table3567[[#This Row],[Ausfuhr: Wert €]]*1000/Table3567[[#This Row],[Ausfuhr: Gewicht]]</f>
        <v>1936.853064248103</v>
      </c>
      <c r="N64" s="8">
        <f>Table3567[[#This Row],[Einfuhr: Wert €]]*1000/Table3567[[#This Row],[Einfuhr: Gewicht]]</f>
        <v>1533.1238784671825</v>
      </c>
      <c r="O64" s="8">
        <f>Table3567[[#This Row],[Ausfuhr: Wert $]]*1000/Table3567[[#This Row],[Ausfuhr: Gewicht]]</f>
        <v>2426.371954271528</v>
      </c>
      <c r="P64" s="8">
        <f>Table3567[[#This Row],[Einfuhr: Wert $]]*1000/Table3567[[#This Row],[Einfuhr: Gewicht]]</f>
        <v>1920.4928926206969</v>
      </c>
    </row>
    <row r="65" spans="2:16" x14ac:dyDescent="0.25">
      <c r="B65">
        <f>(Table3567[[#This Row],[Jahr]]-$C$8)*12+Table3567[[#This Row],[Month nr]]</f>
        <v>55</v>
      </c>
      <c r="C65">
        <v>2012</v>
      </c>
      <c r="D65">
        <v>7</v>
      </c>
      <c r="E65" t="s">
        <v>22</v>
      </c>
      <c r="F65" t="str">
        <f>_xlfn.CONCAT(Table3567[[#This Row],[Monat]]," ",Table3567[[#This Row],[Jahr]])</f>
        <v>Juli 2012</v>
      </c>
      <c r="G65">
        <v>3728.4000000000005</v>
      </c>
      <c r="H65">
        <v>7732</v>
      </c>
      <c r="I65">
        <v>9501</v>
      </c>
      <c r="J65">
        <v>2646.5</v>
      </c>
      <c r="K65">
        <v>3980</v>
      </c>
      <c r="L65">
        <v>4889</v>
      </c>
      <c r="M65" s="8">
        <f>Table3567[[#This Row],[Ausfuhr: Wert €]]*1000/Table3567[[#This Row],[Ausfuhr: Gewicht]]</f>
        <v>2073.8118227657974</v>
      </c>
      <c r="N65" s="8">
        <f>Table3567[[#This Row],[Einfuhr: Wert €]]*1000/Table3567[[#This Row],[Einfuhr: Gewicht]]</f>
        <v>1503.8730398639714</v>
      </c>
      <c r="O65" s="8">
        <f>Table3567[[#This Row],[Ausfuhr: Wert $]]*1000/Table3567[[#This Row],[Ausfuhr: Gewicht]]</f>
        <v>2548.2780817508847</v>
      </c>
      <c r="P65" s="8">
        <f>Table3567[[#This Row],[Einfuhr: Wert $]]*1000/Table3567[[#This Row],[Einfuhr: Gewicht]]</f>
        <v>1847.3455507273757</v>
      </c>
    </row>
    <row r="66" spans="2:16" x14ac:dyDescent="0.25">
      <c r="B66">
        <f>(Table3567[[#This Row],[Jahr]]-$C$8)*12+Table3567[[#This Row],[Month nr]]</f>
        <v>56</v>
      </c>
      <c r="C66">
        <v>2012</v>
      </c>
      <c r="D66">
        <v>8</v>
      </c>
      <c r="E66" t="s">
        <v>17</v>
      </c>
      <c r="F66" t="str">
        <f>_xlfn.CONCAT(Table3567[[#This Row],[Monat]]," ",Table3567[[#This Row],[Jahr]])</f>
        <v>August 2012</v>
      </c>
      <c r="G66">
        <v>1646.4</v>
      </c>
      <c r="H66">
        <v>3677</v>
      </c>
      <c r="I66">
        <v>4561</v>
      </c>
      <c r="J66">
        <v>1024.4000000000001</v>
      </c>
      <c r="K66">
        <v>1989</v>
      </c>
      <c r="L66">
        <v>2470</v>
      </c>
      <c r="M66" s="8">
        <f>Table3567[[#This Row],[Ausfuhr: Wert €]]*1000/Table3567[[#This Row],[Ausfuhr: Gewicht]]</f>
        <v>2233.357628765792</v>
      </c>
      <c r="N66" s="8">
        <f>Table3567[[#This Row],[Einfuhr: Wert €]]*1000/Table3567[[#This Row],[Einfuhr: Gewicht]]</f>
        <v>1941.6243654822333</v>
      </c>
      <c r="O66" s="8">
        <f>Table3567[[#This Row],[Ausfuhr: Wert $]]*1000/Table3567[[#This Row],[Ausfuhr: Gewicht]]</f>
        <v>2770.2866861030125</v>
      </c>
      <c r="P66" s="8">
        <f>Table3567[[#This Row],[Einfuhr: Wert $]]*1000/Table3567[[#This Row],[Einfuhr: Gewicht]]</f>
        <v>2411.1675126903551</v>
      </c>
    </row>
    <row r="67" spans="2:16" x14ac:dyDescent="0.25">
      <c r="B67">
        <f>(Table3567[[#This Row],[Jahr]]-$C$8)*12+Table3567[[#This Row],[Month nr]]</f>
        <v>57</v>
      </c>
      <c r="C67">
        <v>2012</v>
      </c>
      <c r="D67">
        <v>9</v>
      </c>
      <c r="E67" t="s">
        <v>18</v>
      </c>
      <c r="F67" t="str">
        <f>_xlfn.CONCAT(Table3567[[#This Row],[Monat]]," ",Table3567[[#This Row],[Jahr]])</f>
        <v>September 2012</v>
      </c>
      <c r="G67">
        <v>447.6</v>
      </c>
      <c r="H67">
        <v>816</v>
      </c>
      <c r="I67">
        <v>1051</v>
      </c>
      <c r="J67">
        <v>1119.1999999999998</v>
      </c>
      <c r="K67">
        <v>2318</v>
      </c>
      <c r="L67">
        <v>2981</v>
      </c>
      <c r="M67" s="8">
        <f>Table3567[[#This Row],[Ausfuhr: Wert €]]*1000/Table3567[[#This Row],[Ausfuhr: Gewicht]]</f>
        <v>1823.0563002680965</v>
      </c>
      <c r="N67" s="8">
        <f>Table3567[[#This Row],[Einfuhr: Wert €]]*1000/Table3567[[#This Row],[Einfuhr: Gewicht]]</f>
        <v>2071.1222301644034</v>
      </c>
      <c r="O67" s="8">
        <f>Table3567[[#This Row],[Ausfuhr: Wert $]]*1000/Table3567[[#This Row],[Ausfuhr: Gewicht]]</f>
        <v>2348.0786416443252</v>
      </c>
      <c r="P67" s="8">
        <f>Table3567[[#This Row],[Einfuhr: Wert $]]*1000/Table3567[[#This Row],[Einfuhr: Gewicht]]</f>
        <v>2663.5096497498216</v>
      </c>
    </row>
    <row r="68" spans="2:16" x14ac:dyDescent="0.25">
      <c r="B68">
        <f>(Table3567[[#This Row],[Jahr]]-$C$8)*12+Table3567[[#This Row],[Month nr]]</f>
        <v>58</v>
      </c>
      <c r="C68">
        <v>2012</v>
      </c>
      <c r="D68">
        <v>10</v>
      </c>
      <c r="E68" t="s">
        <v>23</v>
      </c>
      <c r="F68" t="str">
        <f>_xlfn.CONCAT(Table3567[[#This Row],[Monat]]," ",Table3567[[#This Row],[Jahr]])</f>
        <v>Oktober 2012</v>
      </c>
      <c r="G68">
        <v>208.10000000000002</v>
      </c>
      <c r="H68">
        <v>501</v>
      </c>
      <c r="I68">
        <v>650</v>
      </c>
      <c r="J68">
        <v>941.39999999999986</v>
      </c>
      <c r="K68">
        <v>2138</v>
      </c>
      <c r="L68">
        <v>2774</v>
      </c>
      <c r="M68" s="8">
        <f>Table3567[[#This Row],[Ausfuhr: Wert €]]*1000/Table3567[[#This Row],[Ausfuhr: Gewicht]]</f>
        <v>2407.4963959634788</v>
      </c>
      <c r="N68" s="8">
        <f>Table3567[[#This Row],[Einfuhr: Wert €]]*1000/Table3567[[#This Row],[Einfuhr: Gewicht]]</f>
        <v>2271.0856171659234</v>
      </c>
      <c r="O68" s="8">
        <f>Table3567[[#This Row],[Ausfuhr: Wert $]]*1000/Table3567[[#This Row],[Ausfuhr: Gewicht]]</f>
        <v>3123.4983181162897</v>
      </c>
      <c r="P68" s="8">
        <f>Table3567[[#This Row],[Einfuhr: Wert $]]*1000/Table3567[[#This Row],[Einfuhr: Gewicht]]</f>
        <v>2946.6751646483963</v>
      </c>
    </row>
    <row r="69" spans="2:16" x14ac:dyDescent="0.25">
      <c r="B69">
        <f>(Table3567[[#This Row],[Jahr]]-$C$8)*12+Table3567[[#This Row],[Month nr]]</f>
        <v>59</v>
      </c>
      <c r="C69">
        <v>2012</v>
      </c>
      <c r="D69">
        <v>11</v>
      </c>
      <c r="E69" t="s">
        <v>19</v>
      </c>
      <c r="F69" t="str">
        <f>_xlfn.CONCAT(Table3567[[#This Row],[Monat]]," ",Table3567[[#This Row],[Jahr]])</f>
        <v>November 2012</v>
      </c>
      <c r="G69">
        <v>121.4</v>
      </c>
      <c r="H69">
        <v>481</v>
      </c>
      <c r="I69">
        <v>618</v>
      </c>
      <c r="J69">
        <v>628.79999999999995</v>
      </c>
      <c r="K69">
        <v>2021</v>
      </c>
      <c r="L69">
        <v>2593</v>
      </c>
      <c r="M69" s="8">
        <f>Table3567[[#This Row],[Ausfuhr: Wert €]]*1000/Table3567[[#This Row],[Ausfuhr: Gewicht]]</f>
        <v>3962.1087314662273</v>
      </c>
      <c r="N69" s="8">
        <f>Table3567[[#This Row],[Einfuhr: Wert €]]*1000/Table3567[[#This Row],[Einfuhr: Gewicht]]</f>
        <v>3214.0585241730282</v>
      </c>
      <c r="O69" s="8">
        <f>Table3567[[#This Row],[Ausfuhr: Wert $]]*1000/Table3567[[#This Row],[Ausfuhr: Gewicht]]</f>
        <v>5090.6095551894559</v>
      </c>
      <c r="P69" s="8">
        <f>Table3567[[#This Row],[Einfuhr: Wert $]]*1000/Table3567[[#This Row],[Einfuhr: Gewicht]]</f>
        <v>4123.7277353689569</v>
      </c>
    </row>
    <row r="70" spans="2:16" x14ac:dyDescent="0.25">
      <c r="B70">
        <f>(Table3567[[#This Row],[Jahr]]-$C$8)*12+Table3567[[#This Row],[Month nr]]</f>
        <v>60</v>
      </c>
      <c r="C70">
        <v>2012</v>
      </c>
      <c r="D70">
        <v>12</v>
      </c>
      <c r="E70" t="s">
        <v>24</v>
      </c>
      <c r="F70" t="str">
        <f>_xlfn.CONCAT(Table3567[[#This Row],[Monat]]," ",Table3567[[#This Row],[Jahr]])</f>
        <v>Dezember 2012</v>
      </c>
      <c r="G70">
        <v>355.70000000000005</v>
      </c>
      <c r="H70">
        <v>1398</v>
      </c>
      <c r="I70">
        <v>1834</v>
      </c>
      <c r="J70">
        <v>1208.5</v>
      </c>
      <c r="K70">
        <v>4345</v>
      </c>
      <c r="L70">
        <v>5700</v>
      </c>
      <c r="M70" s="8">
        <f>Table3567[[#This Row],[Ausfuhr: Wert €]]*1000/Table3567[[#This Row],[Ausfuhr: Gewicht]]</f>
        <v>3930.2783244306997</v>
      </c>
      <c r="N70" s="8">
        <f>Table3567[[#This Row],[Einfuhr: Wert €]]*1000/Table3567[[#This Row],[Einfuhr: Gewicht]]</f>
        <v>3595.3661563922219</v>
      </c>
      <c r="O70" s="8">
        <f>Table3567[[#This Row],[Ausfuhr: Wert $]]*1000/Table3567[[#This Row],[Ausfuhr: Gewicht]]</f>
        <v>5156.0303626651666</v>
      </c>
      <c r="P70" s="8">
        <f>Table3567[[#This Row],[Einfuhr: Wert $]]*1000/Table3567[[#This Row],[Einfuhr: Gewicht]]</f>
        <v>4716.5908150599917</v>
      </c>
    </row>
    <row r="71" spans="2:16" x14ac:dyDescent="0.25">
      <c r="B71">
        <f>(Table3567[[#This Row],[Jahr]]-$C$8)*12+Table3567[[#This Row],[Month nr]]</f>
        <v>61</v>
      </c>
      <c r="C71">
        <v>2013</v>
      </c>
      <c r="D71">
        <v>1</v>
      </c>
      <c r="E71" t="s">
        <v>13</v>
      </c>
      <c r="F71" t="str">
        <f>_xlfn.CONCAT(Table3567[[#This Row],[Monat]]," ",Table3567[[#This Row],[Jahr]])</f>
        <v>Januar 2013</v>
      </c>
      <c r="G71" s="6">
        <v>412.70000000000005</v>
      </c>
      <c r="H71" s="6">
        <v>1832</v>
      </c>
      <c r="I71" s="6">
        <v>2437</v>
      </c>
      <c r="J71" s="6">
        <v>1247.5</v>
      </c>
      <c r="K71" s="6">
        <v>4615</v>
      </c>
      <c r="L71" s="6">
        <v>6136</v>
      </c>
      <c r="M71" s="8">
        <f>Table3567[[#This Row],[Ausfuhr: Wert €]]*1000/Table3567[[#This Row],[Ausfuhr: Gewicht]]</f>
        <v>4439.0598497698084</v>
      </c>
      <c r="N71" s="8">
        <f>Table3567[[#This Row],[Einfuhr: Wert €]]*1000/Table3567[[#This Row],[Einfuhr: Gewicht]]</f>
        <v>3699.3987975951904</v>
      </c>
      <c r="O71" s="8">
        <f>Table3567[[#This Row],[Ausfuhr: Wert $]]*1000/Table3567[[#This Row],[Ausfuhr: Gewicht]]</f>
        <v>5905.0157499394227</v>
      </c>
      <c r="P71" s="8">
        <f>Table3567[[#This Row],[Einfuhr: Wert $]]*1000/Table3567[[#This Row],[Einfuhr: Gewicht]]</f>
        <v>4918.637274549098</v>
      </c>
    </row>
    <row r="72" spans="2:16" x14ac:dyDescent="0.25">
      <c r="B72">
        <f>(Table3567[[#This Row],[Jahr]]-$C$8)*12+Table3567[[#This Row],[Month nr]]</f>
        <v>62</v>
      </c>
      <c r="C72">
        <v>2013</v>
      </c>
      <c r="D72">
        <v>2</v>
      </c>
      <c r="E72" t="s">
        <v>14</v>
      </c>
      <c r="F72" t="str">
        <f>_xlfn.CONCAT(Table3567[[#This Row],[Monat]]," ",Table3567[[#This Row],[Jahr]])</f>
        <v>Februar 2013</v>
      </c>
      <c r="G72" s="7">
        <v>450.4</v>
      </c>
      <c r="H72" s="7">
        <v>1185</v>
      </c>
      <c r="I72" s="7">
        <v>1584</v>
      </c>
      <c r="J72" s="7">
        <v>4896.1000000000004</v>
      </c>
      <c r="K72" s="7">
        <v>11154</v>
      </c>
      <c r="L72" s="7">
        <v>14903</v>
      </c>
      <c r="M72" s="8">
        <f>Table3567[[#This Row],[Ausfuhr: Wert €]]*1000/Table3567[[#This Row],[Ausfuhr: Gewicht]]</f>
        <v>2630.9946714031971</v>
      </c>
      <c r="N72" s="8">
        <f>Table3567[[#This Row],[Einfuhr: Wert €]]*1000/Table3567[[#This Row],[Einfuhr: Gewicht]]</f>
        <v>2278.1397438777799</v>
      </c>
      <c r="O72" s="8">
        <f>Table3567[[#This Row],[Ausfuhr: Wert $]]*1000/Table3567[[#This Row],[Ausfuhr: Gewicht]]</f>
        <v>3516.8738898756665</v>
      </c>
      <c r="P72" s="8">
        <f>Table3567[[#This Row],[Einfuhr: Wert $]]*1000/Table3567[[#This Row],[Einfuhr: Gewicht]]</f>
        <v>3043.8512285288289</v>
      </c>
    </row>
    <row r="73" spans="2:16" x14ac:dyDescent="0.25">
      <c r="B73">
        <f>(Table3567[[#This Row],[Jahr]]-$C$8)*12+Table3567[[#This Row],[Month nr]]</f>
        <v>63</v>
      </c>
      <c r="C73">
        <v>2013</v>
      </c>
      <c r="D73">
        <v>3</v>
      </c>
      <c r="E73" t="s">
        <v>15</v>
      </c>
      <c r="F73" t="str">
        <f>_xlfn.CONCAT(Table3567[[#This Row],[Monat]]," ",Table3567[[#This Row],[Jahr]])</f>
        <v>März 2013</v>
      </c>
      <c r="G73" s="6">
        <v>624.29999999999995</v>
      </c>
      <c r="H73" s="6">
        <v>1444</v>
      </c>
      <c r="I73" s="6">
        <v>1871</v>
      </c>
      <c r="J73" s="6">
        <v>13969.300000000001</v>
      </c>
      <c r="K73" s="6">
        <v>29529</v>
      </c>
      <c r="L73" s="6">
        <v>38281</v>
      </c>
      <c r="M73" s="8">
        <f>Table3567[[#This Row],[Ausfuhr: Wert €]]*1000/Table3567[[#This Row],[Ausfuhr: Gewicht]]</f>
        <v>2312.9905494153454</v>
      </c>
      <c r="N73" s="8">
        <f>Table3567[[#This Row],[Einfuhr: Wert €]]*1000/Table3567[[#This Row],[Einfuhr: Gewicht]]</f>
        <v>2113.8496560314402</v>
      </c>
      <c r="O73" s="8">
        <f>Table3567[[#This Row],[Ausfuhr: Wert $]]*1000/Table3567[[#This Row],[Ausfuhr: Gewicht]]</f>
        <v>2996.9565913823485</v>
      </c>
      <c r="P73" s="8">
        <f>Table3567[[#This Row],[Einfuhr: Wert $]]*1000/Table3567[[#This Row],[Einfuhr: Gewicht]]</f>
        <v>2740.3663748362478</v>
      </c>
    </row>
    <row r="74" spans="2:16" x14ac:dyDescent="0.25">
      <c r="B74">
        <f>(Table3567[[#This Row],[Jahr]]-$C$8)*12+Table3567[[#This Row],[Month nr]]</f>
        <v>64</v>
      </c>
      <c r="C74">
        <v>2013</v>
      </c>
      <c r="D74">
        <v>4</v>
      </c>
      <c r="E74" t="s">
        <v>16</v>
      </c>
      <c r="F74" t="str">
        <f>_xlfn.CONCAT(Table3567[[#This Row],[Monat]]," ",Table3567[[#This Row],[Jahr]])</f>
        <v>April 2013</v>
      </c>
      <c r="G74" s="7">
        <v>760.8</v>
      </c>
      <c r="H74" s="7">
        <v>1321</v>
      </c>
      <c r="I74" s="7">
        <v>1721</v>
      </c>
      <c r="J74" s="7">
        <v>27693.199999999997</v>
      </c>
      <c r="K74" s="7">
        <v>52400</v>
      </c>
      <c r="L74" s="7">
        <v>68256</v>
      </c>
      <c r="M74" s="8">
        <f>Table3567[[#This Row],[Ausfuhr: Wert €]]*1000/Table3567[[#This Row],[Ausfuhr: Gewicht]]</f>
        <v>1736.3301787592009</v>
      </c>
      <c r="N74" s="8">
        <f>Table3567[[#This Row],[Einfuhr: Wert €]]*1000/Table3567[[#This Row],[Einfuhr: Gewicht]]</f>
        <v>1892.1612525818614</v>
      </c>
      <c r="O74" s="8">
        <f>Table3567[[#This Row],[Ausfuhr: Wert $]]*1000/Table3567[[#This Row],[Ausfuhr: Gewicht]]</f>
        <v>2262.0925341745533</v>
      </c>
      <c r="P74" s="8">
        <f>Table3567[[#This Row],[Einfuhr: Wert $]]*1000/Table3567[[#This Row],[Einfuhr: Gewicht]]</f>
        <v>2464.7205812257162</v>
      </c>
    </row>
    <row r="75" spans="2:16" x14ac:dyDescent="0.25">
      <c r="B75">
        <f>(Table3567[[#This Row],[Jahr]]-$C$8)*12+Table3567[[#This Row],[Month nr]]</f>
        <v>65</v>
      </c>
      <c r="C75">
        <v>2013</v>
      </c>
      <c r="D75">
        <v>5</v>
      </c>
      <c r="E75" t="s">
        <v>20</v>
      </c>
      <c r="F75" t="str">
        <f>_xlfn.CONCAT(Table3567[[#This Row],[Monat]]," ",Table3567[[#This Row],[Jahr]])</f>
        <v>Mai 2013</v>
      </c>
      <c r="G75" s="6">
        <v>1496.6999999999996</v>
      </c>
      <c r="H75" s="6">
        <v>2879</v>
      </c>
      <c r="I75" s="6">
        <v>3740</v>
      </c>
      <c r="J75" s="6">
        <v>32762.100000000002</v>
      </c>
      <c r="K75" s="6">
        <v>58243</v>
      </c>
      <c r="L75" s="6">
        <v>75609</v>
      </c>
      <c r="M75" s="8">
        <f>Table3567[[#This Row],[Ausfuhr: Wert €]]*1000/Table3567[[#This Row],[Ausfuhr: Gewicht]]</f>
        <v>1923.5651767221225</v>
      </c>
      <c r="N75" s="8">
        <f>Table3567[[#This Row],[Einfuhr: Wert €]]*1000/Table3567[[#This Row],[Einfuhr: Gewicht]]</f>
        <v>1777.7553941902379</v>
      </c>
      <c r="O75" s="8">
        <f>Table3567[[#This Row],[Ausfuhr: Wert $]]*1000/Table3567[[#This Row],[Ausfuhr: Gewicht]]</f>
        <v>2498.8307610075508</v>
      </c>
      <c r="P75" s="8">
        <f>Table3567[[#This Row],[Einfuhr: Wert $]]*1000/Table3567[[#This Row],[Einfuhr: Gewicht]]</f>
        <v>2307.8190958455043</v>
      </c>
    </row>
    <row r="76" spans="2:16" x14ac:dyDescent="0.25">
      <c r="B76">
        <f>(Table3567[[#This Row],[Jahr]]-$C$8)*12+Table3567[[#This Row],[Month nr]]</f>
        <v>66</v>
      </c>
      <c r="C76">
        <v>2013</v>
      </c>
      <c r="D76">
        <v>6</v>
      </c>
      <c r="E76" t="s">
        <v>21</v>
      </c>
      <c r="F76" t="str">
        <f>_xlfn.CONCAT(Table3567[[#This Row],[Monat]]," ",Table3567[[#This Row],[Jahr]])</f>
        <v>Juni 2013</v>
      </c>
      <c r="G76" s="7">
        <v>2318.1</v>
      </c>
      <c r="H76" s="7">
        <v>4830</v>
      </c>
      <c r="I76" s="7">
        <v>6367</v>
      </c>
      <c r="J76" s="7">
        <v>22269.200000000001</v>
      </c>
      <c r="K76" s="7">
        <v>45108</v>
      </c>
      <c r="L76" s="7">
        <v>59494</v>
      </c>
      <c r="M76" s="8">
        <f>Table3567[[#This Row],[Ausfuhr: Wert €]]*1000/Table3567[[#This Row],[Ausfuhr: Gewicht]]</f>
        <v>2083.6029506923774</v>
      </c>
      <c r="N76" s="8">
        <f>Table3567[[#This Row],[Einfuhr: Wert €]]*1000/Table3567[[#This Row],[Einfuhr: Gewicht]]</f>
        <v>2025.5779282596591</v>
      </c>
      <c r="O76" s="8">
        <f>Table3567[[#This Row],[Ausfuhr: Wert $]]*1000/Table3567[[#This Row],[Ausfuhr: Gewicht]]</f>
        <v>2746.6459600534922</v>
      </c>
      <c r="P76" s="8">
        <f>Table3567[[#This Row],[Einfuhr: Wert $]]*1000/Table3567[[#This Row],[Einfuhr: Gewicht]]</f>
        <v>2671.5822750705011</v>
      </c>
    </row>
    <row r="77" spans="2:16" x14ac:dyDescent="0.25">
      <c r="B77">
        <f>(Table3567[[#This Row],[Jahr]]-$C$8)*12+Table3567[[#This Row],[Month nr]]</f>
        <v>67</v>
      </c>
      <c r="C77">
        <v>2013</v>
      </c>
      <c r="D77">
        <v>7</v>
      </c>
      <c r="E77" t="s">
        <v>22</v>
      </c>
      <c r="F77" t="str">
        <f>_xlfn.CONCAT(Table3567[[#This Row],[Monat]]," ",Table3567[[#This Row],[Jahr]])</f>
        <v>Juli 2013</v>
      </c>
      <c r="G77" s="6">
        <v>4918.0999999999995</v>
      </c>
      <c r="H77" s="6">
        <v>8731</v>
      </c>
      <c r="I77" s="6">
        <v>11419</v>
      </c>
      <c r="J77" s="6">
        <v>4778.3999999999996</v>
      </c>
      <c r="K77" s="6">
        <v>8930</v>
      </c>
      <c r="L77" s="6">
        <v>11680</v>
      </c>
      <c r="M77" s="8">
        <f>Table3567[[#This Row],[Ausfuhr: Wert €]]*1000/Table3567[[#This Row],[Ausfuhr: Gewicht]]</f>
        <v>1775.2790711860273</v>
      </c>
      <c r="N77" s="8">
        <f>Table3567[[#This Row],[Einfuhr: Wert €]]*1000/Table3567[[#This Row],[Einfuhr: Gewicht]]</f>
        <v>1868.8263854009713</v>
      </c>
      <c r="O77" s="8">
        <f>Table3567[[#This Row],[Ausfuhr: Wert $]]*1000/Table3567[[#This Row],[Ausfuhr: Gewicht]]</f>
        <v>2321.8316016347781</v>
      </c>
      <c r="P77" s="8">
        <f>Table3567[[#This Row],[Einfuhr: Wert $]]*1000/Table3567[[#This Row],[Einfuhr: Gewicht]]</f>
        <v>2444.3328310731627</v>
      </c>
    </row>
    <row r="78" spans="2:16" x14ac:dyDescent="0.25">
      <c r="B78">
        <f>(Table3567[[#This Row],[Jahr]]-$C$8)*12+Table3567[[#This Row],[Month nr]]</f>
        <v>68</v>
      </c>
      <c r="C78">
        <v>2013</v>
      </c>
      <c r="D78">
        <v>8</v>
      </c>
      <c r="E78" t="s">
        <v>17</v>
      </c>
      <c r="F78" t="str">
        <f>_xlfn.CONCAT(Table3567[[#This Row],[Monat]]," ",Table3567[[#This Row],[Jahr]])</f>
        <v>August 2013</v>
      </c>
      <c r="G78" s="7">
        <v>1030.5999999999999</v>
      </c>
      <c r="H78" s="7">
        <v>2206</v>
      </c>
      <c r="I78" s="7">
        <v>2937</v>
      </c>
      <c r="J78" s="7">
        <v>1579.8999999999999</v>
      </c>
      <c r="K78" s="7">
        <v>2888</v>
      </c>
      <c r="L78" s="7">
        <v>3845</v>
      </c>
      <c r="M78" s="8">
        <f>Table3567[[#This Row],[Ausfuhr: Wert €]]*1000/Table3567[[#This Row],[Ausfuhr: Gewicht]]</f>
        <v>2140.5006792159907</v>
      </c>
      <c r="N78" s="8">
        <f>Table3567[[#This Row],[Einfuhr: Wert €]]*1000/Table3567[[#This Row],[Einfuhr: Gewicht]]</f>
        <v>1827.96379517691</v>
      </c>
      <c r="O78" s="8">
        <f>Table3567[[#This Row],[Ausfuhr: Wert $]]*1000/Table3567[[#This Row],[Ausfuhr: Gewicht]]</f>
        <v>2849.7962352027948</v>
      </c>
      <c r="P78" s="8">
        <f>Table3567[[#This Row],[Einfuhr: Wert $]]*1000/Table3567[[#This Row],[Einfuhr: Gewicht]]</f>
        <v>2433.69833533768</v>
      </c>
    </row>
    <row r="79" spans="2:16" x14ac:dyDescent="0.25">
      <c r="B79">
        <f>(Table3567[[#This Row],[Jahr]]-$C$8)*12+Table3567[[#This Row],[Month nr]]</f>
        <v>69</v>
      </c>
      <c r="C79">
        <v>2013</v>
      </c>
      <c r="D79">
        <v>9</v>
      </c>
      <c r="E79" t="s">
        <v>18</v>
      </c>
      <c r="F79" t="str">
        <f>_xlfn.CONCAT(Table3567[[#This Row],[Monat]]," ",Table3567[[#This Row],[Jahr]])</f>
        <v>September 2013</v>
      </c>
      <c r="G79" s="6">
        <v>752.4</v>
      </c>
      <c r="H79" s="6">
        <v>1906</v>
      </c>
      <c r="I79" s="6">
        <v>2545</v>
      </c>
      <c r="J79" s="6">
        <v>897.7</v>
      </c>
      <c r="K79" s="6">
        <v>2008</v>
      </c>
      <c r="L79" s="6">
        <v>2677</v>
      </c>
      <c r="M79" s="8">
        <f>Table3567[[#This Row],[Ausfuhr: Wert €]]*1000/Table3567[[#This Row],[Ausfuhr: Gewicht]]</f>
        <v>2533.2270069112174</v>
      </c>
      <c r="N79" s="8">
        <f>Table3567[[#This Row],[Einfuhr: Wert €]]*1000/Table3567[[#This Row],[Einfuhr: Gewicht]]</f>
        <v>2236.8274479224683</v>
      </c>
      <c r="O79" s="8">
        <f>Table3567[[#This Row],[Ausfuhr: Wert $]]*1000/Table3567[[#This Row],[Ausfuhr: Gewicht]]</f>
        <v>3382.5093035619352</v>
      </c>
      <c r="P79" s="8">
        <f>Table3567[[#This Row],[Einfuhr: Wert $]]*1000/Table3567[[#This Row],[Einfuhr: Gewicht]]</f>
        <v>2982.0652779324942</v>
      </c>
    </row>
    <row r="80" spans="2:16" x14ac:dyDescent="0.25">
      <c r="B80">
        <f>(Table3567[[#This Row],[Jahr]]-$C$8)*12+Table3567[[#This Row],[Month nr]]</f>
        <v>70</v>
      </c>
      <c r="C80">
        <v>2013</v>
      </c>
      <c r="D80">
        <v>10</v>
      </c>
      <c r="E80" t="s">
        <v>23</v>
      </c>
      <c r="F80" t="str">
        <f>_xlfn.CONCAT(Table3567[[#This Row],[Monat]]," ",Table3567[[#This Row],[Jahr]])</f>
        <v>Oktober 2013</v>
      </c>
      <c r="G80" s="7">
        <v>159.79999999999998</v>
      </c>
      <c r="H80" s="7">
        <v>561</v>
      </c>
      <c r="I80" s="7">
        <v>765</v>
      </c>
      <c r="J80" s="7">
        <v>1073.8</v>
      </c>
      <c r="K80" s="7">
        <v>2148</v>
      </c>
      <c r="L80" s="7">
        <v>2929</v>
      </c>
      <c r="M80" s="8">
        <f>Table3567[[#This Row],[Ausfuhr: Wert €]]*1000/Table3567[[#This Row],[Ausfuhr: Gewicht]]</f>
        <v>3510.6382978723409</v>
      </c>
      <c r="N80" s="8">
        <f>Table3567[[#This Row],[Einfuhr: Wert €]]*1000/Table3567[[#This Row],[Einfuhr: Gewicht]]</f>
        <v>2000.3725088470851</v>
      </c>
      <c r="O80" s="8">
        <f>Table3567[[#This Row],[Ausfuhr: Wert $]]*1000/Table3567[[#This Row],[Ausfuhr: Gewicht]]</f>
        <v>4787.234042553192</v>
      </c>
      <c r="P80" s="8">
        <f>Table3567[[#This Row],[Einfuhr: Wert $]]*1000/Table3567[[#This Row],[Einfuhr: Gewicht]]</f>
        <v>2727.6960327807788</v>
      </c>
    </row>
    <row r="81" spans="2:16" x14ac:dyDescent="0.25">
      <c r="B81">
        <f>(Table3567[[#This Row],[Jahr]]-$C$8)*12+Table3567[[#This Row],[Month nr]]</f>
        <v>71</v>
      </c>
      <c r="C81">
        <v>2013</v>
      </c>
      <c r="D81">
        <v>11</v>
      </c>
      <c r="E81" t="s">
        <v>19</v>
      </c>
      <c r="F81" t="str">
        <f>_xlfn.CONCAT(Table3567[[#This Row],[Monat]]," ",Table3567[[#This Row],[Jahr]])</f>
        <v>November 2013</v>
      </c>
      <c r="G81" s="6">
        <v>84.600000000000009</v>
      </c>
      <c r="H81" s="6">
        <v>282</v>
      </c>
      <c r="I81" s="6">
        <v>382</v>
      </c>
      <c r="J81" s="6">
        <v>664.20000000000016</v>
      </c>
      <c r="K81" s="6">
        <v>1567</v>
      </c>
      <c r="L81" s="6">
        <v>2118</v>
      </c>
      <c r="M81" s="8">
        <f>Table3567[[#This Row],[Ausfuhr: Wert €]]*1000/Table3567[[#This Row],[Ausfuhr: Gewicht]]</f>
        <v>3333.333333333333</v>
      </c>
      <c r="N81" s="8">
        <f>Table3567[[#This Row],[Einfuhr: Wert €]]*1000/Table3567[[#This Row],[Einfuhr: Gewicht]]</f>
        <v>2359.2291478470333</v>
      </c>
      <c r="O81" s="8">
        <f>Table3567[[#This Row],[Ausfuhr: Wert $]]*1000/Table3567[[#This Row],[Ausfuhr: Gewicht]]</f>
        <v>4515.3664302600464</v>
      </c>
      <c r="P81" s="8">
        <f>Table3567[[#This Row],[Einfuhr: Wert $]]*1000/Table3567[[#This Row],[Einfuhr: Gewicht]]</f>
        <v>3188.7985546522123</v>
      </c>
    </row>
    <row r="82" spans="2:16" x14ac:dyDescent="0.25">
      <c r="B82">
        <f>(Table3567[[#This Row],[Jahr]]-$C$8)*12+Table3567[[#This Row],[Month nr]]</f>
        <v>72</v>
      </c>
      <c r="C82">
        <v>2013</v>
      </c>
      <c r="D82">
        <v>12</v>
      </c>
      <c r="E82" t="s">
        <v>24</v>
      </c>
      <c r="F82" t="str">
        <f>_xlfn.CONCAT(Table3567[[#This Row],[Monat]]," ",Table3567[[#This Row],[Jahr]])</f>
        <v>Dezember 2013</v>
      </c>
      <c r="G82" s="7">
        <v>319.39999999999998</v>
      </c>
      <c r="H82" s="7">
        <v>1366</v>
      </c>
      <c r="I82" s="7">
        <v>1872</v>
      </c>
      <c r="J82" s="7">
        <v>1493.7999999999997</v>
      </c>
      <c r="K82" s="7">
        <v>4994</v>
      </c>
      <c r="L82" s="7">
        <v>6846</v>
      </c>
      <c r="M82" s="8">
        <f>Table3567[[#This Row],[Ausfuhr: Wert €]]*1000/Table3567[[#This Row],[Ausfuhr: Gewicht]]</f>
        <v>4276.7689417658112</v>
      </c>
      <c r="N82" s="8">
        <f>Table3567[[#This Row],[Einfuhr: Wert €]]*1000/Table3567[[#This Row],[Einfuhr: Gewicht]]</f>
        <v>3343.1516936671583</v>
      </c>
      <c r="O82" s="8">
        <f>Table3567[[#This Row],[Ausfuhr: Wert $]]*1000/Table3567[[#This Row],[Ausfuhr: Gewicht]]</f>
        <v>5860.9893550407014</v>
      </c>
      <c r="P82" s="8">
        <f>Table3567[[#This Row],[Einfuhr: Wert $]]*1000/Table3567[[#This Row],[Einfuhr: Gewicht]]</f>
        <v>4582.9428303655113</v>
      </c>
    </row>
    <row r="83" spans="2:16" x14ac:dyDescent="0.25">
      <c r="B83">
        <f>(Table3567[[#This Row],[Jahr]]-$C$8)*12+Table3567[[#This Row],[Month nr]]</f>
        <v>73</v>
      </c>
      <c r="C83">
        <v>2014</v>
      </c>
      <c r="D83">
        <v>1</v>
      </c>
      <c r="E83" t="s">
        <v>13</v>
      </c>
      <c r="F83" t="str">
        <f>_xlfn.CONCAT(Table3567[[#This Row],[Monat]]," ",Table3567[[#This Row],[Jahr]])</f>
        <v>Januar 2014</v>
      </c>
      <c r="G83">
        <v>801.7</v>
      </c>
      <c r="H83">
        <v>2987</v>
      </c>
      <c r="I83">
        <v>4067</v>
      </c>
      <c r="J83">
        <v>2240.9</v>
      </c>
      <c r="K83">
        <v>6691</v>
      </c>
      <c r="L83">
        <v>9105</v>
      </c>
      <c r="M83" s="8">
        <f>Table3567[[#This Row],[Ausfuhr: Wert €]]*1000/Table3567[[#This Row],[Ausfuhr: Gewicht]]</f>
        <v>3725.8326057128602</v>
      </c>
      <c r="N83" s="8">
        <f>Table3567[[#This Row],[Einfuhr: Wert €]]*1000/Table3567[[#This Row],[Einfuhr: Gewicht]]</f>
        <v>2985.8538979874156</v>
      </c>
      <c r="O83" s="8">
        <f>Table3567[[#This Row],[Ausfuhr: Wert $]]*1000/Table3567[[#This Row],[Ausfuhr: Gewicht]]</f>
        <v>5072.9699388798799</v>
      </c>
      <c r="P83" s="8">
        <f>Table3567[[#This Row],[Einfuhr: Wert $]]*1000/Table3567[[#This Row],[Einfuhr: Gewicht]]</f>
        <v>4063.0996474630729</v>
      </c>
    </row>
    <row r="84" spans="2:16" x14ac:dyDescent="0.25">
      <c r="B84">
        <f>(Table3567[[#This Row],[Jahr]]-$C$8)*12+Table3567[[#This Row],[Month nr]]</f>
        <v>74</v>
      </c>
      <c r="C84">
        <v>2014</v>
      </c>
      <c r="D84">
        <v>2</v>
      </c>
      <c r="E84" t="s">
        <v>14</v>
      </c>
      <c r="F84" t="str">
        <f>_xlfn.CONCAT(Table3567[[#This Row],[Monat]]," ",Table3567[[#This Row],[Jahr]])</f>
        <v>Februar 2014</v>
      </c>
      <c r="G84">
        <v>537.9</v>
      </c>
      <c r="H84">
        <v>1377</v>
      </c>
      <c r="I84">
        <v>1881</v>
      </c>
      <c r="J84">
        <v>4599.1999999999989</v>
      </c>
      <c r="K84">
        <v>10535</v>
      </c>
      <c r="L84">
        <v>14392</v>
      </c>
      <c r="M84" s="8">
        <f>Table3567[[#This Row],[Ausfuhr: Wert €]]*1000/Table3567[[#This Row],[Ausfuhr: Gewicht]]</f>
        <v>2559.9553820412716</v>
      </c>
      <c r="N84" s="8">
        <f>Table3567[[#This Row],[Einfuhr: Wert €]]*1000/Table3567[[#This Row],[Einfuhr: Gewicht]]</f>
        <v>2290.6157592624809</v>
      </c>
      <c r="O84" s="8">
        <f>Table3567[[#This Row],[Ausfuhr: Wert $]]*1000/Table3567[[#This Row],[Ausfuhr: Gewicht]]</f>
        <v>3496.9325153374234</v>
      </c>
      <c r="P84" s="8">
        <f>Table3567[[#This Row],[Einfuhr: Wert $]]*1000/Table3567[[#This Row],[Einfuhr: Gewicht]]</f>
        <v>3129.2398678030968</v>
      </c>
    </row>
    <row r="85" spans="2:16" x14ac:dyDescent="0.25">
      <c r="B85">
        <f>(Table3567[[#This Row],[Jahr]]-$C$8)*12+Table3567[[#This Row],[Month nr]]</f>
        <v>75</v>
      </c>
      <c r="C85">
        <v>2014</v>
      </c>
      <c r="D85">
        <v>3</v>
      </c>
      <c r="E85" t="s">
        <v>15</v>
      </c>
      <c r="F85" t="str">
        <f>_xlfn.CONCAT(Table3567[[#This Row],[Monat]]," ",Table3567[[#This Row],[Jahr]])</f>
        <v>März 2014</v>
      </c>
      <c r="G85">
        <v>637</v>
      </c>
      <c r="H85">
        <v>1540</v>
      </c>
      <c r="I85">
        <v>2128</v>
      </c>
      <c r="J85">
        <v>16188.8</v>
      </c>
      <c r="K85">
        <v>30238</v>
      </c>
      <c r="L85">
        <v>41799</v>
      </c>
      <c r="M85" s="8">
        <f>Table3567[[#This Row],[Ausfuhr: Wert €]]*1000/Table3567[[#This Row],[Ausfuhr: Gewicht]]</f>
        <v>2417.5824175824177</v>
      </c>
      <c r="N85" s="8">
        <f>Table3567[[#This Row],[Einfuhr: Wert €]]*1000/Table3567[[#This Row],[Einfuhr: Gewicht]]</f>
        <v>1867.83455228306</v>
      </c>
      <c r="O85" s="8">
        <f>Table3567[[#This Row],[Ausfuhr: Wert $]]*1000/Table3567[[#This Row],[Ausfuhr: Gewicht]]</f>
        <v>3340.6593406593406</v>
      </c>
      <c r="P85" s="8">
        <f>Table3567[[#This Row],[Einfuhr: Wert $]]*1000/Table3567[[#This Row],[Einfuhr: Gewicht]]</f>
        <v>2581.9702510377547</v>
      </c>
    </row>
    <row r="86" spans="2:16" x14ac:dyDescent="0.25">
      <c r="B86">
        <f>(Table3567[[#This Row],[Jahr]]-$C$8)*12+Table3567[[#This Row],[Month nr]]</f>
        <v>76</v>
      </c>
      <c r="C86">
        <v>2014</v>
      </c>
      <c r="D86">
        <v>4</v>
      </c>
      <c r="E86" t="s">
        <v>16</v>
      </c>
      <c r="F86" t="str">
        <f>_xlfn.CONCAT(Table3567[[#This Row],[Monat]]," ",Table3567[[#This Row],[Jahr]])</f>
        <v>April 2014</v>
      </c>
      <c r="G86" s="10">
        <v>1267.2000000000003</v>
      </c>
      <c r="H86" s="10">
        <v>2211</v>
      </c>
      <c r="I86" s="10">
        <v>3059</v>
      </c>
      <c r="J86" s="10">
        <v>35179.799999999996</v>
      </c>
      <c r="K86" s="10">
        <v>59545</v>
      </c>
      <c r="L86" s="10">
        <v>82248</v>
      </c>
      <c r="M86" s="8">
        <f>Table3567[[#This Row],[Ausfuhr: Wert €]]*1000/Table3567[[#This Row],[Ausfuhr: Gewicht]]</f>
        <v>1744.7916666666663</v>
      </c>
      <c r="N86" s="8">
        <f>Table3567[[#This Row],[Einfuhr: Wert €]]*1000/Table3567[[#This Row],[Einfuhr: Gewicht]]</f>
        <v>1692.5906343981492</v>
      </c>
      <c r="O86" s="8">
        <f>Table3567[[#This Row],[Ausfuhr: Wert $]]*1000/Table3567[[#This Row],[Ausfuhr: Gewicht]]</f>
        <v>2413.9835858585852</v>
      </c>
      <c r="P86" s="8">
        <f>Table3567[[#This Row],[Einfuhr: Wert $]]*1000/Table3567[[#This Row],[Einfuhr: Gewicht]]</f>
        <v>2337.9325635734144</v>
      </c>
    </row>
    <row r="87" spans="2:16" x14ac:dyDescent="0.25">
      <c r="B87">
        <f>(Table3567[[#This Row],[Jahr]]-$C$8)*12+Table3567[[#This Row],[Month nr]]</f>
        <v>77</v>
      </c>
      <c r="C87">
        <v>2014</v>
      </c>
      <c r="D87">
        <v>5</v>
      </c>
      <c r="E87" t="s">
        <v>20</v>
      </c>
      <c r="F87" t="str">
        <f>_xlfn.CONCAT(Table3567[[#This Row],[Monat]]," ",Table3567[[#This Row],[Jahr]])</f>
        <v>Mai 2014</v>
      </c>
      <c r="G87">
        <v>1097</v>
      </c>
      <c r="H87">
        <v>2268</v>
      </c>
      <c r="I87">
        <v>3115</v>
      </c>
      <c r="J87">
        <v>27544.400000000001</v>
      </c>
      <c r="K87">
        <v>44715</v>
      </c>
      <c r="L87">
        <v>61407</v>
      </c>
      <c r="M87" s="8">
        <f>Table3567[[#This Row],[Ausfuhr: Wert €]]*1000/Table3567[[#This Row],[Ausfuhr: Gewicht]]</f>
        <v>2067.4567000911579</v>
      </c>
      <c r="N87" s="8">
        <f>Table3567[[#This Row],[Einfuhr: Wert €]]*1000/Table3567[[#This Row],[Einfuhr: Gewicht]]</f>
        <v>1623.3789808454712</v>
      </c>
      <c r="O87" s="8">
        <f>Table3567[[#This Row],[Ausfuhr: Wert $]]*1000/Table3567[[#This Row],[Ausfuhr: Gewicht]]</f>
        <v>2839.5624430264356</v>
      </c>
      <c r="P87" s="8">
        <f>Table3567[[#This Row],[Einfuhr: Wert $]]*1000/Table3567[[#This Row],[Einfuhr: Gewicht]]</f>
        <v>2229.3823789953672</v>
      </c>
    </row>
    <row r="88" spans="2:16" x14ac:dyDescent="0.25">
      <c r="B88">
        <f>(Table3567[[#This Row],[Jahr]]-$C$8)*12+Table3567[[#This Row],[Month nr]]</f>
        <v>78</v>
      </c>
      <c r="C88">
        <v>2014</v>
      </c>
      <c r="D88">
        <v>6</v>
      </c>
      <c r="E88" t="s">
        <v>21</v>
      </c>
      <c r="F88" t="str">
        <f>_xlfn.CONCAT(Table3567[[#This Row],[Monat]]," ",Table3567[[#This Row],[Jahr]])</f>
        <v>Juni 2014</v>
      </c>
      <c r="G88">
        <v>3987.4999999999991</v>
      </c>
      <c r="H88">
        <v>6720</v>
      </c>
      <c r="I88">
        <v>9139</v>
      </c>
      <c r="J88">
        <v>12929.4</v>
      </c>
      <c r="K88">
        <v>17157</v>
      </c>
      <c r="L88">
        <v>23320</v>
      </c>
      <c r="M88" s="8">
        <f>Table3567[[#This Row],[Ausfuhr: Wert €]]*1000/Table3567[[#This Row],[Ausfuhr: Gewicht]]</f>
        <v>1685.2664576802513</v>
      </c>
      <c r="N88" s="8">
        <f>Table3567[[#This Row],[Einfuhr: Wert €]]*1000/Table3567[[#This Row],[Einfuhr: Gewicht]]</f>
        <v>1326.9757297322383</v>
      </c>
      <c r="O88" s="8">
        <f>Table3567[[#This Row],[Ausfuhr: Wert $]]*1000/Table3567[[#This Row],[Ausfuhr: Gewicht]]</f>
        <v>2291.9122257053295</v>
      </c>
      <c r="P88" s="8">
        <f>Table3567[[#This Row],[Einfuhr: Wert $]]*1000/Table3567[[#This Row],[Einfuhr: Gewicht]]</f>
        <v>1803.6413135953719</v>
      </c>
    </row>
    <row r="89" spans="2:16" x14ac:dyDescent="0.25">
      <c r="B89">
        <f>(Table3567[[#This Row],[Jahr]]-$C$8)*12+Table3567[[#This Row],[Month nr]]</f>
        <v>79</v>
      </c>
      <c r="C89">
        <v>2014</v>
      </c>
      <c r="D89">
        <v>7</v>
      </c>
      <c r="E89" t="s">
        <v>22</v>
      </c>
      <c r="F89" t="str">
        <f>_xlfn.CONCAT(Table3567[[#This Row],[Monat]]," ",Table3567[[#This Row],[Jahr]])</f>
        <v>Juli 2014</v>
      </c>
      <c r="G89">
        <v>3176.7</v>
      </c>
      <c r="H89">
        <v>6386</v>
      </c>
      <c r="I89">
        <v>8645</v>
      </c>
      <c r="J89">
        <v>1768.7</v>
      </c>
      <c r="K89">
        <v>2448</v>
      </c>
      <c r="L89">
        <v>3316</v>
      </c>
      <c r="M89" s="8">
        <f>Table3567[[#This Row],[Ausfuhr: Wert €]]*1000/Table3567[[#This Row],[Ausfuhr: Gewicht]]</f>
        <v>2010.2622218024997</v>
      </c>
      <c r="N89" s="8">
        <f>Table3567[[#This Row],[Einfuhr: Wert €]]*1000/Table3567[[#This Row],[Einfuhr: Gewicht]]</f>
        <v>1384.0673941312828</v>
      </c>
      <c r="O89" s="8">
        <f>Table3567[[#This Row],[Ausfuhr: Wert $]]*1000/Table3567[[#This Row],[Ausfuhr: Gewicht]]</f>
        <v>2721.3775301413416</v>
      </c>
      <c r="P89" s="8">
        <f>Table3567[[#This Row],[Einfuhr: Wert $]]*1000/Table3567[[#This Row],[Einfuhr: Gewicht]]</f>
        <v>1874.8233165601855</v>
      </c>
    </row>
    <row r="90" spans="2:16" x14ac:dyDescent="0.25">
      <c r="B90">
        <f>(Table3567[[#This Row],[Jahr]]-$C$8)*12+Table3567[[#This Row],[Month nr]]</f>
        <v>80</v>
      </c>
      <c r="C90">
        <v>2014</v>
      </c>
      <c r="D90">
        <v>8</v>
      </c>
      <c r="E90" t="s">
        <v>17</v>
      </c>
      <c r="F90" t="str">
        <f>_xlfn.CONCAT(Table3567[[#This Row],[Monat]]," ",Table3567[[#This Row],[Jahr]])</f>
        <v>August 2014</v>
      </c>
      <c r="G90">
        <v>1460.9</v>
      </c>
      <c r="H90">
        <v>3213</v>
      </c>
      <c r="I90">
        <v>4283</v>
      </c>
      <c r="J90">
        <v>751.19999999999993</v>
      </c>
      <c r="K90">
        <v>1775</v>
      </c>
      <c r="L90">
        <v>2363</v>
      </c>
      <c r="M90" s="8">
        <f>Table3567[[#This Row],[Ausfuhr: Wert €]]*1000/Table3567[[#This Row],[Ausfuhr: Gewicht]]</f>
        <v>2199.3291806420698</v>
      </c>
      <c r="N90" s="8">
        <f>Table3567[[#This Row],[Einfuhr: Wert €]]*1000/Table3567[[#This Row],[Einfuhr: Gewicht]]</f>
        <v>2362.8860489882854</v>
      </c>
      <c r="O90" s="8">
        <f>Table3567[[#This Row],[Ausfuhr: Wert $]]*1000/Table3567[[#This Row],[Ausfuhr: Gewicht]]</f>
        <v>2931.7543979738516</v>
      </c>
      <c r="P90" s="8">
        <f>Table3567[[#This Row],[Einfuhr: Wert $]]*1000/Table3567[[#This Row],[Einfuhr: Gewicht]]</f>
        <v>3145.6336528221514</v>
      </c>
    </row>
    <row r="91" spans="2:16" x14ac:dyDescent="0.25">
      <c r="B91">
        <f>(Table3567[[#This Row],[Jahr]]-$C$8)*12+Table3567[[#This Row],[Month nr]]</f>
        <v>81</v>
      </c>
      <c r="C91">
        <v>2014</v>
      </c>
      <c r="D91">
        <v>9</v>
      </c>
      <c r="E91" t="s">
        <v>18</v>
      </c>
      <c r="F91" t="str">
        <f>_xlfn.CONCAT(Table3567[[#This Row],[Monat]]," ",Table3567[[#This Row],[Jahr]])</f>
        <v>September 2014</v>
      </c>
      <c r="G91">
        <v>563</v>
      </c>
      <c r="H91">
        <v>1542</v>
      </c>
      <c r="I91">
        <v>1987</v>
      </c>
      <c r="J91">
        <v>584.90000000000009</v>
      </c>
      <c r="K91">
        <v>1568</v>
      </c>
      <c r="L91">
        <v>2022</v>
      </c>
      <c r="M91" s="8">
        <f>Table3567[[#This Row],[Ausfuhr: Wert €]]*1000/Table3567[[#This Row],[Ausfuhr: Gewicht]]</f>
        <v>2738.8987566607461</v>
      </c>
      <c r="N91" s="8">
        <f>Table3567[[#This Row],[Einfuhr: Wert €]]*1000/Table3567[[#This Row],[Einfuhr: Gewicht]]</f>
        <v>2680.8001367755169</v>
      </c>
      <c r="O91" s="8">
        <f>Table3567[[#This Row],[Ausfuhr: Wert $]]*1000/Table3567[[#This Row],[Ausfuhr: Gewicht]]</f>
        <v>3529.3072824156307</v>
      </c>
      <c r="P91" s="8">
        <f>Table3567[[#This Row],[Einfuhr: Wert $]]*1000/Table3567[[#This Row],[Einfuhr: Gewicht]]</f>
        <v>3457.0011967857749</v>
      </c>
    </row>
    <row r="92" spans="2:16" x14ac:dyDescent="0.25">
      <c r="B92">
        <f>(Table3567[[#This Row],[Jahr]]-$C$8)*12+Table3567[[#This Row],[Month nr]]</f>
        <v>82</v>
      </c>
      <c r="C92">
        <v>2014</v>
      </c>
      <c r="D92">
        <v>10</v>
      </c>
      <c r="E92" t="s">
        <v>23</v>
      </c>
      <c r="F92" t="str">
        <f>_xlfn.CONCAT(Table3567[[#This Row],[Monat]]," ",Table3567[[#This Row],[Jahr]])</f>
        <v>Oktober 2014</v>
      </c>
      <c r="G92">
        <v>202.70000000000002</v>
      </c>
      <c r="H92">
        <v>508</v>
      </c>
      <c r="I92">
        <v>648</v>
      </c>
      <c r="J92">
        <v>850.99999999999989</v>
      </c>
      <c r="K92">
        <v>2259</v>
      </c>
      <c r="L92">
        <v>2864</v>
      </c>
      <c r="M92" s="8">
        <f>Table3567[[#This Row],[Ausfuhr: Wert €]]*1000/Table3567[[#This Row],[Ausfuhr: Gewicht]]</f>
        <v>2506.1667488899848</v>
      </c>
      <c r="N92" s="8">
        <f>Table3567[[#This Row],[Einfuhr: Wert €]]*1000/Table3567[[#This Row],[Einfuhr: Gewicht]]</f>
        <v>2654.5240893066984</v>
      </c>
      <c r="O92" s="8">
        <f>Table3567[[#This Row],[Ausfuhr: Wert $]]*1000/Table3567[[#This Row],[Ausfuhr: Gewicht]]</f>
        <v>3196.8426245683272</v>
      </c>
      <c r="P92" s="8">
        <f>Table3567[[#This Row],[Einfuhr: Wert $]]*1000/Table3567[[#This Row],[Einfuhr: Gewicht]]</f>
        <v>3365.4524089306701</v>
      </c>
    </row>
    <row r="93" spans="2:16" x14ac:dyDescent="0.25">
      <c r="B93">
        <f>(Table3567[[#This Row],[Jahr]]-$C$8)*12+Table3567[[#This Row],[Month nr]]</f>
        <v>83</v>
      </c>
      <c r="C93">
        <v>2014</v>
      </c>
      <c r="D93">
        <v>11</v>
      </c>
      <c r="E93" t="s">
        <v>19</v>
      </c>
      <c r="F93" t="str">
        <f>_xlfn.CONCAT(Table3567[[#This Row],[Monat]]," ",Table3567[[#This Row],[Jahr]])</f>
        <v>November 2014</v>
      </c>
      <c r="G93">
        <v>92.8</v>
      </c>
      <c r="H93">
        <v>380</v>
      </c>
      <c r="I93">
        <v>474</v>
      </c>
      <c r="J93">
        <v>587.5</v>
      </c>
      <c r="K93">
        <v>2295</v>
      </c>
      <c r="L93">
        <v>2861</v>
      </c>
      <c r="M93" s="8">
        <f>Table3567[[#This Row],[Ausfuhr: Wert €]]*1000/Table3567[[#This Row],[Ausfuhr: Gewicht]]</f>
        <v>4094.8275862068967</v>
      </c>
      <c r="N93" s="8">
        <f>Table3567[[#This Row],[Einfuhr: Wert €]]*1000/Table3567[[#This Row],[Einfuhr: Gewicht]]</f>
        <v>3906.3829787234044</v>
      </c>
      <c r="O93" s="8">
        <f>Table3567[[#This Row],[Ausfuhr: Wert $]]*1000/Table3567[[#This Row],[Ausfuhr: Gewicht]]</f>
        <v>5107.7586206896549</v>
      </c>
      <c r="P93" s="8">
        <f>Table3567[[#This Row],[Einfuhr: Wert $]]*1000/Table3567[[#This Row],[Einfuhr: Gewicht]]</f>
        <v>4869.7872340425529</v>
      </c>
    </row>
    <row r="94" spans="2:16" x14ac:dyDescent="0.25">
      <c r="B94">
        <f>(Table3567[[#This Row],[Jahr]]-$C$8)*12+Table3567[[#This Row],[Month nr]]</f>
        <v>84</v>
      </c>
      <c r="C94">
        <v>2014</v>
      </c>
      <c r="D94">
        <v>12</v>
      </c>
      <c r="E94" t="s">
        <v>24</v>
      </c>
      <c r="F94" t="str">
        <f>_xlfn.CONCAT(Table3567[[#This Row],[Monat]]," ",Table3567[[#This Row],[Jahr]])</f>
        <v>Dezember 2014</v>
      </c>
      <c r="G94">
        <v>441.29999999999995</v>
      </c>
      <c r="H94">
        <v>2089</v>
      </c>
      <c r="I94">
        <v>2576</v>
      </c>
      <c r="J94">
        <v>1643.6999999999996</v>
      </c>
      <c r="K94">
        <v>7317</v>
      </c>
      <c r="L94">
        <v>9022</v>
      </c>
      <c r="M94" s="8">
        <f>Table3567[[#This Row],[Ausfuhr: Wert €]]*1000/Table3567[[#This Row],[Ausfuhr: Gewicht]]</f>
        <v>4733.7412191253125</v>
      </c>
      <c r="N94" s="8">
        <f>Table3567[[#This Row],[Einfuhr: Wert €]]*1000/Table3567[[#This Row],[Einfuhr: Gewicht]]</f>
        <v>4451.5422522358103</v>
      </c>
      <c r="O94" s="8">
        <f>Table3567[[#This Row],[Ausfuhr: Wert $]]*1000/Table3567[[#This Row],[Ausfuhr: Gewicht]]</f>
        <v>5837.2988896442339</v>
      </c>
      <c r="P94" s="8">
        <f>Table3567[[#This Row],[Einfuhr: Wert $]]*1000/Table3567[[#This Row],[Einfuhr: Gewicht]]</f>
        <v>5488.8361623167257</v>
      </c>
    </row>
    <row r="95" spans="2:16" x14ac:dyDescent="0.25">
      <c r="B95">
        <f>(Table3567[[#This Row],[Jahr]]-$C$8)*12+Table3567[[#This Row],[Month nr]]</f>
        <v>85</v>
      </c>
      <c r="C95">
        <v>2015</v>
      </c>
      <c r="D95">
        <v>1</v>
      </c>
      <c r="E95" t="s">
        <v>13</v>
      </c>
      <c r="F95" t="str">
        <f>_xlfn.CONCAT(Table3567[[#This Row],[Monat]]," ",Table3567[[#This Row],[Jahr]])</f>
        <v>Januar 2015</v>
      </c>
      <c r="G95">
        <v>1254.8</v>
      </c>
      <c r="H95">
        <v>5791</v>
      </c>
      <c r="I95">
        <v>6729</v>
      </c>
      <c r="J95">
        <v>1902.1999999999998</v>
      </c>
      <c r="K95">
        <v>6353</v>
      </c>
      <c r="L95">
        <v>7382</v>
      </c>
      <c r="M95" s="8">
        <f>Table3567[[#This Row],[Ausfuhr: Wert €]]*1000/Table3567[[#This Row],[Ausfuhr: Gewicht]]</f>
        <v>4615.0781000956331</v>
      </c>
      <c r="N95" s="8">
        <f>Table3567[[#This Row],[Einfuhr: Wert €]]*1000/Table3567[[#This Row],[Einfuhr: Gewicht]]</f>
        <v>3339.8170539375465</v>
      </c>
      <c r="O95" s="8">
        <f>Table3567[[#This Row],[Ausfuhr: Wert $]]*1000/Table3567[[#This Row],[Ausfuhr: Gewicht]]</f>
        <v>5362.6075868664329</v>
      </c>
      <c r="P95" s="8">
        <f>Table3567[[#This Row],[Einfuhr: Wert $]]*1000/Table3567[[#This Row],[Einfuhr: Gewicht]]</f>
        <v>3880.7696351592895</v>
      </c>
    </row>
    <row r="96" spans="2:16" x14ac:dyDescent="0.25">
      <c r="B96">
        <f>(Table3567[[#This Row],[Jahr]]-$C$8)*12+Table3567[[#This Row],[Month nr]]</f>
        <v>86</v>
      </c>
      <c r="C96">
        <v>2015</v>
      </c>
      <c r="D96">
        <v>2</v>
      </c>
      <c r="E96" t="s">
        <v>14</v>
      </c>
      <c r="F96" t="str">
        <f>_xlfn.CONCAT(Table3567[[#This Row],[Monat]]," ",Table3567[[#This Row],[Jahr]])</f>
        <v>Februar 2015</v>
      </c>
      <c r="G96">
        <v>483.90000000000003</v>
      </c>
      <c r="H96">
        <v>1568</v>
      </c>
      <c r="I96">
        <v>1778</v>
      </c>
      <c r="J96">
        <v>3239</v>
      </c>
      <c r="K96">
        <v>9973</v>
      </c>
      <c r="L96">
        <v>11319</v>
      </c>
      <c r="M96" s="8">
        <f>Table3567[[#This Row],[Ausfuhr: Wert €]]*1000/Table3567[[#This Row],[Ausfuhr: Gewicht]]</f>
        <v>3240.338912998553</v>
      </c>
      <c r="N96" s="8">
        <f>Table3567[[#This Row],[Einfuhr: Wert €]]*1000/Table3567[[#This Row],[Einfuhr: Gewicht]]</f>
        <v>3079.0367397344858</v>
      </c>
      <c r="O96" s="8">
        <f>Table3567[[#This Row],[Ausfuhr: Wert $]]*1000/Table3567[[#This Row],[Ausfuhr: Gewicht]]</f>
        <v>3674.3128745608592</v>
      </c>
      <c r="P96" s="8">
        <f>Table3567[[#This Row],[Einfuhr: Wert $]]*1000/Table3567[[#This Row],[Einfuhr: Gewicht]]</f>
        <v>3494.5970978697128</v>
      </c>
    </row>
    <row r="97" spans="2:16" x14ac:dyDescent="0.25">
      <c r="B97">
        <f>(Table3567[[#This Row],[Jahr]]-$C$8)*12+Table3567[[#This Row],[Month nr]]</f>
        <v>87</v>
      </c>
      <c r="C97">
        <v>2015</v>
      </c>
      <c r="D97">
        <v>3</v>
      </c>
      <c r="E97" t="s">
        <v>15</v>
      </c>
      <c r="F97" t="str">
        <f>_xlfn.CONCAT(Table3567[[#This Row],[Monat]]," ",Table3567[[#This Row],[Jahr]])</f>
        <v>März 2015</v>
      </c>
      <c r="G97">
        <v>550.80000000000007</v>
      </c>
      <c r="H97">
        <v>1497</v>
      </c>
      <c r="I97">
        <v>1622</v>
      </c>
      <c r="J97">
        <v>12756.199999999999</v>
      </c>
      <c r="K97">
        <v>32219</v>
      </c>
      <c r="L97">
        <v>34920</v>
      </c>
      <c r="M97" s="8">
        <f>Table3567[[#This Row],[Ausfuhr: Wert €]]*1000/Table3567[[#This Row],[Ausfuhr: Gewicht]]</f>
        <v>2717.8649237472764</v>
      </c>
      <c r="N97" s="8">
        <f>Table3567[[#This Row],[Einfuhr: Wert €]]*1000/Table3567[[#This Row],[Einfuhr: Gewicht]]</f>
        <v>2525.7521832520661</v>
      </c>
      <c r="O97" s="8">
        <f>Table3567[[#This Row],[Ausfuhr: Wert $]]*1000/Table3567[[#This Row],[Ausfuhr: Gewicht]]</f>
        <v>2944.8075526506896</v>
      </c>
      <c r="P97" s="8">
        <f>Table3567[[#This Row],[Einfuhr: Wert $]]*1000/Table3567[[#This Row],[Einfuhr: Gewicht]]</f>
        <v>2737.4923566579391</v>
      </c>
    </row>
    <row r="98" spans="2:16" x14ac:dyDescent="0.25">
      <c r="B98">
        <f>(Table3567[[#This Row],[Jahr]]-$C$8)*12+Table3567[[#This Row],[Month nr]]</f>
        <v>88</v>
      </c>
      <c r="C98">
        <v>2015</v>
      </c>
      <c r="D98">
        <v>4</v>
      </c>
      <c r="E98" t="s">
        <v>16</v>
      </c>
      <c r="F98" t="str">
        <f>_xlfn.CONCAT(Table3567[[#This Row],[Monat]]," ",Table3567[[#This Row],[Jahr]])</f>
        <v>April 2015</v>
      </c>
      <c r="G98" s="10">
        <v>1434.0999999999997</v>
      </c>
      <c r="H98" s="10">
        <v>2519</v>
      </c>
      <c r="I98" s="10">
        <v>2715</v>
      </c>
      <c r="J98" s="10">
        <v>37307.699999999997</v>
      </c>
      <c r="K98" s="10">
        <v>65835</v>
      </c>
      <c r="L98" s="10">
        <v>70964</v>
      </c>
      <c r="M98" s="8">
        <f>Table3567[[#This Row],[Ausfuhr: Wert €]]*1000/Table3567[[#This Row],[Ausfuhr: Gewicht]]</f>
        <v>1756.5023359598358</v>
      </c>
      <c r="N98" s="8">
        <f>Table3567[[#This Row],[Einfuhr: Wert €]]*1000/Table3567[[#This Row],[Einfuhr: Gewicht]]</f>
        <v>1764.6491206909031</v>
      </c>
      <c r="O98" s="8">
        <f>Table3567[[#This Row],[Ausfuhr: Wert $]]*1000/Table3567[[#This Row],[Ausfuhr: Gewicht]]</f>
        <v>1893.1734188689775</v>
      </c>
      <c r="P98" s="8">
        <f>Table3567[[#This Row],[Einfuhr: Wert $]]*1000/Table3567[[#This Row],[Einfuhr: Gewicht]]</f>
        <v>1902.1274428603213</v>
      </c>
    </row>
    <row r="99" spans="2:16" x14ac:dyDescent="0.25">
      <c r="B99">
        <f>(Table3567[[#This Row],[Jahr]]-$C$8)*12+Table3567[[#This Row],[Month nr]]</f>
        <v>89</v>
      </c>
      <c r="C99">
        <v>2015</v>
      </c>
      <c r="D99">
        <v>5</v>
      </c>
      <c r="E99" t="s">
        <v>20</v>
      </c>
      <c r="F99" t="str">
        <f>_xlfn.CONCAT(Table3567[[#This Row],[Monat]]," ",Table3567[[#This Row],[Jahr]])</f>
        <v>Mai 2015</v>
      </c>
      <c r="G99">
        <v>1951.6999999999996</v>
      </c>
      <c r="H99">
        <v>4476</v>
      </c>
      <c r="I99">
        <v>4991</v>
      </c>
      <c r="J99">
        <v>27042.699999999997</v>
      </c>
      <c r="K99">
        <v>52315</v>
      </c>
      <c r="L99">
        <v>58332</v>
      </c>
      <c r="M99" s="8">
        <f>Table3567[[#This Row],[Ausfuhr: Wert €]]*1000/Table3567[[#This Row],[Ausfuhr: Gewicht]]</f>
        <v>2293.3852538812321</v>
      </c>
      <c r="N99" s="8">
        <f>Table3567[[#This Row],[Einfuhr: Wert €]]*1000/Table3567[[#This Row],[Einfuhr: Gewicht]]</f>
        <v>1934.5331642180702</v>
      </c>
      <c r="O99" s="8">
        <f>Table3567[[#This Row],[Ausfuhr: Wert $]]*1000/Table3567[[#This Row],[Ausfuhr: Gewicht]]</f>
        <v>2557.2577752728398</v>
      </c>
      <c r="P99" s="8">
        <f>Table3567[[#This Row],[Einfuhr: Wert $]]*1000/Table3567[[#This Row],[Einfuhr: Gewicht]]</f>
        <v>2157.0331364841531</v>
      </c>
    </row>
    <row r="100" spans="2:16" x14ac:dyDescent="0.25">
      <c r="B100">
        <f>(Table3567[[#This Row],[Jahr]]-$C$8)*12+Table3567[[#This Row],[Month nr]]</f>
        <v>90</v>
      </c>
      <c r="C100">
        <v>2015</v>
      </c>
      <c r="D100">
        <v>6</v>
      </c>
      <c r="E100" t="s">
        <v>21</v>
      </c>
      <c r="F100" t="str">
        <f>_xlfn.CONCAT(Table3567[[#This Row],[Monat]]," ",Table3567[[#This Row],[Jahr]])</f>
        <v>Juni 2015</v>
      </c>
      <c r="G100">
        <v>4307.9000000000005</v>
      </c>
      <c r="H100">
        <v>8503</v>
      </c>
      <c r="I100">
        <v>9536</v>
      </c>
      <c r="J100">
        <v>10478</v>
      </c>
      <c r="K100">
        <v>18090</v>
      </c>
      <c r="L100">
        <v>20282</v>
      </c>
      <c r="M100" s="8">
        <f>Table3567[[#This Row],[Ausfuhr: Wert €]]*1000/Table3567[[#This Row],[Ausfuhr: Gewicht]]</f>
        <v>1973.8155481789267</v>
      </c>
      <c r="N100" s="8">
        <f>Table3567[[#This Row],[Einfuhr: Wert €]]*1000/Table3567[[#This Row],[Einfuhr: Gewicht]]</f>
        <v>1726.4745180377934</v>
      </c>
      <c r="O100" s="8">
        <f>Table3567[[#This Row],[Ausfuhr: Wert $]]*1000/Table3567[[#This Row],[Ausfuhr: Gewicht]]</f>
        <v>2213.6075582070148</v>
      </c>
      <c r="P100" s="8">
        <f>Table3567[[#This Row],[Einfuhr: Wert $]]*1000/Table3567[[#This Row],[Einfuhr: Gewicht]]</f>
        <v>1935.6747470891391</v>
      </c>
    </row>
    <row r="101" spans="2:16" x14ac:dyDescent="0.25">
      <c r="B101">
        <f>(Table3567[[#This Row],[Jahr]]-$C$8)*12+Table3567[[#This Row],[Month nr]]</f>
        <v>91</v>
      </c>
      <c r="C101">
        <v>2015</v>
      </c>
      <c r="D101">
        <v>7</v>
      </c>
      <c r="E101" t="s">
        <v>22</v>
      </c>
      <c r="F101" t="str">
        <f>_xlfn.CONCAT(Table3567[[#This Row],[Monat]]," ",Table3567[[#This Row],[Jahr]])</f>
        <v>Juli 2015</v>
      </c>
      <c r="G101">
        <v>4772.2</v>
      </c>
      <c r="H101">
        <v>8998</v>
      </c>
      <c r="I101">
        <v>9896</v>
      </c>
      <c r="J101">
        <v>2140.9</v>
      </c>
      <c r="K101">
        <v>3845</v>
      </c>
      <c r="L101">
        <v>4228</v>
      </c>
      <c r="M101" s="8">
        <f>Table3567[[#This Row],[Ausfuhr: Wert €]]*1000/Table3567[[#This Row],[Ausfuhr: Gewicht]]</f>
        <v>1885.5035413436151</v>
      </c>
      <c r="N101" s="8">
        <f>Table3567[[#This Row],[Einfuhr: Wert €]]*1000/Table3567[[#This Row],[Einfuhr: Gewicht]]</f>
        <v>1795.973655939091</v>
      </c>
      <c r="O101" s="8">
        <f>Table3567[[#This Row],[Ausfuhr: Wert $]]*1000/Table3567[[#This Row],[Ausfuhr: Gewicht]]</f>
        <v>2073.6767109509242</v>
      </c>
      <c r="P101" s="8">
        <f>Table3567[[#This Row],[Einfuhr: Wert $]]*1000/Table3567[[#This Row],[Einfuhr: Gewicht]]</f>
        <v>1974.8703816152085</v>
      </c>
    </row>
    <row r="102" spans="2:16" x14ac:dyDescent="0.25">
      <c r="B102">
        <f>(Table3567[[#This Row],[Jahr]]-$C$8)*12+Table3567[[#This Row],[Month nr]]</f>
        <v>92</v>
      </c>
      <c r="C102">
        <v>2015</v>
      </c>
      <c r="D102">
        <v>8</v>
      </c>
      <c r="E102" t="s">
        <v>17</v>
      </c>
      <c r="F102" t="str">
        <f>_xlfn.CONCAT(Table3567[[#This Row],[Monat]]," ",Table3567[[#This Row],[Jahr]])</f>
        <v>August 2015</v>
      </c>
      <c r="G102">
        <v>2018.9</v>
      </c>
      <c r="H102">
        <v>4437</v>
      </c>
      <c r="I102">
        <v>4943</v>
      </c>
      <c r="J102">
        <v>1475.2</v>
      </c>
      <c r="K102">
        <v>3814</v>
      </c>
      <c r="L102">
        <v>4247</v>
      </c>
      <c r="M102" s="8">
        <f>Table3567[[#This Row],[Ausfuhr: Wert €]]*1000/Table3567[[#This Row],[Ausfuhr: Gewicht]]</f>
        <v>2197.7314379117338</v>
      </c>
      <c r="N102" s="8">
        <f>Table3567[[#This Row],[Einfuhr: Wert €]]*1000/Table3567[[#This Row],[Einfuhr: Gewicht]]</f>
        <v>2585.412147505423</v>
      </c>
      <c r="O102" s="8">
        <f>Table3567[[#This Row],[Ausfuhr: Wert $]]*1000/Table3567[[#This Row],[Ausfuhr: Gewicht]]</f>
        <v>2448.3629699341222</v>
      </c>
      <c r="P102" s="8">
        <f>Table3567[[#This Row],[Einfuhr: Wert $]]*1000/Table3567[[#This Row],[Einfuhr: Gewicht]]</f>
        <v>2878.9316702819956</v>
      </c>
    </row>
    <row r="103" spans="2:16" x14ac:dyDescent="0.25">
      <c r="B103">
        <f>(Table3567[[#This Row],[Jahr]]-$C$8)*12+Table3567[[#This Row],[Month nr]]</f>
        <v>93</v>
      </c>
      <c r="C103">
        <v>2015</v>
      </c>
      <c r="D103">
        <v>9</v>
      </c>
      <c r="E103" t="s">
        <v>18</v>
      </c>
      <c r="F103" t="str">
        <f>_xlfn.CONCAT(Table3567[[#This Row],[Monat]]," ",Table3567[[#This Row],[Jahr]])</f>
        <v>September 2015</v>
      </c>
      <c r="G103">
        <v>484.9</v>
      </c>
      <c r="H103">
        <v>1226</v>
      </c>
      <c r="I103">
        <v>1377</v>
      </c>
      <c r="J103">
        <v>799.2</v>
      </c>
      <c r="K103">
        <v>2051</v>
      </c>
      <c r="L103">
        <v>2301</v>
      </c>
      <c r="M103" s="8">
        <f>Table3567[[#This Row],[Ausfuhr: Wert €]]*1000/Table3567[[#This Row],[Ausfuhr: Gewicht]]</f>
        <v>2528.3563621365233</v>
      </c>
      <c r="N103" s="8">
        <f>Table3567[[#This Row],[Einfuhr: Wert €]]*1000/Table3567[[#This Row],[Einfuhr: Gewicht]]</f>
        <v>2566.3163163163163</v>
      </c>
      <c r="O103" s="8">
        <f>Table3567[[#This Row],[Ausfuhr: Wert $]]*1000/Table3567[[#This Row],[Ausfuhr: Gewicht]]</f>
        <v>2839.760775417612</v>
      </c>
      <c r="P103" s="8">
        <f>Table3567[[#This Row],[Einfuhr: Wert $]]*1000/Table3567[[#This Row],[Einfuhr: Gewicht]]</f>
        <v>2879.1291291291291</v>
      </c>
    </row>
    <row r="104" spans="2:16" x14ac:dyDescent="0.25">
      <c r="B104">
        <f>(Table3567[[#This Row],[Jahr]]-$C$8)*12+Table3567[[#This Row],[Month nr]]</f>
        <v>94</v>
      </c>
      <c r="C104">
        <v>2015</v>
      </c>
      <c r="D104">
        <v>10</v>
      </c>
      <c r="E104" t="s">
        <v>23</v>
      </c>
      <c r="F104" t="str">
        <f>_xlfn.CONCAT(Table3567[[#This Row],[Monat]]," ",Table3567[[#This Row],[Jahr]])</f>
        <v>Oktober 2015</v>
      </c>
      <c r="G104">
        <v>359.8</v>
      </c>
      <c r="H104">
        <v>1131</v>
      </c>
      <c r="I104">
        <v>1271</v>
      </c>
      <c r="J104">
        <v>1048.8</v>
      </c>
      <c r="K104">
        <v>2636</v>
      </c>
      <c r="L104">
        <v>2962</v>
      </c>
      <c r="M104" s="8">
        <f>Table3567[[#This Row],[Ausfuhr: Wert €]]*1000/Table3567[[#This Row],[Ausfuhr: Gewicht]]</f>
        <v>3143.4130072262369</v>
      </c>
      <c r="N104" s="8">
        <f>Table3567[[#This Row],[Einfuhr: Wert €]]*1000/Table3567[[#This Row],[Einfuhr: Gewicht]]</f>
        <v>2513.3485888634632</v>
      </c>
      <c r="O104" s="8">
        <f>Table3567[[#This Row],[Ausfuhr: Wert $]]*1000/Table3567[[#This Row],[Ausfuhr: Gewicht]]</f>
        <v>3532.5180655919953</v>
      </c>
      <c r="P104" s="8">
        <f>Table3567[[#This Row],[Einfuhr: Wert $]]*1000/Table3567[[#This Row],[Einfuhr: Gewicht]]</f>
        <v>2824.1800152555302</v>
      </c>
    </row>
    <row r="105" spans="2:16" x14ac:dyDescent="0.25">
      <c r="B105">
        <f>(Table3567[[#This Row],[Jahr]]-$C$8)*12+Table3567[[#This Row],[Month nr]]</f>
        <v>95</v>
      </c>
      <c r="C105">
        <v>2015</v>
      </c>
      <c r="D105">
        <v>11</v>
      </c>
      <c r="E105" t="s">
        <v>19</v>
      </c>
      <c r="F105" t="str">
        <f>_xlfn.CONCAT(Table3567[[#This Row],[Monat]]," ",Table3567[[#This Row],[Jahr]])</f>
        <v>November 2015</v>
      </c>
      <c r="G105">
        <v>115.4</v>
      </c>
      <c r="H105">
        <v>509</v>
      </c>
      <c r="I105">
        <v>546</v>
      </c>
      <c r="J105">
        <v>625.4</v>
      </c>
      <c r="K105">
        <v>2520</v>
      </c>
      <c r="L105">
        <v>2703</v>
      </c>
      <c r="M105" s="8">
        <f>Table3567[[#This Row],[Ausfuhr: Wert €]]*1000/Table3567[[#This Row],[Ausfuhr: Gewicht]]</f>
        <v>4410.7452339688043</v>
      </c>
      <c r="N105" s="8">
        <f>Table3567[[#This Row],[Einfuhr: Wert €]]*1000/Table3567[[#This Row],[Einfuhr: Gewicht]]</f>
        <v>4029.4211704509116</v>
      </c>
      <c r="O105" s="8">
        <f>Table3567[[#This Row],[Ausfuhr: Wert $]]*1000/Table3567[[#This Row],[Ausfuhr: Gewicht]]</f>
        <v>4731.3691507798958</v>
      </c>
      <c r="P105" s="8">
        <f>Table3567[[#This Row],[Einfuhr: Wert $]]*1000/Table3567[[#This Row],[Einfuhr: Gewicht]]</f>
        <v>4322.0338983050851</v>
      </c>
    </row>
    <row r="106" spans="2:16" x14ac:dyDescent="0.25">
      <c r="B106">
        <f>(Table3567[[#This Row],[Jahr]]-$C$8)*12+Table3567[[#This Row],[Month nr]]</f>
        <v>96</v>
      </c>
      <c r="C106">
        <v>2015</v>
      </c>
      <c r="D106">
        <v>12</v>
      </c>
      <c r="E106" t="s">
        <v>24</v>
      </c>
      <c r="F106" t="str">
        <f>_xlfn.CONCAT(Table3567[[#This Row],[Monat]]," ",Table3567[[#This Row],[Jahr]])</f>
        <v>Dezember 2015</v>
      </c>
      <c r="G106">
        <v>1091.2</v>
      </c>
      <c r="H106">
        <v>6074</v>
      </c>
      <c r="I106">
        <v>6608</v>
      </c>
      <c r="J106">
        <v>2058.2999999999997</v>
      </c>
      <c r="K106">
        <v>8497</v>
      </c>
      <c r="L106">
        <v>9243</v>
      </c>
      <c r="M106" s="8">
        <f>Table3567[[#This Row],[Ausfuhr: Wert €]]*1000/Table3567[[#This Row],[Ausfuhr: Gewicht]]</f>
        <v>5566.3489736070378</v>
      </c>
      <c r="N106" s="8">
        <f>Table3567[[#This Row],[Einfuhr: Wert €]]*1000/Table3567[[#This Row],[Einfuhr: Gewicht]]</f>
        <v>4128.164018850508</v>
      </c>
      <c r="O106" s="8">
        <f>Table3567[[#This Row],[Ausfuhr: Wert $]]*1000/Table3567[[#This Row],[Ausfuhr: Gewicht]]</f>
        <v>6055.7184750733131</v>
      </c>
      <c r="P106" s="8">
        <f>Table3567[[#This Row],[Einfuhr: Wert $]]*1000/Table3567[[#This Row],[Einfuhr: Gewicht]]</f>
        <v>4490.5990380411022</v>
      </c>
    </row>
    <row r="107" spans="2:16" x14ac:dyDescent="0.25">
      <c r="B107">
        <f>(Table3567[[#This Row],[Jahr]]-$C$8)*12+Table3567[[#This Row],[Month nr]]</f>
        <v>97</v>
      </c>
      <c r="C107">
        <v>2016</v>
      </c>
      <c r="D107">
        <v>1</v>
      </c>
      <c r="E107" t="s">
        <v>13</v>
      </c>
      <c r="F107" t="str">
        <f>_xlfn.CONCAT(Table3567[[#This Row],[Monat]]," ",Table3567[[#This Row],[Jahr]])</f>
        <v>Januar 2016</v>
      </c>
      <c r="G107">
        <v>473.6</v>
      </c>
      <c r="H107">
        <v>2003</v>
      </c>
      <c r="I107">
        <v>2174</v>
      </c>
      <c r="J107">
        <v>2434.4</v>
      </c>
      <c r="K107">
        <v>6782</v>
      </c>
      <c r="L107">
        <v>7367</v>
      </c>
      <c r="M107" s="8">
        <f>Table3567[[#This Row],[Ausfuhr: Wert €]]*1000/Table3567[[#This Row],[Ausfuhr: Gewicht]]</f>
        <v>4229.3074324324325</v>
      </c>
      <c r="N107" s="8">
        <f>Table3567[[#This Row],[Einfuhr: Wert €]]*1000/Table3567[[#This Row],[Einfuhr: Gewicht]]</f>
        <v>2785.9020703253368</v>
      </c>
      <c r="O107" s="8">
        <f>Table3567[[#This Row],[Ausfuhr: Wert $]]*1000/Table3567[[#This Row],[Ausfuhr: Gewicht]]</f>
        <v>4590.3716216216217</v>
      </c>
      <c r="P107" s="8">
        <f>Table3567[[#This Row],[Einfuhr: Wert $]]*1000/Table3567[[#This Row],[Einfuhr: Gewicht]]</f>
        <v>3026.2076897798224</v>
      </c>
    </row>
    <row r="108" spans="2:16" x14ac:dyDescent="0.25">
      <c r="B108">
        <f>(Table3567[[#This Row],[Jahr]]-$C$8)*12+Table3567[[#This Row],[Month nr]]</f>
        <v>98</v>
      </c>
      <c r="C108">
        <v>2016</v>
      </c>
      <c r="D108">
        <v>2</v>
      </c>
      <c r="E108" t="s">
        <v>14</v>
      </c>
      <c r="F108" t="str">
        <f>_xlfn.CONCAT(Table3567[[#This Row],[Monat]]," ",Table3567[[#This Row],[Jahr]])</f>
        <v>Februar 2016</v>
      </c>
      <c r="G108">
        <v>512</v>
      </c>
      <c r="H108">
        <v>1737</v>
      </c>
      <c r="I108">
        <v>1932</v>
      </c>
      <c r="J108">
        <v>7098.5</v>
      </c>
      <c r="K108">
        <v>16826</v>
      </c>
      <c r="L108">
        <v>18665</v>
      </c>
      <c r="M108" s="8">
        <f>Table3567[[#This Row],[Ausfuhr: Wert €]]*1000/Table3567[[#This Row],[Ausfuhr: Gewicht]]</f>
        <v>3392.578125</v>
      </c>
      <c r="N108" s="8">
        <f>Table3567[[#This Row],[Einfuhr: Wert €]]*1000/Table3567[[#This Row],[Einfuhr: Gewicht]]</f>
        <v>2370.3599351975768</v>
      </c>
      <c r="O108" s="8">
        <f>Table3567[[#This Row],[Ausfuhr: Wert $]]*1000/Table3567[[#This Row],[Ausfuhr: Gewicht]]</f>
        <v>3773.4375</v>
      </c>
      <c r="P108" s="8">
        <f>Table3567[[#This Row],[Einfuhr: Wert $]]*1000/Table3567[[#This Row],[Einfuhr: Gewicht]]</f>
        <v>2629.4287525533564</v>
      </c>
    </row>
    <row r="109" spans="2:16" x14ac:dyDescent="0.25">
      <c r="B109">
        <f>(Table3567[[#This Row],[Jahr]]-$C$8)*12+Table3567[[#This Row],[Month nr]]</f>
        <v>99</v>
      </c>
      <c r="C109">
        <v>2016</v>
      </c>
      <c r="D109">
        <v>3</v>
      </c>
      <c r="E109" t="s">
        <v>15</v>
      </c>
      <c r="F109" t="str">
        <f>_xlfn.CONCAT(Table3567[[#This Row],[Monat]]," ",Table3567[[#This Row],[Jahr]])</f>
        <v>März 2016</v>
      </c>
      <c r="G109">
        <v>884.5</v>
      </c>
      <c r="H109">
        <v>2043</v>
      </c>
      <c r="I109">
        <v>2268</v>
      </c>
      <c r="J109">
        <v>17977.900000000001</v>
      </c>
      <c r="K109">
        <v>43180</v>
      </c>
      <c r="L109">
        <v>47930</v>
      </c>
      <c r="M109" s="8">
        <f>Table3567[[#This Row],[Ausfuhr: Wert €]]*1000/Table3567[[#This Row],[Ausfuhr: Gewicht]]</f>
        <v>2309.7795364612775</v>
      </c>
      <c r="N109" s="8">
        <f>Table3567[[#This Row],[Einfuhr: Wert €]]*1000/Table3567[[#This Row],[Einfuhr: Gewicht]]</f>
        <v>2401.8378119802646</v>
      </c>
      <c r="O109" s="8">
        <f>Table3567[[#This Row],[Ausfuhr: Wert $]]*1000/Table3567[[#This Row],[Ausfuhr: Gewicht]]</f>
        <v>2564.1605426794799</v>
      </c>
      <c r="P109" s="8">
        <f>Table3567[[#This Row],[Einfuhr: Wert $]]*1000/Table3567[[#This Row],[Einfuhr: Gewicht]]</f>
        <v>2666.0510960679499</v>
      </c>
    </row>
    <row r="110" spans="2:16" x14ac:dyDescent="0.25">
      <c r="B110">
        <f>(Table3567[[#This Row],[Jahr]]-$C$8)*12+Table3567[[#This Row],[Month nr]]</f>
        <v>100</v>
      </c>
      <c r="C110">
        <v>2016</v>
      </c>
      <c r="D110">
        <v>4</v>
      </c>
      <c r="E110" t="s">
        <v>16</v>
      </c>
      <c r="F110" t="str">
        <f>_xlfn.CONCAT(Table3567[[#This Row],[Monat]]," ",Table3567[[#This Row],[Jahr]])</f>
        <v>April 2016</v>
      </c>
      <c r="G110" s="10">
        <v>1548.2999999999995</v>
      </c>
      <c r="H110" s="10">
        <v>3089</v>
      </c>
      <c r="I110" s="10">
        <v>3502</v>
      </c>
      <c r="J110" s="10">
        <v>36897.1</v>
      </c>
      <c r="K110" s="10">
        <v>67337</v>
      </c>
      <c r="L110" s="10">
        <v>76354</v>
      </c>
      <c r="M110" s="8">
        <f>Table3567[[#This Row],[Ausfuhr: Wert €]]*1000/Table3567[[#This Row],[Ausfuhr: Gewicht]]</f>
        <v>1995.0913905573861</v>
      </c>
      <c r="N110" s="8">
        <f>Table3567[[#This Row],[Einfuhr: Wert €]]*1000/Table3567[[#This Row],[Einfuhr: Gewicht]]</f>
        <v>1824.9943762517921</v>
      </c>
      <c r="O110" s="8">
        <f>Table3567[[#This Row],[Ausfuhr: Wert $]]*1000/Table3567[[#This Row],[Ausfuhr: Gewicht]]</f>
        <v>2261.8355615836731</v>
      </c>
      <c r="P110" s="8">
        <f>Table3567[[#This Row],[Einfuhr: Wert $]]*1000/Table3567[[#This Row],[Einfuhr: Gewicht]]</f>
        <v>2069.3767260841637</v>
      </c>
    </row>
    <row r="111" spans="2:16" x14ac:dyDescent="0.25">
      <c r="B111">
        <f>(Table3567[[#This Row],[Jahr]]-$C$8)*12+Table3567[[#This Row],[Month nr]]</f>
        <v>101</v>
      </c>
      <c r="C111">
        <v>2016</v>
      </c>
      <c r="D111">
        <v>5</v>
      </c>
      <c r="E111" t="s">
        <v>20</v>
      </c>
      <c r="F111" t="str">
        <f>_xlfn.CONCAT(Table3567[[#This Row],[Monat]]," ",Table3567[[#This Row],[Jahr]])</f>
        <v>Mai 2016</v>
      </c>
      <c r="G111">
        <v>2038.8999999999999</v>
      </c>
      <c r="H111">
        <v>4708</v>
      </c>
      <c r="I111">
        <v>5325</v>
      </c>
      <c r="J111">
        <v>32876.6</v>
      </c>
      <c r="K111">
        <v>65942</v>
      </c>
      <c r="L111">
        <v>74586</v>
      </c>
      <c r="M111" s="8">
        <f>Table3567[[#This Row],[Ausfuhr: Wert €]]*1000/Table3567[[#This Row],[Ausfuhr: Gewicht]]</f>
        <v>2309.0882338515867</v>
      </c>
      <c r="N111" s="8">
        <f>Table3567[[#This Row],[Einfuhr: Wert €]]*1000/Table3567[[#This Row],[Einfuhr: Gewicht]]</f>
        <v>2005.7426862875116</v>
      </c>
      <c r="O111" s="8">
        <f>Table3567[[#This Row],[Ausfuhr: Wert $]]*1000/Table3567[[#This Row],[Ausfuhr: Gewicht]]</f>
        <v>2611.7023885428421</v>
      </c>
      <c r="P111" s="8">
        <f>Table3567[[#This Row],[Einfuhr: Wert $]]*1000/Table3567[[#This Row],[Einfuhr: Gewicht]]</f>
        <v>2268.665251272942</v>
      </c>
    </row>
    <row r="112" spans="2:16" x14ac:dyDescent="0.25">
      <c r="B112">
        <f>(Table3567[[#This Row],[Jahr]]-$C$8)*12+Table3567[[#This Row],[Month nr]]</f>
        <v>102</v>
      </c>
      <c r="C112">
        <v>2016</v>
      </c>
      <c r="D112">
        <v>6</v>
      </c>
      <c r="E112" t="s">
        <v>21</v>
      </c>
      <c r="F112" t="str">
        <f>_xlfn.CONCAT(Table3567[[#This Row],[Monat]]," ",Table3567[[#This Row],[Jahr]])</f>
        <v>Juni 2016</v>
      </c>
      <c r="G112">
        <v>2949.2999999999997</v>
      </c>
      <c r="H112">
        <v>5410</v>
      </c>
      <c r="I112">
        <v>6078</v>
      </c>
      <c r="J112">
        <v>11855.4</v>
      </c>
      <c r="K112">
        <v>19851</v>
      </c>
      <c r="L112">
        <v>22292</v>
      </c>
      <c r="M112" s="8">
        <f>Table3567[[#This Row],[Ausfuhr: Wert €]]*1000/Table3567[[#This Row],[Ausfuhr: Gewicht]]</f>
        <v>1834.3335706777882</v>
      </c>
      <c r="N112" s="8">
        <f>Table3567[[#This Row],[Einfuhr: Wert €]]*1000/Table3567[[#This Row],[Einfuhr: Gewicht]]</f>
        <v>1674.4268434637381</v>
      </c>
      <c r="O112" s="8">
        <f>Table3567[[#This Row],[Ausfuhr: Wert $]]*1000/Table3567[[#This Row],[Ausfuhr: Gewicht]]</f>
        <v>2060.8279930831045</v>
      </c>
      <c r="P112" s="8">
        <f>Table3567[[#This Row],[Einfuhr: Wert $]]*1000/Table3567[[#This Row],[Einfuhr: Gewicht]]</f>
        <v>1880.3245778295122</v>
      </c>
    </row>
    <row r="113" spans="2:16" x14ac:dyDescent="0.25">
      <c r="B113">
        <f>(Table3567[[#This Row],[Jahr]]-$C$8)*12+Table3567[[#This Row],[Month nr]]</f>
        <v>103</v>
      </c>
      <c r="C113">
        <v>2016</v>
      </c>
      <c r="D113">
        <v>7</v>
      </c>
      <c r="E113" t="s">
        <v>22</v>
      </c>
      <c r="F113" t="str">
        <f>_xlfn.CONCAT(Table3567[[#This Row],[Monat]]," ",Table3567[[#This Row],[Jahr]])</f>
        <v>Juli 2016</v>
      </c>
      <c r="G113">
        <v>1963.1</v>
      </c>
      <c r="H113">
        <v>4962</v>
      </c>
      <c r="I113">
        <v>5491</v>
      </c>
      <c r="J113">
        <v>1465.8</v>
      </c>
      <c r="K113">
        <v>3954</v>
      </c>
      <c r="L113">
        <v>4377</v>
      </c>
      <c r="M113" s="8">
        <f>Table3567[[#This Row],[Ausfuhr: Wert €]]*1000/Table3567[[#This Row],[Ausfuhr: Gewicht]]</f>
        <v>2527.6348632265294</v>
      </c>
      <c r="N113" s="8">
        <f>Table3567[[#This Row],[Einfuhr: Wert €]]*1000/Table3567[[#This Row],[Einfuhr: Gewicht]]</f>
        <v>2697.5030699959066</v>
      </c>
      <c r="O113" s="8">
        <f>Table3567[[#This Row],[Ausfuhr: Wert $]]*1000/Table3567[[#This Row],[Ausfuhr: Gewicht]]</f>
        <v>2797.1066170852223</v>
      </c>
      <c r="P113" s="8">
        <f>Table3567[[#This Row],[Einfuhr: Wert $]]*1000/Table3567[[#This Row],[Einfuhr: Gewicht]]</f>
        <v>2986.0826852230866</v>
      </c>
    </row>
    <row r="114" spans="2:16" x14ac:dyDescent="0.25">
      <c r="B114">
        <f>(Table3567[[#This Row],[Jahr]]-$C$8)*12+Table3567[[#This Row],[Month nr]]</f>
        <v>104</v>
      </c>
      <c r="C114">
        <v>2016</v>
      </c>
      <c r="D114">
        <v>8</v>
      </c>
      <c r="E114" t="s">
        <v>17</v>
      </c>
      <c r="F114" t="str">
        <f>_xlfn.CONCAT(Table3567[[#This Row],[Monat]]," ",Table3567[[#This Row],[Jahr]])</f>
        <v>August 2016</v>
      </c>
      <c r="G114">
        <v>1511.3</v>
      </c>
      <c r="H114">
        <v>4601</v>
      </c>
      <c r="I114">
        <v>5157</v>
      </c>
      <c r="J114">
        <v>1319.1</v>
      </c>
      <c r="K114">
        <v>3104</v>
      </c>
      <c r="L114">
        <v>3480</v>
      </c>
      <c r="M114" s="8">
        <f>Table3567[[#This Row],[Ausfuhr: Wert €]]*1000/Table3567[[#This Row],[Ausfuhr: Gewicht]]</f>
        <v>3044.3988619069678</v>
      </c>
      <c r="N114" s="8">
        <f>Table3567[[#This Row],[Einfuhr: Wert €]]*1000/Table3567[[#This Row],[Einfuhr: Gewicht]]</f>
        <v>2353.1195512091581</v>
      </c>
      <c r="O114" s="8">
        <f>Table3567[[#This Row],[Ausfuhr: Wert $]]*1000/Table3567[[#This Row],[Ausfuhr: Gewicht]]</f>
        <v>3412.2940514788593</v>
      </c>
      <c r="P114" s="8">
        <f>Table3567[[#This Row],[Einfuhr: Wert $]]*1000/Table3567[[#This Row],[Einfuhr: Gewicht]]</f>
        <v>2638.1623834432571</v>
      </c>
    </row>
    <row r="115" spans="2:16" x14ac:dyDescent="0.25">
      <c r="B115">
        <f>(Table3567[[#This Row],[Jahr]]-$C$8)*12+Table3567[[#This Row],[Month nr]]</f>
        <v>105</v>
      </c>
      <c r="C115">
        <v>2016</v>
      </c>
      <c r="D115">
        <v>9</v>
      </c>
      <c r="E115" t="s">
        <v>18</v>
      </c>
      <c r="F115" t="str">
        <f>_xlfn.CONCAT(Table3567[[#This Row],[Monat]]," ",Table3567[[#This Row],[Jahr]])</f>
        <v>September 2016</v>
      </c>
      <c r="G115">
        <v>547.19999999999993</v>
      </c>
      <c r="H115">
        <v>1648</v>
      </c>
      <c r="I115">
        <v>1849</v>
      </c>
      <c r="J115">
        <v>939.20000000000016</v>
      </c>
      <c r="K115">
        <v>2391</v>
      </c>
      <c r="L115">
        <v>2681</v>
      </c>
      <c r="M115" s="8">
        <f>Table3567[[#This Row],[Ausfuhr: Wert €]]*1000/Table3567[[#This Row],[Ausfuhr: Gewicht]]</f>
        <v>3011.6959064327489</v>
      </c>
      <c r="N115" s="8">
        <f>Table3567[[#This Row],[Einfuhr: Wert €]]*1000/Table3567[[#This Row],[Einfuhr: Gewicht]]</f>
        <v>2545.7836456558771</v>
      </c>
      <c r="O115" s="8">
        <f>Table3567[[#This Row],[Ausfuhr: Wert $]]*1000/Table3567[[#This Row],[Ausfuhr: Gewicht]]</f>
        <v>3379.0204678362579</v>
      </c>
      <c r="P115" s="8">
        <f>Table3567[[#This Row],[Einfuhr: Wert $]]*1000/Table3567[[#This Row],[Einfuhr: Gewicht]]</f>
        <v>2854.5570698466777</v>
      </c>
    </row>
    <row r="116" spans="2:16" x14ac:dyDescent="0.25">
      <c r="B116">
        <f>(Table3567[[#This Row],[Jahr]]-$C$8)*12+Table3567[[#This Row],[Month nr]]</f>
        <v>106</v>
      </c>
      <c r="C116">
        <v>2016</v>
      </c>
      <c r="D116">
        <v>10</v>
      </c>
      <c r="E116" t="s">
        <v>23</v>
      </c>
      <c r="F116" t="str">
        <f>_xlfn.CONCAT(Table3567[[#This Row],[Monat]]," ",Table3567[[#This Row],[Jahr]])</f>
        <v>Oktober 2016</v>
      </c>
      <c r="G116">
        <v>65.500000000000014</v>
      </c>
      <c r="H116">
        <v>244</v>
      </c>
      <c r="I116">
        <v>270</v>
      </c>
      <c r="J116">
        <v>742.2</v>
      </c>
      <c r="K116">
        <v>2770</v>
      </c>
      <c r="L116">
        <v>3053</v>
      </c>
      <c r="M116" s="8">
        <f>Table3567[[#This Row],[Ausfuhr: Wert €]]*1000/Table3567[[#This Row],[Ausfuhr: Gewicht]]</f>
        <v>3725.1908396946556</v>
      </c>
      <c r="N116" s="8">
        <f>Table3567[[#This Row],[Einfuhr: Wert €]]*1000/Table3567[[#This Row],[Einfuhr: Gewicht]]</f>
        <v>3732.1476690918889</v>
      </c>
      <c r="O116" s="8">
        <f>Table3567[[#This Row],[Ausfuhr: Wert $]]*1000/Table3567[[#This Row],[Ausfuhr: Gewicht]]</f>
        <v>4122.1374045801522</v>
      </c>
      <c r="P116" s="8">
        <f>Table3567[[#This Row],[Einfuhr: Wert $]]*1000/Table3567[[#This Row],[Einfuhr: Gewicht]]</f>
        <v>4113.4465103745615</v>
      </c>
    </row>
    <row r="117" spans="2:16" x14ac:dyDescent="0.25">
      <c r="B117">
        <f>(Table3567[[#This Row],[Jahr]]-$C$8)*12+Table3567[[#This Row],[Month nr]]</f>
        <v>107</v>
      </c>
      <c r="C117">
        <v>2016</v>
      </c>
      <c r="D117">
        <v>11</v>
      </c>
      <c r="E117" t="s">
        <v>19</v>
      </c>
      <c r="F117" t="str">
        <f>_xlfn.CONCAT(Table3567[[#This Row],[Monat]]," ",Table3567[[#This Row],[Jahr]])</f>
        <v>November 2016</v>
      </c>
      <c r="G117">
        <v>257.39999999999998</v>
      </c>
      <c r="H117">
        <v>1358</v>
      </c>
      <c r="I117">
        <v>1468</v>
      </c>
      <c r="J117">
        <v>655.1</v>
      </c>
      <c r="K117">
        <v>3537</v>
      </c>
      <c r="L117">
        <v>3820</v>
      </c>
      <c r="M117" s="8">
        <f>Table3567[[#This Row],[Ausfuhr: Wert €]]*1000/Table3567[[#This Row],[Ausfuhr: Gewicht]]</f>
        <v>5275.8352758352767</v>
      </c>
      <c r="N117" s="8">
        <f>Table3567[[#This Row],[Einfuhr: Wert €]]*1000/Table3567[[#This Row],[Einfuhr: Gewicht]]</f>
        <v>5399.175698366661</v>
      </c>
      <c r="O117" s="8">
        <f>Table3567[[#This Row],[Ausfuhr: Wert $]]*1000/Table3567[[#This Row],[Ausfuhr: Gewicht]]</f>
        <v>5703.1857031857035</v>
      </c>
      <c r="P117" s="8">
        <f>Table3567[[#This Row],[Einfuhr: Wert $]]*1000/Table3567[[#This Row],[Einfuhr: Gewicht]]</f>
        <v>5831.1708136162415</v>
      </c>
    </row>
    <row r="118" spans="2:16" x14ac:dyDescent="0.25">
      <c r="B118">
        <f>(Table3567[[#This Row],[Jahr]]-$C$8)*12+Table3567[[#This Row],[Month nr]]</f>
        <v>108</v>
      </c>
      <c r="C118">
        <v>2016</v>
      </c>
      <c r="D118">
        <v>12</v>
      </c>
      <c r="E118" t="s">
        <v>24</v>
      </c>
      <c r="F118" t="str">
        <f>_xlfn.CONCAT(Table3567[[#This Row],[Monat]]," ",Table3567[[#This Row],[Jahr]])</f>
        <v>Dezember 2016</v>
      </c>
      <c r="G118">
        <v>1044.5</v>
      </c>
      <c r="H118">
        <v>6237</v>
      </c>
      <c r="I118">
        <v>6577</v>
      </c>
      <c r="J118">
        <v>1942.2000000000003</v>
      </c>
      <c r="K118">
        <v>8673</v>
      </c>
      <c r="L118">
        <v>9145</v>
      </c>
      <c r="M118" s="8">
        <f>Table3567[[#This Row],[Ausfuhr: Wert €]]*1000/Table3567[[#This Row],[Ausfuhr: Gewicht]]</f>
        <v>5971.2781235040693</v>
      </c>
      <c r="N118" s="8">
        <f>Table3567[[#This Row],[Einfuhr: Wert €]]*1000/Table3567[[#This Row],[Einfuhr: Gewicht]]</f>
        <v>4465.5545257954891</v>
      </c>
      <c r="O118" s="8">
        <f>Table3567[[#This Row],[Ausfuhr: Wert $]]*1000/Table3567[[#This Row],[Ausfuhr: Gewicht]]</f>
        <v>6296.7927237912872</v>
      </c>
      <c r="P118" s="8">
        <f>Table3567[[#This Row],[Einfuhr: Wert $]]*1000/Table3567[[#This Row],[Einfuhr: Gewicht]]</f>
        <v>4708.5779013489846</v>
      </c>
    </row>
    <row r="119" spans="2:16" x14ac:dyDescent="0.25">
      <c r="B119">
        <f>(Table3567[[#This Row],[Jahr]]-$C$8)*12+Table3567[[#This Row],[Month nr]]</f>
        <v>109</v>
      </c>
      <c r="C119">
        <v>2017</v>
      </c>
      <c r="D119">
        <v>1</v>
      </c>
      <c r="E119" t="s">
        <v>13</v>
      </c>
      <c r="F119" t="str">
        <f>_xlfn.CONCAT(Table3567[[#This Row],[Monat]]," ",Table3567[[#This Row],[Jahr]])</f>
        <v>Januar 2017</v>
      </c>
      <c r="G119">
        <v>1154.5999999999999</v>
      </c>
      <c r="H119">
        <v>4807</v>
      </c>
      <c r="I119">
        <v>5103</v>
      </c>
      <c r="J119">
        <v>2759.3</v>
      </c>
      <c r="K119">
        <v>10105</v>
      </c>
      <c r="L119">
        <v>10725</v>
      </c>
      <c r="M119" s="8">
        <f>Table3567[[#This Row],[Ausfuhr: Wert €]]*1000/Table3567[[#This Row],[Ausfuhr: Gewicht]]</f>
        <v>4163.3466135458175</v>
      </c>
      <c r="N119" s="8">
        <f>Table3567[[#This Row],[Einfuhr: Wert €]]*1000/Table3567[[#This Row],[Einfuhr: Gewicht]]</f>
        <v>3662.1606929293657</v>
      </c>
      <c r="O119" s="8">
        <f>Table3567[[#This Row],[Ausfuhr: Wert $]]*1000/Table3567[[#This Row],[Ausfuhr: Gewicht]]</f>
        <v>4419.7124545297074</v>
      </c>
      <c r="P119" s="8">
        <f>Table3567[[#This Row],[Einfuhr: Wert $]]*1000/Table3567[[#This Row],[Einfuhr: Gewicht]]</f>
        <v>3886.8553618671399</v>
      </c>
    </row>
    <row r="120" spans="2:16" x14ac:dyDescent="0.25">
      <c r="B120">
        <f>(Table3567[[#This Row],[Jahr]]-$C$8)*12+Table3567[[#This Row],[Month nr]]</f>
        <v>110</v>
      </c>
      <c r="C120">
        <v>2017</v>
      </c>
      <c r="D120">
        <v>2</v>
      </c>
      <c r="E120" t="s">
        <v>14</v>
      </c>
      <c r="F120" t="str">
        <f>_xlfn.CONCAT(Table3567[[#This Row],[Monat]]," ",Table3567[[#This Row],[Jahr]])</f>
        <v>Februar 2017</v>
      </c>
      <c r="G120">
        <v>603.79999999999995</v>
      </c>
      <c r="H120">
        <v>2164</v>
      </c>
      <c r="I120">
        <v>2303</v>
      </c>
      <c r="J120">
        <v>4670.3999999999996</v>
      </c>
      <c r="K120">
        <v>14850</v>
      </c>
      <c r="L120">
        <v>15807</v>
      </c>
      <c r="M120" s="8">
        <f>Table3567[[#This Row],[Ausfuhr: Wert €]]*1000/Table3567[[#This Row],[Ausfuhr: Gewicht]]</f>
        <v>3583.9682013911893</v>
      </c>
      <c r="N120" s="8">
        <f>Table3567[[#This Row],[Einfuhr: Wert €]]*1000/Table3567[[#This Row],[Einfuhr: Gewicht]]</f>
        <v>3179.5991778006169</v>
      </c>
      <c r="O120" s="8">
        <f>Table3567[[#This Row],[Ausfuhr: Wert $]]*1000/Table3567[[#This Row],[Ausfuhr: Gewicht]]</f>
        <v>3814.1768797615109</v>
      </c>
      <c r="P120" s="8">
        <f>Table3567[[#This Row],[Einfuhr: Wert $]]*1000/Table3567[[#This Row],[Einfuhr: Gewicht]]</f>
        <v>3384.5066803699901</v>
      </c>
    </row>
    <row r="121" spans="2:16" x14ac:dyDescent="0.25">
      <c r="B121">
        <f>(Table3567[[#This Row],[Jahr]]-$C$8)*12+Table3567[[#This Row],[Month nr]]</f>
        <v>111</v>
      </c>
      <c r="C121">
        <v>2017</v>
      </c>
      <c r="D121">
        <v>3</v>
      </c>
      <c r="E121" t="s">
        <v>15</v>
      </c>
      <c r="F121" t="str">
        <f>_xlfn.CONCAT(Table3567[[#This Row],[Monat]]," ",Table3567[[#This Row],[Jahr]])</f>
        <v>März 2017</v>
      </c>
      <c r="G121">
        <v>914.59999999999991</v>
      </c>
      <c r="H121">
        <v>2407</v>
      </c>
      <c r="I121">
        <v>2572</v>
      </c>
      <c r="J121">
        <v>17361</v>
      </c>
      <c r="K121">
        <v>41330</v>
      </c>
      <c r="L121">
        <v>44160</v>
      </c>
      <c r="M121" s="8">
        <f>Table3567[[#This Row],[Ausfuhr: Wert €]]*1000/Table3567[[#This Row],[Ausfuhr: Gewicht]]</f>
        <v>2631.7515853925215</v>
      </c>
      <c r="N121" s="8">
        <f>Table3567[[#This Row],[Einfuhr: Wert €]]*1000/Table3567[[#This Row],[Einfuhr: Gewicht]]</f>
        <v>2380.6232359887103</v>
      </c>
      <c r="O121" s="8">
        <f>Table3567[[#This Row],[Ausfuhr: Wert $]]*1000/Table3567[[#This Row],[Ausfuhr: Gewicht]]</f>
        <v>2812.1583205773018</v>
      </c>
      <c r="P121" s="8">
        <f>Table3567[[#This Row],[Einfuhr: Wert $]]*1000/Table3567[[#This Row],[Einfuhr: Gewicht]]</f>
        <v>2543.6322792465871</v>
      </c>
    </row>
    <row r="122" spans="2:16" x14ac:dyDescent="0.25">
      <c r="B122">
        <f>(Table3567[[#This Row],[Jahr]]-$C$8)*12+Table3567[[#This Row],[Month nr]]</f>
        <v>112</v>
      </c>
      <c r="C122">
        <v>2017</v>
      </c>
      <c r="D122">
        <v>4</v>
      </c>
      <c r="E122" t="s">
        <v>16</v>
      </c>
      <c r="F122" t="str">
        <f>_xlfn.CONCAT(Table3567[[#This Row],[Monat]]," ",Table3567[[#This Row],[Jahr]])</f>
        <v>April 2017</v>
      </c>
      <c r="G122">
        <v>846.40000000000009</v>
      </c>
      <c r="H122">
        <v>1890</v>
      </c>
      <c r="I122">
        <v>2027</v>
      </c>
      <c r="J122">
        <v>33274.799999999996</v>
      </c>
      <c r="K122">
        <v>63109</v>
      </c>
      <c r="L122">
        <v>67672</v>
      </c>
      <c r="M122" s="8">
        <f>Table3567[[#This Row],[Ausfuhr: Wert €]]*1000/Table3567[[#This Row],[Ausfuhr: Gewicht]]</f>
        <v>2232.9867674858219</v>
      </c>
      <c r="N122" s="8">
        <f>Table3567[[#This Row],[Einfuhr: Wert €]]*1000/Table3567[[#This Row],[Einfuhr: Gewicht]]</f>
        <v>1896.6004303557049</v>
      </c>
      <c r="O122" s="8">
        <f>Table3567[[#This Row],[Ausfuhr: Wert $]]*1000/Table3567[[#This Row],[Ausfuhr: Gewicht]]</f>
        <v>2394.8487712665406</v>
      </c>
      <c r="P122" s="8">
        <f>Table3567[[#This Row],[Einfuhr: Wert $]]*1000/Table3567[[#This Row],[Einfuhr: Gewicht]]</f>
        <v>2033.7312320434687</v>
      </c>
    </row>
    <row r="123" spans="2:16" x14ac:dyDescent="0.25">
      <c r="B123">
        <f>(Table3567[[#This Row],[Jahr]]-$C$8)*12+Table3567[[#This Row],[Month nr]]</f>
        <v>113</v>
      </c>
      <c r="C123">
        <v>2017</v>
      </c>
      <c r="D123">
        <v>5</v>
      </c>
      <c r="E123" t="s">
        <v>20</v>
      </c>
      <c r="F123" t="str">
        <f>_xlfn.CONCAT(Table3567[[#This Row],[Monat]]," ",Table3567[[#This Row],[Jahr]])</f>
        <v>Mai 2017</v>
      </c>
      <c r="G123">
        <v>1623.9999999999995</v>
      </c>
      <c r="H123">
        <v>3868</v>
      </c>
      <c r="I123">
        <v>4277</v>
      </c>
      <c r="J123">
        <v>29485.499999999996</v>
      </c>
      <c r="K123">
        <v>60904</v>
      </c>
      <c r="L123">
        <v>67350</v>
      </c>
      <c r="M123" s="8">
        <f>Table3567[[#This Row],[Ausfuhr: Wert €]]*1000/Table3567[[#This Row],[Ausfuhr: Gewicht]]</f>
        <v>2381.773399014779</v>
      </c>
      <c r="N123" s="8">
        <f>Table3567[[#This Row],[Einfuhr: Wert €]]*1000/Table3567[[#This Row],[Einfuhr: Gewicht]]</f>
        <v>2065.557646979024</v>
      </c>
      <c r="O123" s="8">
        <f>Table3567[[#This Row],[Ausfuhr: Wert $]]*1000/Table3567[[#This Row],[Ausfuhr: Gewicht]]</f>
        <v>2633.620689655173</v>
      </c>
      <c r="P123" s="8">
        <f>Table3567[[#This Row],[Einfuhr: Wert $]]*1000/Table3567[[#This Row],[Einfuhr: Gewicht]]</f>
        <v>2284.1735768428553</v>
      </c>
    </row>
    <row r="124" spans="2:16" x14ac:dyDescent="0.25">
      <c r="B124">
        <f>(Table3567[[#This Row],[Jahr]]-$C$8)*12+Table3567[[#This Row],[Month nr]]</f>
        <v>114</v>
      </c>
      <c r="C124">
        <v>2017</v>
      </c>
      <c r="D124">
        <v>6</v>
      </c>
      <c r="E124" t="s">
        <v>21</v>
      </c>
      <c r="F124" t="str">
        <f>_xlfn.CONCAT(Table3567[[#This Row],[Monat]]," ",Table3567[[#This Row],[Jahr]])</f>
        <v>Juni 2017</v>
      </c>
      <c r="G124">
        <v>2213.6999999999998</v>
      </c>
      <c r="H124">
        <v>5344</v>
      </c>
      <c r="I124">
        <v>6002</v>
      </c>
      <c r="J124">
        <v>12443.6</v>
      </c>
      <c r="K124">
        <v>25448</v>
      </c>
      <c r="L124">
        <v>28578</v>
      </c>
      <c r="M124" s="8">
        <f>Table3567[[#This Row],[Ausfuhr: Wert €]]*1000/Table3567[[#This Row],[Ausfuhr: Gewicht]]</f>
        <v>2414.0579120928764</v>
      </c>
      <c r="N124" s="8">
        <f>Table3567[[#This Row],[Einfuhr: Wert €]]*1000/Table3567[[#This Row],[Einfuhr: Gewicht]]</f>
        <v>2045.0673438554759</v>
      </c>
      <c r="O124" s="8">
        <f>Table3567[[#This Row],[Ausfuhr: Wert $]]*1000/Table3567[[#This Row],[Ausfuhr: Gewicht]]</f>
        <v>2711.2978271671864</v>
      </c>
      <c r="P124" s="8">
        <f>Table3567[[#This Row],[Einfuhr: Wert $]]*1000/Table3567[[#This Row],[Einfuhr: Gewicht]]</f>
        <v>2296.602269439712</v>
      </c>
    </row>
    <row r="125" spans="2:16" x14ac:dyDescent="0.25">
      <c r="B125">
        <f>(Table3567[[#This Row],[Jahr]]-$C$8)*12+Table3567[[#This Row],[Month nr]]</f>
        <v>115</v>
      </c>
      <c r="C125">
        <v>2017</v>
      </c>
      <c r="D125">
        <v>7</v>
      </c>
      <c r="E125" t="s">
        <v>22</v>
      </c>
      <c r="F125" t="str">
        <f>_xlfn.CONCAT(Table3567[[#This Row],[Monat]]," ",Table3567[[#This Row],[Jahr]])</f>
        <v>Juli 2017</v>
      </c>
      <c r="G125">
        <v>1396.0999999999997</v>
      </c>
      <c r="H125">
        <v>4504</v>
      </c>
      <c r="I125">
        <v>5187</v>
      </c>
      <c r="J125">
        <v>1980.0999999999997</v>
      </c>
      <c r="K125">
        <v>6083</v>
      </c>
      <c r="L125">
        <v>6999</v>
      </c>
      <c r="M125" s="8">
        <f>Table3567[[#This Row],[Ausfuhr: Wert €]]*1000/Table3567[[#This Row],[Ausfuhr: Gewicht]]</f>
        <v>3226.1299333858615</v>
      </c>
      <c r="N125" s="8">
        <f>Table3567[[#This Row],[Einfuhr: Wert €]]*1000/Table3567[[#This Row],[Einfuhr: Gewicht]]</f>
        <v>3072.0670673198329</v>
      </c>
      <c r="O125" s="8">
        <f>Table3567[[#This Row],[Ausfuhr: Wert $]]*1000/Table3567[[#This Row],[Ausfuhr: Gewicht]]</f>
        <v>3715.3499033020566</v>
      </c>
      <c r="P125" s="8">
        <f>Table3567[[#This Row],[Einfuhr: Wert $]]*1000/Table3567[[#This Row],[Einfuhr: Gewicht]]</f>
        <v>3534.6699661633256</v>
      </c>
    </row>
    <row r="126" spans="2:16" x14ac:dyDescent="0.25">
      <c r="B126">
        <f>(Table3567[[#This Row],[Jahr]]-$C$8)*12+Table3567[[#This Row],[Month nr]]</f>
        <v>116</v>
      </c>
      <c r="C126">
        <v>2017</v>
      </c>
      <c r="D126">
        <v>8</v>
      </c>
      <c r="E126" t="s">
        <v>17</v>
      </c>
      <c r="F126" t="str">
        <f>_xlfn.CONCAT(Table3567[[#This Row],[Monat]]," ",Table3567[[#This Row],[Jahr]])</f>
        <v>August 2017</v>
      </c>
      <c r="G126">
        <v>999.09999999999991</v>
      </c>
      <c r="H126">
        <v>2748</v>
      </c>
      <c r="I126">
        <v>3244</v>
      </c>
      <c r="J126">
        <v>1145.2</v>
      </c>
      <c r="K126">
        <v>2985</v>
      </c>
      <c r="L126">
        <v>3525</v>
      </c>
      <c r="M126" s="8">
        <f>Table3567[[#This Row],[Ausfuhr: Wert €]]*1000/Table3567[[#This Row],[Ausfuhr: Gewicht]]</f>
        <v>2750.4754278850969</v>
      </c>
      <c r="N126" s="8">
        <f>Table3567[[#This Row],[Einfuhr: Wert €]]*1000/Table3567[[#This Row],[Einfuhr: Gewicht]]</f>
        <v>2606.5316101990916</v>
      </c>
      <c r="O126" s="8">
        <f>Table3567[[#This Row],[Ausfuhr: Wert $]]*1000/Table3567[[#This Row],[Ausfuhr: Gewicht]]</f>
        <v>3246.9222300070064</v>
      </c>
      <c r="P126" s="8">
        <f>Table3567[[#This Row],[Einfuhr: Wert $]]*1000/Table3567[[#This Row],[Einfuhr: Gewicht]]</f>
        <v>3078.0649668180231</v>
      </c>
    </row>
    <row r="127" spans="2:16" x14ac:dyDescent="0.25">
      <c r="B127">
        <f>(Table3567[[#This Row],[Jahr]]-$C$8)*12+Table3567[[#This Row],[Month nr]]</f>
        <v>117</v>
      </c>
      <c r="C127">
        <v>2017</v>
      </c>
      <c r="D127">
        <v>9</v>
      </c>
      <c r="E127" t="s">
        <v>18</v>
      </c>
      <c r="F127" t="str">
        <f>_xlfn.CONCAT(Table3567[[#This Row],[Monat]]," ",Table3567[[#This Row],[Jahr]])</f>
        <v>September 2017</v>
      </c>
      <c r="G127">
        <v>796.3</v>
      </c>
      <c r="H127">
        <v>2255</v>
      </c>
      <c r="I127">
        <v>2689</v>
      </c>
      <c r="J127">
        <v>950.90000000000009</v>
      </c>
      <c r="K127">
        <v>2974</v>
      </c>
      <c r="L127">
        <v>3542</v>
      </c>
      <c r="M127" s="8">
        <f>Table3567[[#This Row],[Ausfuhr: Wert €]]*1000/Table3567[[#This Row],[Ausfuhr: Gewicht]]</f>
        <v>2831.8472937335177</v>
      </c>
      <c r="N127" s="8">
        <f>Table3567[[#This Row],[Einfuhr: Wert €]]*1000/Table3567[[#This Row],[Einfuhr: Gewicht]]</f>
        <v>3127.5633610263958</v>
      </c>
      <c r="O127" s="8">
        <f>Table3567[[#This Row],[Ausfuhr: Wert $]]*1000/Table3567[[#This Row],[Ausfuhr: Gewicht]]</f>
        <v>3376.8680145673743</v>
      </c>
      <c r="P127" s="8">
        <f>Table3567[[#This Row],[Einfuhr: Wert $]]*1000/Table3567[[#This Row],[Einfuhr: Gewicht]]</f>
        <v>3724.8922073824792</v>
      </c>
    </row>
    <row r="128" spans="2:16" x14ac:dyDescent="0.25">
      <c r="B128">
        <f>(Table3567[[#This Row],[Jahr]]-$C$8)*12+Table3567[[#This Row],[Month nr]]</f>
        <v>118</v>
      </c>
      <c r="C128">
        <v>2017</v>
      </c>
      <c r="D128">
        <v>10</v>
      </c>
      <c r="E128" t="s">
        <v>23</v>
      </c>
      <c r="F128" t="str">
        <f>_xlfn.CONCAT(Table3567[[#This Row],[Monat]]," ",Table3567[[#This Row],[Jahr]])</f>
        <v>Oktober 2017</v>
      </c>
      <c r="G128">
        <v>899.1</v>
      </c>
      <c r="H128">
        <v>1703</v>
      </c>
      <c r="I128">
        <v>2003</v>
      </c>
      <c r="J128">
        <v>1049.6999999999998</v>
      </c>
      <c r="K128">
        <v>3512</v>
      </c>
      <c r="L128">
        <v>4130</v>
      </c>
      <c r="M128" s="8">
        <f>Table3567[[#This Row],[Ausfuhr: Wert €]]*1000/Table3567[[#This Row],[Ausfuhr: Gewicht]]</f>
        <v>1894.1163385607829</v>
      </c>
      <c r="N128" s="8">
        <f>Table3567[[#This Row],[Einfuhr: Wert €]]*1000/Table3567[[#This Row],[Einfuhr: Gewicht]]</f>
        <v>3345.7178241402312</v>
      </c>
      <c r="O128" s="8">
        <f>Table3567[[#This Row],[Ausfuhr: Wert $]]*1000/Table3567[[#This Row],[Ausfuhr: Gewicht]]</f>
        <v>2227.78333889445</v>
      </c>
      <c r="P128" s="8">
        <f>Table3567[[#This Row],[Einfuhr: Wert $]]*1000/Table3567[[#This Row],[Einfuhr: Gewicht]]</f>
        <v>3934.4574640373448</v>
      </c>
    </row>
    <row r="129" spans="2:16" x14ac:dyDescent="0.25">
      <c r="B129">
        <f>(Table3567[[#This Row],[Jahr]]-$C$8)*12+Table3567[[#This Row],[Month nr]]</f>
        <v>119</v>
      </c>
      <c r="C129">
        <v>2017</v>
      </c>
      <c r="D129">
        <v>11</v>
      </c>
      <c r="E129" t="s">
        <v>19</v>
      </c>
      <c r="F129" t="str">
        <f>_xlfn.CONCAT(Table3567[[#This Row],[Monat]]," ",Table3567[[#This Row],[Jahr]])</f>
        <v>November 2017</v>
      </c>
      <c r="G129">
        <v>373</v>
      </c>
      <c r="H129">
        <v>1450</v>
      </c>
      <c r="I129">
        <v>1704</v>
      </c>
      <c r="J129">
        <v>1005</v>
      </c>
      <c r="K129">
        <v>4438</v>
      </c>
      <c r="L129">
        <v>5211</v>
      </c>
      <c r="M129" s="8">
        <f>Table3567[[#This Row],[Ausfuhr: Wert €]]*1000/Table3567[[#This Row],[Ausfuhr: Gewicht]]</f>
        <v>3887.3994638069703</v>
      </c>
      <c r="N129" s="8">
        <f>Table3567[[#This Row],[Einfuhr: Wert €]]*1000/Table3567[[#This Row],[Einfuhr: Gewicht]]</f>
        <v>4415.9203980099501</v>
      </c>
      <c r="O129" s="8">
        <f>Table3567[[#This Row],[Ausfuhr: Wert $]]*1000/Table3567[[#This Row],[Ausfuhr: Gewicht]]</f>
        <v>4568.3646112600536</v>
      </c>
      <c r="P129" s="8">
        <f>Table3567[[#This Row],[Einfuhr: Wert $]]*1000/Table3567[[#This Row],[Einfuhr: Gewicht]]</f>
        <v>5185.0746268656712</v>
      </c>
    </row>
    <row r="130" spans="2:16" x14ac:dyDescent="0.25">
      <c r="B130">
        <f>(Table3567[[#This Row],[Jahr]]-$C$8)*12+Table3567[[#This Row],[Month nr]]</f>
        <v>120</v>
      </c>
      <c r="C130">
        <v>2017</v>
      </c>
      <c r="D130">
        <v>12</v>
      </c>
      <c r="E130" t="s">
        <v>24</v>
      </c>
      <c r="F130" t="str">
        <f>_xlfn.CONCAT(Table3567[[#This Row],[Monat]]," ",Table3567[[#This Row],[Jahr]])</f>
        <v>Dezember 2017</v>
      </c>
      <c r="G130">
        <v>1222.8000000000002</v>
      </c>
      <c r="H130">
        <v>5570</v>
      </c>
      <c r="I130">
        <v>6596</v>
      </c>
      <c r="J130">
        <v>2281.1</v>
      </c>
      <c r="K130">
        <v>9312</v>
      </c>
      <c r="L130">
        <v>11022</v>
      </c>
      <c r="M130" s="8">
        <f>Table3567[[#This Row],[Ausfuhr: Wert €]]*1000/Table3567[[#This Row],[Ausfuhr: Gewicht]]</f>
        <v>4555.1193981027145</v>
      </c>
      <c r="N130" s="8">
        <f>Table3567[[#This Row],[Einfuhr: Wert €]]*1000/Table3567[[#This Row],[Einfuhr: Gewicht]]</f>
        <v>4082.2410240673362</v>
      </c>
      <c r="O130" s="8">
        <f>Table3567[[#This Row],[Ausfuhr: Wert $]]*1000/Table3567[[#This Row],[Ausfuhr: Gewicht]]</f>
        <v>5394.1772980045789</v>
      </c>
      <c r="P130" s="8">
        <f>Table3567[[#This Row],[Einfuhr: Wert $]]*1000/Table3567[[#This Row],[Einfuhr: Gewicht]]</f>
        <v>4831.8793564508351</v>
      </c>
    </row>
    <row r="131" spans="2:16" x14ac:dyDescent="0.25">
      <c r="B131">
        <f>(Table3567[[#This Row],[Jahr]]-$C$8)*12+Table3567[[#This Row],[Month nr]]</f>
        <v>121</v>
      </c>
      <c r="C131">
        <v>2018</v>
      </c>
      <c r="D131">
        <v>1</v>
      </c>
      <c r="E131" t="s">
        <v>13</v>
      </c>
      <c r="F131" t="str">
        <f>_xlfn.CONCAT(Table3567[[#This Row],[Monat]]," ",Table3567[[#This Row],[Jahr]])</f>
        <v>Januar 2018</v>
      </c>
      <c r="G131">
        <v>1101.9000000000001</v>
      </c>
      <c r="H131">
        <v>4521</v>
      </c>
      <c r="I131">
        <v>5512</v>
      </c>
      <c r="J131">
        <v>3395.9999999999995</v>
      </c>
      <c r="K131">
        <v>12258</v>
      </c>
      <c r="L131">
        <v>14954</v>
      </c>
      <c r="M131" s="8">
        <f>Table3567[[#This Row],[Ausfuhr: Wert €]]*1000/Table3567[[#This Row],[Ausfuhr: Gewicht]]</f>
        <v>4102.9131500136127</v>
      </c>
      <c r="N131" s="8">
        <f>Table3567[[#This Row],[Einfuhr: Wert €]]*1000/Table3567[[#This Row],[Einfuhr: Gewicht]]</f>
        <v>3609.5406360424031</v>
      </c>
      <c r="O131" s="8">
        <f>Table3567[[#This Row],[Ausfuhr: Wert $]]*1000/Table3567[[#This Row],[Ausfuhr: Gewicht]]</f>
        <v>5002.2688084218162</v>
      </c>
      <c r="P131" s="8">
        <f>Table3567[[#This Row],[Einfuhr: Wert $]]*1000/Table3567[[#This Row],[Einfuhr: Gewicht]]</f>
        <v>4403.4157832744413</v>
      </c>
    </row>
    <row r="132" spans="2:16" x14ac:dyDescent="0.25">
      <c r="B132">
        <f>(Table3567[[#This Row],[Jahr]]-$C$8)*12+Table3567[[#This Row],[Month nr]]</f>
        <v>122</v>
      </c>
      <c r="C132">
        <v>2018</v>
      </c>
      <c r="D132">
        <v>2</v>
      </c>
      <c r="E132" t="s">
        <v>14</v>
      </c>
      <c r="F132" t="str">
        <f>_xlfn.CONCAT(Table3567[[#This Row],[Monat]]," ",Table3567[[#This Row],[Jahr]])</f>
        <v>Februar 2018</v>
      </c>
      <c r="G132">
        <v>558.1</v>
      </c>
      <c r="H132">
        <v>2036</v>
      </c>
      <c r="I132">
        <v>2514</v>
      </c>
      <c r="J132">
        <v>6788.4999999999991</v>
      </c>
      <c r="K132">
        <v>20928</v>
      </c>
      <c r="L132">
        <v>25844</v>
      </c>
      <c r="M132" s="8">
        <f>Table3567[[#This Row],[Ausfuhr: Wert €]]*1000/Table3567[[#This Row],[Ausfuhr: Gewicht]]</f>
        <v>3648.0917398315714</v>
      </c>
      <c r="N132" s="8">
        <f>Table3567[[#This Row],[Einfuhr: Wert €]]*1000/Table3567[[#This Row],[Einfuhr: Gewicht]]</f>
        <v>3082.8607203358624</v>
      </c>
      <c r="O132" s="8">
        <f>Table3567[[#This Row],[Ausfuhr: Wert $]]*1000/Table3567[[#This Row],[Ausfuhr: Gewicht]]</f>
        <v>4504.5690736427159</v>
      </c>
      <c r="P132" s="8">
        <f>Table3567[[#This Row],[Einfuhr: Wert $]]*1000/Table3567[[#This Row],[Einfuhr: Gewicht]]</f>
        <v>3807.0265890844817</v>
      </c>
    </row>
    <row r="133" spans="2:16" x14ac:dyDescent="0.25">
      <c r="B133">
        <f>(Table3567[[#This Row],[Jahr]]-$C$8)*12+Table3567[[#This Row],[Month nr]]</f>
        <v>123</v>
      </c>
      <c r="C133">
        <v>2018</v>
      </c>
      <c r="D133">
        <v>3</v>
      </c>
      <c r="E133" t="s">
        <v>15</v>
      </c>
      <c r="F133" t="str">
        <f>_xlfn.CONCAT(Table3567[[#This Row],[Monat]]," ",Table3567[[#This Row],[Jahr]])</f>
        <v>März 2018</v>
      </c>
      <c r="G133" s="10">
        <v>806.30000000000007</v>
      </c>
      <c r="H133" s="10">
        <v>1869</v>
      </c>
      <c r="I133" s="10">
        <v>2306</v>
      </c>
      <c r="J133" s="10">
        <v>14523.5</v>
      </c>
      <c r="K133" s="10">
        <v>37374</v>
      </c>
      <c r="L133" s="10">
        <v>46105</v>
      </c>
      <c r="M133" s="8">
        <f>Table3567[[#This Row],[Ausfuhr: Wert €]]*1000/Table3567[[#This Row],[Ausfuhr: Gewicht]]</f>
        <v>2317.9957832072428</v>
      </c>
      <c r="N133" s="8">
        <f>Table3567[[#This Row],[Einfuhr: Wert €]]*1000/Table3567[[#This Row],[Einfuhr: Gewicht]]</f>
        <v>2573.3466450924366</v>
      </c>
      <c r="O133" s="8">
        <f>Table3567[[#This Row],[Ausfuhr: Wert $]]*1000/Table3567[[#This Row],[Ausfuhr: Gewicht]]</f>
        <v>2859.9776758030507</v>
      </c>
      <c r="P133" s="8">
        <f>Table3567[[#This Row],[Einfuhr: Wert $]]*1000/Table3567[[#This Row],[Einfuhr: Gewicht]]</f>
        <v>3174.5102764485146</v>
      </c>
    </row>
    <row r="134" spans="2:16" x14ac:dyDescent="0.25">
      <c r="B134">
        <f>(Table3567[[#This Row],[Jahr]]-$C$8)*12+Table3567[[#This Row],[Month nr]]</f>
        <v>124</v>
      </c>
      <c r="C134">
        <v>2018</v>
      </c>
      <c r="D134">
        <v>4</v>
      </c>
      <c r="E134" t="s">
        <v>16</v>
      </c>
      <c r="F134" t="str">
        <f>_xlfn.CONCAT(Table3567[[#This Row],[Monat]]," ",Table3567[[#This Row],[Jahr]])</f>
        <v>April 2018</v>
      </c>
      <c r="G134">
        <v>1203.4000000000001</v>
      </c>
      <c r="H134">
        <v>2887</v>
      </c>
      <c r="I134">
        <v>3545</v>
      </c>
      <c r="J134">
        <v>27860.199999999997</v>
      </c>
      <c r="K134">
        <v>57365</v>
      </c>
      <c r="L134">
        <v>70421</v>
      </c>
      <c r="M134" s="8">
        <f>Table3567[[#This Row],[Ausfuhr: Wert €]]*1000/Table3567[[#This Row],[Ausfuhr: Gewicht]]</f>
        <v>2399.036064483962</v>
      </c>
      <c r="N134" s="8">
        <f>Table3567[[#This Row],[Einfuhr: Wert €]]*1000/Table3567[[#This Row],[Einfuhr: Gewicht]]</f>
        <v>2059.0304448639999</v>
      </c>
      <c r="O134" s="8">
        <f>Table3567[[#This Row],[Ausfuhr: Wert $]]*1000/Table3567[[#This Row],[Ausfuhr: Gewicht]]</f>
        <v>2945.820176167525</v>
      </c>
      <c r="P134" s="8">
        <f>Table3567[[#This Row],[Einfuhr: Wert $]]*1000/Table3567[[#This Row],[Einfuhr: Gewicht]]</f>
        <v>2527.6559392969184</v>
      </c>
    </row>
    <row r="135" spans="2:16" x14ac:dyDescent="0.25">
      <c r="B135">
        <f>(Table3567[[#This Row],[Jahr]]-$C$8)*12+Table3567[[#This Row],[Month nr]]</f>
        <v>125</v>
      </c>
      <c r="C135">
        <v>2018</v>
      </c>
      <c r="D135">
        <v>5</v>
      </c>
      <c r="E135" t="s">
        <v>20</v>
      </c>
      <c r="F135" t="str">
        <f>_xlfn.CONCAT(Table3567[[#This Row],[Monat]]," ",Table3567[[#This Row],[Jahr]])</f>
        <v>Mai 2018</v>
      </c>
      <c r="G135">
        <v>1095.3999999999999</v>
      </c>
      <c r="H135">
        <v>2766</v>
      </c>
      <c r="I135">
        <v>3269</v>
      </c>
      <c r="J135">
        <v>32928.19999999999</v>
      </c>
      <c r="K135">
        <v>63094</v>
      </c>
      <c r="L135">
        <v>74528</v>
      </c>
      <c r="M135" s="8">
        <f>Table3567[[#This Row],[Ausfuhr: Wert €]]*1000/Table3567[[#This Row],[Ausfuhr: Gewicht]]</f>
        <v>2525.1049844805552</v>
      </c>
      <c r="N135" s="8">
        <f>Table3567[[#This Row],[Einfuhr: Wert €]]*1000/Table3567[[#This Row],[Einfuhr: Gewicht]]</f>
        <v>1916.1083812659065</v>
      </c>
      <c r="O135" s="8">
        <f>Table3567[[#This Row],[Ausfuhr: Wert $]]*1000/Table3567[[#This Row],[Ausfuhr: Gewicht]]</f>
        <v>2984.2979733430716</v>
      </c>
      <c r="P135" s="8">
        <f>Table3567[[#This Row],[Einfuhr: Wert $]]*1000/Table3567[[#This Row],[Einfuhr: Gewicht]]</f>
        <v>2263.3487405931701</v>
      </c>
    </row>
    <row r="136" spans="2:16" x14ac:dyDescent="0.25">
      <c r="B136">
        <f>(Table3567[[#This Row],[Jahr]]-$C$8)*12+Table3567[[#This Row],[Month nr]]</f>
        <v>126</v>
      </c>
      <c r="C136">
        <v>2018</v>
      </c>
      <c r="D136">
        <v>6</v>
      </c>
      <c r="E136" t="s">
        <v>21</v>
      </c>
      <c r="F136" t="str">
        <f>_xlfn.CONCAT(Table3567[[#This Row],[Monat]]," ",Table3567[[#This Row],[Jahr]])</f>
        <v>Juni 2018</v>
      </c>
      <c r="G136">
        <v>2299</v>
      </c>
      <c r="H136">
        <v>5070</v>
      </c>
      <c r="I136">
        <v>5917</v>
      </c>
      <c r="J136">
        <v>9243.4</v>
      </c>
      <c r="K136">
        <v>18835</v>
      </c>
      <c r="L136">
        <v>21999</v>
      </c>
      <c r="M136" s="8">
        <f>Table3567[[#This Row],[Ausfuhr: Wert €]]*1000/Table3567[[#This Row],[Ausfuhr: Gewicht]]</f>
        <v>2205.3066550674207</v>
      </c>
      <c r="N136" s="8">
        <f>Table3567[[#This Row],[Einfuhr: Wert €]]*1000/Table3567[[#This Row],[Einfuhr: Gewicht]]</f>
        <v>2037.6701213839065</v>
      </c>
      <c r="O136" s="8">
        <f>Table3567[[#This Row],[Ausfuhr: Wert $]]*1000/Table3567[[#This Row],[Ausfuhr: Gewicht]]</f>
        <v>2573.7277076989994</v>
      </c>
      <c r="P136" s="8">
        <f>Table3567[[#This Row],[Einfuhr: Wert $]]*1000/Table3567[[#This Row],[Einfuhr: Gewicht]]</f>
        <v>2379.968409892464</v>
      </c>
    </row>
    <row r="137" spans="2:16" x14ac:dyDescent="0.25">
      <c r="B137">
        <f>(Table3567[[#This Row],[Jahr]]-$C$8)*12+Table3567[[#This Row],[Month nr]]</f>
        <v>127</v>
      </c>
      <c r="C137">
        <v>2018</v>
      </c>
      <c r="D137">
        <v>7</v>
      </c>
      <c r="E137" t="s">
        <v>22</v>
      </c>
      <c r="F137" t="str">
        <f>_xlfn.CONCAT(Table3567[[#This Row],[Monat]]," ",Table3567[[#This Row],[Jahr]])</f>
        <v>Juli 2018</v>
      </c>
      <c r="G137">
        <v>1883.5</v>
      </c>
      <c r="H137">
        <v>4132</v>
      </c>
      <c r="I137">
        <v>4831</v>
      </c>
      <c r="J137">
        <v>2169.5</v>
      </c>
      <c r="K137">
        <v>4984</v>
      </c>
      <c r="L137">
        <v>5824</v>
      </c>
      <c r="M137" s="8">
        <f>Table3567[[#This Row],[Ausfuhr: Wert €]]*1000/Table3567[[#This Row],[Ausfuhr: Gewicht]]</f>
        <v>2193.7881603397927</v>
      </c>
      <c r="N137" s="8">
        <f>Table3567[[#This Row],[Einfuhr: Wert €]]*1000/Table3567[[#This Row],[Einfuhr: Gewicht]]</f>
        <v>2297.3035261581008</v>
      </c>
      <c r="O137" s="8">
        <f>Table3567[[#This Row],[Ausfuhr: Wert $]]*1000/Table3567[[#This Row],[Ausfuhr: Gewicht]]</f>
        <v>2564.9057605521634</v>
      </c>
      <c r="P137" s="8">
        <f>Table3567[[#This Row],[Einfuhr: Wert $]]*1000/Table3567[[#This Row],[Einfuhr: Gewicht]]</f>
        <v>2684.4895137128369</v>
      </c>
    </row>
    <row r="138" spans="2:16" x14ac:dyDescent="0.25">
      <c r="B138">
        <f>(Table3567[[#This Row],[Jahr]]-$C$8)*12+Table3567[[#This Row],[Month nr]]</f>
        <v>128</v>
      </c>
      <c r="C138">
        <v>2018</v>
      </c>
      <c r="D138">
        <v>8</v>
      </c>
      <c r="E138" t="s">
        <v>17</v>
      </c>
      <c r="F138" t="str">
        <f>_xlfn.CONCAT(Table3567[[#This Row],[Monat]]," ",Table3567[[#This Row],[Jahr]])</f>
        <v>August 2018</v>
      </c>
      <c r="G138">
        <v>714.39999999999986</v>
      </c>
      <c r="H138">
        <v>2029</v>
      </c>
      <c r="I138">
        <v>2340</v>
      </c>
      <c r="J138">
        <v>1311.7</v>
      </c>
      <c r="K138">
        <v>3228</v>
      </c>
      <c r="L138">
        <v>3729</v>
      </c>
      <c r="M138" s="8">
        <f>Table3567[[#This Row],[Ausfuhr: Wert €]]*1000/Table3567[[#This Row],[Ausfuhr: Gewicht]]</f>
        <v>2840.1455767077273</v>
      </c>
      <c r="N138" s="8">
        <f>Table3567[[#This Row],[Einfuhr: Wert €]]*1000/Table3567[[#This Row],[Einfuhr: Gewicht]]</f>
        <v>2460.9285659830753</v>
      </c>
      <c r="O138" s="8">
        <f>Table3567[[#This Row],[Ausfuhr: Wert $]]*1000/Table3567[[#This Row],[Ausfuhr: Gewicht]]</f>
        <v>3275.4759238521842</v>
      </c>
      <c r="P138" s="8">
        <f>Table3567[[#This Row],[Einfuhr: Wert $]]*1000/Table3567[[#This Row],[Einfuhr: Gewicht]]</f>
        <v>2842.8756575436455</v>
      </c>
    </row>
    <row r="139" spans="2:16" x14ac:dyDescent="0.25">
      <c r="B139">
        <f>(Table3567[[#This Row],[Jahr]]-$C$8)*12+Table3567[[#This Row],[Month nr]]</f>
        <v>129</v>
      </c>
      <c r="C139">
        <v>2018</v>
      </c>
      <c r="D139">
        <v>9</v>
      </c>
      <c r="E139" t="s">
        <v>18</v>
      </c>
      <c r="F139" t="str">
        <f>_xlfn.CONCAT(Table3567[[#This Row],[Monat]]," ",Table3567[[#This Row],[Jahr]])</f>
        <v>September 2018</v>
      </c>
      <c r="G139">
        <v>446.7000000000001</v>
      </c>
      <c r="H139">
        <v>1259</v>
      </c>
      <c r="I139">
        <v>1464</v>
      </c>
      <c r="J139">
        <v>1020.8000000000001</v>
      </c>
      <c r="K139">
        <v>3505</v>
      </c>
      <c r="L139">
        <v>4086</v>
      </c>
      <c r="M139" s="8">
        <f>Table3567[[#This Row],[Ausfuhr: Wert €]]*1000/Table3567[[#This Row],[Ausfuhr: Gewicht]]</f>
        <v>2818.4463845981636</v>
      </c>
      <c r="N139" s="8">
        <f>Table3567[[#This Row],[Einfuhr: Wert €]]*1000/Table3567[[#This Row],[Einfuhr: Gewicht]]</f>
        <v>3433.5815047021943</v>
      </c>
      <c r="O139" s="8">
        <f>Table3567[[#This Row],[Ausfuhr: Wert $]]*1000/Table3567[[#This Row],[Ausfuhr: Gewicht]]</f>
        <v>3277.3673606447273</v>
      </c>
      <c r="P139" s="8">
        <f>Table3567[[#This Row],[Einfuhr: Wert $]]*1000/Table3567[[#This Row],[Einfuhr: Gewicht]]</f>
        <v>4002.7429467084635</v>
      </c>
    </row>
    <row r="140" spans="2:16" x14ac:dyDescent="0.25">
      <c r="B140">
        <f>(Table3567[[#This Row],[Jahr]]-$C$8)*12+Table3567[[#This Row],[Month nr]]</f>
        <v>130</v>
      </c>
      <c r="C140">
        <v>2018</v>
      </c>
      <c r="D140">
        <v>10</v>
      </c>
      <c r="E140" t="s">
        <v>23</v>
      </c>
      <c r="F140" t="str">
        <f>_xlfn.CONCAT(Table3567[[#This Row],[Monat]]," ",Table3567[[#This Row],[Jahr]])</f>
        <v>Oktober 2018</v>
      </c>
      <c r="G140">
        <v>92.3</v>
      </c>
      <c r="H140">
        <v>355</v>
      </c>
      <c r="I140">
        <v>406</v>
      </c>
      <c r="J140">
        <v>965.2</v>
      </c>
      <c r="K140">
        <v>2914</v>
      </c>
      <c r="L140">
        <v>3346</v>
      </c>
      <c r="M140" s="8">
        <f>Table3567[[#This Row],[Ausfuhr: Wert €]]*1000/Table3567[[#This Row],[Ausfuhr: Gewicht]]</f>
        <v>3846.1538461538462</v>
      </c>
      <c r="N140" s="8">
        <f>Table3567[[#This Row],[Einfuhr: Wert €]]*1000/Table3567[[#This Row],[Einfuhr: Gewicht]]</f>
        <v>3019.0634065478657</v>
      </c>
      <c r="O140" s="8">
        <f>Table3567[[#This Row],[Ausfuhr: Wert $]]*1000/Table3567[[#This Row],[Ausfuhr: Gewicht]]</f>
        <v>4398.6998916576385</v>
      </c>
      <c r="P140" s="8">
        <f>Table3567[[#This Row],[Einfuhr: Wert $]]*1000/Table3567[[#This Row],[Einfuhr: Gewicht]]</f>
        <v>3466.6390385412346</v>
      </c>
    </row>
    <row r="141" spans="2:16" x14ac:dyDescent="0.25">
      <c r="B141">
        <f>(Table3567[[#This Row],[Jahr]]-$C$8)*12+Table3567[[#This Row],[Month nr]]</f>
        <v>131</v>
      </c>
      <c r="C141">
        <v>2018</v>
      </c>
      <c r="D141">
        <v>11</v>
      </c>
      <c r="E141" t="s">
        <v>19</v>
      </c>
      <c r="F141" t="str">
        <f>_xlfn.CONCAT(Table3567[[#This Row],[Monat]]," ",Table3567[[#This Row],[Jahr]])</f>
        <v>November 2018</v>
      </c>
      <c r="G141">
        <v>266.2</v>
      </c>
      <c r="H141">
        <v>1428</v>
      </c>
      <c r="I141">
        <v>1622</v>
      </c>
      <c r="J141">
        <v>1119.3000000000002</v>
      </c>
      <c r="K141">
        <v>4439</v>
      </c>
      <c r="L141">
        <v>5045</v>
      </c>
      <c r="M141" s="8">
        <f>Table3567[[#This Row],[Ausfuhr: Wert €]]*1000/Table3567[[#This Row],[Ausfuhr: Gewicht]]</f>
        <v>5364.3876784372651</v>
      </c>
      <c r="N141" s="8">
        <f>Table3567[[#This Row],[Einfuhr: Wert €]]*1000/Table3567[[#This Row],[Einfuhr: Gewicht]]</f>
        <v>3965.871526847136</v>
      </c>
      <c r="O141" s="8">
        <f>Table3567[[#This Row],[Ausfuhr: Wert $]]*1000/Table3567[[#This Row],[Ausfuhr: Gewicht]]</f>
        <v>6093.1630353117962</v>
      </c>
      <c r="P141" s="8">
        <f>Table3567[[#This Row],[Einfuhr: Wert $]]*1000/Table3567[[#This Row],[Einfuhr: Gewicht]]</f>
        <v>4507.2813365496286</v>
      </c>
    </row>
    <row r="142" spans="2:16" x14ac:dyDescent="0.25">
      <c r="B142">
        <f>(Table3567[[#This Row],[Jahr]]-$C$8)*12+Table3567[[#This Row],[Month nr]]</f>
        <v>132</v>
      </c>
      <c r="C142">
        <v>2018</v>
      </c>
      <c r="D142">
        <v>12</v>
      </c>
      <c r="E142" t="s">
        <v>24</v>
      </c>
      <c r="F142" t="str">
        <f>_xlfn.CONCAT(Table3567[[#This Row],[Monat]]," ",Table3567[[#This Row],[Jahr]])</f>
        <v>Dezember 2018</v>
      </c>
      <c r="G142">
        <v>1552.4</v>
      </c>
      <c r="H142">
        <v>8085</v>
      </c>
      <c r="I142">
        <v>9201</v>
      </c>
      <c r="J142">
        <v>2400.5</v>
      </c>
      <c r="K142">
        <v>10524</v>
      </c>
      <c r="L142">
        <v>11984</v>
      </c>
      <c r="M142" s="8">
        <f>Table3567[[#This Row],[Ausfuhr: Wert €]]*1000/Table3567[[#This Row],[Ausfuhr: Gewicht]]</f>
        <v>5208.0649317186289</v>
      </c>
      <c r="N142" s="8">
        <f>Table3567[[#This Row],[Einfuhr: Wert €]]*1000/Table3567[[#This Row],[Einfuhr: Gewicht]]</f>
        <v>4384.0866486148716</v>
      </c>
      <c r="O142" s="8">
        <f>Table3567[[#This Row],[Ausfuhr: Wert $]]*1000/Table3567[[#This Row],[Ausfuhr: Gewicht]]</f>
        <v>5926.9518165421277</v>
      </c>
      <c r="P142" s="8">
        <f>Table3567[[#This Row],[Einfuhr: Wert $]]*1000/Table3567[[#This Row],[Einfuhr: Gewicht]]</f>
        <v>4992.2932722349515</v>
      </c>
    </row>
    <row r="143" spans="2:16" x14ac:dyDescent="0.25">
      <c r="B143">
        <f>(Table3567[[#This Row],[Jahr]]-$C$8)*12+Table3567[[#This Row],[Month nr]]</f>
        <v>133</v>
      </c>
      <c r="C143">
        <v>2019</v>
      </c>
      <c r="D143">
        <v>1</v>
      </c>
      <c r="E143" t="s">
        <v>13</v>
      </c>
      <c r="F143" t="str">
        <f>_xlfn.CONCAT(Table3567[[#This Row],[Monat]]," ",Table3567[[#This Row],[Jahr]])</f>
        <v>Januar 2019</v>
      </c>
      <c r="G143">
        <v>1416.3000000000002</v>
      </c>
      <c r="H143">
        <v>5833</v>
      </c>
      <c r="I143">
        <v>6659</v>
      </c>
      <c r="J143">
        <v>3422.7</v>
      </c>
      <c r="K143">
        <v>12817</v>
      </c>
      <c r="L143">
        <v>14632</v>
      </c>
      <c r="M143" s="8">
        <f>Table3567[[#This Row],[Ausfuhr: Wert €]]*1000/Table3567[[#This Row],[Ausfuhr: Gewicht]]</f>
        <v>4118.4777236461196</v>
      </c>
      <c r="N143" s="8">
        <f>Table3567[[#This Row],[Einfuhr: Wert €]]*1000/Table3567[[#This Row],[Einfuhr: Gewicht]]</f>
        <v>3744.7044730768107</v>
      </c>
      <c r="O143" s="8">
        <f>Table3567[[#This Row],[Ausfuhr: Wert $]]*1000/Table3567[[#This Row],[Ausfuhr: Gewicht]]</f>
        <v>4701.6874955870926</v>
      </c>
      <c r="P143" s="8">
        <f>Table3567[[#This Row],[Einfuhr: Wert $]]*1000/Table3567[[#This Row],[Einfuhr: Gewicht]]</f>
        <v>4274.9875829023877</v>
      </c>
    </row>
    <row r="144" spans="2:16" x14ac:dyDescent="0.25">
      <c r="B144">
        <f>(Table3567[[#This Row],[Jahr]]-$C$8)*12+Table3567[[#This Row],[Month nr]]</f>
        <v>134</v>
      </c>
      <c r="C144">
        <v>2019</v>
      </c>
      <c r="D144">
        <v>2</v>
      </c>
      <c r="E144" t="s">
        <v>14</v>
      </c>
      <c r="F144" t="str">
        <f>_xlfn.CONCAT(Table3567[[#This Row],[Monat]]," ",Table3567[[#This Row],[Jahr]])</f>
        <v>Februar 2019</v>
      </c>
      <c r="G144">
        <v>598.90000000000009</v>
      </c>
      <c r="H144">
        <v>1861</v>
      </c>
      <c r="I144">
        <v>2111</v>
      </c>
      <c r="J144">
        <v>8944</v>
      </c>
      <c r="K144">
        <v>25880</v>
      </c>
      <c r="L144">
        <v>29375</v>
      </c>
      <c r="M144" s="8">
        <f>Table3567[[#This Row],[Ausfuhr: Wert €]]*1000/Table3567[[#This Row],[Ausfuhr: Gewicht]]</f>
        <v>3107.3634997495406</v>
      </c>
      <c r="N144" s="8">
        <f>Table3567[[#This Row],[Einfuhr: Wert €]]*1000/Table3567[[#This Row],[Einfuhr: Gewicht]]</f>
        <v>2893.5599284436494</v>
      </c>
      <c r="O144" s="8">
        <f>Table3567[[#This Row],[Ausfuhr: Wert $]]*1000/Table3567[[#This Row],[Ausfuhr: Gewicht]]</f>
        <v>3524.7954583402902</v>
      </c>
      <c r="P144" s="8">
        <f>Table3567[[#This Row],[Einfuhr: Wert $]]*1000/Table3567[[#This Row],[Einfuhr: Gewicht]]</f>
        <v>3284.3246869409659</v>
      </c>
    </row>
    <row r="145" spans="2:16" x14ac:dyDescent="0.25">
      <c r="B145">
        <f>(Table3567[[#This Row],[Jahr]]-$C$8)*12+Table3567[[#This Row],[Month nr]]</f>
        <v>135</v>
      </c>
      <c r="C145">
        <v>2019</v>
      </c>
      <c r="D145">
        <v>3</v>
      </c>
      <c r="E145" t="s">
        <v>15</v>
      </c>
      <c r="F145" t="str">
        <f>_xlfn.CONCAT(Table3567[[#This Row],[Monat]]," ",Table3567[[#This Row],[Jahr]])</f>
        <v>März 2019</v>
      </c>
      <c r="G145" s="10">
        <v>856.89999999999986</v>
      </c>
      <c r="H145" s="10">
        <v>2196</v>
      </c>
      <c r="I145" s="10">
        <v>2485</v>
      </c>
      <c r="J145" s="10">
        <v>19434.900000000001</v>
      </c>
      <c r="K145" s="10">
        <v>42394</v>
      </c>
      <c r="L145" s="10">
        <v>47914</v>
      </c>
      <c r="M145" s="8">
        <f>Table3567[[#This Row],[Ausfuhr: Wert €]]*1000/Table3567[[#This Row],[Ausfuhr: Gewicht]]</f>
        <v>2562.7261057299575</v>
      </c>
      <c r="N145" s="8">
        <f>Table3567[[#This Row],[Einfuhr: Wert €]]*1000/Table3567[[#This Row],[Einfuhr: Gewicht]]</f>
        <v>2181.333580311707</v>
      </c>
      <c r="O145" s="8">
        <f>Table3567[[#This Row],[Ausfuhr: Wert $]]*1000/Table3567[[#This Row],[Ausfuhr: Gewicht]]</f>
        <v>2899.9883300268416</v>
      </c>
      <c r="P145" s="8">
        <f>Table3567[[#This Row],[Einfuhr: Wert $]]*1000/Table3567[[#This Row],[Einfuhr: Gewicht]]</f>
        <v>2465.3587103612572</v>
      </c>
    </row>
    <row r="146" spans="2:16" x14ac:dyDescent="0.25">
      <c r="B146">
        <f>(Table3567[[#This Row],[Jahr]]-$C$8)*12+Table3567[[#This Row],[Month nr]]</f>
        <v>136</v>
      </c>
      <c r="C146">
        <v>2019</v>
      </c>
      <c r="D146">
        <v>4</v>
      </c>
      <c r="E146" t="s">
        <v>16</v>
      </c>
      <c r="F146" t="str">
        <f>_xlfn.CONCAT(Table3567[[#This Row],[Monat]]," ",Table3567[[#This Row],[Jahr]])</f>
        <v>April 2019</v>
      </c>
      <c r="G146">
        <v>1274.1000000000004</v>
      </c>
      <c r="H146">
        <v>2940</v>
      </c>
      <c r="I146">
        <v>3304</v>
      </c>
      <c r="J146">
        <v>43542.5</v>
      </c>
      <c r="K146">
        <v>83603</v>
      </c>
      <c r="L146">
        <v>93950</v>
      </c>
      <c r="M146" s="8">
        <f>Table3567[[#This Row],[Ausfuhr: Wert €]]*1000/Table3567[[#This Row],[Ausfuhr: Gewicht]]</f>
        <v>2307.5111843654336</v>
      </c>
      <c r="N146" s="8">
        <f>Table3567[[#This Row],[Einfuhr: Wert €]]*1000/Table3567[[#This Row],[Einfuhr: Gewicht]]</f>
        <v>1920.0321524946892</v>
      </c>
      <c r="O146" s="8">
        <f>Table3567[[#This Row],[Ausfuhr: Wert $]]*1000/Table3567[[#This Row],[Ausfuhr: Gewicht]]</f>
        <v>2593.2030452868685</v>
      </c>
      <c r="P146" s="8">
        <f>Table3567[[#This Row],[Einfuhr: Wert $]]*1000/Table3567[[#This Row],[Einfuhr: Gewicht]]</f>
        <v>2157.6620543147501</v>
      </c>
    </row>
    <row r="147" spans="2:16" x14ac:dyDescent="0.25">
      <c r="B147">
        <f>(Table3567[[#This Row],[Jahr]]-$C$8)*12+Table3567[[#This Row],[Month nr]]</f>
        <v>137</v>
      </c>
      <c r="C147">
        <v>2019</v>
      </c>
      <c r="D147">
        <v>5</v>
      </c>
      <c r="E147" t="s">
        <v>20</v>
      </c>
      <c r="F147" t="str">
        <f>_xlfn.CONCAT(Table3567[[#This Row],[Monat]]," ",Table3567[[#This Row],[Jahr]])</f>
        <v>Mai 2019</v>
      </c>
      <c r="G147">
        <v>896.80000000000007</v>
      </c>
      <c r="H147">
        <v>2463</v>
      </c>
      <c r="I147">
        <v>2756</v>
      </c>
      <c r="J147">
        <v>31445.7</v>
      </c>
      <c r="K147">
        <v>53618</v>
      </c>
      <c r="L147">
        <v>59973</v>
      </c>
      <c r="M147" s="8">
        <f>Table3567[[#This Row],[Ausfuhr: Wert €]]*1000/Table3567[[#This Row],[Ausfuhr: Gewicht]]</f>
        <v>2746.4317573595004</v>
      </c>
      <c r="N147" s="8">
        <f>Table3567[[#This Row],[Einfuhr: Wert €]]*1000/Table3567[[#This Row],[Einfuhr: Gewicht]]</f>
        <v>1705.0979943203681</v>
      </c>
      <c r="O147" s="8">
        <f>Table3567[[#This Row],[Ausfuhr: Wert $]]*1000/Table3567[[#This Row],[Ausfuhr: Gewicht]]</f>
        <v>3073.1489741302407</v>
      </c>
      <c r="P147" s="8">
        <f>Table3567[[#This Row],[Einfuhr: Wert $]]*1000/Table3567[[#This Row],[Einfuhr: Gewicht]]</f>
        <v>1907.1923983247311</v>
      </c>
    </row>
    <row r="148" spans="2:16" x14ac:dyDescent="0.25">
      <c r="B148">
        <f>(Table3567[[#This Row],[Jahr]]-$C$8)*12+Table3567[[#This Row],[Month nr]]</f>
        <v>138</v>
      </c>
      <c r="C148">
        <v>2019</v>
      </c>
      <c r="D148">
        <v>6</v>
      </c>
      <c r="E148" t="s">
        <v>21</v>
      </c>
      <c r="F148" t="str">
        <f>_xlfn.CONCAT(Table3567[[#This Row],[Monat]]," ",Table3567[[#This Row],[Jahr]])</f>
        <v>Juni 2019</v>
      </c>
      <c r="G148">
        <v>2300</v>
      </c>
      <c r="H148">
        <v>5991</v>
      </c>
      <c r="I148">
        <v>6766</v>
      </c>
      <c r="J148">
        <v>10438.599999999999</v>
      </c>
      <c r="K148">
        <v>16613</v>
      </c>
      <c r="L148">
        <v>18760</v>
      </c>
      <c r="M148" s="8">
        <f>Table3567[[#This Row],[Ausfuhr: Wert €]]*1000/Table3567[[#This Row],[Ausfuhr: Gewicht]]</f>
        <v>2604.782608695652</v>
      </c>
      <c r="N148" s="8">
        <f>Table3567[[#This Row],[Einfuhr: Wert €]]*1000/Table3567[[#This Row],[Einfuhr: Gewicht]]</f>
        <v>1591.4969440346408</v>
      </c>
      <c r="O148" s="8">
        <f>Table3567[[#This Row],[Ausfuhr: Wert $]]*1000/Table3567[[#This Row],[Ausfuhr: Gewicht]]</f>
        <v>2941.7391304347825</v>
      </c>
      <c r="P148" s="8">
        <f>Table3567[[#This Row],[Einfuhr: Wert $]]*1000/Table3567[[#This Row],[Einfuhr: Gewicht]]</f>
        <v>1797.1758664955073</v>
      </c>
    </row>
    <row r="149" spans="2:16" x14ac:dyDescent="0.25">
      <c r="B149">
        <f>(Table3567[[#This Row],[Jahr]]-$C$8)*12+Table3567[[#This Row],[Month nr]]</f>
        <v>139</v>
      </c>
      <c r="C149">
        <v>2019</v>
      </c>
      <c r="D149">
        <v>7</v>
      </c>
      <c r="E149" t="s">
        <v>22</v>
      </c>
      <c r="F149" t="str">
        <f>_xlfn.CONCAT(Table3567[[#This Row],[Monat]]," ",Table3567[[#This Row],[Jahr]])</f>
        <v>Juli 2019</v>
      </c>
      <c r="G149">
        <v>1141</v>
      </c>
      <c r="H149">
        <v>3438</v>
      </c>
      <c r="I149">
        <v>3855</v>
      </c>
      <c r="J149">
        <v>3147.6999999999985</v>
      </c>
      <c r="K149">
        <v>7186</v>
      </c>
      <c r="L149">
        <v>8063</v>
      </c>
      <c r="M149" s="8">
        <f>Table3567[[#This Row],[Ausfuhr: Wert €]]*1000/Table3567[[#This Row],[Ausfuhr: Gewicht]]</f>
        <v>3013.1463628396145</v>
      </c>
      <c r="N149" s="8">
        <f>Table3567[[#This Row],[Einfuhr: Wert €]]*1000/Table3567[[#This Row],[Einfuhr: Gewicht]]</f>
        <v>2282.936747466405</v>
      </c>
      <c r="O149" s="8">
        <f>Table3567[[#This Row],[Ausfuhr: Wert $]]*1000/Table3567[[#This Row],[Ausfuhr: Gewicht]]</f>
        <v>3378.6152497808939</v>
      </c>
      <c r="P149" s="8">
        <f>Table3567[[#This Row],[Einfuhr: Wert $]]*1000/Table3567[[#This Row],[Einfuhr: Gewicht]]</f>
        <v>2561.552879880549</v>
      </c>
    </row>
    <row r="150" spans="2:16" x14ac:dyDescent="0.25">
      <c r="B150">
        <f>(Table3567[[#This Row],[Jahr]]-$C$8)*12+Table3567[[#This Row],[Month nr]]</f>
        <v>140</v>
      </c>
      <c r="C150">
        <v>2019</v>
      </c>
      <c r="D150">
        <v>8</v>
      </c>
      <c r="E150" t="s">
        <v>17</v>
      </c>
      <c r="F150" t="str">
        <f>_xlfn.CONCAT(Table3567[[#This Row],[Monat]]," ",Table3567[[#This Row],[Jahr]])</f>
        <v>August 2019</v>
      </c>
      <c r="G150">
        <v>844</v>
      </c>
      <c r="H150">
        <v>2516</v>
      </c>
      <c r="I150">
        <v>2802</v>
      </c>
      <c r="J150">
        <v>1922.7</v>
      </c>
      <c r="K150">
        <v>5004</v>
      </c>
      <c r="L150">
        <v>5568</v>
      </c>
      <c r="M150" s="8">
        <f>Table3567[[#This Row],[Ausfuhr: Wert €]]*1000/Table3567[[#This Row],[Ausfuhr: Gewicht]]</f>
        <v>2981.0426540284361</v>
      </c>
      <c r="N150" s="8">
        <f>Table3567[[#This Row],[Einfuhr: Wert €]]*1000/Table3567[[#This Row],[Einfuhr: Gewicht]]</f>
        <v>2602.5901076611017</v>
      </c>
      <c r="O150" s="8">
        <f>Table3567[[#This Row],[Ausfuhr: Wert $]]*1000/Table3567[[#This Row],[Ausfuhr: Gewicht]]</f>
        <v>3319.9052132701422</v>
      </c>
      <c r="P150" s="8">
        <f>Table3567[[#This Row],[Einfuhr: Wert $]]*1000/Table3567[[#This Row],[Einfuhr: Gewicht]]</f>
        <v>2895.9276018099545</v>
      </c>
    </row>
    <row r="151" spans="2:16" x14ac:dyDescent="0.25">
      <c r="B151">
        <f>(Table3567[[#This Row],[Jahr]]-$C$8)*12+Table3567[[#This Row],[Month nr]]</f>
        <v>141</v>
      </c>
      <c r="C151">
        <v>2019</v>
      </c>
      <c r="D151">
        <v>9</v>
      </c>
      <c r="E151" t="s">
        <v>18</v>
      </c>
      <c r="F151" t="str">
        <f>_xlfn.CONCAT(Table3567[[#This Row],[Monat]]," ",Table3567[[#This Row],[Jahr]])</f>
        <v>September 2019</v>
      </c>
      <c r="G151">
        <v>858.2</v>
      </c>
      <c r="H151">
        <v>3098</v>
      </c>
      <c r="I151">
        <v>3409</v>
      </c>
      <c r="J151">
        <v>1586.7</v>
      </c>
      <c r="K151">
        <v>3827</v>
      </c>
      <c r="L151">
        <v>4212</v>
      </c>
      <c r="M151" s="8">
        <f>Table3567[[#This Row],[Ausfuhr: Wert €]]*1000/Table3567[[#This Row],[Ausfuhr: Gewicht]]</f>
        <v>3609.8811465858771</v>
      </c>
      <c r="N151" s="8">
        <f>Table3567[[#This Row],[Einfuhr: Wert €]]*1000/Table3567[[#This Row],[Einfuhr: Gewicht]]</f>
        <v>2411.9241192411923</v>
      </c>
      <c r="O151" s="8">
        <f>Table3567[[#This Row],[Ausfuhr: Wert $]]*1000/Table3567[[#This Row],[Ausfuhr: Gewicht]]</f>
        <v>3972.2675367047304</v>
      </c>
      <c r="P151" s="8">
        <f>Table3567[[#This Row],[Einfuhr: Wert $]]*1000/Table3567[[#This Row],[Einfuhr: Gewicht]]</f>
        <v>2654.5660805445264</v>
      </c>
    </row>
    <row r="152" spans="2:16" x14ac:dyDescent="0.25">
      <c r="B152">
        <f>(Table3567[[#This Row],[Jahr]]-$C$8)*12+Table3567[[#This Row],[Month nr]]</f>
        <v>142</v>
      </c>
      <c r="C152">
        <v>2019</v>
      </c>
      <c r="D152">
        <v>10</v>
      </c>
      <c r="E152" t="s">
        <v>23</v>
      </c>
      <c r="F152" t="str">
        <f>_xlfn.CONCAT(Table3567[[#This Row],[Monat]]," ",Table3567[[#This Row],[Jahr]])</f>
        <v>Oktober 2019</v>
      </c>
      <c r="G152">
        <v>104.29999999999998</v>
      </c>
      <c r="H152">
        <v>490</v>
      </c>
      <c r="I152">
        <v>542</v>
      </c>
      <c r="J152">
        <v>1006.3999999999999</v>
      </c>
      <c r="K152">
        <v>3580</v>
      </c>
      <c r="L152">
        <v>3958</v>
      </c>
      <c r="M152" s="8">
        <f>Table3567[[#This Row],[Ausfuhr: Wert €]]*1000/Table3567[[#This Row],[Ausfuhr: Gewicht]]</f>
        <v>4697.9865771812092</v>
      </c>
      <c r="N152" s="8">
        <f>Table3567[[#This Row],[Einfuhr: Wert €]]*1000/Table3567[[#This Row],[Einfuhr: Gewicht]]</f>
        <v>3557.2337042925283</v>
      </c>
      <c r="O152" s="8">
        <f>Table3567[[#This Row],[Ausfuhr: Wert $]]*1000/Table3567[[#This Row],[Ausfuhr: Gewicht]]</f>
        <v>5196.5484180249287</v>
      </c>
      <c r="P152" s="8">
        <f>Table3567[[#This Row],[Einfuhr: Wert $]]*1000/Table3567[[#This Row],[Einfuhr: Gewicht]]</f>
        <v>3932.8298887122423</v>
      </c>
    </row>
    <row r="153" spans="2:16" x14ac:dyDescent="0.25">
      <c r="B153">
        <f>(Table3567[[#This Row],[Jahr]]-$C$8)*12+Table3567[[#This Row],[Month nr]]</f>
        <v>143</v>
      </c>
      <c r="C153">
        <v>2019</v>
      </c>
      <c r="D153">
        <v>11</v>
      </c>
      <c r="E153" t="s">
        <v>19</v>
      </c>
      <c r="F153" t="str">
        <f>_xlfn.CONCAT(Table3567[[#This Row],[Monat]]," ",Table3567[[#This Row],[Jahr]])</f>
        <v>November 2019</v>
      </c>
      <c r="G153">
        <v>578.20000000000005</v>
      </c>
      <c r="H153">
        <v>3008</v>
      </c>
      <c r="I153">
        <v>3324</v>
      </c>
      <c r="J153">
        <v>1688.9999999999998</v>
      </c>
      <c r="K153">
        <v>6522</v>
      </c>
      <c r="L153">
        <v>7208</v>
      </c>
      <c r="M153" s="8">
        <f>Table3567[[#This Row],[Ausfuhr: Wert €]]*1000/Table3567[[#This Row],[Ausfuhr: Gewicht]]</f>
        <v>5202.3521272915941</v>
      </c>
      <c r="N153" s="8">
        <f>Table3567[[#This Row],[Einfuhr: Wert €]]*1000/Table3567[[#This Row],[Einfuhr: Gewicht]]</f>
        <v>3861.4564831261105</v>
      </c>
      <c r="O153" s="8">
        <f>Table3567[[#This Row],[Ausfuhr: Wert $]]*1000/Table3567[[#This Row],[Ausfuhr: Gewicht]]</f>
        <v>5748.8758215150465</v>
      </c>
      <c r="P153" s="8">
        <f>Table3567[[#This Row],[Einfuhr: Wert $]]*1000/Table3567[[#This Row],[Einfuhr: Gewicht]]</f>
        <v>4267.6139727649506</v>
      </c>
    </row>
    <row r="154" spans="2:16" x14ac:dyDescent="0.25">
      <c r="B154">
        <f>(Table3567[[#This Row],[Jahr]]-$C$8)*12+Table3567[[#This Row],[Month nr]]</f>
        <v>144</v>
      </c>
      <c r="C154">
        <v>2019</v>
      </c>
      <c r="D154">
        <v>12</v>
      </c>
      <c r="E154" t="s">
        <v>24</v>
      </c>
      <c r="F154" t="str">
        <f>_xlfn.CONCAT(Table3567[[#This Row],[Monat]]," ",Table3567[[#This Row],[Jahr]])</f>
        <v>Dezember 2019</v>
      </c>
      <c r="G154">
        <v>1379.8999999999999</v>
      </c>
      <c r="H154">
        <v>7013</v>
      </c>
      <c r="I154">
        <v>7791</v>
      </c>
      <c r="J154">
        <v>2502.1999999999998</v>
      </c>
      <c r="K154">
        <v>10613</v>
      </c>
      <c r="L154">
        <v>11797</v>
      </c>
      <c r="M154" s="8">
        <f>Table3567[[#This Row],[Ausfuhr: Wert €]]*1000/Table3567[[#This Row],[Ausfuhr: Gewicht]]</f>
        <v>5082.2523371258794</v>
      </c>
      <c r="N154" s="8">
        <f>Table3567[[#This Row],[Einfuhr: Wert €]]*1000/Table3567[[#This Row],[Einfuhr: Gewicht]]</f>
        <v>4241.4675085924391</v>
      </c>
      <c r="O154" s="8">
        <f>Table3567[[#This Row],[Ausfuhr: Wert $]]*1000/Table3567[[#This Row],[Ausfuhr: Gewicht]]</f>
        <v>5646.0613087904931</v>
      </c>
      <c r="P154" s="8">
        <f>Table3567[[#This Row],[Einfuhr: Wert $]]*1000/Table3567[[#This Row],[Einfuhr: Gewicht]]</f>
        <v>4714.6511070258175</v>
      </c>
    </row>
    <row r="155" spans="2:16" x14ac:dyDescent="0.25">
      <c r="B155">
        <f>(Table3567[[#This Row],[Jahr]]-$C$8)*12+Table3567[[#This Row],[Month nr]]</f>
        <v>145</v>
      </c>
      <c r="C155">
        <v>2020</v>
      </c>
      <c r="D155">
        <v>1</v>
      </c>
      <c r="E155" t="s">
        <v>13</v>
      </c>
      <c r="F155" t="str">
        <f>_xlfn.CONCAT(Table3567[[#This Row],[Monat]]," ",Table3567[[#This Row],[Jahr]])</f>
        <v>Januar 2020</v>
      </c>
      <c r="G155">
        <v>1288</v>
      </c>
      <c r="H155">
        <v>6066</v>
      </c>
      <c r="I155">
        <v>6734</v>
      </c>
      <c r="J155">
        <v>3558.6999999999994</v>
      </c>
      <c r="K155">
        <v>13516</v>
      </c>
      <c r="L155">
        <v>15003</v>
      </c>
      <c r="M155" s="8">
        <f>Table3567[[#This Row],[Ausfuhr: Wert €]]*1000/Table3567[[#This Row],[Ausfuhr: Gewicht]]</f>
        <v>4709.6273291925463</v>
      </c>
      <c r="N155" s="8">
        <f>Table3567[[#This Row],[Einfuhr: Wert €]]*1000/Table3567[[#This Row],[Einfuhr: Gewicht]]</f>
        <v>3798.016129485487</v>
      </c>
      <c r="O155" s="8">
        <f>Table3567[[#This Row],[Ausfuhr: Wert $]]*1000/Table3567[[#This Row],[Ausfuhr: Gewicht]]</f>
        <v>5228.260869565217</v>
      </c>
      <c r="P155" s="8">
        <f>Table3567[[#This Row],[Einfuhr: Wert $]]*1000/Table3567[[#This Row],[Einfuhr: Gewicht]]</f>
        <v>4215.8653440863245</v>
      </c>
    </row>
    <row r="156" spans="2:16" x14ac:dyDescent="0.25">
      <c r="B156">
        <f>(Table3567[[#This Row],[Jahr]]-$C$8)*12+Table3567[[#This Row],[Month nr]]</f>
        <v>146</v>
      </c>
      <c r="C156">
        <v>2020</v>
      </c>
      <c r="D156">
        <v>2</v>
      </c>
      <c r="E156" t="s">
        <v>14</v>
      </c>
      <c r="F156" t="str">
        <f>_xlfn.CONCAT(Table3567[[#This Row],[Monat]]," ",Table3567[[#This Row],[Jahr]])</f>
        <v>Februar 2020</v>
      </c>
      <c r="G156">
        <v>718.7</v>
      </c>
      <c r="H156">
        <v>2266</v>
      </c>
      <c r="I156">
        <v>2472</v>
      </c>
      <c r="J156">
        <v>9298.2999999999993</v>
      </c>
      <c r="K156">
        <v>28047</v>
      </c>
      <c r="L156">
        <v>30587</v>
      </c>
      <c r="M156" s="8">
        <f>Table3567[[#This Row],[Ausfuhr: Wert €]]*1000/Table3567[[#This Row],[Ausfuhr: Gewicht]]</f>
        <v>3152.9149853902877</v>
      </c>
      <c r="N156" s="8">
        <f>Table3567[[#This Row],[Einfuhr: Wert €]]*1000/Table3567[[#This Row],[Einfuhr: Gewicht]]</f>
        <v>3016.3578288504355</v>
      </c>
      <c r="O156" s="8">
        <f>Table3567[[#This Row],[Ausfuhr: Wert $]]*1000/Table3567[[#This Row],[Ausfuhr: Gewicht]]</f>
        <v>3439.5436204257685</v>
      </c>
      <c r="P156" s="8">
        <f>Table3567[[#This Row],[Einfuhr: Wert $]]*1000/Table3567[[#This Row],[Einfuhr: Gewicht]]</f>
        <v>3289.5260423948466</v>
      </c>
    </row>
    <row r="157" spans="2:16" x14ac:dyDescent="0.25">
      <c r="B157">
        <f>(Table3567[[#This Row],[Jahr]]-$C$8)*12+Table3567[[#This Row],[Month nr]]</f>
        <v>147</v>
      </c>
      <c r="C157">
        <v>2020</v>
      </c>
      <c r="D157">
        <v>3</v>
      </c>
      <c r="E157" t="s">
        <v>15</v>
      </c>
      <c r="F157" t="str">
        <f>_xlfn.CONCAT(Table3567[[#This Row],[Monat]]," ",Table3567[[#This Row],[Jahr]])</f>
        <v>März 2020</v>
      </c>
      <c r="G157" s="10">
        <v>689.30000000000007</v>
      </c>
      <c r="H157" s="10">
        <v>1391</v>
      </c>
      <c r="I157" s="10">
        <v>1540</v>
      </c>
      <c r="J157" s="10">
        <v>21650.9</v>
      </c>
      <c r="K157" s="10">
        <v>44492</v>
      </c>
      <c r="L157" s="10">
        <v>49222</v>
      </c>
      <c r="M157" s="8">
        <f>Table3567[[#This Row],[Ausfuhr: Wert €]]*1000/Table3567[[#This Row],[Ausfuhr: Gewicht]]</f>
        <v>2017.9892644712024</v>
      </c>
      <c r="N157" s="8">
        <f>Table3567[[#This Row],[Einfuhr: Wert €]]*1000/Table3567[[#This Row],[Einfuhr: Gewicht]]</f>
        <v>2054.9723106198817</v>
      </c>
      <c r="O157" s="8">
        <f>Table3567[[#This Row],[Ausfuhr: Wert $]]*1000/Table3567[[#This Row],[Ausfuhr: Gewicht]]</f>
        <v>2234.1505875525895</v>
      </c>
      <c r="P157" s="8">
        <f>Table3567[[#This Row],[Einfuhr: Wert $]]*1000/Table3567[[#This Row],[Einfuhr: Gewicht]]</f>
        <v>2273.4389794419631</v>
      </c>
    </row>
    <row r="158" spans="2:16" x14ac:dyDescent="0.25">
      <c r="B158">
        <f>(Table3567[[#This Row],[Jahr]]-$C$8)*12+Table3567[[#This Row],[Month nr]]</f>
        <v>148</v>
      </c>
      <c r="C158">
        <v>2020</v>
      </c>
      <c r="D158">
        <v>4</v>
      </c>
      <c r="E158" t="s">
        <v>16</v>
      </c>
      <c r="F158" t="str">
        <f>_xlfn.CONCAT(Table3567[[#This Row],[Monat]]," ",Table3567[[#This Row],[Jahr]])</f>
        <v>April 2020</v>
      </c>
      <c r="G158">
        <v>634.29999999999995</v>
      </c>
      <c r="H158">
        <v>1485</v>
      </c>
      <c r="I158">
        <v>1614</v>
      </c>
      <c r="J158">
        <v>39940.600000000006</v>
      </c>
      <c r="K158">
        <v>97009</v>
      </c>
      <c r="L158">
        <v>105374</v>
      </c>
      <c r="M158" s="8">
        <f>Table3567[[#This Row],[Ausfuhr: Wert €]]*1000/Table3567[[#This Row],[Ausfuhr: Gewicht]]</f>
        <v>2341.1634873088447</v>
      </c>
      <c r="N158" s="8">
        <f>Table3567[[#This Row],[Einfuhr: Wert €]]*1000/Table3567[[#This Row],[Einfuhr: Gewicht]]</f>
        <v>2428.8318152456395</v>
      </c>
      <c r="O158" s="8">
        <f>Table3567[[#This Row],[Ausfuhr: Wert $]]*1000/Table3567[[#This Row],[Ausfuhr: Gewicht]]</f>
        <v>2544.5372851962798</v>
      </c>
      <c r="P158" s="8">
        <f>Table3567[[#This Row],[Einfuhr: Wert $]]*1000/Table3567[[#This Row],[Einfuhr: Gewicht]]</f>
        <v>2638.2678277241698</v>
      </c>
    </row>
    <row r="159" spans="2:16" x14ac:dyDescent="0.25">
      <c r="B159">
        <f>(Table3567[[#This Row],[Jahr]]-$C$8)*12+Table3567[[#This Row],[Month nr]]</f>
        <v>149</v>
      </c>
      <c r="C159">
        <v>2020</v>
      </c>
      <c r="D159">
        <v>5</v>
      </c>
      <c r="E159" t="s">
        <v>20</v>
      </c>
      <c r="F159" t="str">
        <f>_xlfn.CONCAT(Table3567[[#This Row],[Monat]]," ",Table3567[[#This Row],[Jahr]])</f>
        <v>Mai 2020</v>
      </c>
      <c r="G159">
        <v>1134</v>
      </c>
      <c r="H159">
        <v>2819</v>
      </c>
      <c r="I159">
        <v>3075</v>
      </c>
      <c r="J159">
        <v>31717.4</v>
      </c>
      <c r="K159">
        <v>59299</v>
      </c>
      <c r="L159">
        <v>64646</v>
      </c>
      <c r="M159" s="8">
        <f>Table3567[[#This Row],[Ausfuhr: Wert €]]*1000/Table3567[[#This Row],[Ausfuhr: Gewicht]]</f>
        <v>2485.8906525573193</v>
      </c>
      <c r="N159" s="8">
        <f>Table3567[[#This Row],[Einfuhr: Wert €]]*1000/Table3567[[#This Row],[Einfuhr: Gewicht]]</f>
        <v>1869.6046964757513</v>
      </c>
      <c r="O159" s="8">
        <f>Table3567[[#This Row],[Ausfuhr: Wert $]]*1000/Table3567[[#This Row],[Ausfuhr: Gewicht]]</f>
        <v>2711.6402116402114</v>
      </c>
      <c r="P159" s="8">
        <f>Table3567[[#This Row],[Einfuhr: Wert $]]*1000/Table3567[[#This Row],[Einfuhr: Gewicht]]</f>
        <v>2038.1872410727235</v>
      </c>
    </row>
    <row r="160" spans="2:16" x14ac:dyDescent="0.25">
      <c r="B160">
        <f>(Table3567[[#This Row],[Jahr]]-$C$8)*12+Table3567[[#This Row],[Month nr]]</f>
        <v>150</v>
      </c>
      <c r="C160">
        <v>2020</v>
      </c>
      <c r="D160">
        <v>6</v>
      </c>
      <c r="E160" t="s">
        <v>21</v>
      </c>
      <c r="F160" t="str">
        <f>_xlfn.CONCAT(Table3567[[#This Row],[Monat]]," ",Table3567[[#This Row],[Jahr]])</f>
        <v>Juni 2020</v>
      </c>
      <c r="G160">
        <v>799.30000000000007</v>
      </c>
      <c r="H160">
        <v>2665</v>
      </c>
      <c r="I160">
        <v>2999</v>
      </c>
      <c r="J160">
        <v>10227.700000000001</v>
      </c>
      <c r="K160">
        <v>25642</v>
      </c>
      <c r="L160">
        <v>28860</v>
      </c>
      <c r="M160" s="8">
        <f>Table3567[[#This Row],[Ausfuhr: Wert €]]*1000/Table3567[[#This Row],[Ausfuhr: Gewicht]]</f>
        <v>3334.1673964719125</v>
      </c>
      <c r="N160" s="8">
        <f>Table3567[[#This Row],[Einfuhr: Wert €]]*1000/Table3567[[#This Row],[Einfuhr: Gewicht]]</f>
        <v>2507.1130361664887</v>
      </c>
      <c r="O160" s="8">
        <f>Table3567[[#This Row],[Ausfuhr: Wert $]]*1000/Table3567[[#This Row],[Ausfuhr: Gewicht]]</f>
        <v>3752.0330289002873</v>
      </c>
      <c r="P160" s="8">
        <f>Table3567[[#This Row],[Einfuhr: Wert $]]*1000/Table3567[[#This Row],[Einfuhr: Gewicht]]</f>
        <v>2821.7487802731794</v>
      </c>
    </row>
    <row r="161" spans="2:16" x14ac:dyDescent="0.25">
      <c r="B161">
        <f>(Table3567[[#This Row],[Jahr]]-$C$8)*12+Table3567[[#This Row],[Month nr]]</f>
        <v>151</v>
      </c>
      <c r="C161">
        <v>2020</v>
      </c>
      <c r="D161">
        <v>7</v>
      </c>
      <c r="E161" t="s">
        <v>22</v>
      </c>
      <c r="F161" t="str">
        <f>_xlfn.CONCAT(Table3567[[#This Row],[Monat]]," ",Table3567[[#This Row],[Jahr]])</f>
        <v>Juli 2020</v>
      </c>
      <c r="G161">
        <v>1582.1000000000001</v>
      </c>
      <c r="H161">
        <v>5409</v>
      </c>
      <c r="I161">
        <v>6200</v>
      </c>
      <c r="J161">
        <v>3615.0000000000005</v>
      </c>
      <c r="K161">
        <v>7970</v>
      </c>
      <c r="L161">
        <v>9139</v>
      </c>
      <c r="M161" s="8">
        <f>Table3567[[#This Row],[Ausfuhr: Wert €]]*1000/Table3567[[#This Row],[Ausfuhr: Gewicht]]</f>
        <v>3418.8736489476009</v>
      </c>
      <c r="N161" s="8">
        <f>Table3567[[#This Row],[Einfuhr: Wert €]]*1000/Table3567[[#This Row],[Einfuhr: Gewicht]]</f>
        <v>2204.7026279391421</v>
      </c>
      <c r="O161" s="8">
        <f>Table3567[[#This Row],[Ausfuhr: Wert $]]*1000/Table3567[[#This Row],[Ausfuhr: Gewicht]]</f>
        <v>3918.8420453827189</v>
      </c>
      <c r="P161" s="8">
        <f>Table3567[[#This Row],[Einfuhr: Wert $]]*1000/Table3567[[#This Row],[Einfuhr: Gewicht]]</f>
        <v>2528.0774550484089</v>
      </c>
    </row>
    <row r="162" spans="2:16" x14ac:dyDescent="0.25">
      <c r="B162">
        <f>(Table3567[[#This Row],[Jahr]]-$C$8)*12+Table3567[[#This Row],[Month nr]]</f>
        <v>152</v>
      </c>
      <c r="C162">
        <v>2020</v>
      </c>
      <c r="D162">
        <v>8</v>
      </c>
      <c r="E162" t="s">
        <v>17</v>
      </c>
      <c r="F162" t="str">
        <f>_xlfn.CONCAT(Table3567[[#This Row],[Monat]]," ",Table3567[[#This Row],[Jahr]])</f>
        <v>August 2020</v>
      </c>
      <c r="G162">
        <v>495.30000000000007</v>
      </c>
      <c r="H162">
        <v>1644</v>
      </c>
      <c r="I162">
        <v>1943</v>
      </c>
      <c r="J162">
        <v>2260.5</v>
      </c>
      <c r="K162">
        <v>7309</v>
      </c>
      <c r="L162">
        <v>8643</v>
      </c>
      <c r="M162" s="8">
        <f>Table3567[[#This Row],[Ausfuhr: Wert €]]*1000/Table3567[[#This Row],[Ausfuhr: Gewicht]]</f>
        <v>3319.2004845548149</v>
      </c>
      <c r="N162" s="8">
        <f>Table3567[[#This Row],[Einfuhr: Wert €]]*1000/Table3567[[#This Row],[Einfuhr: Gewicht]]</f>
        <v>3233.3554523335547</v>
      </c>
      <c r="O162" s="8">
        <f>Table3567[[#This Row],[Ausfuhr: Wert $]]*1000/Table3567[[#This Row],[Ausfuhr: Gewicht]]</f>
        <v>3922.8750252372292</v>
      </c>
      <c r="P162" s="8">
        <f>Table3567[[#This Row],[Einfuhr: Wert $]]*1000/Table3567[[#This Row],[Einfuhr: Gewicht]]</f>
        <v>3823.4903782349038</v>
      </c>
    </row>
    <row r="163" spans="2:16" x14ac:dyDescent="0.25">
      <c r="B163">
        <f>(Table3567[[#This Row],[Jahr]]-$C$8)*12+Table3567[[#This Row],[Month nr]]</f>
        <v>153</v>
      </c>
      <c r="C163">
        <v>2020</v>
      </c>
      <c r="D163">
        <v>9</v>
      </c>
      <c r="E163" t="s">
        <v>18</v>
      </c>
      <c r="F163" t="str">
        <f>_xlfn.CONCAT(Table3567[[#This Row],[Monat]]," ",Table3567[[#This Row],[Jahr]])</f>
        <v>September 2020</v>
      </c>
      <c r="G163">
        <v>650.80000000000007</v>
      </c>
      <c r="H163">
        <v>2203</v>
      </c>
      <c r="I163">
        <v>2598</v>
      </c>
      <c r="J163">
        <v>1628.1</v>
      </c>
      <c r="K163">
        <v>4961</v>
      </c>
      <c r="L163">
        <v>5848</v>
      </c>
      <c r="M163" s="8">
        <f>Table3567[[#This Row],[Ausfuhr: Wert €]]*1000/Table3567[[#This Row],[Ausfuhr: Gewicht]]</f>
        <v>3385.0645359557466</v>
      </c>
      <c r="N163" s="8">
        <f>Table3567[[#This Row],[Einfuhr: Wert €]]*1000/Table3567[[#This Row],[Einfuhr: Gewicht]]</f>
        <v>3047.1101283704934</v>
      </c>
      <c r="O163" s="8">
        <f>Table3567[[#This Row],[Ausfuhr: Wert $]]*1000/Table3567[[#This Row],[Ausfuhr: Gewicht]]</f>
        <v>3992.0098340503991</v>
      </c>
      <c r="P163" s="8">
        <f>Table3567[[#This Row],[Einfuhr: Wert $]]*1000/Table3567[[#This Row],[Einfuhr: Gewicht]]</f>
        <v>3591.916958417788</v>
      </c>
    </row>
  </sheetData>
  <mergeCells count="12">
    <mergeCell ref="A5:F5"/>
    <mergeCell ref="G8:H8"/>
    <mergeCell ref="J8:K8"/>
    <mergeCell ref="M9:N9"/>
    <mergeCell ref="O9:P9"/>
    <mergeCell ref="A6:F6"/>
    <mergeCell ref="A4:F4"/>
    <mergeCell ref="A1:F1"/>
    <mergeCell ref="H1:L1"/>
    <mergeCell ref="A2:F2"/>
    <mergeCell ref="H2:L2"/>
    <mergeCell ref="A3:F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0481-A5CD-49E1-BA60-2071174E2069}">
  <sheetPr codeName="Sheet7">
    <tabColor theme="5" tint="-0.249977111117893"/>
  </sheetPr>
  <dimension ref="A1:P163"/>
  <sheetViews>
    <sheetView zoomScaleNormal="100" workbookViewId="0">
      <selection activeCell="U23" sqref="U23"/>
    </sheetView>
  </sheetViews>
  <sheetFormatPr defaultRowHeight="15" x14ac:dyDescent="0.25"/>
  <cols>
    <col min="6" max="6" width="12.7109375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52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60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(Table35678[[#This Row],[Jahr]]-$C$8)*12+Table35678[[#This Row],[Month nr]]</f>
        <v>1</v>
      </c>
      <c r="C11">
        <v>2008</v>
      </c>
      <c r="D11">
        <v>1</v>
      </c>
      <c r="E11" t="s">
        <v>13</v>
      </c>
      <c r="F11" t="str">
        <f>_xlfn.CONCAT(Table35678[[#This Row],[Monat]]," ",Table35678[[#This Row],[Jahr]])</f>
        <v>Januar 2008</v>
      </c>
      <c r="G11">
        <v>48.2</v>
      </c>
      <c r="H11">
        <v>213</v>
      </c>
      <c r="I11">
        <v>313</v>
      </c>
      <c r="J11">
        <v>298.50000000000006</v>
      </c>
      <c r="K11">
        <v>1137</v>
      </c>
      <c r="L11">
        <v>1671</v>
      </c>
      <c r="M11" s="8">
        <f>Table35678[[#This Row],[Ausfuhr: Wert €]]*1000/Table35678[[#This Row],[Ausfuhr: Gewicht]]</f>
        <v>4419.08713692946</v>
      </c>
      <c r="N11" s="8">
        <f>Table35678[[#This Row],[Einfuhr: Wert €]]*1000/Table35678[[#This Row],[Einfuhr: Gewicht]]</f>
        <v>3809.0452261306527</v>
      </c>
      <c r="O11" s="8">
        <f>Table35678[[#This Row],[Ausfuhr: Wert $]]*1000/Table35678[[#This Row],[Ausfuhr: Gewicht]]</f>
        <v>6493.775933609958</v>
      </c>
      <c r="P11" s="8">
        <f>Table35678[[#This Row],[Einfuhr: Wert $]]*1000/Table35678[[#This Row],[Einfuhr: Gewicht]]</f>
        <v>5597.9899497487422</v>
      </c>
    </row>
    <row r="12" spans="1:16" x14ac:dyDescent="0.25">
      <c r="B12">
        <f>(Table35678[[#This Row],[Jahr]]-$C$8)*12+Table35678[[#This Row],[Month nr]]</f>
        <v>2</v>
      </c>
      <c r="C12">
        <v>2008</v>
      </c>
      <c r="D12">
        <v>2</v>
      </c>
      <c r="E12" t="s">
        <v>14</v>
      </c>
      <c r="F12" t="str">
        <f>_xlfn.CONCAT(Table35678[[#This Row],[Monat]]," ",Table35678[[#This Row],[Jahr]])</f>
        <v>Februar 2008</v>
      </c>
      <c r="G12">
        <v>16.799999999999997</v>
      </c>
      <c r="H12">
        <v>84</v>
      </c>
      <c r="I12">
        <v>124</v>
      </c>
      <c r="J12">
        <v>454.79999999999995</v>
      </c>
      <c r="K12">
        <v>1792</v>
      </c>
      <c r="L12">
        <v>2643</v>
      </c>
      <c r="M12" s="8">
        <f>Table35678[[#This Row],[Ausfuhr: Wert €]]*1000/Table35678[[#This Row],[Ausfuhr: Gewicht]]</f>
        <v>5000.0000000000009</v>
      </c>
      <c r="N12" s="8">
        <f>Table35678[[#This Row],[Einfuhr: Wert €]]*1000/Table35678[[#This Row],[Einfuhr: Gewicht]]</f>
        <v>3940.1934916446794</v>
      </c>
      <c r="O12" s="8">
        <f>Table35678[[#This Row],[Ausfuhr: Wert $]]*1000/Table35678[[#This Row],[Ausfuhr: Gewicht]]</f>
        <v>7380.9523809523826</v>
      </c>
      <c r="P12" s="8">
        <f>Table35678[[#This Row],[Einfuhr: Wert $]]*1000/Table35678[[#This Row],[Einfuhr: Gewicht]]</f>
        <v>5811.3456464379951</v>
      </c>
    </row>
    <row r="13" spans="1:16" x14ac:dyDescent="0.25">
      <c r="B13">
        <f>(Table35678[[#This Row],[Jahr]]-$C$8)*12+Table35678[[#This Row],[Month nr]]</f>
        <v>3</v>
      </c>
      <c r="C13">
        <v>2008</v>
      </c>
      <c r="D13">
        <v>3</v>
      </c>
      <c r="E13" t="s">
        <v>15</v>
      </c>
      <c r="F13" t="str">
        <f>_xlfn.CONCAT(Table35678[[#This Row],[Monat]]," ",Table35678[[#This Row],[Jahr]])</f>
        <v>März 2008</v>
      </c>
      <c r="G13">
        <v>511.10000000000008</v>
      </c>
      <c r="H13">
        <v>1280</v>
      </c>
      <c r="I13">
        <v>1980</v>
      </c>
      <c r="J13">
        <v>4455.8999999999987</v>
      </c>
      <c r="K13">
        <v>17082</v>
      </c>
      <c r="L13">
        <v>26521</v>
      </c>
      <c r="M13" s="8">
        <f>Table35678[[#This Row],[Ausfuhr: Wert €]]*1000/Table35678[[#This Row],[Ausfuhr: Gewicht]]</f>
        <v>2504.4022696145566</v>
      </c>
      <c r="N13" s="8">
        <f>Table35678[[#This Row],[Einfuhr: Wert €]]*1000/Table35678[[#This Row],[Einfuhr: Gewicht]]</f>
        <v>3833.5689759644529</v>
      </c>
      <c r="O13" s="8">
        <f>Table35678[[#This Row],[Ausfuhr: Wert $]]*1000/Table35678[[#This Row],[Ausfuhr: Gewicht]]</f>
        <v>3873.997260810017</v>
      </c>
      <c r="P13" s="8">
        <f>Table35678[[#This Row],[Einfuhr: Wert $]]*1000/Table35678[[#This Row],[Einfuhr: Gewicht]]</f>
        <v>5951.8840189411812</v>
      </c>
    </row>
    <row r="14" spans="1:16" x14ac:dyDescent="0.25">
      <c r="B14">
        <f>(Table35678[[#This Row],[Jahr]]-$C$8)*12+Table35678[[#This Row],[Month nr]]</f>
        <v>4</v>
      </c>
      <c r="C14">
        <v>2008</v>
      </c>
      <c r="D14">
        <v>4</v>
      </c>
      <c r="E14" t="s">
        <v>16</v>
      </c>
      <c r="F14" t="str">
        <f>_xlfn.CONCAT(Table35678[[#This Row],[Monat]]," ",Table35678[[#This Row],[Jahr]])</f>
        <v>April 2008</v>
      </c>
      <c r="G14" s="10">
        <v>677.09999999999991</v>
      </c>
      <c r="H14" s="10">
        <v>1816</v>
      </c>
      <c r="I14" s="10">
        <v>2863</v>
      </c>
      <c r="J14" s="10">
        <v>9616.7999999999993</v>
      </c>
      <c r="K14" s="10">
        <v>30473</v>
      </c>
      <c r="L14" s="10">
        <v>48003</v>
      </c>
      <c r="M14" s="8">
        <f>Table35678[[#This Row],[Ausfuhr: Wert €]]*1000/Table35678[[#This Row],[Ausfuhr: Gewicht]]</f>
        <v>2682.026288583666</v>
      </c>
      <c r="N14" s="8">
        <f>Table35678[[#This Row],[Einfuhr: Wert €]]*1000/Table35678[[#This Row],[Einfuhr: Gewicht]]</f>
        <v>3168.7255635970387</v>
      </c>
      <c r="O14" s="8">
        <f>Table35678[[#This Row],[Ausfuhr: Wert $]]*1000/Table35678[[#This Row],[Ausfuhr: Gewicht]]</f>
        <v>4228.3266873430812</v>
      </c>
      <c r="P14" s="8">
        <f>Table35678[[#This Row],[Einfuhr: Wert $]]*1000/Table35678[[#This Row],[Einfuhr: Gewicht]]</f>
        <v>4991.577239830297</v>
      </c>
    </row>
    <row r="15" spans="1:16" x14ac:dyDescent="0.25">
      <c r="B15">
        <f>(Table35678[[#This Row],[Jahr]]-$C$8)*12+Table35678[[#This Row],[Month nr]]</f>
        <v>5</v>
      </c>
      <c r="C15">
        <v>2008</v>
      </c>
      <c r="D15">
        <v>5</v>
      </c>
      <c r="E15" t="s">
        <v>20</v>
      </c>
      <c r="F15" t="str">
        <f>_xlfn.CONCAT(Table35678[[#This Row],[Monat]]," ",Table35678[[#This Row],[Jahr]])</f>
        <v>Mai 2008</v>
      </c>
      <c r="G15">
        <v>1126.0999999999997</v>
      </c>
      <c r="H15">
        <v>3582</v>
      </c>
      <c r="I15">
        <v>5572</v>
      </c>
      <c r="J15">
        <v>7988.5000000000009</v>
      </c>
      <c r="K15">
        <v>20541</v>
      </c>
      <c r="L15">
        <v>31959</v>
      </c>
      <c r="M15" s="8">
        <f>Table35678[[#This Row],[Ausfuhr: Wert €]]*1000/Table35678[[#This Row],[Ausfuhr: Gewicht]]</f>
        <v>3180.8897966432828</v>
      </c>
      <c r="N15" s="8">
        <f>Table35678[[#This Row],[Einfuhr: Wert €]]*1000/Table35678[[#This Row],[Einfuhr: Gewicht]]</f>
        <v>2571.3212743318518</v>
      </c>
      <c r="O15" s="8">
        <f>Table35678[[#This Row],[Ausfuhr: Wert $]]*1000/Table35678[[#This Row],[Ausfuhr: Gewicht]]</f>
        <v>4948.0507947784399</v>
      </c>
      <c r="P15" s="8">
        <f>Table35678[[#This Row],[Einfuhr: Wert $]]*1000/Table35678[[#This Row],[Einfuhr: Gewicht]]</f>
        <v>4000.6258997308628</v>
      </c>
    </row>
    <row r="16" spans="1:16" x14ac:dyDescent="0.25">
      <c r="B16">
        <f>(Table35678[[#This Row],[Jahr]]-$C$8)*12+Table35678[[#This Row],[Month nr]]</f>
        <v>6</v>
      </c>
      <c r="C16">
        <v>2008</v>
      </c>
      <c r="D16">
        <v>6</v>
      </c>
      <c r="E16" t="s">
        <v>21</v>
      </c>
      <c r="F16" t="str">
        <f>_xlfn.CONCAT(Table35678[[#This Row],[Monat]]," ",Table35678[[#This Row],[Jahr]])</f>
        <v>Juni 2008</v>
      </c>
      <c r="G16">
        <v>501.5</v>
      </c>
      <c r="H16">
        <v>1519</v>
      </c>
      <c r="I16">
        <v>2365</v>
      </c>
      <c r="J16">
        <v>3241.9</v>
      </c>
      <c r="K16">
        <v>7445</v>
      </c>
      <c r="L16">
        <v>11577</v>
      </c>
      <c r="M16" s="8">
        <f>Table35678[[#This Row],[Ausfuhr: Wert €]]*1000/Table35678[[#This Row],[Ausfuhr: Gewicht]]</f>
        <v>3028.9132602193422</v>
      </c>
      <c r="N16" s="8">
        <f>Table35678[[#This Row],[Einfuhr: Wert €]]*1000/Table35678[[#This Row],[Einfuhr: Gewicht]]</f>
        <v>2296.4927974336038</v>
      </c>
      <c r="O16" s="8">
        <f>Table35678[[#This Row],[Ausfuhr: Wert $]]*1000/Table35678[[#This Row],[Ausfuhr: Gewicht]]</f>
        <v>4715.8524426719841</v>
      </c>
      <c r="P16" s="8">
        <f>Table35678[[#This Row],[Einfuhr: Wert $]]*1000/Table35678[[#This Row],[Einfuhr: Gewicht]]</f>
        <v>3571.0540115364447</v>
      </c>
    </row>
    <row r="17" spans="2:16" x14ac:dyDescent="0.25">
      <c r="B17">
        <f>(Table35678[[#This Row],[Jahr]]-$C$8)*12+Table35678[[#This Row],[Month nr]]</f>
        <v>7</v>
      </c>
      <c r="C17">
        <v>2008</v>
      </c>
      <c r="D17">
        <v>7</v>
      </c>
      <c r="E17" t="s">
        <v>22</v>
      </c>
      <c r="F17" t="str">
        <f>_xlfn.CONCAT(Table35678[[#This Row],[Monat]]," ",Table35678[[#This Row],[Jahr]])</f>
        <v>Juli 2008</v>
      </c>
      <c r="G17">
        <v>294.10000000000002</v>
      </c>
      <c r="H17">
        <v>915</v>
      </c>
      <c r="I17">
        <v>1445</v>
      </c>
      <c r="J17">
        <v>2086.5</v>
      </c>
      <c r="K17">
        <v>5680</v>
      </c>
      <c r="L17">
        <v>8961</v>
      </c>
      <c r="M17" s="8">
        <f>Table35678[[#This Row],[Ausfuhr: Wert €]]*1000/Table35678[[#This Row],[Ausfuhr: Gewicht]]</f>
        <v>3111.1866712002716</v>
      </c>
      <c r="N17" s="8">
        <f>Table35678[[#This Row],[Einfuhr: Wert €]]*1000/Table35678[[#This Row],[Einfuhr: Gewicht]]</f>
        <v>2722.2621615144981</v>
      </c>
      <c r="O17" s="8">
        <f>Table35678[[#This Row],[Ausfuhr: Wert $]]*1000/Table35678[[#This Row],[Ausfuhr: Gewicht]]</f>
        <v>4913.2947976878613</v>
      </c>
      <c r="P17" s="8">
        <f>Table35678[[#This Row],[Einfuhr: Wert $]]*1000/Table35678[[#This Row],[Einfuhr: Gewicht]]</f>
        <v>4294.7519769949677</v>
      </c>
    </row>
    <row r="18" spans="2:16" x14ac:dyDescent="0.25">
      <c r="B18">
        <f>(Table35678[[#This Row],[Jahr]]-$C$8)*12+Table35678[[#This Row],[Month nr]]</f>
        <v>8</v>
      </c>
      <c r="C18">
        <v>2008</v>
      </c>
      <c r="D18">
        <v>8</v>
      </c>
      <c r="E18" t="s">
        <v>17</v>
      </c>
      <c r="F18" t="str">
        <f>_xlfn.CONCAT(Table35678[[#This Row],[Monat]]," ",Table35678[[#This Row],[Jahr]])</f>
        <v>August 2008</v>
      </c>
      <c r="G18">
        <v>120.5</v>
      </c>
      <c r="H18">
        <v>366</v>
      </c>
      <c r="I18">
        <v>545</v>
      </c>
      <c r="J18">
        <v>714.69999999999993</v>
      </c>
      <c r="K18">
        <v>1936</v>
      </c>
      <c r="L18">
        <v>2900</v>
      </c>
      <c r="M18" s="8">
        <f>Table35678[[#This Row],[Ausfuhr: Wert €]]*1000/Table35678[[#This Row],[Ausfuhr: Gewicht]]</f>
        <v>3037.344398340249</v>
      </c>
      <c r="N18" s="8">
        <f>Table35678[[#This Row],[Einfuhr: Wert €]]*1000/Table35678[[#This Row],[Einfuhr: Gewicht]]</f>
        <v>2708.8288792500352</v>
      </c>
      <c r="O18" s="8">
        <f>Table35678[[#This Row],[Ausfuhr: Wert $]]*1000/Table35678[[#This Row],[Ausfuhr: Gewicht]]</f>
        <v>4522.8215767634856</v>
      </c>
      <c r="P18" s="8">
        <f>Table35678[[#This Row],[Einfuhr: Wert $]]*1000/Table35678[[#This Row],[Einfuhr: Gewicht]]</f>
        <v>4057.6465649923048</v>
      </c>
    </row>
    <row r="19" spans="2:16" x14ac:dyDescent="0.25">
      <c r="B19">
        <f>(Table35678[[#This Row],[Jahr]]-$C$8)*12+Table35678[[#This Row],[Month nr]]</f>
        <v>9</v>
      </c>
      <c r="C19">
        <v>2008</v>
      </c>
      <c r="D19">
        <v>9</v>
      </c>
      <c r="E19" t="s">
        <v>18</v>
      </c>
      <c r="F19" t="str">
        <f>_xlfn.CONCAT(Table35678[[#This Row],[Monat]]," ",Table35678[[#This Row],[Jahr]])</f>
        <v>September 2008</v>
      </c>
      <c r="G19">
        <v>42.399999999999991</v>
      </c>
      <c r="H19">
        <v>134</v>
      </c>
      <c r="I19">
        <v>191</v>
      </c>
      <c r="J19">
        <v>407.5</v>
      </c>
      <c r="K19">
        <v>1073</v>
      </c>
      <c r="L19">
        <v>1542</v>
      </c>
      <c r="M19" s="8">
        <f>Table35678[[#This Row],[Ausfuhr: Wert €]]*1000/Table35678[[#This Row],[Ausfuhr: Gewicht]]</f>
        <v>3160.3773584905666</v>
      </c>
      <c r="N19" s="8">
        <f>Table35678[[#This Row],[Einfuhr: Wert €]]*1000/Table35678[[#This Row],[Einfuhr: Gewicht]]</f>
        <v>2633.1288343558281</v>
      </c>
      <c r="O19" s="8">
        <f>Table35678[[#This Row],[Ausfuhr: Wert $]]*1000/Table35678[[#This Row],[Ausfuhr: Gewicht]]</f>
        <v>4504.7169811320764</v>
      </c>
      <c r="P19" s="8">
        <f>Table35678[[#This Row],[Einfuhr: Wert $]]*1000/Table35678[[#This Row],[Einfuhr: Gewicht]]</f>
        <v>3784.0490797546013</v>
      </c>
    </row>
    <row r="20" spans="2:16" x14ac:dyDescent="0.25">
      <c r="B20">
        <f>(Table35678[[#This Row],[Jahr]]-$C$8)*12+Table35678[[#This Row],[Month nr]]</f>
        <v>10</v>
      </c>
      <c r="C20">
        <v>2008</v>
      </c>
      <c r="D20">
        <v>10</v>
      </c>
      <c r="E20" t="s">
        <v>23</v>
      </c>
      <c r="F20" t="str">
        <f>_xlfn.CONCAT(Table35678[[#This Row],[Monat]]," ",Table35678[[#This Row],[Jahr]])</f>
        <v>Oktober 2008</v>
      </c>
      <c r="G20">
        <v>56.599999999999994</v>
      </c>
      <c r="H20">
        <v>178</v>
      </c>
      <c r="I20">
        <v>239</v>
      </c>
      <c r="J20">
        <v>253.70000000000002</v>
      </c>
      <c r="K20">
        <v>795</v>
      </c>
      <c r="L20">
        <v>1058</v>
      </c>
      <c r="M20" s="8">
        <f>Table35678[[#This Row],[Ausfuhr: Wert €]]*1000/Table35678[[#This Row],[Ausfuhr: Gewicht]]</f>
        <v>3144.8763250883394</v>
      </c>
      <c r="N20" s="8">
        <f>Table35678[[#This Row],[Einfuhr: Wert €]]*1000/Table35678[[#This Row],[Einfuhr: Gewicht]]</f>
        <v>3133.6223886480093</v>
      </c>
      <c r="O20" s="8">
        <f>Table35678[[#This Row],[Ausfuhr: Wert $]]*1000/Table35678[[#This Row],[Ausfuhr: Gewicht]]</f>
        <v>4222.6148409893995</v>
      </c>
      <c r="P20" s="8">
        <f>Table35678[[#This Row],[Einfuhr: Wert $]]*1000/Table35678[[#This Row],[Einfuhr: Gewicht]]</f>
        <v>4170.279858100118</v>
      </c>
    </row>
    <row r="21" spans="2:16" x14ac:dyDescent="0.25">
      <c r="B21">
        <f>(Table35678[[#This Row],[Jahr]]-$C$8)*12+Table35678[[#This Row],[Month nr]]</f>
        <v>11</v>
      </c>
      <c r="C21">
        <v>2008</v>
      </c>
      <c r="D21">
        <v>11</v>
      </c>
      <c r="E21" t="s">
        <v>19</v>
      </c>
      <c r="F21" t="str">
        <f>_xlfn.CONCAT(Table35678[[#This Row],[Monat]]," ",Table35678[[#This Row],[Jahr]])</f>
        <v>November 2008</v>
      </c>
      <c r="G21">
        <v>57.3</v>
      </c>
      <c r="H21">
        <v>184</v>
      </c>
      <c r="I21">
        <v>234</v>
      </c>
      <c r="J21">
        <v>310.8</v>
      </c>
      <c r="K21">
        <v>853</v>
      </c>
      <c r="L21">
        <v>1086</v>
      </c>
      <c r="M21" s="8">
        <f>Table35678[[#This Row],[Ausfuhr: Wert €]]*1000/Table35678[[#This Row],[Ausfuhr: Gewicht]]</f>
        <v>3211.1692844677141</v>
      </c>
      <c r="N21" s="8">
        <f>Table35678[[#This Row],[Einfuhr: Wert €]]*1000/Table35678[[#This Row],[Einfuhr: Gewicht]]</f>
        <v>2744.5302445302445</v>
      </c>
      <c r="O21" s="8">
        <f>Table35678[[#This Row],[Ausfuhr: Wert $]]*1000/Table35678[[#This Row],[Ausfuhr: Gewicht]]</f>
        <v>4083.7696335078535</v>
      </c>
      <c r="P21" s="8">
        <f>Table35678[[#This Row],[Einfuhr: Wert $]]*1000/Table35678[[#This Row],[Einfuhr: Gewicht]]</f>
        <v>3494.2084942084939</v>
      </c>
    </row>
    <row r="22" spans="2:16" x14ac:dyDescent="0.25">
      <c r="B22">
        <f>(Table35678[[#This Row],[Jahr]]-$C$8)*12+Table35678[[#This Row],[Month nr]]</f>
        <v>12</v>
      </c>
      <c r="C22">
        <v>2008</v>
      </c>
      <c r="D22">
        <v>12</v>
      </c>
      <c r="E22" t="s">
        <v>24</v>
      </c>
      <c r="F22" t="str">
        <f>_xlfn.CONCAT(Table35678[[#This Row],[Monat]]," ",Table35678[[#This Row],[Jahr]])</f>
        <v>Dezember 2008</v>
      </c>
      <c r="G22">
        <v>104.20000000000002</v>
      </c>
      <c r="H22">
        <v>403</v>
      </c>
      <c r="I22">
        <v>539</v>
      </c>
      <c r="J22">
        <v>413</v>
      </c>
      <c r="K22">
        <v>1324</v>
      </c>
      <c r="L22">
        <v>1780</v>
      </c>
      <c r="M22" s="8">
        <f>Table35678[[#This Row],[Ausfuhr: Wert €]]*1000/Table35678[[#This Row],[Ausfuhr: Gewicht]]</f>
        <v>3867.5623800383869</v>
      </c>
      <c r="N22" s="8">
        <f>Table35678[[#This Row],[Einfuhr: Wert €]]*1000/Table35678[[#This Row],[Einfuhr: Gewicht]]</f>
        <v>3205.8111380145278</v>
      </c>
      <c r="O22" s="8">
        <f>Table35678[[#This Row],[Ausfuhr: Wert $]]*1000/Table35678[[#This Row],[Ausfuhr: Gewicht]]</f>
        <v>5172.7447216890587</v>
      </c>
      <c r="P22" s="8">
        <f>Table35678[[#This Row],[Einfuhr: Wert $]]*1000/Table35678[[#This Row],[Einfuhr: Gewicht]]</f>
        <v>4309.9273607748182</v>
      </c>
    </row>
    <row r="23" spans="2:16" x14ac:dyDescent="0.25">
      <c r="B23">
        <f>(Table35678[[#This Row],[Jahr]]-$C$8)*12+Table35678[[#This Row],[Month nr]]</f>
        <v>13</v>
      </c>
      <c r="C23">
        <v>2009</v>
      </c>
      <c r="D23">
        <v>1</v>
      </c>
      <c r="E23" t="s">
        <v>13</v>
      </c>
      <c r="F23" t="str">
        <f>_xlfn.CONCAT(Table35678[[#This Row],[Monat]]," ",Table35678[[#This Row],[Jahr]])</f>
        <v>Januar 2009</v>
      </c>
      <c r="G23">
        <v>20.2</v>
      </c>
      <c r="H23">
        <v>108</v>
      </c>
      <c r="I23">
        <v>145</v>
      </c>
      <c r="J23">
        <v>374.70000000000005</v>
      </c>
      <c r="K23">
        <v>1371</v>
      </c>
      <c r="L23">
        <v>1816</v>
      </c>
      <c r="M23" s="8">
        <f>Table35678[[#This Row],[Ausfuhr: Wert €]]*1000/Table35678[[#This Row],[Ausfuhr: Gewicht]]</f>
        <v>5346.5346534653463</v>
      </c>
      <c r="N23" s="8">
        <f>Table35678[[#This Row],[Einfuhr: Wert €]]*1000/Table35678[[#This Row],[Einfuhr: Gewicht]]</f>
        <v>3658.9271417133705</v>
      </c>
      <c r="O23" s="8">
        <f>Table35678[[#This Row],[Ausfuhr: Wert $]]*1000/Table35678[[#This Row],[Ausfuhr: Gewicht]]</f>
        <v>7178.2178217821784</v>
      </c>
      <c r="P23" s="8">
        <f>Table35678[[#This Row],[Einfuhr: Wert $]]*1000/Table35678[[#This Row],[Einfuhr: Gewicht]]</f>
        <v>4846.5439017880963</v>
      </c>
    </row>
    <row r="24" spans="2:16" x14ac:dyDescent="0.25">
      <c r="B24">
        <f>(Table35678[[#This Row],[Jahr]]-$C$8)*12+Table35678[[#This Row],[Month nr]]</f>
        <v>14</v>
      </c>
      <c r="C24">
        <v>2009</v>
      </c>
      <c r="D24">
        <v>2</v>
      </c>
      <c r="E24" t="s">
        <v>14</v>
      </c>
      <c r="F24" t="str">
        <f>_xlfn.CONCAT(Table35678[[#This Row],[Monat]]," ",Table35678[[#This Row],[Jahr]])</f>
        <v>Februar 2009</v>
      </c>
      <c r="G24">
        <v>35.000000000000007</v>
      </c>
      <c r="H24">
        <v>154</v>
      </c>
      <c r="I24">
        <v>197</v>
      </c>
      <c r="J24">
        <v>286.49999999999994</v>
      </c>
      <c r="K24">
        <v>1028</v>
      </c>
      <c r="L24">
        <v>1318</v>
      </c>
      <c r="M24" s="8">
        <f>Table35678[[#This Row],[Ausfuhr: Wert €]]*1000/Table35678[[#This Row],[Ausfuhr: Gewicht]]</f>
        <v>4399.9999999999991</v>
      </c>
      <c r="N24" s="8">
        <f>Table35678[[#This Row],[Einfuhr: Wert €]]*1000/Table35678[[#This Row],[Einfuhr: Gewicht]]</f>
        <v>3588.132635253055</v>
      </c>
      <c r="O24" s="8">
        <f>Table35678[[#This Row],[Ausfuhr: Wert $]]*1000/Table35678[[#This Row],[Ausfuhr: Gewicht]]</f>
        <v>5628.5714285714275</v>
      </c>
      <c r="P24" s="8">
        <f>Table35678[[#This Row],[Einfuhr: Wert $]]*1000/Table35678[[#This Row],[Einfuhr: Gewicht]]</f>
        <v>4600.3490401396166</v>
      </c>
    </row>
    <row r="25" spans="2:16" x14ac:dyDescent="0.25">
      <c r="B25">
        <f>(Table35678[[#This Row],[Jahr]]-$C$8)*12+Table35678[[#This Row],[Month nr]]</f>
        <v>15</v>
      </c>
      <c r="C25">
        <v>2009</v>
      </c>
      <c r="D25">
        <v>3</v>
      </c>
      <c r="E25" t="s">
        <v>15</v>
      </c>
      <c r="F25" t="str">
        <f>_xlfn.CONCAT(Table35678[[#This Row],[Monat]]," ",Table35678[[#This Row],[Jahr]])</f>
        <v>März 2009</v>
      </c>
      <c r="G25">
        <v>94.499999999999986</v>
      </c>
      <c r="H25">
        <v>328</v>
      </c>
      <c r="I25">
        <v>430</v>
      </c>
      <c r="J25">
        <v>1690.7</v>
      </c>
      <c r="K25">
        <v>6266</v>
      </c>
      <c r="L25">
        <v>8180</v>
      </c>
      <c r="M25" s="8">
        <f>Table35678[[#This Row],[Ausfuhr: Wert €]]*1000/Table35678[[#This Row],[Ausfuhr: Gewicht]]</f>
        <v>3470.8994708994715</v>
      </c>
      <c r="N25" s="8">
        <f>Table35678[[#This Row],[Einfuhr: Wert €]]*1000/Table35678[[#This Row],[Einfuhr: Gewicht]]</f>
        <v>3706.1572129887027</v>
      </c>
      <c r="O25" s="8">
        <f>Table35678[[#This Row],[Ausfuhr: Wert $]]*1000/Table35678[[#This Row],[Ausfuhr: Gewicht]]</f>
        <v>4550.264550264551</v>
      </c>
      <c r="P25" s="8">
        <f>Table35678[[#This Row],[Einfuhr: Wert $]]*1000/Table35678[[#This Row],[Einfuhr: Gewicht]]</f>
        <v>4838.2326846868164</v>
      </c>
    </row>
    <row r="26" spans="2:16" x14ac:dyDescent="0.25">
      <c r="B26">
        <f>(Table35678[[#This Row],[Jahr]]-$C$8)*12+Table35678[[#This Row],[Month nr]]</f>
        <v>16</v>
      </c>
      <c r="C26">
        <v>2009</v>
      </c>
      <c r="D26">
        <v>4</v>
      </c>
      <c r="E26" t="s">
        <v>16</v>
      </c>
      <c r="F26" t="str">
        <f>_xlfn.CONCAT(Table35678[[#This Row],[Monat]]," ",Table35678[[#This Row],[Jahr]])</f>
        <v>April 2009</v>
      </c>
      <c r="G26" s="10">
        <v>975.60000000000014</v>
      </c>
      <c r="H26" s="10">
        <v>2807</v>
      </c>
      <c r="I26" s="10">
        <v>3707</v>
      </c>
      <c r="J26" s="10">
        <v>8970.5</v>
      </c>
      <c r="K26" s="10">
        <v>27991</v>
      </c>
      <c r="L26" s="10">
        <v>36920</v>
      </c>
      <c r="M26" s="8">
        <f>Table35678[[#This Row],[Ausfuhr: Wert €]]*1000/Table35678[[#This Row],[Ausfuhr: Gewicht]]</f>
        <v>2877.2037720377198</v>
      </c>
      <c r="N26" s="8">
        <f>Table35678[[#This Row],[Einfuhr: Wert €]]*1000/Table35678[[#This Row],[Einfuhr: Gewicht]]</f>
        <v>3120.3388885792319</v>
      </c>
      <c r="O26" s="8">
        <f>Table35678[[#This Row],[Ausfuhr: Wert $]]*1000/Table35678[[#This Row],[Ausfuhr: Gewicht]]</f>
        <v>3799.712997129971</v>
      </c>
      <c r="P26" s="8">
        <f>Table35678[[#This Row],[Einfuhr: Wert $]]*1000/Table35678[[#This Row],[Einfuhr: Gewicht]]</f>
        <v>4115.7126135666904</v>
      </c>
    </row>
    <row r="27" spans="2:16" x14ac:dyDescent="0.25">
      <c r="B27">
        <f>(Table35678[[#This Row],[Jahr]]-$C$8)*12+Table35678[[#This Row],[Month nr]]</f>
        <v>17</v>
      </c>
      <c r="C27">
        <v>2009</v>
      </c>
      <c r="D27">
        <v>5</v>
      </c>
      <c r="E27" t="s">
        <v>20</v>
      </c>
      <c r="F27" t="str">
        <f>_xlfn.CONCAT(Table35678[[#This Row],[Monat]]," ",Table35678[[#This Row],[Jahr]])</f>
        <v>Mai 2009</v>
      </c>
      <c r="G27">
        <v>1136.0999999999999</v>
      </c>
      <c r="H27">
        <v>3375</v>
      </c>
      <c r="I27">
        <v>4610</v>
      </c>
      <c r="J27">
        <v>8189.1</v>
      </c>
      <c r="K27">
        <v>18337</v>
      </c>
      <c r="L27">
        <v>25031</v>
      </c>
      <c r="M27" s="8">
        <f>Table35678[[#This Row],[Ausfuhr: Wert €]]*1000/Table35678[[#This Row],[Ausfuhr: Gewicht]]</f>
        <v>2970.6891998943756</v>
      </c>
      <c r="N27" s="8">
        <f>Table35678[[#This Row],[Einfuhr: Wert €]]*1000/Table35678[[#This Row],[Einfuhr: Gewicht]]</f>
        <v>2239.1960044449329</v>
      </c>
      <c r="O27" s="8">
        <f>Table35678[[#This Row],[Ausfuhr: Wert $]]*1000/Table35678[[#This Row],[Ausfuhr: Gewicht]]</f>
        <v>4057.7413960038734</v>
      </c>
      <c r="P27" s="8">
        <f>Table35678[[#This Row],[Einfuhr: Wert $]]*1000/Table35678[[#This Row],[Einfuhr: Gewicht]]</f>
        <v>3056.6240490407981</v>
      </c>
    </row>
    <row r="28" spans="2:16" x14ac:dyDescent="0.25">
      <c r="B28">
        <f>(Table35678[[#This Row],[Jahr]]-$C$8)*12+Table35678[[#This Row],[Month nr]]</f>
        <v>18</v>
      </c>
      <c r="C28">
        <v>2009</v>
      </c>
      <c r="D28">
        <v>6</v>
      </c>
      <c r="E28" t="s">
        <v>21</v>
      </c>
      <c r="F28" t="str">
        <f>_xlfn.CONCAT(Table35678[[#This Row],[Monat]]," ",Table35678[[#This Row],[Jahr]])</f>
        <v>Juni 2009</v>
      </c>
      <c r="G28">
        <v>268.00000000000006</v>
      </c>
      <c r="H28">
        <v>975</v>
      </c>
      <c r="I28">
        <v>1368</v>
      </c>
      <c r="J28">
        <v>2888.5000000000005</v>
      </c>
      <c r="K28">
        <v>7462</v>
      </c>
      <c r="L28">
        <v>10460</v>
      </c>
      <c r="M28" s="8">
        <f>Table35678[[#This Row],[Ausfuhr: Wert €]]*1000/Table35678[[#This Row],[Ausfuhr: Gewicht]]</f>
        <v>3638.0597014925365</v>
      </c>
      <c r="N28" s="8">
        <f>Table35678[[#This Row],[Einfuhr: Wert €]]*1000/Table35678[[#This Row],[Einfuhr: Gewicht]]</f>
        <v>2583.3477583520853</v>
      </c>
      <c r="O28" s="8">
        <f>Table35678[[#This Row],[Ausfuhr: Wert $]]*1000/Table35678[[#This Row],[Ausfuhr: Gewicht]]</f>
        <v>5104.4776119402977</v>
      </c>
      <c r="P28" s="8">
        <f>Table35678[[#This Row],[Einfuhr: Wert $]]*1000/Table35678[[#This Row],[Einfuhr: Gewicht]]</f>
        <v>3621.2567076337195</v>
      </c>
    </row>
    <row r="29" spans="2:16" x14ac:dyDescent="0.25">
      <c r="B29">
        <f>(Table35678[[#This Row],[Jahr]]-$C$8)*12+Table35678[[#This Row],[Month nr]]</f>
        <v>19</v>
      </c>
      <c r="C29">
        <v>2009</v>
      </c>
      <c r="D29">
        <v>7</v>
      </c>
      <c r="E29" t="s">
        <v>22</v>
      </c>
      <c r="F29" t="str">
        <f>_xlfn.CONCAT(Table35678[[#This Row],[Monat]]," ",Table35678[[#This Row],[Jahr]])</f>
        <v>Juli 2009</v>
      </c>
      <c r="G29">
        <v>89.4</v>
      </c>
      <c r="H29">
        <v>300</v>
      </c>
      <c r="I29">
        <v>425</v>
      </c>
      <c r="J29">
        <v>900.3</v>
      </c>
      <c r="K29">
        <v>2627</v>
      </c>
      <c r="L29">
        <v>3701</v>
      </c>
      <c r="M29" s="8">
        <f>Table35678[[#This Row],[Ausfuhr: Wert €]]*1000/Table35678[[#This Row],[Ausfuhr: Gewicht]]</f>
        <v>3355.7046979865768</v>
      </c>
      <c r="N29" s="8">
        <f>Table35678[[#This Row],[Einfuhr: Wert €]]*1000/Table35678[[#This Row],[Einfuhr: Gewicht]]</f>
        <v>2917.9162501388428</v>
      </c>
      <c r="O29" s="8">
        <f>Table35678[[#This Row],[Ausfuhr: Wert $]]*1000/Table35678[[#This Row],[Ausfuhr: Gewicht]]</f>
        <v>4753.9149888143174</v>
      </c>
      <c r="P29" s="8">
        <f>Table35678[[#This Row],[Einfuhr: Wert $]]*1000/Table35678[[#This Row],[Einfuhr: Gewicht]]</f>
        <v>4110.8519382428085</v>
      </c>
    </row>
    <row r="30" spans="2:16" x14ac:dyDescent="0.25">
      <c r="B30">
        <f>(Table35678[[#This Row],[Jahr]]-$C$8)*12+Table35678[[#This Row],[Month nr]]</f>
        <v>20</v>
      </c>
      <c r="C30">
        <v>2009</v>
      </c>
      <c r="D30">
        <v>8</v>
      </c>
      <c r="E30" t="s">
        <v>17</v>
      </c>
      <c r="F30" t="str">
        <f>_xlfn.CONCAT(Table35678[[#This Row],[Monat]]," ",Table35678[[#This Row],[Jahr]])</f>
        <v>August 2009</v>
      </c>
      <c r="G30">
        <v>22.8</v>
      </c>
      <c r="H30">
        <v>116</v>
      </c>
      <c r="I30">
        <v>166</v>
      </c>
      <c r="J30">
        <v>219.6</v>
      </c>
      <c r="K30">
        <v>628</v>
      </c>
      <c r="L30">
        <v>896</v>
      </c>
      <c r="M30" s="8">
        <f>Table35678[[#This Row],[Ausfuhr: Wert €]]*1000/Table35678[[#This Row],[Ausfuhr: Gewicht]]</f>
        <v>5087.7192982456136</v>
      </c>
      <c r="N30" s="8">
        <f>Table35678[[#This Row],[Einfuhr: Wert €]]*1000/Table35678[[#This Row],[Einfuhr: Gewicht]]</f>
        <v>2859.7449908925319</v>
      </c>
      <c r="O30" s="8">
        <f>Table35678[[#This Row],[Ausfuhr: Wert $]]*1000/Table35678[[#This Row],[Ausfuhr: Gewicht]]</f>
        <v>7280.7017543859647</v>
      </c>
      <c r="P30" s="8">
        <f>Table35678[[#This Row],[Einfuhr: Wert $]]*1000/Table35678[[#This Row],[Einfuhr: Gewicht]]</f>
        <v>4080.1457194899817</v>
      </c>
    </row>
    <row r="31" spans="2:16" x14ac:dyDescent="0.25">
      <c r="B31">
        <f>(Table35678[[#This Row],[Jahr]]-$C$8)*12+Table35678[[#This Row],[Month nr]]</f>
        <v>21</v>
      </c>
      <c r="C31">
        <v>2009</v>
      </c>
      <c r="D31">
        <v>9</v>
      </c>
      <c r="E31" t="s">
        <v>18</v>
      </c>
      <c r="F31" t="str">
        <f>_xlfn.CONCAT(Table35678[[#This Row],[Monat]]," ",Table35678[[#This Row],[Jahr]])</f>
        <v>September 2009</v>
      </c>
      <c r="G31">
        <v>20.200000000000003</v>
      </c>
      <c r="H31">
        <v>101</v>
      </c>
      <c r="I31">
        <v>150</v>
      </c>
      <c r="J31">
        <v>256.39999999999998</v>
      </c>
      <c r="K31">
        <v>729</v>
      </c>
      <c r="L31">
        <v>1062</v>
      </c>
      <c r="M31" s="8">
        <f>Table35678[[#This Row],[Ausfuhr: Wert €]]*1000/Table35678[[#This Row],[Ausfuhr: Gewicht]]</f>
        <v>4999.9999999999991</v>
      </c>
      <c r="N31" s="8">
        <f>Table35678[[#This Row],[Einfuhr: Wert €]]*1000/Table35678[[#This Row],[Einfuhr: Gewicht]]</f>
        <v>2843.2137285491422</v>
      </c>
      <c r="O31" s="8">
        <f>Table35678[[#This Row],[Ausfuhr: Wert $]]*1000/Table35678[[#This Row],[Ausfuhr: Gewicht]]</f>
        <v>7425.7425742574251</v>
      </c>
      <c r="P31" s="8">
        <f>Table35678[[#This Row],[Einfuhr: Wert $]]*1000/Table35678[[#This Row],[Einfuhr: Gewicht]]</f>
        <v>4141.9656786271453</v>
      </c>
    </row>
    <row r="32" spans="2:16" x14ac:dyDescent="0.25">
      <c r="B32">
        <f>(Table35678[[#This Row],[Jahr]]-$C$8)*12+Table35678[[#This Row],[Month nr]]</f>
        <v>22</v>
      </c>
      <c r="C32">
        <v>2009</v>
      </c>
      <c r="D32">
        <v>10</v>
      </c>
      <c r="E32" t="s">
        <v>23</v>
      </c>
      <c r="F32" t="str">
        <f>_xlfn.CONCAT(Table35678[[#This Row],[Monat]]," ",Table35678[[#This Row],[Jahr]])</f>
        <v>Oktober 2009</v>
      </c>
      <c r="G32">
        <v>29.199999999999996</v>
      </c>
      <c r="H32">
        <v>104</v>
      </c>
      <c r="I32">
        <v>154</v>
      </c>
      <c r="J32">
        <v>367.9</v>
      </c>
      <c r="K32">
        <v>1014</v>
      </c>
      <c r="L32">
        <v>1504</v>
      </c>
      <c r="M32" s="8">
        <f>Table35678[[#This Row],[Ausfuhr: Wert €]]*1000/Table35678[[#This Row],[Ausfuhr: Gewicht]]</f>
        <v>3561.643835616439</v>
      </c>
      <c r="N32" s="8">
        <f>Table35678[[#This Row],[Einfuhr: Wert €]]*1000/Table35678[[#This Row],[Einfuhr: Gewicht]]</f>
        <v>2756.1837455830391</v>
      </c>
      <c r="O32" s="8">
        <f>Table35678[[#This Row],[Ausfuhr: Wert $]]*1000/Table35678[[#This Row],[Ausfuhr: Gewicht]]</f>
        <v>5273.9726027397264</v>
      </c>
      <c r="P32" s="8">
        <f>Table35678[[#This Row],[Einfuhr: Wert $]]*1000/Table35678[[#This Row],[Einfuhr: Gewicht]]</f>
        <v>4088.0674096221801</v>
      </c>
    </row>
    <row r="33" spans="2:16" x14ac:dyDescent="0.25">
      <c r="B33">
        <f>(Table35678[[#This Row],[Jahr]]-$C$8)*12+Table35678[[#This Row],[Month nr]]</f>
        <v>23</v>
      </c>
      <c r="C33">
        <v>2009</v>
      </c>
      <c r="D33">
        <v>11</v>
      </c>
      <c r="E33" t="s">
        <v>19</v>
      </c>
      <c r="F33" t="str">
        <f>_xlfn.CONCAT(Table35678[[#This Row],[Monat]]," ",Table35678[[#This Row],[Jahr]])</f>
        <v>November 2009</v>
      </c>
      <c r="G33">
        <v>30.599999999999998</v>
      </c>
      <c r="H33">
        <v>107</v>
      </c>
      <c r="I33">
        <v>158</v>
      </c>
      <c r="J33">
        <v>347.4</v>
      </c>
      <c r="K33">
        <v>931</v>
      </c>
      <c r="L33">
        <v>1386</v>
      </c>
      <c r="M33" s="8">
        <f>Table35678[[#This Row],[Ausfuhr: Wert €]]*1000/Table35678[[#This Row],[Ausfuhr: Gewicht]]</f>
        <v>3496.7320261437912</v>
      </c>
      <c r="N33" s="8">
        <f>Table35678[[#This Row],[Einfuhr: Wert €]]*1000/Table35678[[#This Row],[Einfuhr: Gewicht]]</f>
        <v>2679.9078871617735</v>
      </c>
      <c r="O33" s="8">
        <f>Table35678[[#This Row],[Ausfuhr: Wert $]]*1000/Table35678[[#This Row],[Ausfuhr: Gewicht]]</f>
        <v>5163.3986928104578</v>
      </c>
      <c r="P33" s="8">
        <f>Table35678[[#This Row],[Einfuhr: Wert $]]*1000/Table35678[[#This Row],[Einfuhr: Gewicht]]</f>
        <v>3989.6373056994821</v>
      </c>
    </row>
    <row r="34" spans="2:16" x14ac:dyDescent="0.25">
      <c r="B34">
        <f>(Table35678[[#This Row],[Jahr]]-$C$8)*12+Table35678[[#This Row],[Month nr]]</f>
        <v>24</v>
      </c>
      <c r="C34">
        <v>2009</v>
      </c>
      <c r="D34">
        <v>12</v>
      </c>
      <c r="E34" t="s">
        <v>24</v>
      </c>
      <c r="F34" t="str">
        <f>_xlfn.CONCAT(Table35678[[#This Row],[Monat]]," ",Table35678[[#This Row],[Jahr]])</f>
        <v>Dezember 2009</v>
      </c>
      <c r="G34">
        <v>57</v>
      </c>
      <c r="H34">
        <v>211</v>
      </c>
      <c r="I34">
        <v>309</v>
      </c>
      <c r="J34">
        <v>774.6</v>
      </c>
      <c r="K34">
        <v>2126</v>
      </c>
      <c r="L34">
        <v>3108</v>
      </c>
      <c r="M34" s="8">
        <f>Table35678[[#This Row],[Ausfuhr: Wert €]]*1000/Table35678[[#This Row],[Ausfuhr: Gewicht]]</f>
        <v>3701.7543859649122</v>
      </c>
      <c r="N34" s="8">
        <f>Table35678[[#This Row],[Einfuhr: Wert €]]*1000/Table35678[[#This Row],[Einfuhr: Gewicht]]</f>
        <v>2744.6423960753937</v>
      </c>
      <c r="O34" s="8">
        <f>Table35678[[#This Row],[Ausfuhr: Wert $]]*1000/Table35678[[#This Row],[Ausfuhr: Gewicht]]</f>
        <v>5421.0526315789475</v>
      </c>
      <c r="P34" s="8">
        <f>Table35678[[#This Row],[Einfuhr: Wert $]]*1000/Table35678[[#This Row],[Einfuhr: Gewicht]]</f>
        <v>4012.3934934159565</v>
      </c>
    </row>
    <row r="35" spans="2:16" x14ac:dyDescent="0.25">
      <c r="B35">
        <f>(Table35678[[#This Row],[Jahr]]-$C$8)*12+Table35678[[#This Row],[Month nr]]</f>
        <v>25</v>
      </c>
      <c r="C35">
        <v>2010</v>
      </c>
      <c r="D35">
        <v>1</v>
      </c>
      <c r="E35" t="s">
        <v>13</v>
      </c>
      <c r="F35" t="str">
        <f>_xlfn.CONCAT(Table35678[[#This Row],[Monat]]," ",Table35678[[#This Row],[Jahr]])</f>
        <v>Januar 2010</v>
      </c>
      <c r="G35">
        <v>20.900000000000002</v>
      </c>
      <c r="H35">
        <v>74</v>
      </c>
      <c r="I35">
        <v>110</v>
      </c>
      <c r="J35">
        <v>431.59999999999997</v>
      </c>
      <c r="K35">
        <v>1162</v>
      </c>
      <c r="L35">
        <v>1658</v>
      </c>
      <c r="M35" s="8">
        <f>Table35678[[#This Row],[Ausfuhr: Wert €]]*1000/Table35678[[#This Row],[Ausfuhr: Gewicht]]</f>
        <v>3540.6698564593298</v>
      </c>
      <c r="N35" s="8">
        <f>Table35678[[#This Row],[Einfuhr: Wert €]]*1000/Table35678[[#This Row],[Einfuhr: Gewicht]]</f>
        <v>2692.3076923076924</v>
      </c>
      <c r="O35" s="8">
        <f>Table35678[[#This Row],[Ausfuhr: Wert $]]*1000/Table35678[[#This Row],[Ausfuhr: Gewicht]]</f>
        <v>5263.1578947368416</v>
      </c>
      <c r="P35" s="8">
        <f>Table35678[[#This Row],[Einfuhr: Wert $]]*1000/Table35678[[#This Row],[Einfuhr: Gewicht]]</f>
        <v>3841.5199258572757</v>
      </c>
    </row>
    <row r="36" spans="2:16" x14ac:dyDescent="0.25">
      <c r="B36">
        <f>(Table35678[[#This Row],[Jahr]]-$C$8)*12+Table35678[[#This Row],[Month nr]]</f>
        <v>26</v>
      </c>
      <c r="C36">
        <v>2010</v>
      </c>
      <c r="D36">
        <v>2</v>
      </c>
      <c r="E36" t="s">
        <v>14</v>
      </c>
      <c r="F36" t="str">
        <f>_xlfn.CONCAT(Table35678[[#This Row],[Monat]]," ",Table35678[[#This Row],[Jahr]])</f>
        <v>Februar 2010</v>
      </c>
      <c r="G36">
        <v>23.700000000000006</v>
      </c>
      <c r="H36">
        <v>99</v>
      </c>
      <c r="I36">
        <v>138</v>
      </c>
      <c r="J36">
        <v>307.8</v>
      </c>
      <c r="K36">
        <v>845</v>
      </c>
      <c r="L36">
        <v>1158</v>
      </c>
      <c r="M36" s="8">
        <f>Table35678[[#This Row],[Ausfuhr: Wert €]]*1000/Table35678[[#This Row],[Ausfuhr: Gewicht]]</f>
        <v>4177.2151898734164</v>
      </c>
      <c r="N36" s="8">
        <f>Table35678[[#This Row],[Einfuhr: Wert €]]*1000/Table35678[[#This Row],[Einfuhr: Gewicht]]</f>
        <v>2745.2891487979205</v>
      </c>
      <c r="O36" s="8">
        <f>Table35678[[#This Row],[Ausfuhr: Wert $]]*1000/Table35678[[#This Row],[Ausfuhr: Gewicht]]</f>
        <v>5822.7848101265809</v>
      </c>
      <c r="P36" s="8">
        <f>Table35678[[#This Row],[Einfuhr: Wert $]]*1000/Table35678[[#This Row],[Einfuhr: Gewicht]]</f>
        <v>3762.1832358674465</v>
      </c>
    </row>
    <row r="37" spans="2:16" x14ac:dyDescent="0.25">
      <c r="B37">
        <f>(Table35678[[#This Row],[Jahr]]-$C$8)*12+Table35678[[#This Row],[Month nr]]</f>
        <v>27</v>
      </c>
      <c r="C37">
        <v>2010</v>
      </c>
      <c r="D37">
        <v>3</v>
      </c>
      <c r="E37" t="s">
        <v>15</v>
      </c>
      <c r="F37" t="str">
        <f>_xlfn.CONCAT(Table35678[[#This Row],[Monat]]," ",Table35678[[#This Row],[Jahr]])</f>
        <v>März 2010</v>
      </c>
      <c r="G37">
        <v>271.90000000000003</v>
      </c>
      <c r="H37">
        <v>1136</v>
      </c>
      <c r="I37">
        <v>1543</v>
      </c>
      <c r="J37">
        <v>1818.3999999999999</v>
      </c>
      <c r="K37">
        <v>6867</v>
      </c>
      <c r="L37">
        <v>9315</v>
      </c>
      <c r="M37" s="8">
        <f>Table35678[[#This Row],[Ausfuhr: Wert €]]*1000/Table35678[[#This Row],[Ausfuhr: Gewicht]]</f>
        <v>4178.0066200809115</v>
      </c>
      <c r="N37" s="8">
        <f>Table35678[[#This Row],[Einfuhr: Wert €]]*1000/Table35678[[#This Row],[Einfuhr: Gewicht]]</f>
        <v>3776.3968323801146</v>
      </c>
      <c r="O37" s="8">
        <f>Table35678[[#This Row],[Ausfuhr: Wert $]]*1000/Table35678[[#This Row],[Ausfuhr: Gewicht]]</f>
        <v>5674.880470761309</v>
      </c>
      <c r="P37" s="8">
        <f>Table35678[[#This Row],[Einfuhr: Wert $]]*1000/Table35678[[#This Row],[Einfuhr: Gewicht]]</f>
        <v>5122.6352837659488</v>
      </c>
    </row>
    <row r="38" spans="2:16" x14ac:dyDescent="0.25">
      <c r="B38">
        <f>(Table35678[[#This Row],[Jahr]]-$C$8)*12+Table35678[[#This Row],[Month nr]]</f>
        <v>28</v>
      </c>
      <c r="C38">
        <v>2010</v>
      </c>
      <c r="D38">
        <v>4</v>
      </c>
      <c r="E38" t="s">
        <v>16</v>
      </c>
      <c r="F38" t="str">
        <f>_xlfn.CONCAT(Table35678[[#This Row],[Monat]]," ",Table35678[[#This Row],[Jahr]])</f>
        <v>April 2010</v>
      </c>
      <c r="G38" s="10">
        <v>1445.3</v>
      </c>
      <c r="H38" s="10">
        <v>4359</v>
      </c>
      <c r="I38" s="10">
        <v>5846</v>
      </c>
      <c r="J38" s="10">
        <v>8780.2999999999993</v>
      </c>
      <c r="K38" s="10">
        <v>28327</v>
      </c>
      <c r="L38" s="10">
        <v>37970</v>
      </c>
      <c r="M38" s="8">
        <f>Table35678[[#This Row],[Ausfuhr: Wert €]]*1000/Table35678[[#This Row],[Ausfuhr: Gewicht]]</f>
        <v>3015.9828409326783</v>
      </c>
      <c r="N38" s="8">
        <f>Table35678[[#This Row],[Einfuhr: Wert €]]*1000/Table35678[[#This Row],[Einfuhr: Gewicht]]</f>
        <v>3226.1995603794862</v>
      </c>
      <c r="O38" s="8">
        <f>Table35678[[#This Row],[Ausfuhr: Wert $]]*1000/Table35678[[#This Row],[Ausfuhr: Gewicht]]</f>
        <v>4044.8349823566041</v>
      </c>
      <c r="P38" s="8">
        <f>Table35678[[#This Row],[Einfuhr: Wert $]]*1000/Table35678[[#This Row],[Einfuhr: Gewicht]]</f>
        <v>4324.4536063688029</v>
      </c>
    </row>
    <row r="39" spans="2:16" x14ac:dyDescent="0.25">
      <c r="B39">
        <f>(Table35678[[#This Row],[Jahr]]-$C$8)*12+Table35678[[#This Row],[Month nr]]</f>
        <v>29</v>
      </c>
      <c r="C39">
        <v>2010</v>
      </c>
      <c r="D39">
        <v>5</v>
      </c>
      <c r="E39" t="s">
        <v>20</v>
      </c>
      <c r="F39" t="str">
        <f>_xlfn.CONCAT(Table35678[[#This Row],[Monat]]," ",Table35678[[#This Row],[Jahr]])</f>
        <v>Mai 2010</v>
      </c>
      <c r="G39">
        <v>1576.4999999999998</v>
      </c>
      <c r="H39">
        <v>5354</v>
      </c>
      <c r="I39">
        <v>6729</v>
      </c>
      <c r="J39">
        <v>9918.7999999999993</v>
      </c>
      <c r="K39">
        <v>25811</v>
      </c>
      <c r="L39">
        <v>32430</v>
      </c>
      <c r="M39" s="8">
        <f>Table35678[[#This Row],[Ausfuhr: Wert €]]*1000/Table35678[[#This Row],[Ausfuhr: Gewicht]]</f>
        <v>3396.1306692039334</v>
      </c>
      <c r="N39" s="8">
        <f>Table35678[[#This Row],[Einfuhr: Wert €]]*1000/Table35678[[#This Row],[Einfuhr: Gewicht]]</f>
        <v>2602.2301084808646</v>
      </c>
      <c r="O39" s="8">
        <f>Table35678[[#This Row],[Ausfuhr: Wert $]]*1000/Table35678[[#This Row],[Ausfuhr: Gewicht]]</f>
        <v>4268.3158896289251</v>
      </c>
      <c r="P39" s="8">
        <f>Table35678[[#This Row],[Einfuhr: Wert $]]*1000/Table35678[[#This Row],[Einfuhr: Gewicht]]</f>
        <v>3269.5487357341617</v>
      </c>
    </row>
    <row r="40" spans="2:16" x14ac:dyDescent="0.25">
      <c r="B40">
        <f>(Table35678[[#This Row],[Jahr]]-$C$8)*12+Table35678[[#This Row],[Month nr]]</f>
        <v>30</v>
      </c>
      <c r="C40">
        <v>2010</v>
      </c>
      <c r="D40">
        <v>6</v>
      </c>
      <c r="E40" t="s">
        <v>21</v>
      </c>
      <c r="F40" t="str">
        <f>_xlfn.CONCAT(Table35678[[#This Row],[Monat]]," ",Table35678[[#This Row],[Jahr]])</f>
        <v>Juni 2010</v>
      </c>
      <c r="G40">
        <v>546.29999999999995</v>
      </c>
      <c r="H40">
        <v>1812</v>
      </c>
      <c r="I40">
        <v>2212</v>
      </c>
      <c r="J40">
        <v>3143.5000000000005</v>
      </c>
      <c r="K40">
        <v>7654</v>
      </c>
      <c r="L40">
        <v>9343</v>
      </c>
      <c r="M40" s="8">
        <f>Table35678[[#This Row],[Ausfuhr: Wert €]]*1000/Table35678[[#This Row],[Ausfuhr: Gewicht]]</f>
        <v>3316.8588687534325</v>
      </c>
      <c r="N40" s="8">
        <f>Table35678[[#This Row],[Einfuhr: Wert €]]*1000/Table35678[[#This Row],[Einfuhr: Gewicht]]</f>
        <v>2434.865595673612</v>
      </c>
      <c r="O40" s="8">
        <f>Table35678[[#This Row],[Ausfuhr: Wert $]]*1000/Table35678[[#This Row],[Ausfuhr: Gewicht]]</f>
        <v>4049.0572945268173</v>
      </c>
      <c r="P40" s="8">
        <f>Table35678[[#This Row],[Einfuhr: Wert $]]*1000/Table35678[[#This Row],[Einfuhr: Gewicht]]</f>
        <v>2972.1647844759023</v>
      </c>
    </row>
    <row r="41" spans="2:16" x14ac:dyDescent="0.25">
      <c r="B41">
        <f>(Table35678[[#This Row],[Jahr]]-$C$8)*12+Table35678[[#This Row],[Month nr]]</f>
        <v>31</v>
      </c>
      <c r="C41">
        <v>2010</v>
      </c>
      <c r="D41">
        <v>7</v>
      </c>
      <c r="E41" t="s">
        <v>22</v>
      </c>
      <c r="F41" t="str">
        <f>_xlfn.CONCAT(Table35678[[#This Row],[Monat]]," ",Table35678[[#This Row],[Jahr]])</f>
        <v>Juli 2010</v>
      </c>
      <c r="G41">
        <v>69.100000000000009</v>
      </c>
      <c r="H41">
        <v>278</v>
      </c>
      <c r="I41">
        <v>357</v>
      </c>
      <c r="J41">
        <v>574.19999999999993</v>
      </c>
      <c r="K41">
        <v>1765</v>
      </c>
      <c r="L41">
        <v>2256</v>
      </c>
      <c r="M41" s="8">
        <f>Table35678[[#This Row],[Ausfuhr: Wert €]]*1000/Table35678[[#This Row],[Ausfuhr: Gewicht]]</f>
        <v>4023.1548480463093</v>
      </c>
      <c r="N41" s="8">
        <f>Table35678[[#This Row],[Einfuhr: Wert €]]*1000/Table35678[[#This Row],[Einfuhr: Gewicht]]</f>
        <v>3073.8418669453154</v>
      </c>
      <c r="O41" s="8">
        <f>Table35678[[#This Row],[Ausfuhr: Wert $]]*1000/Table35678[[#This Row],[Ausfuhr: Gewicht]]</f>
        <v>5166.4254703328506</v>
      </c>
      <c r="P41" s="8">
        <f>Table35678[[#This Row],[Einfuhr: Wert $]]*1000/Table35678[[#This Row],[Einfuhr: Gewicht]]</f>
        <v>3928.9446185997913</v>
      </c>
    </row>
    <row r="42" spans="2:16" x14ac:dyDescent="0.25">
      <c r="B42">
        <f>(Table35678[[#This Row],[Jahr]]-$C$8)*12+Table35678[[#This Row],[Month nr]]</f>
        <v>32</v>
      </c>
      <c r="C42">
        <v>2010</v>
      </c>
      <c r="D42">
        <v>8</v>
      </c>
      <c r="E42" t="s">
        <v>17</v>
      </c>
      <c r="F42" t="str">
        <f>_xlfn.CONCAT(Table35678[[#This Row],[Monat]]," ",Table35678[[#This Row],[Jahr]])</f>
        <v>August 2010</v>
      </c>
      <c r="G42">
        <v>36.700000000000003</v>
      </c>
      <c r="H42">
        <v>235</v>
      </c>
      <c r="I42">
        <v>301</v>
      </c>
      <c r="J42">
        <v>267.7</v>
      </c>
      <c r="K42">
        <v>939</v>
      </c>
      <c r="L42">
        <v>1210</v>
      </c>
      <c r="M42" s="8">
        <f>Table35678[[#This Row],[Ausfuhr: Wert €]]*1000/Table35678[[#This Row],[Ausfuhr: Gewicht]]</f>
        <v>6403.269754768392</v>
      </c>
      <c r="N42" s="8">
        <f>Table35678[[#This Row],[Einfuhr: Wert €]]*1000/Table35678[[#This Row],[Einfuhr: Gewicht]]</f>
        <v>3507.6578259245425</v>
      </c>
      <c r="O42" s="8">
        <f>Table35678[[#This Row],[Ausfuhr: Wert $]]*1000/Table35678[[#This Row],[Ausfuhr: Gewicht]]</f>
        <v>8201.6348773841964</v>
      </c>
      <c r="P42" s="8">
        <f>Table35678[[#This Row],[Einfuhr: Wert $]]*1000/Table35678[[#This Row],[Einfuhr: Gewicht]]</f>
        <v>4519.9850579006352</v>
      </c>
    </row>
    <row r="43" spans="2:16" x14ac:dyDescent="0.25">
      <c r="B43">
        <f>(Table35678[[#This Row],[Jahr]]-$C$8)*12+Table35678[[#This Row],[Month nr]]</f>
        <v>33</v>
      </c>
      <c r="C43">
        <v>2010</v>
      </c>
      <c r="D43">
        <v>9</v>
      </c>
      <c r="E43" t="s">
        <v>18</v>
      </c>
      <c r="F43" t="str">
        <f>_xlfn.CONCAT(Table35678[[#This Row],[Monat]]," ",Table35678[[#This Row],[Jahr]])</f>
        <v>September 2010</v>
      </c>
      <c r="G43">
        <v>27.900000000000002</v>
      </c>
      <c r="H43">
        <v>129</v>
      </c>
      <c r="I43">
        <v>168</v>
      </c>
      <c r="J43">
        <v>260.8</v>
      </c>
      <c r="K43">
        <v>861</v>
      </c>
      <c r="L43">
        <v>1125</v>
      </c>
      <c r="M43" s="8">
        <f>Table35678[[#This Row],[Ausfuhr: Wert €]]*1000/Table35678[[#This Row],[Ausfuhr: Gewicht]]</f>
        <v>4623.655913978494</v>
      </c>
      <c r="N43" s="8">
        <f>Table35678[[#This Row],[Einfuhr: Wert €]]*1000/Table35678[[#This Row],[Einfuhr: Gewicht]]</f>
        <v>3301.3803680981596</v>
      </c>
      <c r="O43" s="8">
        <f>Table35678[[#This Row],[Ausfuhr: Wert $]]*1000/Table35678[[#This Row],[Ausfuhr: Gewicht]]</f>
        <v>6021.5053763440856</v>
      </c>
      <c r="P43" s="8">
        <f>Table35678[[#This Row],[Einfuhr: Wert $]]*1000/Table35678[[#This Row],[Einfuhr: Gewicht]]</f>
        <v>4313.6503067484664</v>
      </c>
    </row>
    <row r="44" spans="2:16" x14ac:dyDescent="0.25">
      <c r="B44">
        <f>(Table35678[[#This Row],[Jahr]]-$C$8)*12+Table35678[[#This Row],[Month nr]]</f>
        <v>34</v>
      </c>
      <c r="C44">
        <v>2010</v>
      </c>
      <c r="D44">
        <v>10</v>
      </c>
      <c r="E44" t="s">
        <v>23</v>
      </c>
      <c r="F44" t="str">
        <f>_xlfn.CONCAT(Table35678[[#This Row],[Monat]]," ",Table35678[[#This Row],[Jahr]])</f>
        <v>Oktober 2010</v>
      </c>
      <c r="G44">
        <v>51.20000000000001</v>
      </c>
      <c r="H44">
        <v>189</v>
      </c>
      <c r="I44">
        <v>266</v>
      </c>
      <c r="J44">
        <v>220.4</v>
      </c>
      <c r="K44">
        <v>775</v>
      </c>
      <c r="L44">
        <v>1077</v>
      </c>
      <c r="M44" s="8">
        <f>Table35678[[#This Row],[Ausfuhr: Wert €]]*1000/Table35678[[#This Row],[Ausfuhr: Gewicht]]</f>
        <v>3691.4062499999991</v>
      </c>
      <c r="N44" s="8">
        <f>Table35678[[#This Row],[Einfuhr: Wert €]]*1000/Table35678[[#This Row],[Einfuhr: Gewicht]]</f>
        <v>3516.3339382940107</v>
      </c>
      <c r="O44" s="8">
        <f>Table35678[[#This Row],[Ausfuhr: Wert $]]*1000/Table35678[[#This Row],[Ausfuhr: Gewicht]]</f>
        <v>5195.3124999999991</v>
      </c>
      <c r="P44" s="8">
        <f>Table35678[[#This Row],[Einfuhr: Wert $]]*1000/Table35678[[#This Row],[Einfuhr: Gewicht]]</f>
        <v>4886.5698729582573</v>
      </c>
    </row>
    <row r="45" spans="2:16" x14ac:dyDescent="0.25">
      <c r="B45">
        <f>(Table35678[[#This Row],[Jahr]]-$C$8)*12+Table35678[[#This Row],[Month nr]]</f>
        <v>35</v>
      </c>
      <c r="C45">
        <v>2010</v>
      </c>
      <c r="D45">
        <v>11</v>
      </c>
      <c r="E45" t="s">
        <v>19</v>
      </c>
      <c r="F45" t="str">
        <f>_xlfn.CONCAT(Table35678[[#This Row],[Monat]]," ",Table35678[[#This Row],[Jahr]])</f>
        <v>November 2010</v>
      </c>
      <c r="G45">
        <v>90.5</v>
      </c>
      <c r="H45">
        <v>274</v>
      </c>
      <c r="I45">
        <v>375</v>
      </c>
      <c r="J45">
        <v>595.40000000000009</v>
      </c>
      <c r="K45">
        <v>1871</v>
      </c>
      <c r="L45">
        <v>2559</v>
      </c>
      <c r="M45" s="8">
        <f>Table35678[[#This Row],[Ausfuhr: Wert €]]*1000/Table35678[[#This Row],[Ausfuhr: Gewicht]]</f>
        <v>3027.6243093922653</v>
      </c>
      <c r="N45" s="8">
        <f>Table35678[[#This Row],[Einfuhr: Wert €]]*1000/Table35678[[#This Row],[Einfuhr: Gewicht]]</f>
        <v>3142.4252603291898</v>
      </c>
      <c r="O45" s="8">
        <f>Table35678[[#This Row],[Ausfuhr: Wert $]]*1000/Table35678[[#This Row],[Ausfuhr: Gewicht]]</f>
        <v>4143.6464088397788</v>
      </c>
      <c r="P45" s="8">
        <f>Table35678[[#This Row],[Einfuhr: Wert $]]*1000/Table35678[[#This Row],[Einfuhr: Gewicht]]</f>
        <v>4297.9509573396026</v>
      </c>
    </row>
    <row r="46" spans="2:16" x14ac:dyDescent="0.25">
      <c r="B46">
        <f>(Table35678[[#This Row],[Jahr]]-$C$8)*12+Table35678[[#This Row],[Month nr]]</f>
        <v>36</v>
      </c>
      <c r="C46">
        <v>2010</v>
      </c>
      <c r="D46">
        <v>12</v>
      </c>
      <c r="E46" t="s">
        <v>24</v>
      </c>
      <c r="F46" t="str">
        <f>_xlfn.CONCAT(Table35678[[#This Row],[Monat]]," ",Table35678[[#This Row],[Jahr]])</f>
        <v>Dezember 2010</v>
      </c>
      <c r="G46">
        <v>118.39999999999999</v>
      </c>
      <c r="H46">
        <v>484</v>
      </c>
      <c r="I46">
        <v>639</v>
      </c>
      <c r="J46">
        <v>395.3</v>
      </c>
      <c r="K46">
        <v>1354</v>
      </c>
      <c r="L46">
        <v>1793</v>
      </c>
      <c r="M46" s="8">
        <f>Table35678[[#This Row],[Ausfuhr: Wert €]]*1000/Table35678[[#This Row],[Ausfuhr: Gewicht]]</f>
        <v>4087.8378378378379</v>
      </c>
      <c r="N46" s="8">
        <f>Table35678[[#This Row],[Einfuhr: Wert €]]*1000/Table35678[[#This Row],[Einfuhr: Gewicht]]</f>
        <v>3425.2466481153551</v>
      </c>
      <c r="O46" s="8">
        <f>Table35678[[#This Row],[Ausfuhr: Wert $]]*1000/Table35678[[#This Row],[Ausfuhr: Gewicht]]</f>
        <v>5396.95945945946</v>
      </c>
      <c r="P46" s="8">
        <f>Table35678[[#This Row],[Einfuhr: Wert $]]*1000/Table35678[[#This Row],[Einfuhr: Gewicht]]</f>
        <v>4535.7955982797876</v>
      </c>
    </row>
    <row r="47" spans="2:16" x14ac:dyDescent="0.25">
      <c r="B47">
        <f>(Table35678[[#This Row],[Jahr]]-$C$8)*12+Table35678[[#This Row],[Month nr]]</f>
        <v>37</v>
      </c>
      <c r="C47">
        <v>2011</v>
      </c>
      <c r="D47">
        <v>1</v>
      </c>
      <c r="E47" t="s">
        <v>13</v>
      </c>
      <c r="F47" t="str">
        <f>_xlfn.CONCAT(Table35678[[#This Row],[Monat]]," ",Table35678[[#This Row],[Jahr]])</f>
        <v>Januar 2011</v>
      </c>
      <c r="G47" s="6">
        <v>48.1</v>
      </c>
      <c r="H47" s="6">
        <v>190</v>
      </c>
      <c r="I47" s="6">
        <v>253</v>
      </c>
      <c r="J47" s="6">
        <v>695.09999999999991</v>
      </c>
      <c r="K47" s="6">
        <v>2011</v>
      </c>
      <c r="L47" s="6">
        <v>2685</v>
      </c>
      <c r="M47" s="8">
        <f>Table35678[[#This Row],[Ausfuhr: Wert €]]*1000/Table35678[[#This Row],[Ausfuhr: Gewicht]]</f>
        <v>3950.10395010395</v>
      </c>
      <c r="N47" s="8">
        <f>Table35678[[#This Row],[Einfuhr: Wert €]]*1000/Table35678[[#This Row],[Einfuhr: Gewicht]]</f>
        <v>2893.1089051934978</v>
      </c>
      <c r="O47" s="8">
        <f>Table35678[[#This Row],[Ausfuhr: Wert $]]*1000/Table35678[[#This Row],[Ausfuhr: Gewicht]]</f>
        <v>5259.8752598752599</v>
      </c>
      <c r="P47" s="8">
        <f>Table35678[[#This Row],[Einfuhr: Wert $]]*1000/Table35678[[#This Row],[Einfuhr: Gewicht]]</f>
        <v>3862.7535606387573</v>
      </c>
    </row>
    <row r="48" spans="2:16" x14ac:dyDescent="0.25">
      <c r="B48">
        <f>(Table35678[[#This Row],[Jahr]]-$C$8)*12+Table35678[[#This Row],[Month nr]]</f>
        <v>38</v>
      </c>
      <c r="C48">
        <v>2011</v>
      </c>
      <c r="D48">
        <v>2</v>
      </c>
      <c r="E48" t="s">
        <v>14</v>
      </c>
      <c r="F48" t="str">
        <f>_xlfn.CONCAT(Table35678[[#This Row],[Monat]]," ",Table35678[[#This Row],[Jahr]])</f>
        <v>Februar 2011</v>
      </c>
      <c r="G48" s="7">
        <v>47.899999999999991</v>
      </c>
      <c r="H48" s="7">
        <v>178</v>
      </c>
      <c r="I48" s="7">
        <v>244</v>
      </c>
      <c r="J48" s="7">
        <v>427.80000000000007</v>
      </c>
      <c r="K48" s="7">
        <v>1200</v>
      </c>
      <c r="L48" s="7">
        <v>1636</v>
      </c>
      <c r="M48" s="8">
        <f>Table35678[[#This Row],[Ausfuhr: Wert €]]*1000/Table35678[[#This Row],[Ausfuhr: Gewicht]]</f>
        <v>3716.0751565762012</v>
      </c>
      <c r="N48" s="8">
        <f>Table35678[[#This Row],[Einfuhr: Wert €]]*1000/Table35678[[#This Row],[Einfuhr: Gewicht]]</f>
        <v>2805.049088359046</v>
      </c>
      <c r="O48" s="8">
        <f>Table35678[[#This Row],[Ausfuhr: Wert $]]*1000/Table35678[[#This Row],[Ausfuhr: Gewicht]]</f>
        <v>5093.9457202505228</v>
      </c>
      <c r="P48" s="8">
        <f>Table35678[[#This Row],[Einfuhr: Wert $]]*1000/Table35678[[#This Row],[Einfuhr: Gewicht]]</f>
        <v>3824.2169237961657</v>
      </c>
    </row>
    <row r="49" spans="2:16" x14ac:dyDescent="0.25">
      <c r="B49">
        <f>(Table35678[[#This Row],[Jahr]]-$C$8)*12+Table35678[[#This Row],[Month nr]]</f>
        <v>39</v>
      </c>
      <c r="C49">
        <v>2011</v>
      </c>
      <c r="D49">
        <v>3</v>
      </c>
      <c r="E49" t="s">
        <v>15</v>
      </c>
      <c r="F49" t="str">
        <f>_xlfn.CONCAT(Table35678[[#This Row],[Monat]]," ",Table35678[[#This Row],[Jahr]])</f>
        <v>März 2011</v>
      </c>
      <c r="G49" s="6">
        <v>273.49999999999994</v>
      </c>
      <c r="H49" s="6">
        <v>1212</v>
      </c>
      <c r="I49" s="6">
        <v>1696</v>
      </c>
      <c r="J49" s="6">
        <v>1625.2000000000003</v>
      </c>
      <c r="K49" s="6">
        <v>5711</v>
      </c>
      <c r="L49" s="6">
        <v>7996</v>
      </c>
      <c r="M49" s="8">
        <f>Table35678[[#This Row],[Ausfuhr: Wert €]]*1000/Table35678[[#This Row],[Ausfuhr: Gewicht]]</f>
        <v>4431.4442413162715</v>
      </c>
      <c r="N49" s="8">
        <f>Table35678[[#This Row],[Einfuhr: Wert €]]*1000/Table35678[[#This Row],[Einfuhr: Gewicht]]</f>
        <v>3514.0290425793742</v>
      </c>
      <c r="O49" s="8">
        <f>Table35678[[#This Row],[Ausfuhr: Wert $]]*1000/Table35678[[#This Row],[Ausfuhr: Gewicht]]</f>
        <v>6201.0968921389413</v>
      </c>
      <c r="P49" s="8">
        <f>Table35678[[#This Row],[Einfuhr: Wert $]]*1000/Table35678[[#This Row],[Einfuhr: Gewicht]]</f>
        <v>4920.0098449421603</v>
      </c>
    </row>
    <row r="50" spans="2:16" x14ac:dyDescent="0.25">
      <c r="B50">
        <f>(Table35678[[#This Row],[Jahr]]-$C$8)*12+Table35678[[#This Row],[Month nr]]</f>
        <v>40</v>
      </c>
      <c r="C50">
        <v>2011</v>
      </c>
      <c r="D50">
        <v>4</v>
      </c>
      <c r="E50" t="s">
        <v>16</v>
      </c>
      <c r="F50" t="str">
        <f>_xlfn.CONCAT(Table35678[[#This Row],[Monat]]," ",Table35678[[#This Row],[Jahr]])</f>
        <v>April 2011</v>
      </c>
      <c r="G50" s="7">
        <v>1593.4</v>
      </c>
      <c r="H50" s="7">
        <v>5363</v>
      </c>
      <c r="I50" s="7">
        <v>7745</v>
      </c>
      <c r="J50" s="7">
        <v>8455.600000000004</v>
      </c>
      <c r="K50" s="7">
        <v>24249</v>
      </c>
      <c r="L50" s="7">
        <v>35022</v>
      </c>
      <c r="M50" s="8">
        <f>Table35678[[#This Row],[Ausfuhr: Wert €]]*1000/Table35678[[#This Row],[Ausfuhr: Gewicht]]</f>
        <v>3365.758754863813</v>
      </c>
      <c r="N50" s="8">
        <f>Table35678[[#This Row],[Einfuhr: Wert €]]*1000/Table35678[[#This Row],[Einfuhr: Gewicht]]</f>
        <v>2867.8035857892983</v>
      </c>
      <c r="O50" s="8">
        <f>Table35678[[#This Row],[Ausfuhr: Wert $]]*1000/Table35678[[#This Row],[Ausfuhr: Gewicht]]</f>
        <v>4860.6752855529057</v>
      </c>
      <c r="P50" s="8">
        <f>Table35678[[#This Row],[Einfuhr: Wert $]]*1000/Table35678[[#This Row],[Einfuhr: Gewicht]]</f>
        <v>4141.8704763706874</v>
      </c>
    </row>
    <row r="51" spans="2:16" x14ac:dyDescent="0.25">
      <c r="B51">
        <f>(Table35678[[#This Row],[Jahr]]-$C$8)*12+Table35678[[#This Row],[Month nr]]</f>
        <v>41</v>
      </c>
      <c r="C51">
        <v>2011</v>
      </c>
      <c r="D51">
        <v>5</v>
      </c>
      <c r="E51" t="s">
        <v>20</v>
      </c>
      <c r="F51" t="str">
        <f>_xlfn.CONCAT(Table35678[[#This Row],[Monat]]," ",Table35678[[#This Row],[Jahr]])</f>
        <v>Mai 2011</v>
      </c>
      <c r="G51" s="6">
        <v>2118.5999999999995</v>
      </c>
      <c r="H51" s="6">
        <v>5744</v>
      </c>
      <c r="I51" s="6">
        <v>8242</v>
      </c>
      <c r="J51" s="6">
        <v>8149.3</v>
      </c>
      <c r="K51" s="6">
        <v>18536</v>
      </c>
      <c r="L51" s="6">
        <v>26599</v>
      </c>
      <c r="M51" s="8">
        <f>Table35678[[#This Row],[Ausfuhr: Wert €]]*1000/Table35678[[#This Row],[Ausfuhr: Gewicht]]</f>
        <v>2711.2243934673847</v>
      </c>
      <c r="N51" s="8">
        <f>Table35678[[#This Row],[Einfuhr: Wert €]]*1000/Table35678[[#This Row],[Einfuhr: Gewicht]]</f>
        <v>2274.5511884456332</v>
      </c>
      <c r="O51" s="8">
        <f>Table35678[[#This Row],[Ausfuhr: Wert $]]*1000/Table35678[[#This Row],[Ausfuhr: Gewicht]]</f>
        <v>3890.3049183423027</v>
      </c>
      <c r="P51" s="8">
        <f>Table35678[[#This Row],[Einfuhr: Wert $]]*1000/Table35678[[#This Row],[Einfuhr: Gewicht]]</f>
        <v>3263.9613218313229</v>
      </c>
    </row>
    <row r="52" spans="2:16" x14ac:dyDescent="0.25">
      <c r="B52">
        <f>(Table35678[[#This Row],[Jahr]]-$C$8)*12+Table35678[[#This Row],[Month nr]]</f>
        <v>42</v>
      </c>
      <c r="C52">
        <v>2011</v>
      </c>
      <c r="D52">
        <v>6</v>
      </c>
      <c r="E52" t="s">
        <v>21</v>
      </c>
      <c r="F52" t="str">
        <f>_xlfn.CONCAT(Table35678[[#This Row],[Monat]]," ",Table35678[[#This Row],[Jahr]])</f>
        <v>Juni 2011</v>
      </c>
      <c r="G52" s="7">
        <v>392.30000000000007</v>
      </c>
      <c r="H52" s="7">
        <v>1293</v>
      </c>
      <c r="I52" s="7">
        <v>1859</v>
      </c>
      <c r="J52" s="7">
        <v>3589.1999999999994</v>
      </c>
      <c r="K52" s="7">
        <v>9187</v>
      </c>
      <c r="L52" s="7">
        <v>13221</v>
      </c>
      <c r="M52" s="8">
        <f>Table35678[[#This Row],[Ausfuhr: Wert €]]*1000/Table35678[[#This Row],[Ausfuhr: Gewicht]]</f>
        <v>3295.9469793525359</v>
      </c>
      <c r="N52" s="8">
        <f>Table35678[[#This Row],[Einfuhr: Wert €]]*1000/Table35678[[#This Row],[Einfuhr: Gewicht]]</f>
        <v>2559.6233143876079</v>
      </c>
      <c r="O52" s="8">
        <f>Table35678[[#This Row],[Ausfuhr: Wert $]]*1000/Table35678[[#This Row],[Ausfuhr: Gewicht]]</f>
        <v>4738.7203670660201</v>
      </c>
      <c r="P52" s="8">
        <f>Table35678[[#This Row],[Einfuhr: Wert $]]*1000/Table35678[[#This Row],[Einfuhr: Gewicht]]</f>
        <v>3683.550651955868</v>
      </c>
    </row>
    <row r="53" spans="2:16" x14ac:dyDescent="0.25">
      <c r="B53">
        <f>(Table35678[[#This Row],[Jahr]]-$C$8)*12+Table35678[[#This Row],[Month nr]]</f>
        <v>43</v>
      </c>
      <c r="C53">
        <v>2011</v>
      </c>
      <c r="D53">
        <v>7</v>
      </c>
      <c r="E53" t="s">
        <v>22</v>
      </c>
      <c r="F53" t="str">
        <f>_xlfn.CONCAT(Table35678[[#This Row],[Monat]]," ",Table35678[[#This Row],[Jahr]])</f>
        <v>Juli 2011</v>
      </c>
      <c r="G53" s="6">
        <v>115.8</v>
      </c>
      <c r="H53" s="6">
        <v>397</v>
      </c>
      <c r="I53" s="6">
        <v>564</v>
      </c>
      <c r="J53" s="6">
        <v>921.3</v>
      </c>
      <c r="K53" s="6">
        <v>2684</v>
      </c>
      <c r="L53" s="6">
        <v>3828</v>
      </c>
      <c r="M53" s="8">
        <f>Table35678[[#This Row],[Ausfuhr: Wert €]]*1000/Table35678[[#This Row],[Ausfuhr: Gewicht]]</f>
        <v>3428.3246977547496</v>
      </c>
      <c r="N53" s="8">
        <f>Table35678[[#This Row],[Einfuhr: Wert €]]*1000/Table35678[[#This Row],[Einfuhr: Gewicht]]</f>
        <v>2913.2747205036362</v>
      </c>
      <c r="O53" s="8">
        <f>Table35678[[#This Row],[Ausfuhr: Wert $]]*1000/Table35678[[#This Row],[Ausfuhr: Gewicht]]</f>
        <v>4870.4663212435235</v>
      </c>
      <c r="P53" s="8">
        <f>Table35678[[#This Row],[Einfuhr: Wert $]]*1000/Table35678[[#This Row],[Einfuhr: Gewicht]]</f>
        <v>4154.9983718658423</v>
      </c>
    </row>
    <row r="54" spans="2:16" x14ac:dyDescent="0.25">
      <c r="B54">
        <f>(Table35678[[#This Row],[Jahr]]-$C$8)*12+Table35678[[#This Row],[Month nr]]</f>
        <v>44</v>
      </c>
      <c r="C54">
        <v>2011</v>
      </c>
      <c r="D54">
        <v>8</v>
      </c>
      <c r="E54" t="s">
        <v>17</v>
      </c>
      <c r="F54" t="str">
        <f>_xlfn.CONCAT(Table35678[[#This Row],[Monat]]," ",Table35678[[#This Row],[Jahr]])</f>
        <v>August 2011</v>
      </c>
      <c r="G54" s="7">
        <v>54.199999999999996</v>
      </c>
      <c r="H54" s="7">
        <v>256</v>
      </c>
      <c r="I54" s="7">
        <v>371</v>
      </c>
      <c r="J54" s="7">
        <v>273.8</v>
      </c>
      <c r="K54" s="7">
        <v>974</v>
      </c>
      <c r="L54" s="7">
        <v>1398</v>
      </c>
      <c r="M54" s="8">
        <f>Table35678[[#This Row],[Ausfuhr: Wert €]]*1000/Table35678[[#This Row],[Ausfuhr: Gewicht]]</f>
        <v>4723.2472324723249</v>
      </c>
      <c r="N54" s="8">
        <f>Table35678[[#This Row],[Einfuhr: Wert €]]*1000/Table35678[[#This Row],[Einfuhr: Gewicht]]</f>
        <v>3557.3411249086921</v>
      </c>
      <c r="O54" s="8">
        <f>Table35678[[#This Row],[Ausfuhr: Wert $]]*1000/Table35678[[#This Row],[Ausfuhr: Gewicht]]</f>
        <v>6845.0184501845024</v>
      </c>
      <c r="P54" s="8">
        <f>Table35678[[#This Row],[Einfuhr: Wert $]]*1000/Table35678[[#This Row],[Einfuhr: Gewicht]]</f>
        <v>5105.9167275383488</v>
      </c>
    </row>
    <row r="55" spans="2:16" x14ac:dyDescent="0.25">
      <c r="B55">
        <f>(Table35678[[#This Row],[Jahr]]-$C$8)*12+Table35678[[#This Row],[Month nr]]</f>
        <v>45</v>
      </c>
      <c r="C55">
        <v>2011</v>
      </c>
      <c r="D55">
        <v>9</v>
      </c>
      <c r="E55" t="s">
        <v>18</v>
      </c>
      <c r="F55" t="str">
        <f>_xlfn.CONCAT(Table35678[[#This Row],[Monat]]," ",Table35678[[#This Row],[Jahr]])</f>
        <v>September 2011</v>
      </c>
      <c r="G55" s="6">
        <v>50</v>
      </c>
      <c r="H55" s="6">
        <v>237</v>
      </c>
      <c r="I55" s="6">
        <v>327</v>
      </c>
      <c r="J55" s="6">
        <v>281.90000000000003</v>
      </c>
      <c r="K55" s="6">
        <v>997</v>
      </c>
      <c r="L55" s="6">
        <v>1373</v>
      </c>
      <c r="M55" s="8">
        <f>Table35678[[#This Row],[Ausfuhr: Wert €]]*1000/Table35678[[#This Row],[Ausfuhr: Gewicht]]</f>
        <v>4740</v>
      </c>
      <c r="N55" s="8">
        <f>Table35678[[#This Row],[Einfuhr: Wert €]]*1000/Table35678[[#This Row],[Einfuhr: Gewicht]]</f>
        <v>3536.7151472153241</v>
      </c>
      <c r="O55" s="8">
        <f>Table35678[[#This Row],[Ausfuhr: Wert $]]*1000/Table35678[[#This Row],[Ausfuhr: Gewicht]]</f>
        <v>6540</v>
      </c>
      <c r="P55" s="8">
        <f>Table35678[[#This Row],[Einfuhr: Wert $]]*1000/Table35678[[#This Row],[Einfuhr: Gewicht]]</f>
        <v>4870.5214615111736</v>
      </c>
    </row>
    <row r="56" spans="2:16" x14ac:dyDescent="0.25">
      <c r="B56">
        <f>(Table35678[[#This Row],[Jahr]]-$C$8)*12+Table35678[[#This Row],[Month nr]]</f>
        <v>46</v>
      </c>
      <c r="C56">
        <v>2011</v>
      </c>
      <c r="D56">
        <v>10</v>
      </c>
      <c r="E56" t="s">
        <v>23</v>
      </c>
      <c r="F56" t="str">
        <f>_xlfn.CONCAT(Table35678[[#This Row],[Monat]]," ",Table35678[[#This Row],[Jahr]])</f>
        <v>Oktober 2011</v>
      </c>
      <c r="G56" s="7">
        <v>31.700000000000003</v>
      </c>
      <c r="H56" s="7">
        <v>151</v>
      </c>
      <c r="I56" s="7">
        <v>205</v>
      </c>
      <c r="J56" s="7">
        <v>245.79999999999998</v>
      </c>
      <c r="K56" s="7">
        <v>805</v>
      </c>
      <c r="L56" s="7">
        <v>1106</v>
      </c>
      <c r="M56" s="8">
        <f>Table35678[[#This Row],[Ausfuhr: Wert €]]*1000/Table35678[[#This Row],[Ausfuhr: Gewicht]]</f>
        <v>4763.4069400630915</v>
      </c>
      <c r="N56" s="8">
        <f>Table35678[[#This Row],[Einfuhr: Wert €]]*1000/Table35678[[#This Row],[Einfuhr: Gewicht]]</f>
        <v>3275.0203417412531</v>
      </c>
      <c r="O56" s="8">
        <f>Table35678[[#This Row],[Ausfuhr: Wert $]]*1000/Table35678[[#This Row],[Ausfuhr: Gewicht]]</f>
        <v>6466.8769716088318</v>
      </c>
      <c r="P56" s="8">
        <f>Table35678[[#This Row],[Einfuhr: Wert $]]*1000/Table35678[[#This Row],[Einfuhr: Gewicht]]</f>
        <v>4499.5931651749397</v>
      </c>
    </row>
    <row r="57" spans="2:16" x14ac:dyDescent="0.25">
      <c r="B57">
        <f>(Table35678[[#This Row],[Jahr]]-$C$8)*12+Table35678[[#This Row],[Month nr]]</f>
        <v>47</v>
      </c>
      <c r="C57">
        <v>2011</v>
      </c>
      <c r="D57">
        <v>11</v>
      </c>
      <c r="E57" t="s">
        <v>19</v>
      </c>
      <c r="F57" t="str">
        <f>_xlfn.CONCAT(Table35678[[#This Row],[Monat]]," ",Table35678[[#This Row],[Jahr]])</f>
        <v>November 2011</v>
      </c>
      <c r="G57" s="6">
        <v>33.6</v>
      </c>
      <c r="H57" s="6">
        <v>130</v>
      </c>
      <c r="I57" s="6">
        <v>176</v>
      </c>
      <c r="J57" s="6">
        <v>155.19999999999999</v>
      </c>
      <c r="K57" s="6">
        <v>556</v>
      </c>
      <c r="L57" s="6">
        <v>753</v>
      </c>
      <c r="M57" s="8">
        <f>Table35678[[#This Row],[Ausfuhr: Wert €]]*1000/Table35678[[#This Row],[Ausfuhr: Gewicht]]</f>
        <v>3869.0476190476188</v>
      </c>
      <c r="N57" s="8">
        <f>Table35678[[#This Row],[Einfuhr: Wert €]]*1000/Table35678[[#This Row],[Einfuhr: Gewicht]]</f>
        <v>3582.4742268041241</v>
      </c>
      <c r="O57" s="8">
        <f>Table35678[[#This Row],[Ausfuhr: Wert $]]*1000/Table35678[[#This Row],[Ausfuhr: Gewicht]]</f>
        <v>5238.0952380952376</v>
      </c>
      <c r="P57" s="8">
        <f>Table35678[[#This Row],[Einfuhr: Wert $]]*1000/Table35678[[#This Row],[Einfuhr: Gewicht]]</f>
        <v>4851.8041237113403</v>
      </c>
    </row>
    <row r="58" spans="2:16" x14ac:dyDescent="0.25">
      <c r="B58">
        <f>(Table35678[[#This Row],[Jahr]]-$C$8)*12+Table35678[[#This Row],[Month nr]]</f>
        <v>48</v>
      </c>
      <c r="C58">
        <v>2011</v>
      </c>
      <c r="D58">
        <v>12</v>
      </c>
      <c r="E58" t="s">
        <v>24</v>
      </c>
      <c r="F58" t="str">
        <f>_xlfn.CONCAT(Table35678[[#This Row],[Monat]]," ",Table35678[[#This Row],[Jahr]])</f>
        <v>Dezember 2011</v>
      </c>
      <c r="G58" s="7">
        <v>71.5</v>
      </c>
      <c r="H58" s="7">
        <v>307</v>
      </c>
      <c r="I58" s="7">
        <v>404</v>
      </c>
      <c r="J58" s="7">
        <v>359.1</v>
      </c>
      <c r="K58" s="7">
        <v>1186</v>
      </c>
      <c r="L58" s="7">
        <v>1564</v>
      </c>
      <c r="M58" s="8">
        <f>Table35678[[#This Row],[Ausfuhr: Wert €]]*1000/Table35678[[#This Row],[Ausfuhr: Gewicht]]</f>
        <v>4293.7062937062938</v>
      </c>
      <c r="N58" s="8">
        <f>Table35678[[#This Row],[Einfuhr: Wert €]]*1000/Table35678[[#This Row],[Einfuhr: Gewicht]]</f>
        <v>3302.7011974380393</v>
      </c>
      <c r="O58" s="8">
        <f>Table35678[[#This Row],[Ausfuhr: Wert $]]*1000/Table35678[[#This Row],[Ausfuhr: Gewicht]]</f>
        <v>5650.3496503496508</v>
      </c>
      <c r="P58" s="8">
        <f>Table35678[[#This Row],[Einfuhr: Wert $]]*1000/Table35678[[#This Row],[Einfuhr: Gewicht]]</f>
        <v>4355.3327763854077</v>
      </c>
    </row>
    <row r="59" spans="2:16" x14ac:dyDescent="0.25">
      <c r="B59">
        <f>(Table35678[[#This Row],[Jahr]]-$C$8)*12+Table35678[[#This Row],[Month nr]]</f>
        <v>49</v>
      </c>
      <c r="C59">
        <v>2012</v>
      </c>
      <c r="D59">
        <v>1</v>
      </c>
      <c r="E59" t="s">
        <v>13</v>
      </c>
      <c r="F59" t="str">
        <f>_xlfn.CONCAT(Table35678[[#This Row],[Monat]]," ",Table35678[[#This Row],[Jahr]])</f>
        <v>Januar 2012</v>
      </c>
      <c r="G59">
        <v>43.7</v>
      </c>
      <c r="H59">
        <v>174</v>
      </c>
      <c r="I59">
        <v>222</v>
      </c>
      <c r="J59">
        <v>466.3</v>
      </c>
      <c r="K59">
        <v>1510</v>
      </c>
      <c r="L59">
        <v>1949</v>
      </c>
      <c r="M59" s="8">
        <f>Table35678[[#This Row],[Ausfuhr: Wert €]]*1000/Table35678[[#This Row],[Ausfuhr: Gewicht]]</f>
        <v>3981.6933638443934</v>
      </c>
      <c r="N59" s="8">
        <f>Table35678[[#This Row],[Einfuhr: Wert €]]*1000/Table35678[[#This Row],[Einfuhr: Gewicht]]</f>
        <v>3238.2586317821147</v>
      </c>
      <c r="O59" s="8">
        <f>Table35678[[#This Row],[Ausfuhr: Wert $]]*1000/Table35678[[#This Row],[Ausfuhr: Gewicht]]</f>
        <v>5080.0915331807773</v>
      </c>
      <c r="P59" s="8">
        <f>Table35678[[#This Row],[Einfuhr: Wert $]]*1000/Table35678[[#This Row],[Einfuhr: Gewicht]]</f>
        <v>4179.7126313532062</v>
      </c>
    </row>
    <row r="60" spans="2:16" x14ac:dyDescent="0.25">
      <c r="B60">
        <f>(Table35678[[#This Row],[Jahr]]-$C$8)*12+Table35678[[#This Row],[Month nr]]</f>
        <v>50</v>
      </c>
      <c r="C60">
        <v>2012</v>
      </c>
      <c r="D60">
        <v>2</v>
      </c>
      <c r="E60" t="s">
        <v>14</v>
      </c>
      <c r="F60" t="str">
        <f>_xlfn.CONCAT(Table35678[[#This Row],[Monat]]," ",Table35678[[#This Row],[Jahr]])</f>
        <v>Februar 2012</v>
      </c>
      <c r="G60">
        <v>37.700000000000003</v>
      </c>
      <c r="H60">
        <v>180</v>
      </c>
      <c r="I60">
        <v>240</v>
      </c>
      <c r="J60">
        <v>337.59999999999997</v>
      </c>
      <c r="K60">
        <v>1144</v>
      </c>
      <c r="L60">
        <v>1511</v>
      </c>
      <c r="M60" s="8">
        <f>Table35678[[#This Row],[Ausfuhr: Wert €]]*1000/Table35678[[#This Row],[Ausfuhr: Gewicht]]</f>
        <v>4774.5358090185673</v>
      </c>
      <c r="N60" s="8">
        <f>Table35678[[#This Row],[Einfuhr: Wert €]]*1000/Table35678[[#This Row],[Einfuhr: Gewicht]]</f>
        <v>3388.6255924170619</v>
      </c>
      <c r="O60" s="8">
        <f>Table35678[[#This Row],[Ausfuhr: Wert $]]*1000/Table35678[[#This Row],[Ausfuhr: Gewicht]]</f>
        <v>6366.0477453580897</v>
      </c>
      <c r="P60" s="8">
        <f>Table35678[[#This Row],[Einfuhr: Wert $]]*1000/Table35678[[#This Row],[Einfuhr: Gewicht]]</f>
        <v>4475.7109004739341</v>
      </c>
    </row>
    <row r="61" spans="2:16" x14ac:dyDescent="0.25">
      <c r="B61">
        <f>(Table35678[[#This Row],[Jahr]]-$C$8)*12+Table35678[[#This Row],[Month nr]]</f>
        <v>51</v>
      </c>
      <c r="C61">
        <v>2012</v>
      </c>
      <c r="D61">
        <v>3</v>
      </c>
      <c r="E61" t="s">
        <v>15</v>
      </c>
      <c r="F61" t="str">
        <f>_xlfn.CONCAT(Table35678[[#This Row],[Monat]]," ",Table35678[[#This Row],[Jahr]])</f>
        <v>März 2012</v>
      </c>
      <c r="G61">
        <v>243.2</v>
      </c>
      <c r="H61">
        <v>994</v>
      </c>
      <c r="I61">
        <v>1311</v>
      </c>
      <c r="J61">
        <v>1993.4</v>
      </c>
      <c r="K61">
        <v>7230</v>
      </c>
      <c r="L61">
        <v>9545</v>
      </c>
      <c r="M61" s="8">
        <f>Table35678[[#This Row],[Ausfuhr: Wert €]]*1000/Table35678[[#This Row],[Ausfuhr: Gewicht]]</f>
        <v>4087.1710526315792</v>
      </c>
      <c r="N61" s="8">
        <f>Table35678[[#This Row],[Einfuhr: Wert €]]*1000/Table35678[[#This Row],[Einfuhr: Gewicht]]</f>
        <v>3626.9689976923846</v>
      </c>
      <c r="O61" s="8">
        <f>Table35678[[#This Row],[Ausfuhr: Wert $]]*1000/Table35678[[#This Row],[Ausfuhr: Gewicht]]</f>
        <v>5390.625</v>
      </c>
      <c r="P61" s="8">
        <f>Table35678[[#This Row],[Einfuhr: Wert $]]*1000/Table35678[[#This Row],[Einfuhr: Gewicht]]</f>
        <v>4788.3013946021874</v>
      </c>
    </row>
    <row r="62" spans="2:16" x14ac:dyDescent="0.25">
      <c r="B62">
        <f>(Table35678[[#This Row],[Jahr]]-$C$8)*12+Table35678[[#This Row],[Month nr]]</f>
        <v>52</v>
      </c>
      <c r="C62">
        <v>2012</v>
      </c>
      <c r="D62">
        <v>4</v>
      </c>
      <c r="E62" t="s">
        <v>16</v>
      </c>
      <c r="F62" t="str">
        <f>_xlfn.CONCAT(Table35678[[#This Row],[Monat]]," ",Table35678[[#This Row],[Jahr]])</f>
        <v>April 2012</v>
      </c>
      <c r="G62" s="10">
        <v>1445.5</v>
      </c>
      <c r="H62" s="10">
        <v>5469</v>
      </c>
      <c r="I62" s="10">
        <v>7199</v>
      </c>
      <c r="J62" s="10">
        <v>8481.7999999999993</v>
      </c>
      <c r="K62" s="10">
        <v>26634</v>
      </c>
      <c r="L62" s="10">
        <v>35053</v>
      </c>
      <c r="M62" s="8">
        <f>Table35678[[#This Row],[Ausfuhr: Wert €]]*1000/Table35678[[#This Row],[Ausfuhr: Gewicht]]</f>
        <v>3783.4659287443792</v>
      </c>
      <c r="N62" s="8">
        <f>Table35678[[#This Row],[Einfuhr: Wert €]]*1000/Table35678[[#This Row],[Einfuhr: Gewicht]]</f>
        <v>3140.135348628829</v>
      </c>
      <c r="O62" s="8">
        <f>Table35678[[#This Row],[Ausfuhr: Wert $]]*1000/Table35678[[#This Row],[Ausfuhr: Gewicht]]</f>
        <v>4980.2836388792803</v>
      </c>
      <c r="P62" s="8">
        <f>Table35678[[#This Row],[Einfuhr: Wert $]]*1000/Table35678[[#This Row],[Einfuhr: Gewicht]]</f>
        <v>4132.7312598740837</v>
      </c>
    </row>
    <row r="63" spans="2:16" x14ac:dyDescent="0.25">
      <c r="B63">
        <f>(Table35678[[#This Row],[Jahr]]-$C$8)*12+Table35678[[#This Row],[Month nr]]</f>
        <v>53</v>
      </c>
      <c r="C63">
        <v>2012</v>
      </c>
      <c r="D63">
        <v>5</v>
      </c>
      <c r="E63" t="s">
        <v>20</v>
      </c>
      <c r="F63" t="str">
        <f>_xlfn.CONCAT(Table35678[[#This Row],[Monat]]," ",Table35678[[#This Row],[Jahr]])</f>
        <v>Mai 2012</v>
      </c>
      <c r="G63">
        <v>1308.0999999999997</v>
      </c>
      <c r="H63">
        <v>5709</v>
      </c>
      <c r="I63">
        <v>7298</v>
      </c>
      <c r="J63">
        <v>7619.1999999999989</v>
      </c>
      <c r="K63">
        <v>21485</v>
      </c>
      <c r="L63">
        <v>27476</v>
      </c>
      <c r="M63" s="8">
        <f>Table35678[[#This Row],[Ausfuhr: Wert €]]*1000/Table35678[[#This Row],[Ausfuhr: Gewicht]]</f>
        <v>4364.3452335448374</v>
      </c>
      <c r="N63" s="8">
        <f>Table35678[[#This Row],[Einfuhr: Wert €]]*1000/Table35678[[#This Row],[Einfuhr: Gewicht]]</f>
        <v>2819.8498530029406</v>
      </c>
      <c r="O63" s="8">
        <f>Table35678[[#This Row],[Ausfuhr: Wert $]]*1000/Table35678[[#This Row],[Ausfuhr: Gewicht]]</f>
        <v>5579.0841678770748</v>
      </c>
      <c r="P63" s="8">
        <f>Table35678[[#This Row],[Einfuhr: Wert $]]*1000/Table35678[[#This Row],[Einfuhr: Gewicht]]</f>
        <v>3606.1528769424617</v>
      </c>
    </row>
    <row r="64" spans="2:16" x14ac:dyDescent="0.25">
      <c r="B64">
        <f>(Table35678[[#This Row],[Jahr]]-$C$8)*12+Table35678[[#This Row],[Month nr]]</f>
        <v>54</v>
      </c>
      <c r="C64">
        <v>2012</v>
      </c>
      <c r="D64">
        <v>6</v>
      </c>
      <c r="E64" t="s">
        <v>21</v>
      </c>
      <c r="F64" t="str">
        <f>_xlfn.CONCAT(Table35678[[#This Row],[Monat]]," ",Table35678[[#This Row],[Jahr]])</f>
        <v>Juni 2012</v>
      </c>
      <c r="G64">
        <v>874.00000000000011</v>
      </c>
      <c r="H64">
        <v>2803</v>
      </c>
      <c r="I64">
        <v>3510</v>
      </c>
      <c r="J64">
        <v>4722.8</v>
      </c>
      <c r="K64">
        <v>11740</v>
      </c>
      <c r="L64">
        <v>14704</v>
      </c>
      <c r="M64" s="8">
        <f>Table35678[[#This Row],[Ausfuhr: Wert €]]*1000/Table35678[[#This Row],[Ausfuhr: Gewicht]]</f>
        <v>3207.0938215102969</v>
      </c>
      <c r="N64" s="8">
        <f>Table35678[[#This Row],[Einfuhr: Wert €]]*1000/Table35678[[#This Row],[Einfuhr: Gewicht]]</f>
        <v>2485.8135004658252</v>
      </c>
      <c r="O64" s="8">
        <f>Table35678[[#This Row],[Ausfuhr: Wert $]]*1000/Table35678[[#This Row],[Ausfuhr: Gewicht]]</f>
        <v>4016.0183066361551</v>
      </c>
      <c r="P64" s="8">
        <f>Table35678[[#This Row],[Einfuhr: Wert $]]*1000/Table35678[[#This Row],[Einfuhr: Gewicht]]</f>
        <v>3113.40730075379</v>
      </c>
    </row>
    <row r="65" spans="2:16" x14ac:dyDescent="0.25">
      <c r="B65">
        <f>(Table35678[[#This Row],[Jahr]]-$C$8)*12+Table35678[[#This Row],[Month nr]]</f>
        <v>55</v>
      </c>
      <c r="C65">
        <v>2012</v>
      </c>
      <c r="D65">
        <v>7</v>
      </c>
      <c r="E65" t="s">
        <v>22</v>
      </c>
      <c r="F65" t="str">
        <f>_xlfn.CONCAT(Table35678[[#This Row],[Monat]]," ",Table35678[[#This Row],[Jahr]])</f>
        <v>Juli 2012</v>
      </c>
      <c r="G65">
        <v>77.399999999999991</v>
      </c>
      <c r="H65">
        <v>355</v>
      </c>
      <c r="I65">
        <v>434</v>
      </c>
      <c r="J65">
        <v>948.9</v>
      </c>
      <c r="K65">
        <v>3064</v>
      </c>
      <c r="L65">
        <v>3770</v>
      </c>
      <c r="M65" s="8">
        <f>Table35678[[#This Row],[Ausfuhr: Wert €]]*1000/Table35678[[#This Row],[Ausfuhr: Gewicht]]</f>
        <v>4586.5633074935404</v>
      </c>
      <c r="N65" s="8">
        <f>Table35678[[#This Row],[Einfuhr: Wert €]]*1000/Table35678[[#This Row],[Einfuhr: Gewicht]]</f>
        <v>3229.0020023184743</v>
      </c>
      <c r="O65" s="8">
        <f>Table35678[[#This Row],[Ausfuhr: Wert $]]*1000/Table35678[[#This Row],[Ausfuhr: Gewicht]]</f>
        <v>5607.2351421188632</v>
      </c>
      <c r="P65" s="8">
        <f>Table35678[[#This Row],[Einfuhr: Wert $]]*1000/Table35678[[#This Row],[Einfuhr: Gewicht]]</f>
        <v>3973.0213931921171</v>
      </c>
    </row>
    <row r="66" spans="2:16" x14ac:dyDescent="0.25">
      <c r="B66">
        <f>(Table35678[[#This Row],[Jahr]]-$C$8)*12+Table35678[[#This Row],[Month nr]]</f>
        <v>56</v>
      </c>
      <c r="C66">
        <v>2012</v>
      </c>
      <c r="D66">
        <v>8</v>
      </c>
      <c r="E66" t="s">
        <v>17</v>
      </c>
      <c r="F66" t="str">
        <f>_xlfn.CONCAT(Table35678[[#This Row],[Monat]]," ",Table35678[[#This Row],[Jahr]])</f>
        <v>August 2012</v>
      </c>
      <c r="G66">
        <v>43.8</v>
      </c>
      <c r="H66">
        <v>253</v>
      </c>
      <c r="I66">
        <v>313</v>
      </c>
      <c r="J66">
        <v>292.39999999999998</v>
      </c>
      <c r="K66">
        <v>1163</v>
      </c>
      <c r="L66">
        <v>1441</v>
      </c>
      <c r="M66" s="8">
        <f>Table35678[[#This Row],[Ausfuhr: Wert €]]*1000/Table35678[[#This Row],[Ausfuhr: Gewicht]]</f>
        <v>5776.2557077625579</v>
      </c>
      <c r="N66" s="8">
        <f>Table35678[[#This Row],[Einfuhr: Wert €]]*1000/Table35678[[#This Row],[Einfuhr: Gewicht]]</f>
        <v>3977.4281805745559</v>
      </c>
      <c r="O66" s="8">
        <f>Table35678[[#This Row],[Ausfuhr: Wert $]]*1000/Table35678[[#This Row],[Ausfuhr: Gewicht]]</f>
        <v>7146.1187214611873</v>
      </c>
      <c r="P66" s="8">
        <f>Table35678[[#This Row],[Einfuhr: Wert $]]*1000/Table35678[[#This Row],[Einfuhr: Gewicht]]</f>
        <v>4928.1805745554038</v>
      </c>
    </row>
    <row r="67" spans="2:16" x14ac:dyDescent="0.25">
      <c r="B67">
        <f>(Table35678[[#This Row],[Jahr]]-$C$8)*12+Table35678[[#This Row],[Month nr]]</f>
        <v>57</v>
      </c>
      <c r="C67">
        <v>2012</v>
      </c>
      <c r="D67">
        <v>9</v>
      </c>
      <c r="E67" t="s">
        <v>18</v>
      </c>
      <c r="F67" t="str">
        <f>_xlfn.CONCAT(Table35678[[#This Row],[Monat]]," ",Table35678[[#This Row],[Jahr]])</f>
        <v>September 2012</v>
      </c>
      <c r="G67">
        <v>30.6</v>
      </c>
      <c r="H67">
        <v>220</v>
      </c>
      <c r="I67">
        <v>281</v>
      </c>
      <c r="J67">
        <v>241.8</v>
      </c>
      <c r="K67">
        <v>955</v>
      </c>
      <c r="L67">
        <v>1227</v>
      </c>
      <c r="M67" s="8">
        <f>Table35678[[#This Row],[Ausfuhr: Wert €]]*1000/Table35678[[#This Row],[Ausfuhr: Gewicht]]</f>
        <v>7189.5424836601305</v>
      </c>
      <c r="N67" s="8">
        <f>Table35678[[#This Row],[Einfuhr: Wert €]]*1000/Table35678[[#This Row],[Einfuhr: Gewicht]]</f>
        <v>3949.5450785773364</v>
      </c>
      <c r="O67" s="8">
        <f>Table35678[[#This Row],[Ausfuhr: Wert $]]*1000/Table35678[[#This Row],[Ausfuhr: Gewicht]]</f>
        <v>9183.0065359477121</v>
      </c>
      <c r="P67" s="8">
        <f>Table35678[[#This Row],[Einfuhr: Wert $]]*1000/Table35678[[#This Row],[Einfuhr: Gewicht]]</f>
        <v>5074.4416873449127</v>
      </c>
    </row>
    <row r="68" spans="2:16" x14ac:dyDescent="0.25">
      <c r="B68">
        <f>(Table35678[[#This Row],[Jahr]]-$C$8)*12+Table35678[[#This Row],[Month nr]]</f>
        <v>58</v>
      </c>
      <c r="C68">
        <v>2012</v>
      </c>
      <c r="D68">
        <v>10</v>
      </c>
      <c r="E68" t="s">
        <v>23</v>
      </c>
      <c r="F68" t="str">
        <f>_xlfn.CONCAT(Table35678[[#This Row],[Monat]]," ",Table35678[[#This Row],[Jahr]])</f>
        <v>Oktober 2012</v>
      </c>
      <c r="G68">
        <v>40.1</v>
      </c>
      <c r="H68">
        <v>195</v>
      </c>
      <c r="I68">
        <v>255</v>
      </c>
      <c r="J68">
        <v>303.10000000000002</v>
      </c>
      <c r="K68">
        <v>1097</v>
      </c>
      <c r="L68">
        <v>1421</v>
      </c>
      <c r="M68" s="8">
        <f>Table35678[[#This Row],[Ausfuhr: Wert €]]*1000/Table35678[[#This Row],[Ausfuhr: Gewicht]]</f>
        <v>4862.8428927680798</v>
      </c>
      <c r="N68" s="8">
        <f>Table35678[[#This Row],[Einfuhr: Wert €]]*1000/Table35678[[#This Row],[Einfuhr: Gewicht]]</f>
        <v>3619.2675684592541</v>
      </c>
      <c r="O68" s="8">
        <f>Table35678[[#This Row],[Ausfuhr: Wert $]]*1000/Table35678[[#This Row],[Ausfuhr: Gewicht]]</f>
        <v>6359.102244389027</v>
      </c>
      <c r="P68" s="8">
        <f>Table35678[[#This Row],[Einfuhr: Wert $]]*1000/Table35678[[#This Row],[Einfuhr: Gewicht]]</f>
        <v>4688.221709006928</v>
      </c>
    </row>
    <row r="69" spans="2:16" x14ac:dyDescent="0.25">
      <c r="B69">
        <f>(Table35678[[#This Row],[Jahr]]-$C$8)*12+Table35678[[#This Row],[Month nr]]</f>
        <v>59</v>
      </c>
      <c r="C69">
        <v>2012</v>
      </c>
      <c r="D69">
        <v>11</v>
      </c>
      <c r="E69" t="s">
        <v>19</v>
      </c>
      <c r="F69" t="str">
        <f>_xlfn.CONCAT(Table35678[[#This Row],[Monat]]," ",Table35678[[#This Row],[Jahr]])</f>
        <v>November 2012</v>
      </c>
      <c r="G69">
        <v>57.899999999999991</v>
      </c>
      <c r="H69">
        <v>242</v>
      </c>
      <c r="I69">
        <v>312</v>
      </c>
      <c r="J69">
        <v>371.3</v>
      </c>
      <c r="K69">
        <v>1299</v>
      </c>
      <c r="L69">
        <v>1666</v>
      </c>
      <c r="M69" s="8">
        <f>Table35678[[#This Row],[Ausfuhr: Wert €]]*1000/Table35678[[#This Row],[Ausfuhr: Gewicht]]</f>
        <v>4179.6200345423149</v>
      </c>
      <c r="N69" s="8">
        <f>Table35678[[#This Row],[Einfuhr: Wert €]]*1000/Table35678[[#This Row],[Einfuhr: Gewicht]]</f>
        <v>3498.5187180177754</v>
      </c>
      <c r="O69" s="8">
        <f>Table35678[[#This Row],[Ausfuhr: Wert $]]*1000/Table35678[[#This Row],[Ausfuhr: Gewicht]]</f>
        <v>5388.6010362694306</v>
      </c>
      <c r="P69" s="8">
        <f>Table35678[[#This Row],[Einfuhr: Wert $]]*1000/Table35678[[#This Row],[Einfuhr: Gewicht]]</f>
        <v>4486.9377861567464</v>
      </c>
    </row>
    <row r="70" spans="2:16" x14ac:dyDescent="0.25">
      <c r="B70">
        <f>(Table35678[[#This Row],[Jahr]]-$C$8)*12+Table35678[[#This Row],[Month nr]]</f>
        <v>60</v>
      </c>
      <c r="C70">
        <v>2012</v>
      </c>
      <c r="D70">
        <v>12</v>
      </c>
      <c r="E70" t="s">
        <v>24</v>
      </c>
      <c r="F70" t="str">
        <f>_xlfn.CONCAT(Table35678[[#This Row],[Monat]]," ",Table35678[[#This Row],[Jahr]])</f>
        <v>Dezember 2012</v>
      </c>
      <c r="G70">
        <v>137.1</v>
      </c>
      <c r="H70">
        <v>546</v>
      </c>
      <c r="I70">
        <v>719</v>
      </c>
      <c r="J70">
        <v>629.99999999999989</v>
      </c>
      <c r="K70">
        <v>2326</v>
      </c>
      <c r="L70">
        <v>3052</v>
      </c>
      <c r="M70" s="8">
        <f>Table35678[[#This Row],[Ausfuhr: Wert €]]*1000/Table35678[[#This Row],[Ausfuhr: Gewicht]]</f>
        <v>3982.4945295404814</v>
      </c>
      <c r="N70" s="8">
        <f>Table35678[[#This Row],[Einfuhr: Wert €]]*1000/Table35678[[#This Row],[Einfuhr: Gewicht]]</f>
        <v>3692.0634920634925</v>
      </c>
      <c r="O70" s="8">
        <f>Table35678[[#This Row],[Ausfuhr: Wert $]]*1000/Table35678[[#This Row],[Ausfuhr: Gewicht]]</f>
        <v>5244.3471918307805</v>
      </c>
      <c r="P70" s="8">
        <f>Table35678[[#This Row],[Einfuhr: Wert $]]*1000/Table35678[[#This Row],[Einfuhr: Gewicht]]</f>
        <v>4844.4444444444453</v>
      </c>
    </row>
    <row r="71" spans="2:16" x14ac:dyDescent="0.25">
      <c r="B71">
        <f>(Table35678[[#This Row],[Jahr]]-$C$8)*12+Table35678[[#This Row],[Month nr]]</f>
        <v>61</v>
      </c>
      <c r="C71">
        <v>2013</v>
      </c>
      <c r="D71">
        <v>1</v>
      </c>
      <c r="E71" t="s">
        <v>13</v>
      </c>
      <c r="F71" t="str">
        <f>_xlfn.CONCAT(Table35678[[#This Row],[Monat]]," ",Table35678[[#This Row],[Jahr]])</f>
        <v>Januar 2013</v>
      </c>
      <c r="G71" s="6">
        <v>105.3</v>
      </c>
      <c r="H71" s="6">
        <v>424</v>
      </c>
      <c r="I71" s="6">
        <v>563</v>
      </c>
      <c r="J71" s="6">
        <v>309.8</v>
      </c>
      <c r="K71" s="6">
        <v>1070</v>
      </c>
      <c r="L71" s="6">
        <v>1422</v>
      </c>
      <c r="M71" s="8">
        <f>Table35678[[#This Row],[Ausfuhr: Wert €]]*1000/Table35678[[#This Row],[Ausfuhr: Gewicht]]</f>
        <v>4026.5906932573598</v>
      </c>
      <c r="N71" s="8">
        <f>Table35678[[#This Row],[Einfuhr: Wert €]]*1000/Table35678[[#This Row],[Einfuhr: Gewicht]]</f>
        <v>3453.8411878631373</v>
      </c>
      <c r="O71" s="8">
        <f>Table35678[[#This Row],[Ausfuhr: Wert $]]*1000/Table35678[[#This Row],[Ausfuhr: Gewicht]]</f>
        <v>5346.6286799620138</v>
      </c>
      <c r="P71" s="8">
        <f>Table35678[[#This Row],[Einfuhr: Wert $]]*1000/Table35678[[#This Row],[Einfuhr: Gewicht]]</f>
        <v>4590.0581020012905</v>
      </c>
    </row>
    <row r="72" spans="2:16" x14ac:dyDescent="0.25">
      <c r="B72">
        <f>(Table35678[[#This Row],[Jahr]]-$C$8)*12+Table35678[[#This Row],[Month nr]]</f>
        <v>62</v>
      </c>
      <c r="C72">
        <v>2013</v>
      </c>
      <c r="D72">
        <v>2</v>
      </c>
      <c r="E72" t="s">
        <v>14</v>
      </c>
      <c r="F72" t="str">
        <f>_xlfn.CONCAT(Table35678[[#This Row],[Monat]]," ",Table35678[[#This Row],[Jahr]])</f>
        <v>Februar 2013</v>
      </c>
      <c r="G72" s="7">
        <v>34.4</v>
      </c>
      <c r="H72" s="7">
        <v>167</v>
      </c>
      <c r="I72" s="7">
        <v>223</v>
      </c>
      <c r="J72" s="7">
        <v>423.40000000000009</v>
      </c>
      <c r="K72" s="7">
        <v>1514</v>
      </c>
      <c r="L72" s="7">
        <v>2023</v>
      </c>
      <c r="M72" s="8">
        <f>Table35678[[#This Row],[Ausfuhr: Wert €]]*1000/Table35678[[#This Row],[Ausfuhr: Gewicht]]</f>
        <v>4854.6511627906975</v>
      </c>
      <c r="N72" s="8">
        <f>Table35678[[#This Row],[Einfuhr: Wert €]]*1000/Table35678[[#This Row],[Einfuhr: Gewicht]]</f>
        <v>3575.8148323098717</v>
      </c>
      <c r="O72" s="8">
        <f>Table35678[[#This Row],[Ausfuhr: Wert $]]*1000/Table35678[[#This Row],[Ausfuhr: Gewicht]]</f>
        <v>6482.5581395348836</v>
      </c>
      <c r="P72" s="8">
        <f>Table35678[[#This Row],[Einfuhr: Wert $]]*1000/Table35678[[#This Row],[Einfuhr: Gewicht]]</f>
        <v>4777.9877184695315</v>
      </c>
    </row>
    <row r="73" spans="2:16" x14ac:dyDescent="0.25">
      <c r="B73">
        <f>(Table35678[[#This Row],[Jahr]]-$C$8)*12+Table35678[[#This Row],[Month nr]]</f>
        <v>63</v>
      </c>
      <c r="C73">
        <v>2013</v>
      </c>
      <c r="D73">
        <v>3</v>
      </c>
      <c r="E73" t="s">
        <v>15</v>
      </c>
      <c r="F73" t="str">
        <f>_xlfn.CONCAT(Table35678[[#This Row],[Monat]]," ",Table35678[[#This Row],[Jahr]])</f>
        <v>März 2013</v>
      </c>
      <c r="G73" s="6">
        <v>421.09999999999991</v>
      </c>
      <c r="H73" s="6">
        <v>1939</v>
      </c>
      <c r="I73" s="6">
        <v>2516</v>
      </c>
      <c r="J73" s="6">
        <v>1827.8</v>
      </c>
      <c r="K73" s="6">
        <v>7657</v>
      </c>
      <c r="L73" s="6">
        <v>9926</v>
      </c>
      <c r="M73" s="8">
        <f>Table35678[[#This Row],[Ausfuhr: Wert €]]*1000/Table35678[[#This Row],[Ausfuhr: Gewicht]]</f>
        <v>4604.6069817145581</v>
      </c>
      <c r="N73" s="8">
        <f>Table35678[[#This Row],[Einfuhr: Wert €]]*1000/Table35678[[#This Row],[Einfuhr: Gewicht]]</f>
        <v>4189.1891891891892</v>
      </c>
      <c r="O73" s="8">
        <f>Table35678[[#This Row],[Ausfuhr: Wert $]]*1000/Table35678[[#This Row],[Ausfuhr: Gewicht]]</f>
        <v>5974.8278318689163</v>
      </c>
      <c r="P73" s="8">
        <f>Table35678[[#This Row],[Einfuhr: Wert $]]*1000/Table35678[[#This Row],[Einfuhr: Gewicht]]</f>
        <v>5430.5722726775357</v>
      </c>
    </row>
    <row r="74" spans="2:16" x14ac:dyDescent="0.25">
      <c r="B74">
        <f>(Table35678[[#This Row],[Jahr]]-$C$8)*12+Table35678[[#This Row],[Month nr]]</f>
        <v>64</v>
      </c>
      <c r="C74">
        <v>2013</v>
      </c>
      <c r="D74">
        <v>4</v>
      </c>
      <c r="E74" t="s">
        <v>16</v>
      </c>
      <c r="F74" t="str">
        <f>_xlfn.CONCAT(Table35678[[#This Row],[Monat]]," ",Table35678[[#This Row],[Jahr]])</f>
        <v>April 2013</v>
      </c>
      <c r="G74" s="7">
        <v>692.90000000000009</v>
      </c>
      <c r="H74" s="7">
        <v>3357</v>
      </c>
      <c r="I74" s="7">
        <v>4372</v>
      </c>
      <c r="J74" s="7">
        <v>6018.2</v>
      </c>
      <c r="K74" s="7">
        <v>21974</v>
      </c>
      <c r="L74" s="7">
        <v>28621</v>
      </c>
      <c r="M74" s="8">
        <f>Table35678[[#This Row],[Ausfuhr: Wert €]]*1000/Table35678[[#This Row],[Ausfuhr: Gewicht]]</f>
        <v>4844.8549574253129</v>
      </c>
      <c r="N74" s="8">
        <f>Table35678[[#This Row],[Einfuhr: Wert €]]*1000/Table35678[[#This Row],[Einfuhr: Gewicht]]</f>
        <v>3651.2578511847396</v>
      </c>
      <c r="O74" s="8">
        <f>Table35678[[#This Row],[Ausfuhr: Wert $]]*1000/Table35678[[#This Row],[Ausfuhr: Gewicht]]</f>
        <v>6309.7128012700241</v>
      </c>
      <c r="P74" s="8">
        <f>Table35678[[#This Row],[Einfuhr: Wert $]]*1000/Table35678[[#This Row],[Einfuhr: Gewicht]]</f>
        <v>4755.7409192117248</v>
      </c>
    </row>
    <row r="75" spans="2:16" x14ac:dyDescent="0.25">
      <c r="B75">
        <f>(Table35678[[#This Row],[Jahr]]-$C$8)*12+Table35678[[#This Row],[Month nr]]</f>
        <v>65</v>
      </c>
      <c r="C75">
        <v>2013</v>
      </c>
      <c r="D75">
        <v>5</v>
      </c>
      <c r="E75" t="s">
        <v>20</v>
      </c>
      <c r="F75" t="str">
        <f>_xlfn.CONCAT(Table35678[[#This Row],[Monat]]," ",Table35678[[#This Row],[Jahr]])</f>
        <v>Mai 2013</v>
      </c>
      <c r="G75" s="6">
        <v>1400.1999999999998</v>
      </c>
      <c r="H75" s="6">
        <v>7055</v>
      </c>
      <c r="I75" s="6">
        <v>9162</v>
      </c>
      <c r="J75" s="6">
        <v>8709.3000000000011</v>
      </c>
      <c r="K75" s="6">
        <v>28289</v>
      </c>
      <c r="L75" s="6">
        <v>36725</v>
      </c>
      <c r="M75" s="8">
        <f>Table35678[[#This Row],[Ausfuhr: Wert €]]*1000/Table35678[[#This Row],[Ausfuhr: Gewicht]]</f>
        <v>5038.5659191544073</v>
      </c>
      <c r="N75" s="8">
        <f>Table35678[[#This Row],[Einfuhr: Wert €]]*1000/Table35678[[#This Row],[Einfuhr: Gewicht]]</f>
        <v>3248.1370489017481</v>
      </c>
      <c r="O75" s="8">
        <f>Table35678[[#This Row],[Ausfuhr: Wert $]]*1000/Table35678[[#This Row],[Ausfuhr: Gewicht]]</f>
        <v>6543.3509498643061</v>
      </c>
      <c r="P75" s="8">
        <f>Table35678[[#This Row],[Einfuhr: Wert $]]*1000/Table35678[[#This Row],[Einfuhr: Gewicht]]</f>
        <v>4216.7568002020826</v>
      </c>
    </row>
    <row r="76" spans="2:16" x14ac:dyDescent="0.25">
      <c r="B76">
        <f>(Table35678[[#This Row],[Jahr]]-$C$8)*12+Table35678[[#This Row],[Month nr]]</f>
        <v>66</v>
      </c>
      <c r="C76">
        <v>2013</v>
      </c>
      <c r="D76">
        <v>6</v>
      </c>
      <c r="E76" t="s">
        <v>21</v>
      </c>
      <c r="F76" t="str">
        <f>_xlfn.CONCAT(Table35678[[#This Row],[Monat]]," ",Table35678[[#This Row],[Jahr]])</f>
        <v>Juni 2013</v>
      </c>
      <c r="G76" s="7">
        <v>902.59999999999991</v>
      </c>
      <c r="H76" s="7">
        <v>3360</v>
      </c>
      <c r="I76" s="7">
        <v>4428</v>
      </c>
      <c r="J76" s="7">
        <v>4677.9999999999991</v>
      </c>
      <c r="K76" s="7">
        <v>12961</v>
      </c>
      <c r="L76" s="7">
        <v>17095</v>
      </c>
      <c r="M76" s="8">
        <f>Table35678[[#This Row],[Ausfuhr: Wert €]]*1000/Table35678[[#This Row],[Ausfuhr: Gewicht]]</f>
        <v>3722.5792155993799</v>
      </c>
      <c r="N76" s="8">
        <f>Table35678[[#This Row],[Einfuhr: Wert €]]*1000/Table35678[[#This Row],[Einfuhr: Gewicht]]</f>
        <v>2770.6284737067126</v>
      </c>
      <c r="O76" s="8">
        <f>Table35678[[#This Row],[Ausfuhr: Wert $]]*1000/Table35678[[#This Row],[Ausfuhr: Gewicht]]</f>
        <v>4905.8276091291827</v>
      </c>
      <c r="P76" s="8">
        <f>Table35678[[#This Row],[Einfuhr: Wert $]]*1000/Table35678[[#This Row],[Einfuhr: Gewicht]]</f>
        <v>3654.3394613082519</v>
      </c>
    </row>
    <row r="77" spans="2:16" x14ac:dyDescent="0.25">
      <c r="B77">
        <f>(Table35678[[#This Row],[Jahr]]-$C$8)*12+Table35678[[#This Row],[Month nr]]</f>
        <v>67</v>
      </c>
      <c r="C77">
        <v>2013</v>
      </c>
      <c r="D77">
        <v>7</v>
      </c>
      <c r="E77" t="s">
        <v>22</v>
      </c>
      <c r="F77" t="str">
        <f>_xlfn.CONCAT(Table35678[[#This Row],[Monat]]," ",Table35678[[#This Row],[Jahr]])</f>
        <v>Juli 2013</v>
      </c>
      <c r="G77" s="6">
        <v>54.70000000000001</v>
      </c>
      <c r="H77" s="6">
        <v>321</v>
      </c>
      <c r="I77" s="6">
        <v>424</v>
      </c>
      <c r="J77" s="6">
        <v>931.4</v>
      </c>
      <c r="K77" s="6">
        <v>2878</v>
      </c>
      <c r="L77" s="6">
        <v>3765</v>
      </c>
      <c r="M77" s="8">
        <f>Table35678[[#This Row],[Ausfuhr: Wert €]]*1000/Table35678[[#This Row],[Ausfuhr: Gewicht]]</f>
        <v>5868.3729433272383</v>
      </c>
      <c r="N77" s="8">
        <f>Table35678[[#This Row],[Einfuhr: Wert €]]*1000/Table35678[[#This Row],[Einfuhr: Gewicht]]</f>
        <v>3089.9720850332833</v>
      </c>
      <c r="O77" s="8">
        <f>Table35678[[#This Row],[Ausfuhr: Wert $]]*1000/Table35678[[#This Row],[Ausfuhr: Gewicht]]</f>
        <v>7751.3711151736734</v>
      </c>
      <c r="P77" s="8">
        <f>Table35678[[#This Row],[Einfuhr: Wert $]]*1000/Table35678[[#This Row],[Einfuhr: Gewicht]]</f>
        <v>4042.3019111015678</v>
      </c>
    </row>
    <row r="78" spans="2:16" x14ac:dyDescent="0.25">
      <c r="B78">
        <f>(Table35678[[#This Row],[Jahr]]-$C$8)*12+Table35678[[#This Row],[Month nr]]</f>
        <v>68</v>
      </c>
      <c r="C78">
        <v>2013</v>
      </c>
      <c r="D78">
        <v>8</v>
      </c>
      <c r="E78" t="s">
        <v>17</v>
      </c>
      <c r="F78" t="str">
        <f>_xlfn.CONCAT(Table35678[[#This Row],[Monat]]," ",Table35678[[#This Row],[Jahr]])</f>
        <v>August 2013</v>
      </c>
      <c r="G78" s="7">
        <v>22.900000000000002</v>
      </c>
      <c r="H78" s="7">
        <v>155</v>
      </c>
      <c r="I78" s="7">
        <v>208</v>
      </c>
      <c r="J78" s="7">
        <v>257.29999999999995</v>
      </c>
      <c r="K78" s="7">
        <v>1150</v>
      </c>
      <c r="L78" s="7">
        <v>1530</v>
      </c>
      <c r="M78" s="8">
        <f>Table35678[[#This Row],[Ausfuhr: Wert €]]*1000/Table35678[[#This Row],[Ausfuhr: Gewicht]]</f>
        <v>6768.5589519650648</v>
      </c>
      <c r="N78" s="8">
        <f>Table35678[[#This Row],[Einfuhr: Wert €]]*1000/Table35678[[#This Row],[Einfuhr: Gewicht]]</f>
        <v>4469.4908666925776</v>
      </c>
      <c r="O78" s="8">
        <f>Table35678[[#This Row],[Ausfuhr: Wert $]]*1000/Table35678[[#This Row],[Ausfuhr: Gewicht]]</f>
        <v>9082.9694323144104</v>
      </c>
      <c r="P78" s="8">
        <f>Table35678[[#This Row],[Einfuhr: Wert $]]*1000/Table35678[[#This Row],[Einfuhr: Gewicht]]</f>
        <v>5946.3661095996904</v>
      </c>
    </row>
    <row r="79" spans="2:16" x14ac:dyDescent="0.25">
      <c r="B79">
        <f>(Table35678[[#This Row],[Jahr]]-$C$8)*12+Table35678[[#This Row],[Month nr]]</f>
        <v>69</v>
      </c>
      <c r="C79">
        <v>2013</v>
      </c>
      <c r="D79">
        <v>9</v>
      </c>
      <c r="E79" t="s">
        <v>18</v>
      </c>
      <c r="F79" t="str">
        <f>_xlfn.CONCAT(Table35678[[#This Row],[Monat]]," ",Table35678[[#This Row],[Jahr]])</f>
        <v>September 2013</v>
      </c>
      <c r="G79" s="6">
        <v>28.800000000000004</v>
      </c>
      <c r="H79" s="6">
        <v>163</v>
      </c>
      <c r="I79" s="6">
        <v>218</v>
      </c>
      <c r="J79" s="6">
        <v>138.4</v>
      </c>
      <c r="K79" s="6">
        <v>637</v>
      </c>
      <c r="L79" s="6">
        <v>849</v>
      </c>
      <c r="M79" s="8">
        <f>Table35678[[#This Row],[Ausfuhr: Wert €]]*1000/Table35678[[#This Row],[Ausfuhr: Gewicht]]</f>
        <v>5659.7222222222217</v>
      </c>
      <c r="N79" s="8">
        <f>Table35678[[#This Row],[Einfuhr: Wert €]]*1000/Table35678[[#This Row],[Einfuhr: Gewicht]]</f>
        <v>4602.6011560693642</v>
      </c>
      <c r="O79" s="8">
        <f>Table35678[[#This Row],[Ausfuhr: Wert $]]*1000/Table35678[[#This Row],[Ausfuhr: Gewicht]]</f>
        <v>7569.4444444444434</v>
      </c>
      <c r="P79" s="8">
        <f>Table35678[[#This Row],[Einfuhr: Wert $]]*1000/Table35678[[#This Row],[Einfuhr: Gewicht]]</f>
        <v>6134.3930635838151</v>
      </c>
    </row>
    <row r="80" spans="2:16" x14ac:dyDescent="0.25">
      <c r="B80">
        <f>(Table35678[[#This Row],[Jahr]]-$C$8)*12+Table35678[[#This Row],[Month nr]]</f>
        <v>70</v>
      </c>
      <c r="C80">
        <v>2013</v>
      </c>
      <c r="D80">
        <v>10</v>
      </c>
      <c r="E80" t="s">
        <v>23</v>
      </c>
      <c r="F80" t="str">
        <f>_xlfn.CONCAT(Table35678[[#This Row],[Monat]]," ",Table35678[[#This Row],[Jahr]])</f>
        <v>Oktober 2013</v>
      </c>
      <c r="G80" s="7">
        <v>20.200000000000003</v>
      </c>
      <c r="H80" s="7">
        <v>104</v>
      </c>
      <c r="I80" s="7">
        <v>142</v>
      </c>
      <c r="J80" s="7">
        <v>210.2</v>
      </c>
      <c r="K80" s="7">
        <v>851</v>
      </c>
      <c r="L80" s="7">
        <v>1158</v>
      </c>
      <c r="M80" s="8">
        <f>Table35678[[#This Row],[Ausfuhr: Wert €]]*1000/Table35678[[#This Row],[Ausfuhr: Gewicht]]</f>
        <v>5148.514851485148</v>
      </c>
      <c r="N80" s="8">
        <f>Table35678[[#This Row],[Einfuhr: Wert €]]*1000/Table35678[[#This Row],[Einfuhr: Gewicht]]</f>
        <v>4048.525214081827</v>
      </c>
      <c r="O80" s="8">
        <f>Table35678[[#This Row],[Ausfuhr: Wert $]]*1000/Table35678[[#This Row],[Ausfuhr: Gewicht]]</f>
        <v>7029.7029702970285</v>
      </c>
      <c r="P80" s="8">
        <f>Table35678[[#This Row],[Einfuhr: Wert $]]*1000/Table35678[[#This Row],[Einfuhr: Gewicht]]</f>
        <v>5509.0390104662229</v>
      </c>
    </row>
    <row r="81" spans="2:16" x14ac:dyDescent="0.25">
      <c r="B81">
        <f>(Table35678[[#This Row],[Jahr]]-$C$8)*12+Table35678[[#This Row],[Month nr]]</f>
        <v>71</v>
      </c>
      <c r="C81">
        <v>2013</v>
      </c>
      <c r="D81">
        <v>11</v>
      </c>
      <c r="E81" t="s">
        <v>19</v>
      </c>
      <c r="F81" t="str">
        <f>_xlfn.CONCAT(Table35678[[#This Row],[Monat]]," ",Table35678[[#This Row],[Jahr]])</f>
        <v>November 2013</v>
      </c>
      <c r="G81" s="6">
        <v>22.400000000000006</v>
      </c>
      <c r="H81" s="6">
        <v>106</v>
      </c>
      <c r="I81" s="6">
        <v>143</v>
      </c>
      <c r="J81" s="6">
        <v>168.1</v>
      </c>
      <c r="K81" s="6">
        <v>674</v>
      </c>
      <c r="L81" s="6">
        <v>909</v>
      </c>
      <c r="M81" s="8">
        <f>Table35678[[#This Row],[Ausfuhr: Wert €]]*1000/Table35678[[#This Row],[Ausfuhr: Gewicht]]</f>
        <v>4732.142857142856</v>
      </c>
      <c r="N81" s="8">
        <f>Table35678[[#This Row],[Einfuhr: Wert €]]*1000/Table35678[[#This Row],[Einfuhr: Gewicht]]</f>
        <v>4009.5181439619278</v>
      </c>
      <c r="O81" s="8">
        <f>Table35678[[#This Row],[Ausfuhr: Wert $]]*1000/Table35678[[#This Row],[Ausfuhr: Gewicht]]</f>
        <v>6383.9285714285697</v>
      </c>
      <c r="P81" s="8">
        <f>Table35678[[#This Row],[Einfuhr: Wert $]]*1000/Table35678[[#This Row],[Einfuhr: Gewicht]]</f>
        <v>5407.495538370018</v>
      </c>
    </row>
    <row r="82" spans="2:16" x14ac:dyDescent="0.25">
      <c r="B82">
        <f>(Table35678[[#This Row],[Jahr]]-$C$8)*12+Table35678[[#This Row],[Month nr]]</f>
        <v>72</v>
      </c>
      <c r="C82">
        <v>2013</v>
      </c>
      <c r="D82">
        <v>12</v>
      </c>
      <c r="E82" t="s">
        <v>24</v>
      </c>
      <c r="F82" t="str">
        <f>_xlfn.CONCAT(Table35678[[#This Row],[Monat]]," ",Table35678[[#This Row],[Jahr]])</f>
        <v>Dezember 2013</v>
      </c>
      <c r="G82" s="7">
        <v>53.9</v>
      </c>
      <c r="H82" s="7">
        <v>249</v>
      </c>
      <c r="I82" s="7">
        <v>344</v>
      </c>
      <c r="J82" s="7">
        <v>588.40000000000009</v>
      </c>
      <c r="K82" s="7">
        <v>2536</v>
      </c>
      <c r="L82" s="7">
        <v>3475</v>
      </c>
      <c r="M82" s="8">
        <f>Table35678[[#This Row],[Ausfuhr: Wert €]]*1000/Table35678[[#This Row],[Ausfuhr: Gewicht]]</f>
        <v>4619.6660482374773</v>
      </c>
      <c r="N82" s="8">
        <f>Table35678[[#This Row],[Einfuhr: Wert €]]*1000/Table35678[[#This Row],[Einfuhr: Gewicht]]</f>
        <v>4309.9932019034668</v>
      </c>
      <c r="O82" s="8">
        <f>Table35678[[#This Row],[Ausfuhr: Wert $]]*1000/Table35678[[#This Row],[Ausfuhr: Gewicht]]</f>
        <v>6382.1892393320968</v>
      </c>
      <c r="P82" s="8">
        <f>Table35678[[#This Row],[Einfuhr: Wert $]]*1000/Table35678[[#This Row],[Einfuhr: Gewicht]]</f>
        <v>5905.8463630183542</v>
      </c>
    </row>
    <row r="83" spans="2:16" x14ac:dyDescent="0.25">
      <c r="B83">
        <f>(Table35678[[#This Row],[Jahr]]-$C$8)*12+Table35678[[#This Row],[Month nr]]</f>
        <v>73</v>
      </c>
      <c r="C83">
        <v>2014</v>
      </c>
      <c r="D83">
        <v>1</v>
      </c>
      <c r="E83" t="s">
        <v>13</v>
      </c>
      <c r="F83" t="str">
        <f>_xlfn.CONCAT(Table35678[[#This Row],[Monat]]," ",Table35678[[#This Row],[Jahr]])</f>
        <v>Januar 2014</v>
      </c>
      <c r="G83">
        <v>11.899999999999999</v>
      </c>
      <c r="H83">
        <v>68</v>
      </c>
      <c r="I83">
        <v>93</v>
      </c>
      <c r="J83">
        <v>252.59999999999997</v>
      </c>
      <c r="K83">
        <v>1084</v>
      </c>
      <c r="L83">
        <v>1472</v>
      </c>
      <c r="M83" s="8">
        <f>Table35678[[#This Row],[Ausfuhr: Wert €]]*1000/Table35678[[#This Row],[Ausfuhr: Gewicht]]</f>
        <v>5714.2857142857147</v>
      </c>
      <c r="N83" s="8">
        <f>Table35678[[#This Row],[Einfuhr: Wert €]]*1000/Table35678[[#This Row],[Einfuhr: Gewicht]]</f>
        <v>4291.3697545526529</v>
      </c>
      <c r="O83" s="8">
        <f>Table35678[[#This Row],[Ausfuhr: Wert $]]*1000/Table35678[[#This Row],[Ausfuhr: Gewicht]]</f>
        <v>7815.1260504201691</v>
      </c>
      <c r="P83" s="8">
        <f>Table35678[[#This Row],[Einfuhr: Wert $]]*1000/Table35678[[#This Row],[Einfuhr: Gewicht]]</f>
        <v>5827.3950910530493</v>
      </c>
    </row>
    <row r="84" spans="2:16" x14ac:dyDescent="0.25">
      <c r="B84">
        <f>(Table35678[[#This Row],[Jahr]]-$C$8)*12+Table35678[[#This Row],[Month nr]]</f>
        <v>74</v>
      </c>
      <c r="C84">
        <v>2014</v>
      </c>
      <c r="D84">
        <v>2</v>
      </c>
      <c r="E84" t="s">
        <v>14</v>
      </c>
      <c r="F84" t="str">
        <f>_xlfn.CONCAT(Table35678[[#This Row],[Monat]]," ",Table35678[[#This Row],[Jahr]])</f>
        <v>Februar 2014</v>
      </c>
      <c r="G84">
        <v>64.799999999999983</v>
      </c>
      <c r="H84">
        <v>278</v>
      </c>
      <c r="I84">
        <v>380</v>
      </c>
      <c r="J84">
        <v>459.5</v>
      </c>
      <c r="K84">
        <v>1722</v>
      </c>
      <c r="L84">
        <v>2354</v>
      </c>
      <c r="M84" s="8">
        <f>Table35678[[#This Row],[Ausfuhr: Wert €]]*1000/Table35678[[#This Row],[Ausfuhr: Gewicht]]</f>
        <v>4290.1234567901247</v>
      </c>
      <c r="N84" s="8">
        <f>Table35678[[#This Row],[Einfuhr: Wert €]]*1000/Table35678[[#This Row],[Einfuhr: Gewicht]]</f>
        <v>3747.5516866158869</v>
      </c>
      <c r="O84" s="8">
        <f>Table35678[[#This Row],[Ausfuhr: Wert $]]*1000/Table35678[[#This Row],[Ausfuhr: Gewicht]]</f>
        <v>5864.1975308641995</v>
      </c>
      <c r="P84" s="8">
        <f>Table35678[[#This Row],[Einfuhr: Wert $]]*1000/Table35678[[#This Row],[Einfuhr: Gewicht]]</f>
        <v>5122.9597388465727</v>
      </c>
    </row>
    <row r="85" spans="2:16" x14ac:dyDescent="0.25">
      <c r="B85">
        <f>(Table35678[[#This Row],[Jahr]]-$C$8)*12+Table35678[[#This Row],[Month nr]]</f>
        <v>75</v>
      </c>
      <c r="C85">
        <v>2014</v>
      </c>
      <c r="D85">
        <v>3</v>
      </c>
      <c r="E85" t="s">
        <v>15</v>
      </c>
      <c r="F85" t="str">
        <f>_xlfn.CONCAT(Table35678[[#This Row],[Monat]]," ",Table35678[[#This Row],[Jahr]])</f>
        <v>März 2014</v>
      </c>
      <c r="G85">
        <v>277.69999999999993</v>
      </c>
      <c r="H85">
        <v>1347</v>
      </c>
      <c r="I85">
        <v>1860</v>
      </c>
      <c r="J85">
        <v>4128.4000000000015</v>
      </c>
      <c r="K85">
        <v>14008</v>
      </c>
      <c r="L85">
        <v>19366</v>
      </c>
      <c r="M85" s="8">
        <f>Table35678[[#This Row],[Ausfuhr: Wert €]]*1000/Table35678[[#This Row],[Ausfuhr: Gewicht]]</f>
        <v>4850.5581562837606</v>
      </c>
      <c r="N85" s="8">
        <f>Table35678[[#This Row],[Einfuhr: Wert €]]*1000/Table35678[[#This Row],[Einfuhr: Gewicht]]</f>
        <v>3393.0820656913079</v>
      </c>
      <c r="O85" s="8">
        <f>Table35678[[#This Row],[Ausfuhr: Wert $]]*1000/Table35678[[#This Row],[Ausfuhr: Gewicht]]</f>
        <v>6697.8754051134338</v>
      </c>
      <c r="P85" s="8">
        <f>Table35678[[#This Row],[Einfuhr: Wert $]]*1000/Table35678[[#This Row],[Einfuhr: Gewicht]]</f>
        <v>4690.9214223427944</v>
      </c>
    </row>
    <row r="86" spans="2:16" x14ac:dyDescent="0.25">
      <c r="B86">
        <f>(Table35678[[#This Row],[Jahr]]-$C$8)*12+Table35678[[#This Row],[Month nr]]</f>
        <v>76</v>
      </c>
      <c r="C86">
        <v>2014</v>
      </c>
      <c r="D86">
        <v>4</v>
      </c>
      <c r="E86" t="s">
        <v>16</v>
      </c>
      <c r="F86" t="str">
        <f>_xlfn.CONCAT(Table35678[[#This Row],[Monat]]," ",Table35678[[#This Row],[Jahr]])</f>
        <v>April 2014</v>
      </c>
      <c r="G86" s="10">
        <v>1666.3999999999994</v>
      </c>
      <c r="H86" s="10">
        <v>7242</v>
      </c>
      <c r="I86" s="10">
        <v>10004</v>
      </c>
      <c r="J86" s="10">
        <v>8365.6999999999989</v>
      </c>
      <c r="K86" s="10">
        <v>27968</v>
      </c>
      <c r="L86" s="10">
        <v>38636</v>
      </c>
      <c r="M86" s="8">
        <f>Table35678[[#This Row],[Ausfuhr: Wert €]]*1000/Table35678[[#This Row],[Ausfuhr: Gewicht]]</f>
        <v>4345.8953432549224</v>
      </c>
      <c r="N86" s="8">
        <f>Table35678[[#This Row],[Einfuhr: Wert €]]*1000/Table35678[[#This Row],[Einfuhr: Gewicht]]</f>
        <v>3343.1751078809907</v>
      </c>
      <c r="O86" s="8">
        <f>Table35678[[#This Row],[Ausfuhr: Wert $]]*1000/Table35678[[#This Row],[Ausfuhr: Gewicht]]</f>
        <v>6003.3605376860323</v>
      </c>
      <c r="P86" s="8">
        <f>Table35678[[#This Row],[Einfuhr: Wert $]]*1000/Table35678[[#This Row],[Einfuhr: Gewicht]]</f>
        <v>4618.3822035215226</v>
      </c>
    </row>
    <row r="87" spans="2:16" x14ac:dyDescent="0.25">
      <c r="B87">
        <f>(Table35678[[#This Row],[Jahr]]-$C$8)*12+Table35678[[#This Row],[Month nr]]</f>
        <v>77</v>
      </c>
      <c r="C87">
        <v>2014</v>
      </c>
      <c r="D87">
        <v>5</v>
      </c>
      <c r="E87" t="s">
        <v>20</v>
      </c>
      <c r="F87" t="str">
        <f>_xlfn.CONCAT(Table35678[[#This Row],[Monat]]," ",Table35678[[#This Row],[Jahr]])</f>
        <v>Mai 2014</v>
      </c>
      <c r="G87">
        <v>1417.6999999999998</v>
      </c>
      <c r="H87">
        <v>6186</v>
      </c>
      <c r="I87">
        <v>8492</v>
      </c>
      <c r="J87">
        <v>7180.8</v>
      </c>
      <c r="K87">
        <v>20190</v>
      </c>
      <c r="L87">
        <v>27722</v>
      </c>
      <c r="M87" s="8">
        <f>Table35678[[#This Row],[Ausfuhr: Wert €]]*1000/Table35678[[#This Row],[Ausfuhr: Gewicht]]</f>
        <v>4363.4055159765821</v>
      </c>
      <c r="N87" s="8">
        <f>Table35678[[#This Row],[Einfuhr: Wert €]]*1000/Table35678[[#This Row],[Einfuhr: Gewicht]]</f>
        <v>2811.6644385026739</v>
      </c>
      <c r="O87" s="8">
        <f>Table35678[[#This Row],[Ausfuhr: Wert $]]*1000/Table35678[[#This Row],[Ausfuhr: Gewicht]]</f>
        <v>5989.9837765394659</v>
      </c>
      <c r="P87" s="8">
        <f>Table35678[[#This Row],[Einfuhr: Wert $]]*1000/Table35678[[#This Row],[Einfuhr: Gewicht]]</f>
        <v>3860.5726381461673</v>
      </c>
    </row>
    <row r="88" spans="2:16" x14ac:dyDescent="0.25">
      <c r="B88">
        <f>(Table35678[[#This Row],[Jahr]]-$C$8)*12+Table35678[[#This Row],[Month nr]]</f>
        <v>78</v>
      </c>
      <c r="C88">
        <v>2014</v>
      </c>
      <c r="D88">
        <v>6</v>
      </c>
      <c r="E88" t="s">
        <v>21</v>
      </c>
      <c r="F88" t="str">
        <f>_xlfn.CONCAT(Table35678[[#This Row],[Monat]]," ",Table35678[[#This Row],[Jahr]])</f>
        <v>Juni 2014</v>
      </c>
      <c r="G88">
        <v>611.30000000000007</v>
      </c>
      <c r="H88">
        <v>2273</v>
      </c>
      <c r="I88">
        <v>3086</v>
      </c>
      <c r="J88">
        <v>3945.5999999999995</v>
      </c>
      <c r="K88">
        <v>10717</v>
      </c>
      <c r="L88">
        <v>14568</v>
      </c>
      <c r="M88" s="8">
        <f>Table35678[[#This Row],[Ausfuhr: Wert €]]*1000/Table35678[[#This Row],[Ausfuhr: Gewicht]]</f>
        <v>3718.3052511042038</v>
      </c>
      <c r="N88" s="8">
        <f>Table35678[[#This Row],[Einfuhr: Wert €]]*1000/Table35678[[#This Row],[Einfuhr: Gewicht]]</f>
        <v>2716.1901865369023</v>
      </c>
      <c r="O88" s="8">
        <f>Table35678[[#This Row],[Ausfuhr: Wert $]]*1000/Table35678[[#This Row],[Ausfuhr: Gewicht]]</f>
        <v>5048.2578112219853</v>
      </c>
      <c r="P88" s="8">
        <f>Table35678[[#This Row],[Einfuhr: Wert $]]*1000/Table35678[[#This Row],[Einfuhr: Gewicht]]</f>
        <v>3692.2141119221415</v>
      </c>
    </row>
    <row r="89" spans="2:16" x14ac:dyDescent="0.25">
      <c r="B89">
        <f>(Table35678[[#This Row],[Jahr]]-$C$8)*12+Table35678[[#This Row],[Month nr]]</f>
        <v>79</v>
      </c>
      <c r="C89">
        <v>2014</v>
      </c>
      <c r="D89">
        <v>7</v>
      </c>
      <c r="E89" t="s">
        <v>22</v>
      </c>
      <c r="F89" t="str">
        <f>_xlfn.CONCAT(Table35678[[#This Row],[Monat]]," ",Table35678[[#This Row],[Jahr]])</f>
        <v>Juli 2014</v>
      </c>
      <c r="G89">
        <v>107.50000000000001</v>
      </c>
      <c r="H89">
        <v>397</v>
      </c>
      <c r="I89">
        <v>542</v>
      </c>
      <c r="J89">
        <v>618.40000000000009</v>
      </c>
      <c r="K89">
        <v>2123</v>
      </c>
      <c r="L89">
        <v>2873</v>
      </c>
      <c r="M89" s="8">
        <f>Table35678[[#This Row],[Ausfuhr: Wert €]]*1000/Table35678[[#This Row],[Ausfuhr: Gewicht]]</f>
        <v>3693.0232558139528</v>
      </c>
      <c r="N89" s="8">
        <f>Table35678[[#This Row],[Einfuhr: Wert €]]*1000/Table35678[[#This Row],[Einfuhr: Gewicht]]</f>
        <v>3433.0530401034925</v>
      </c>
      <c r="O89" s="8">
        <f>Table35678[[#This Row],[Ausfuhr: Wert $]]*1000/Table35678[[#This Row],[Ausfuhr: Gewicht]]</f>
        <v>5041.8604651162786</v>
      </c>
      <c r="P89" s="8">
        <f>Table35678[[#This Row],[Einfuhr: Wert $]]*1000/Table35678[[#This Row],[Einfuhr: Gewicht]]</f>
        <v>4645.8602846054328</v>
      </c>
    </row>
    <row r="90" spans="2:16" x14ac:dyDescent="0.25">
      <c r="B90">
        <f>(Table35678[[#This Row],[Jahr]]-$C$8)*12+Table35678[[#This Row],[Month nr]]</f>
        <v>80</v>
      </c>
      <c r="C90">
        <v>2014</v>
      </c>
      <c r="D90">
        <v>8</v>
      </c>
      <c r="E90" t="s">
        <v>17</v>
      </c>
      <c r="F90" t="str">
        <f>_xlfn.CONCAT(Table35678[[#This Row],[Monat]]," ",Table35678[[#This Row],[Jahr]])</f>
        <v>August 2014</v>
      </c>
      <c r="G90">
        <v>18.7</v>
      </c>
      <c r="H90">
        <v>109</v>
      </c>
      <c r="I90">
        <v>145</v>
      </c>
      <c r="J90">
        <v>218.40000000000003</v>
      </c>
      <c r="K90">
        <v>980</v>
      </c>
      <c r="L90">
        <v>1307</v>
      </c>
      <c r="M90" s="8">
        <f>Table35678[[#This Row],[Ausfuhr: Wert €]]*1000/Table35678[[#This Row],[Ausfuhr: Gewicht]]</f>
        <v>5828.8770053475937</v>
      </c>
      <c r="N90" s="8">
        <f>Table35678[[#This Row],[Einfuhr: Wert €]]*1000/Table35678[[#This Row],[Einfuhr: Gewicht]]</f>
        <v>4487.1794871794864</v>
      </c>
      <c r="O90" s="8">
        <f>Table35678[[#This Row],[Ausfuhr: Wert $]]*1000/Table35678[[#This Row],[Ausfuhr: Gewicht]]</f>
        <v>7754.0106951871658</v>
      </c>
      <c r="P90" s="8">
        <f>Table35678[[#This Row],[Einfuhr: Wert $]]*1000/Table35678[[#This Row],[Einfuhr: Gewicht]]</f>
        <v>5984.4322344322336</v>
      </c>
    </row>
    <row r="91" spans="2:16" x14ac:dyDescent="0.25">
      <c r="B91">
        <f>(Table35678[[#This Row],[Jahr]]-$C$8)*12+Table35678[[#This Row],[Month nr]]</f>
        <v>81</v>
      </c>
      <c r="C91">
        <v>2014</v>
      </c>
      <c r="D91">
        <v>9</v>
      </c>
      <c r="E91" t="s">
        <v>18</v>
      </c>
      <c r="F91" t="str">
        <f>_xlfn.CONCAT(Table35678[[#This Row],[Monat]]," ",Table35678[[#This Row],[Jahr]])</f>
        <v>September 2014</v>
      </c>
      <c r="G91">
        <v>7.1999999999999993</v>
      </c>
      <c r="H91">
        <v>40</v>
      </c>
      <c r="I91">
        <v>56</v>
      </c>
      <c r="J91">
        <v>215.60000000000002</v>
      </c>
      <c r="K91">
        <v>894</v>
      </c>
      <c r="L91">
        <v>1150</v>
      </c>
      <c r="M91" s="8">
        <f>Table35678[[#This Row],[Ausfuhr: Wert €]]*1000/Table35678[[#This Row],[Ausfuhr: Gewicht]]</f>
        <v>5555.5555555555557</v>
      </c>
      <c r="N91" s="8">
        <f>Table35678[[#This Row],[Einfuhr: Wert €]]*1000/Table35678[[#This Row],[Einfuhr: Gewicht]]</f>
        <v>4146.5677179962886</v>
      </c>
      <c r="O91" s="8">
        <f>Table35678[[#This Row],[Ausfuhr: Wert $]]*1000/Table35678[[#This Row],[Ausfuhr: Gewicht]]</f>
        <v>7777.7777777777783</v>
      </c>
      <c r="P91" s="8">
        <f>Table35678[[#This Row],[Einfuhr: Wert $]]*1000/Table35678[[#This Row],[Einfuhr: Gewicht]]</f>
        <v>5333.9517625231902</v>
      </c>
    </row>
    <row r="92" spans="2:16" x14ac:dyDescent="0.25">
      <c r="B92">
        <f>(Table35678[[#This Row],[Jahr]]-$C$8)*12+Table35678[[#This Row],[Month nr]]</f>
        <v>82</v>
      </c>
      <c r="C92">
        <v>2014</v>
      </c>
      <c r="D92">
        <v>10</v>
      </c>
      <c r="E92" t="s">
        <v>23</v>
      </c>
      <c r="F92" t="str">
        <f>_xlfn.CONCAT(Table35678[[#This Row],[Monat]]," ",Table35678[[#This Row],[Jahr]])</f>
        <v>Oktober 2014</v>
      </c>
      <c r="G92">
        <v>10.5</v>
      </c>
      <c r="H92">
        <v>45</v>
      </c>
      <c r="I92">
        <v>56</v>
      </c>
      <c r="J92">
        <v>371.4</v>
      </c>
      <c r="K92">
        <v>1449</v>
      </c>
      <c r="L92">
        <v>1836</v>
      </c>
      <c r="M92" s="8">
        <f>Table35678[[#This Row],[Ausfuhr: Wert €]]*1000/Table35678[[#This Row],[Ausfuhr: Gewicht]]</f>
        <v>4285.7142857142853</v>
      </c>
      <c r="N92" s="8">
        <f>Table35678[[#This Row],[Einfuhr: Wert €]]*1000/Table35678[[#This Row],[Einfuhr: Gewicht]]</f>
        <v>3901.4539579967691</v>
      </c>
      <c r="O92" s="8">
        <f>Table35678[[#This Row],[Ausfuhr: Wert $]]*1000/Table35678[[#This Row],[Ausfuhr: Gewicht]]</f>
        <v>5333.333333333333</v>
      </c>
      <c r="P92" s="8">
        <f>Table35678[[#This Row],[Einfuhr: Wert $]]*1000/Table35678[[#This Row],[Einfuhr: Gewicht]]</f>
        <v>4943.4571890145398</v>
      </c>
    </row>
    <row r="93" spans="2:16" x14ac:dyDescent="0.25">
      <c r="B93">
        <f>(Table35678[[#This Row],[Jahr]]-$C$8)*12+Table35678[[#This Row],[Month nr]]</f>
        <v>83</v>
      </c>
      <c r="C93">
        <v>2014</v>
      </c>
      <c r="D93">
        <v>11</v>
      </c>
      <c r="E93" t="s">
        <v>19</v>
      </c>
      <c r="F93" t="str">
        <f>_xlfn.CONCAT(Table35678[[#This Row],[Monat]]," ",Table35678[[#This Row],[Jahr]])</f>
        <v>November 2014</v>
      </c>
      <c r="G93">
        <v>6.8</v>
      </c>
      <c r="H93">
        <v>41</v>
      </c>
      <c r="I93">
        <v>51</v>
      </c>
      <c r="J93">
        <v>279</v>
      </c>
      <c r="K93">
        <v>1090</v>
      </c>
      <c r="L93">
        <v>1358</v>
      </c>
      <c r="M93" s="8">
        <f>Table35678[[#This Row],[Ausfuhr: Wert €]]*1000/Table35678[[#This Row],[Ausfuhr: Gewicht]]</f>
        <v>6029.4117647058829</v>
      </c>
      <c r="N93" s="8">
        <f>Table35678[[#This Row],[Einfuhr: Wert €]]*1000/Table35678[[#This Row],[Einfuhr: Gewicht]]</f>
        <v>3906.8100358422939</v>
      </c>
      <c r="O93" s="8">
        <f>Table35678[[#This Row],[Ausfuhr: Wert $]]*1000/Table35678[[#This Row],[Ausfuhr: Gewicht]]</f>
        <v>7500</v>
      </c>
      <c r="P93" s="8">
        <f>Table35678[[#This Row],[Einfuhr: Wert $]]*1000/Table35678[[#This Row],[Einfuhr: Gewicht]]</f>
        <v>4867.3835125448031</v>
      </c>
    </row>
    <row r="94" spans="2:16" x14ac:dyDescent="0.25">
      <c r="B94">
        <f>(Table35678[[#This Row],[Jahr]]-$C$8)*12+Table35678[[#This Row],[Month nr]]</f>
        <v>84</v>
      </c>
      <c r="C94">
        <v>2014</v>
      </c>
      <c r="D94">
        <v>12</v>
      </c>
      <c r="E94" t="s">
        <v>24</v>
      </c>
      <c r="F94" t="str">
        <f>_xlfn.CONCAT(Table35678[[#This Row],[Monat]]," ",Table35678[[#This Row],[Jahr]])</f>
        <v>Dezember 2014</v>
      </c>
      <c r="G94">
        <v>53.999999999999993</v>
      </c>
      <c r="H94">
        <v>244</v>
      </c>
      <c r="I94">
        <v>301</v>
      </c>
      <c r="J94">
        <v>612.1</v>
      </c>
      <c r="K94">
        <v>2565</v>
      </c>
      <c r="L94">
        <v>3160</v>
      </c>
      <c r="M94" s="8">
        <f>Table35678[[#This Row],[Ausfuhr: Wert €]]*1000/Table35678[[#This Row],[Ausfuhr: Gewicht]]</f>
        <v>4518.5185185185192</v>
      </c>
      <c r="N94" s="8">
        <f>Table35678[[#This Row],[Einfuhr: Wert €]]*1000/Table35678[[#This Row],[Einfuhr: Gewicht]]</f>
        <v>4190.4917497140987</v>
      </c>
      <c r="O94" s="8">
        <f>Table35678[[#This Row],[Ausfuhr: Wert $]]*1000/Table35678[[#This Row],[Ausfuhr: Gewicht]]</f>
        <v>5574.0740740740748</v>
      </c>
      <c r="P94" s="8">
        <f>Table35678[[#This Row],[Einfuhr: Wert $]]*1000/Table35678[[#This Row],[Einfuhr: Gewicht]]</f>
        <v>5162.555138049338</v>
      </c>
    </row>
    <row r="95" spans="2:16" x14ac:dyDescent="0.25">
      <c r="B95">
        <f>(Table35678[[#This Row],[Jahr]]-$C$8)*12+Table35678[[#This Row],[Month nr]]</f>
        <v>85</v>
      </c>
      <c r="C95">
        <v>2015</v>
      </c>
      <c r="D95">
        <v>1</v>
      </c>
      <c r="E95" t="s">
        <v>13</v>
      </c>
      <c r="F95" t="str">
        <f>_xlfn.CONCAT(Table35678[[#This Row],[Monat]]," ",Table35678[[#This Row],[Jahr]])</f>
        <v>Januar 2015</v>
      </c>
      <c r="G95">
        <v>30.8</v>
      </c>
      <c r="H95">
        <v>128</v>
      </c>
      <c r="I95">
        <v>150</v>
      </c>
      <c r="J95">
        <v>298.3</v>
      </c>
      <c r="K95">
        <v>1164</v>
      </c>
      <c r="L95">
        <v>1354</v>
      </c>
      <c r="M95" s="8">
        <f>Table35678[[#This Row],[Ausfuhr: Wert €]]*1000/Table35678[[#This Row],[Ausfuhr: Gewicht]]</f>
        <v>4155.8441558441555</v>
      </c>
      <c r="N95" s="8">
        <f>Table35678[[#This Row],[Einfuhr: Wert €]]*1000/Table35678[[#This Row],[Einfuhr: Gewicht]]</f>
        <v>3902.1119678176333</v>
      </c>
      <c r="O95" s="8">
        <f>Table35678[[#This Row],[Ausfuhr: Wert $]]*1000/Table35678[[#This Row],[Ausfuhr: Gewicht]]</f>
        <v>4870.1298701298701</v>
      </c>
      <c r="P95" s="8">
        <f>Table35678[[#This Row],[Einfuhr: Wert $]]*1000/Table35678[[#This Row],[Einfuhr: Gewicht]]</f>
        <v>4539.0546429768683</v>
      </c>
    </row>
    <row r="96" spans="2:16" x14ac:dyDescent="0.25">
      <c r="B96">
        <f>(Table35678[[#This Row],[Jahr]]-$C$8)*12+Table35678[[#This Row],[Month nr]]</f>
        <v>86</v>
      </c>
      <c r="C96">
        <v>2015</v>
      </c>
      <c r="D96">
        <v>2</v>
      </c>
      <c r="E96" t="s">
        <v>14</v>
      </c>
      <c r="F96" t="str">
        <f>_xlfn.CONCAT(Table35678[[#This Row],[Monat]]," ",Table35678[[#This Row],[Jahr]])</f>
        <v>Februar 2015</v>
      </c>
      <c r="G96">
        <v>34.700000000000003</v>
      </c>
      <c r="H96">
        <v>158</v>
      </c>
      <c r="I96">
        <v>179</v>
      </c>
      <c r="J96">
        <v>215.29999999999998</v>
      </c>
      <c r="K96">
        <v>953</v>
      </c>
      <c r="L96">
        <v>1082</v>
      </c>
      <c r="M96" s="8">
        <f>Table35678[[#This Row],[Ausfuhr: Wert €]]*1000/Table35678[[#This Row],[Ausfuhr: Gewicht]]</f>
        <v>4553.3141210374633</v>
      </c>
      <c r="N96" s="8">
        <f>Table35678[[#This Row],[Einfuhr: Wert €]]*1000/Table35678[[#This Row],[Einfuhr: Gewicht]]</f>
        <v>4426.3817928471899</v>
      </c>
      <c r="O96" s="8">
        <f>Table35678[[#This Row],[Ausfuhr: Wert $]]*1000/Table35678[[#This Row],[Ausfuhr: Gewicht]]</f>
        <v>5158.5014409221894</v>
      </c>
      <c r="P96" s="8">
        <f>Table35678[[#This Row],[Einfuhr: Wert $]]*1000/Table35678[[#This Row],[Einfuhr: Gewicht]]</f>
        <v>5025.5457501161172</v>
      </c>
    </row>
    <row r="97" spans="2:16" x14ac:dyDescent="0.25">
      <c r="B97">
        <f>(Table35678[[#This Row],[Jahr]]-$C$8)*12+Table35678[[#This Row],[Month nr]]</f>
        <v>87</v>
      </c>
      <c r="C97">
        <v>2015</v>
      </c>
      <c r="D97">
        <v>3</v>
      </c>
      <c r="E97" t="s">
        <v>15</v>
      </c>
      <c r="F97" t="str">
        <f>_xlfn.CONCAT(Table35678[[#This Row],[Monat]]," ",Table35678[[#This Row],[Jahr]])</f>
        <v>März 2015</v>
      </c>
      <c r="G97">
        <v>302.60000000000002</v>
      </c>
      <c r="H97">
        <v>1801</v>
      </c>
      <c r="I97">
        <v>1951</v>
      </c>
      <c r="J97">
        <v>2068.3999999999996</v>
      </c>
      <c r="K97">
        <v>10265</v>
      </c>
      <c r="L97">
        <v>11127</v>
      </c>
      <c r="M97" s="8">
        <f>Table35678[[#This Row],[Ausfuhr: Wert €]]*1000/Table35678[[#This Row],[Ausfuhr: Gewicht]]</f>
        <v>5951.7514871116982</v>
      </c>
      <c r="N97" s="8">
        <f>Table35678[[#This Row],[Einfuhr: Wert €]]*1000/Table35678[[#This Row],[Einfuhr: Gewicht]]</f>
        <v>4962.7731579965202</v>
      </c>
      <c r="O97" s="8">
        <f>Table35678[[#This Row],[Ausfuhr: Wert $]]*1000/Table35678[[#This Row],[Ausfuhr: Gewicht]]</f>
        <v>6447.4553866490414</v>
      </c>
      <c r="P97" s="8">
        <f>Table35678[[#This Row],[Einfuhr: Wert $]]*1000/Table35678[[#This Row],[Einfuhr: Gewicht]]</f>
        <v>5379.5204022432808</v>
      </c>
    </row>
    <row r="98" spans="2:16" x14ac:dyDescent="0.25">
      <c r="B98">
        <f>(Table35678[[#This Row],[Jahr]]-$C$8)*12+Table35678[[#This Row],[Month nr]]</f>
        <v>88</v>
      </c>
      <c r="C98">
        <v>2015</v>
      </c>
      <c r="D98">
        <v>4</v>
      </c>
      <c r="E98" t="s">
        <v>16</v>
      </c>
      <c r="F98" t="str">
        <f>_xlfn.CONCAT(Table35678[[#This Row],[Monat]]," ",Table35678[[#This Row],[Jahr]])</f>
        <v>April 2015</v>
      </c>
      <c r="G98" s="10">
        <v>1207.4000000000001</v>
      </c>
      <c r="H98" s="10">
        <v>6852</v>
      </c>
      <c r="I98" s="10">
        <v>7389</v>
      </c>
      <c r="J98" s="10">
        <v>7704.1000000000013</v>
      </c>
      <c r="K98" s="10">
        <v>28586</v>
      </c>
      <c r="L98" s="10">
        <v>30813</v>
      </c>
      <c r="M98" s="8">
        <f>Table35678[[#This Row],[Ausfuhr: Wert €]]*1000/Table35678[[#This Row],[Ausfuhr: Gewicht]]</f>
        <v>5675.0041411296997</v>
      </c>
      <c r="N98" s="8">
        <f>Table35678[[#This Row],[Einfuhr: Wert €]]*1000/Table35678[[#This Row],[Einfuhr: Gewicht]]</f>
        <v>3710.4918160460011</v>
      </c>
      <c r="O98" s="8">
        <f>Table35678[[#This Row],[Ausfuhr: Wert $]]*1000/Table35678[[#This Row],[Ausfuhr: Gewicht]]</f>
        <v>6119.7614709292693</v>
      </c>
      <c r="P98" s="8">
        <f>Table35678[[#This Row],[Einfuhr: Wert $]]*1000/Table35678[[#This Row],[Einfuhr: Gewicht]]</f>
        <v>3999.5586765488501</v>
      </c>
    </row>
    <row r="99" spans="2:16" x14ac:dyDescent="0.25">
      <c r="B99">
        <f>(Table35678[[#This Row],[Jahr]]-$C$8)*12+Table35678[[#This Row],[Month nr]]</f>
        <v>89</v>
      </c>
      <c r="C99">
        <v>2015</v>
      </c>
      <c r="D99">
        <v>5</v>
      </c>
      <c r="E99" t="s">
        <v>20</v>
      </c>
      <c r="F99" t="str">
        <f>_xlfn.CONCAT(Table35678[[#This Row],[Monat]]," ",Table35678[[#This Row],[Jahr]])</f>
        <v>Mai 2015</v>
      </c>
      <c r="G99">
        <v>1476.9999999999995</v>
      </c>
      <c r="H99">
        <v>7065</v>
      </c>
      <c r="I99">
        <v>7876</v>
      </c>
      <c r="J99">
        <v>7296.3</v>
      </c>
      <c r="K99">
        <v>20986</v>
      </c>
      <c r="L99">
        <v>23398</v>
      </c>
      <c r="M99" s="8">
        <f>Table35678[[#This Row],[Ausfuhr: Wert €]]*1000/Table35678[[#This Row],[Ausfuhr: Gewicht]]</f>
        <v>4783.344617467842</v>
      </c>
      <c r="N99" s="8">
        <f>Table35678[[#This Row],[Einfuhr: Wert €]]*1000/Table35678[[#This Row],[Einfuhr: Gewicht]]</f>
        <v>2876.252347080027</v>
      </c>
      <c r="O99" s="8">
        <f>Table35678[[#This Row],[Ausfuhr: Wert $]]*1000/Table35678[[#This Row],[Ausfuhr: Gewicht]]</f>
        <v>5332.4306025727847</v>
      </c>
      <c r="P99" s="8">
        <f>Table35678[[#This Row],[Einfuhr: Wert $]]*1000/Table35678[[#This Row],[Einfuhr: Gewicht]]</f>
        <v>3206.8308594767209</v>
      </c>
    </row>
    <row r="100" spans="2:16" x14ac:dyDescent="0.25">
      <c r="B100">
        <f>(Table35678[[#This Row],[Jahr]]-$C$8)*12+Table35678[[#This Row],[Month nr]]</f>
        <v>90</v>
      </c>
      <c r="C100">
        <v>2015</v>
      </c>
      <c r="D100">
        <v>6</v>
      </c>
      <c r="E100" t="s">
        <v>21</v>
      </c>
      <c r="F100" t="str">
        <f>_xlfn.CONCAT(Table35678[[#This Row],[Monat]]," ",Table35678[[#This Row],[Jahr]])</f>
        <v>Juni 2015</v>
      </c>
      <c r="G100">
        <v>727.10000000000014</v>
      </c>
      <c r="H100">
        <v>2720</v>
      </c>
      <c r="I100">
        <v>3050</v>
      </c>
      <c r="J100">
        <v>3498.7</v>
      </c>
      <c r="K100">
        <v>10359</v>
      </c>
      <c r="L100">
        <v>11615</v>
      </c>
      <c r="M100" s="8">
        <f>Table35678[[#This Row],[Ausfuhr: Wert €]]*1000/Table35678[[#This Row],[Ausfuhr: Gewicht]]</f>
        <v>3740.8884610094892</v>
      </c>
      <c r="N100" s="8">
        <f>Table35678[[#This Row],[Einfuhr: Wert €]]*1000/Table35678[[#This Row],[Einfuhr: Gewicht]]</f>
        <v>2960.8140166347503</v>
      </c>
      <c r="O100" s="8">
        <f>Table35678[[#This Row],[Ausfuhr: Wert $]]*1000/Table35678[[#This Row],[Ausfuhr: Gewicht]]</f>
        <v>4194.7462522349051</v>
      </c>
      <c r="P100" s="8">
        <f>Table35678[[#This Row],[Einfuhr: Wert $]]*1000/Table35678[[#This Row],[Einfuhr: Gewicht]]</f>
        <v>3319.8044988138454</v>
      </c>
    </row>
    <row r="101" spans="2:16" x14ac:dyDescent="0.25">
      <c r="B101">
        <f>(Table35678[[#This Row],[Jahr]]-$C$8)*12+Table35678[[#This Row],[Month nr]]</f>
        <v>91</v>
      </c>
      <c r="C101">
        <v>2015</v>
      </c>
      <c r="D101">
        <v>7</v>
      </c>
      <c r="E101" t="s">
        <v>22</v>
      </c>
      <c r="F101" t="str">
        <f>_xlfn.CONCAT(Table35678[[#This Row],[Monat]]," ",Table35678[[#This Row],[Jahr]])</f>
        <v>Juli 2015</v>
      </c>
      <c r="G101">
        <v>119</v>
      </c>
      <c r="H101">
        <v>559</v>
      </c>
      <c r="I101">
        <v>615</v>
      </c>
      <c r="J101">
        <v>1018.2999999999998</v>
      </c>
      <c r="K101">
        <v>3781</v>
      </c>
      <c r="L101">
        <v>4160</v>
      </c>
      <c r="M101" s="8">
        <f>Table35678[[#This Row],[Ausfuhr: Wert €]]*1000/Table35678[[#This Row],[Ausfuhr: Gewicht]]</f>
        <v>4697.4789915966385</v>
      </c>
      <c r="N101" s="8">
        <f>Table35678[[#This Row],[Einfuhr: Wert €]]*1000/Table35678[[#This Row],[Einfuhr: Gewicht]]</f>
        <v>3713.0511637042136</v>
      </c>
      <c r="O101" s="8">
        <f>Table35678[[#This Row],[Ausfuhr: Wert $]]*1000/Table35678[[#This Row],[Ausfuhr: Gewicht]]</f>
        <v>5168.0672268907565</v>
      </c>
      <c r="P101" s="8">
        <f>Table35678[[#This Row],[Einfuhr: Wert $]]*1000/Table35678[[#This Row],[Einfuhr: Gewicht]]</f>
        <v>4085.2401060591187</v>
      </c>
    </row>
    <row r="102" spans="2:16" x14ac:dyDescent="0.25">
      <c r="B102">
        <f>(Table35678[[#This Row],[Jahr]]-$C$8)*12+Table35678[[#This Row],[Month nr]]</f>
        <v>92</v>
      </c>
      <c r="C102">
        <v>2015</v>
      </c>
      <c r="D102">
        <v>8</v>
      </c>
      <c r="E102" t="s">
        <v>17</v>
      </c>
      <c r="F102" t="str">
        <f>_xlfn.CONCAT(Table35678[[#This Row],[Monat]]," ",Table35678[[#This Row],[Jahr]])</f>
        <v>August 2015</v>
      </c>
      <c r="G102">
        <v>16.099999999999998</v>
      </c>
      <c r="H102">
        <v>85</v>
      </c>
      <c r="I102">
        <v>94</v>
      </c>
      <c r="J102">
        <v>199.3</v>
      </c>
      <c r="K102">
        <v>987</v>
      </c>
      <c r="L102">
        <v>1099</v>
      </c>
      <c r="M102" s="8">
        <f>Table35678[[#This Row],[Ausfuhr: Wert €]]*1000/Table35678[[#This Row],[Ausfuhr: Gewicht]]</f>
        <v>5279.5031055900627</v>
      </c>
      <c r="N102" s="8">
        <f>Table35678[[#This Row],[Einfuhr: Wert €]]*1000/Table35678[[#This Row],[Einfuhr: Gewicht]]</f>
        <v>4952.3331660812846</v>
      </c>
      <c r="O102" s="8">
        <f>Table35678[[#This Row],[Ausfuhr: Wert $]]*1000/Table35678[[#This Row],[Ausfuhr: Gewicht]]</f>
        <v>5838.5093167701871</v>
      </c>
      <c r="P102" s="8">
        <f>Table35678[[#This Row],[Einfuhr: Wert $]]*1000/Table35678[[#This Row],[Einfuhr: Gewicht]]</f>
        <v>5514.3000501756142</v>
      </c>
    </row>
    <row r="103" spans="2:16" x14ac:dyDescent="0.25">
      <c r="B103">
        <f>(Table35678[[#This Row],[Jahr]]-$C$8)*12+Table35678[[#This Row],[Month nr]]</f>
        <v>93</v>
      </c>
      <c r="C103">
        <v>2015</v>
      </c>
      <c r="D103">
        <v>9</v>
      </c>
      <c r="E103" t="s">
        <v>18</v>
      </c>
      <c r="F103" t="str">
        <f>_xlfn.CONCAT(Table35678[[#This Row],[Monat]]," ",Table35678[[#This Row],[Jahr]])</f>
        <v>September 2015</v>
      </c>
      <c r="G103">
        <v>8</v>
      </c>
      <c r="H103">
        <v>53</v>
      </c>
      <c r="I103">
        <v>58</v>
      </c>
      <c r="J103">
        <v>228.6</v>
      </c>
      <c r="K103">
        <v>1127</v>
      </c>
      <c r="L103">
        <v>1265</v>
      </c>
      <c r="M103" s="8">
        <f>Table35678[[#This Row],[Ausfuhr: Wert €]]*1000/Table35678[[#This Row],[Ausfuhr: Gewicht]]</f>
        <v>6625</v>
      </c>
      <c r="N103" s="8">
        <f>Table35678[[#This Row],[Einfuhr: Wert €]]*1000/Table35678[[#This Row],[Einfuhr: Gewicht]]</f>
        <v>4930.0087489063872</v>
      </c>
      <c r="O103" s="8">
        <f>Table35678[[#This Row],[Ausfuhr: Wert $]]*1000/Table35678[[#This Row],[Ausfuhr: Gewicht]]</f>
        <v>7250</v>
      </c>
      <c r="P103" s="8">
        <f>Table35678[[#This Row],[Einfuhr: Wert $]]*1000/Table35678[[#This Row],[Einfuhr: Gewicht]]</f>
        <v>5533.6832895888019</v>
      </c>
    </row>
    <row r="104" spans="2:16" x14ac:dyDescent="0.25">
      <c r="B104">
        <f>(Table35678[[#This Row],[Jahr]]-$C$8)*12+Table35678[[#This Row],[Month nr]]</f>
        <v>94</v>
      </c>
      <c r="C104">
        <v>2015</v>
      </c>
      <c r="D104">
        <v>10</v>
      </c>
      <c r="E104" t="s">
        <v>23</v>
      </c>
      <c r="F104" t="str">
        <f>_xlfn.CONCAT(Table35678[[#This Row],[Monat]]," ",Table35678[[#This Row],[Jahr]])</f>
        <v>Oktober 2015</v>
      </c>
      <c r="G104">
        <v>6.1000000000000005</v>
      </c>
      <c r="H104">
        <v>26</v>
      </c>
      <c r="I104">
        <v>31</v>
      </c>
      <c r="J104">
        <v>336.8</v>
      </c>
      <c r="K104">
        <v>1387</v>
      </c>
      <c r="L104">
        <v>1560</v>
      </c>
      <c r="M104" s="8">
        <f>Table35678[[#This Row],[Ausfuhr: Wert €]]*1000/Table35678[[#This Row],[Ausfuhr: Gewicht]]</f>
        <v>4262.2950819672124</v>
      </c>
      <c r="N104" s="8">
        <f>Table35678[[#This Row],[Einfuhr: Wert €]]*1000/Table35678[[#This Row],[Einfuhr: Gewicht]]</f>
        <v>4118.1710213776723</v>
      </c>
      <c r="O104" s="8">
        <f>Table35678[[#This Row],[Ausfuhr: Wert $]]*1000/Table35678[[#This Row],[Ausfuhr: Gewicht]]</f>
        <v>5081.9672131147536</v>
      </c>
      <c r="P104" s="8">
        <f>Table35678[[#This Row],[Einfuhr: Wert $]]*1000/Table35678[[#This Row],[Einfuhr: Gewicht]]</f>
        <v>4631.8289786223277</v>
      </c>
    </row>
    <row r="105" spans="2:16" x14ac:dyDescent="0.25">
      <c r="B105">
        <f>(Table35678[[#This Row],[Jahr]]-$C$8)*12+Table35678[[#This Row],[Month nr]]</f>
        <v>95</v>
      </c>
      <c r="C105">
        <v>2015</v>
      </c>
      <c r="D105">
        <v>11</v>
      </c>
      <c r="E105" t="s">
        <v>19</v>
      </c>
      <c r="F105" t="str">
        <f>_xlfn.CONCAT(Table35678[[#This Row],[Monat]]," ",Table35678[[#This Row],[Jahr]])</f>
        <v>November 2015</v>
      </c>
      <c r="G105">
        <v>7.9</v>
      </c>
      <c r="H105">
        <v>41</v>
      </c>
      <c r="I105">
        <v>44</v>
      </c>
      <c r="J105">
        <v>352.19999999999993</v>
      </c>
      <c r="K105">
        <v>1426</v>
      </c>
      <c r="L105">
        <v>1529</v>
      </c>
      <c r="M105" s="8">
        <f>Table35678[[#This Row],[Ausfuhr: Wert €]]*1000/Table35678[[#This Row],[Ausfuhr: Gewicht]]</f>
        <v>5189.8734177215183</v>
      </c>
      <c r="N105" s="8">
        <f>Table35678[[#This Row],[Einfuhr: Wert €]]*1000/Table35678[[#This Row],[Einfuhr: Gewicht]]</f>
        <v>4048.8358886996034</v>
      </c>
      <c r="O105" s="8">
        <f>Table35678[[#This Row],[Ausfuhr: Wert $]]*1000/Table35678[[#This Row],[Ausfuhr: Gewicht]]</f>
        <v>5569.6202531645567</v>
      </c>
      <c r="P105" s="8">
        <f>Table35678[[#This Row],[Einfuhr: Wert $]]*1000/Table35678[[#This Row],[Einfuhr: Gewicht]]</f>
        <v>4341.2833617262932</v>
      </c>
    </row>
    <row r="106" spans="2:16" x14ac:dyDescent="0.25">
      <c r="B106">
        <f>(Table35678[[#This Row],[Jahr]]-$C$8)*12+Table35678[[#This Row],[Month nr]]</f>
        <v>96</v>
      </c>
      <c r="C106">
        <v>2015</v>
      </c>
      <c r="D106">
        <v>12</v>
      </c>
      <c r="E106" t="s">
        <v>24</v>
      </c>
      <c r="F106" t="str">
        <f>_xlfn.CONCAT(Table35678[[#This Row],[Monat]]," ",Table35678[[#This Row],[Jahr]])</f>
        <v>Dezember 2015</v>
      </c>
      <c r="G106">
        <v>56.9</v>
      </c>
      <c r="H106">
        <v>298</v>
      </c>
      <c r="I106">
        <v>326</v>
      </c>
      <c r="J106">
        <v>529.19999999999993</v>
      </c>
      <c r="K106">
        <v>2615</v>
      </c>
      <c r="L106">
        <v>2843</v>
      </c>
      <c r="M106" s="8">
        <f>Table35678[[#This Row],[Ausfuhr: Wert €]]*1000/Table35678[[#This Row],[Ausfuhr: Gewicht]]</f>
        <v>5237.2583479789109</v>
      </c>
      <c r="N106" s="8">
        <f>Table35678[[#This Row],[Einfuhr: Wert €]]*1000/Table35678[[#This Row],[Einfuhr: Gewicht]]</f>
        <v>4941.4210128495852</v>
      </c>
      <c r="O106" s="8">
        <f>Table35678[[#This Row],[Ausfuhr: Wert $]]*1000/Table35678[[#This Row],[Ausfuhr: Gewicht]]</f>
        <v>5729.3497363796132</v>
      </c>
      <c r="P106" s="8">
        <f>Table35678[[#This Row],[Einfuhr: Wert $]]*1000/Table35678[[#This Row],[Einfuhr: Gewicht]]</f>
        <v>5372.2600151171582</v>
      </c>
    </row>
    <row r="107" spans="2:16" x14ac:dyDescent="0.25">
      <c r="B107">
        <f>(Table35678[[#This Row],[Jahr]]-$C$8)*12+Table35678[[#This Row],[Month nr]]</f>
        <v>97</v>
      </c>
      <c r="C107">
        <v>2016</v>
      </c>
      <c r="D107">
        <v>1</v>
      </c>
      <c r="E107" t="s">
        <v>13</v>
      </c>
      <c r="F107" t="str">
        <f>_xlfn.CONCAT(Table35678[[#This Row],[Monat]]," ",Table35678[[#This Row],[Jahr]])</f>
        <v>Januar 2016</v>
      </c>
      <c r="G107">
        <v>10.799999999999999</v>
      </c>
      <c r="H107">
        <v>69</v>
      </c>
      <c r="I107">
        <v>76</v>
      </c>
      <c r="J107">
        <v>223.7</v>
      </c>
      <c r="K107">
        <v>1153</v>
      </c>
      <c r="L107">
        <v>1249</v>
      </c>
      <c r="M107" s="8">
        <f>Table35678[[#This Row],[Ausfuhr: Wert €]]*1000/Table35678[[#This Row],[Ausfuhr: Gewicht]]</f>
        <v>6388.8888888888896</v>
      </c>
      <c r="N107" s="8">
        <f>Table35678[[#This Row],[Einfuhr: Wert €]]*1000/Table35678[[#This Row],[Einfuhr: Gewicht]]</f>
        <v>5154.2244076888692</v>
      </c>
      <c r="O107" s="8">
        <f>Table35678[[#This Row],[Ausfuhr: Wert $]]*1000/Table35678[[#This Row],[Ausfuhr: Gewicht]]</f>
        <v>7037.0370370370374</v>
      </c>
      <c r="P107" s="8">
        <f>Table35678[[#This Row],[Einfuhr: Wert $]]*1000/Table35678[[#This Row],[Einfuhr: Gewicht]]</f>
        <v>5583.3705856057222</v>
      </c>
    </row>
    <row r="108" spans="2:16" x14ac:dyDescent="0.25">
      <c r="B108">
        <f>(Table35678[[#This Row],[Jahr]]-$C$8)*12+Table35678[[#This Row],[Month nr]]</f>
        <v>98</v>
      </c>
      <c r="C108">
        <v>2016</v>
      </c>
      <c r="D108">
        <v>2</v>
      </c>
      <c r="E108" t="s">
        <v>14</v>
      </c>
      <c r="F108" t="str">
        <f>_xlfn.CONCAT(Table35678[[#This Row],[Monat]]," ",Table35678[[#This Row],[Jahr]])</f>
        <v>Februar 2016</v>
      </c>
      <c r="G108">
        <v>53.500000000000007</v>
      </c>
      <c r="H108">
        <v>287</v>
      </c>
      <c r="I108">
        <v>320</v>
      </c>
      <c r="J108">
        <v>362</v>
      </c>
      <c r="K108">
        <v>1998</v>
      </c>
      <c r="L108">
        <v>2218</v>
      </c>
      <c r="M108" s="8">
        <f>Table35678[[#This Row],[Ausfuhr: Wert €]]*1000/Table35678[[#This Row],[Ausfuhr: Gewicht]]</f>
        <v>5364.4859813084104</v>
      </c>
      <c r="N108" s="8">
        <f>Table35678[[#This Row],[Einfuhr: Wert €]]*1000/Table35678[[#This Row],[Einfuhr: Gewicht]]</f>
        <v>5519.3370165745855</v>
      </c>
      <c r="O108" s="8">
        <f>Table35678[[#This Row],[Ausfuhr: Wert $]]*1000/Table35678[[#This Row],[Ausfuhr: Gewicht]]</f>
        <v>5981.3084112149527</v>
      </c>
      <c r="P108" s="8">
        <f>Table35678[[#This Row],[Einfuhr: Wert $]]*1000/Table35678[[#This Row],[Einfuhr: Gewicht]]</f>
        <v>6127.0718232044201</v>
      </c>
    </row>
    <row r="109" spans="2:16" x14ac:dyDescent="0.25">
      <c r="B109">
        <f>(Table35678[[#This Row],[Jahr]]-$C$8)*12+Table35678[[#This Row],[Month nr]]</f>
        <v>99</v>
      </c>
      <c r="C109">
        <v>2016</v>
      </c>
      <c r="D109">
        <v>3</v>
      </c>
      <c r="E109" t="s">
        <v>15</v>
      </c>
      <c r="F109" t="str">
        <f>_xlfn.CONCAT(Table35678[[#This Row],[Monat]]," ",Table35678[[#This Row],[Jahr]])</f>
        <v>März 2016</v>
      </c>
      <c r="G109">
        <v>588.80000000000007</v>
      </c>
      <c r="H109">
        <v>3463</v>
      </c>
      <c r="I109">
        <v>3842</v>
      </c>
      <c r="J109">
        <v>3134.0000000000005</v>
      </c>
      <c r="K109">
        <v>16585</v>
      </c>
      <c r="L109">
        <v>18412</v>
      </c>
      <c r="M109" s="8">
        <f>Table35678[[#This Row],[Ausfuhr: Wert €]]*1000/Table35678[[#This Row],[Ausfuhr: Gewicht]]</f>
        <v>5881.4538043478251</v>
      </c>
      <c r="N109" s="8">
        <f>Table35678[[#This Row],[Einfuhr: Wert €]]*1000/Table35678[[#This Row],[Einfuhr: Gewicht]]</f>
        <v>5291.9591576260364</v>
      </c>
      <c r="O109" s="8">
        <f>Table35678[[#This Row],[Ausfuhr: Wert $]]*1000/Table35678[[#This Row],[Ausfuhr: Gewicht]]</f>
        <v>6525.135869565217</v>
      </c>
      <c r="P109" s="8">
        <f>Table35678[[#This Row],[Einfuhr: Wert $]]*1000/Table35678[[#This Row],[Einfuhr: Gewicht]]</f>
        <v>5874.9202297383526</v>
      </c>
    </row>
    <row r="110" spans="2:16" x14ac:dyDescent="0.25">
      <c r="B110">
        <f>(Table35678[[#This Row],[Jahr]]-$C$8)*12+Table35678[[#This Row],[Month nr]]</f>
        <v>100</v>
      </c>
      <c r="C110">
        <v>2016</v>
      </c>
      <c r="D110">
        <v>4</v>
      </c>
      <c r="E110" t="s">
        <v>16</v>
      </c>
      <c r="F110" t="str">
        <f>_xlfn.CONCAT(Table35678[[#This Row],[Monat]]," ",Table35678[[#This Row],[Jahr]])</f>
        <v>April 2016</v>
      </c>
      <c r="G110" s="10">
        <v>922.59999999999991</v>
      </c>
      <c r="H110" s="10">
        <v>5470</v>
      </c>
      <c r="I110" s="10">
        <v>6207</v>
      </c>
      <c r="J110" s="10">
        <v>7166.3000000000011</v>
      </c>
      <c r="K110" s="10">
        <v>27893</v>
      </c>
      <c r="L110" s="10">
        <v>31629</v>
      </c>
      <c r="M110" s="8">
        <f>Table35678[[#This Row],[Ausfuhr: Wert €]]*1000/Table35678[[#This Row],[Ausfuhr: Gewicht]]</f>
        <v>5928.8965965748976</v>
      </c>
      <c r="N110" s="8">
        <f>Table35678[[#This Row],[Einfuhr: Wert €]]*1000/Table35678[[#This Row],[Einfuhr: Gewicht]]</f>
        <v>3892.2456497774297</v>
      </c>
      <c r="O110" s="8">
        <f>Table35678[[#This Row],[Ausfuhr: Wert $]]*1000/Table35678[[#This Row],[Ausfuhr: Gewicht]]</f>
        <v>6727.7259917624115</v>
      </c>
      <c r="P110" s="8">
        <f>Table35678[[#This Row],[Einfuhr: Wert $]]*1000/Table35678[[#This Row],[Einfuhr: Gewicht]]</f>
        <v>4413.5746480052458</v>
      </c>
    </row>
    <row r="111" spans="2:16" x14ac:dyDescent="0.25">
      <c r="B111">
        <f>(Table35678[[#This Row],[Jahr]]-$C$8)*12+Table35678[[#This Row],[Month nr]]</f>
        <v>101</v>
      </c>
      <c r="C111">
        <v>2016</v>
      </c>
      <c r="D111">
        <v>5</v>
      </c>
      <c r="E111" t="s">
        <v>20</v>
      </c>
      <c r="F111" t="str">
        <f>_xlfn.CONCAT(Table35678[[#This Row],[Monat]]," ",Table35678[[#This Row],[Jahr]])</f>
        <v>Mai 2016</v>
      </c>
      <c r="G111">
        <v>1887.7</v>
      </c>
      <c r="H111">
        <v>8885</v>
      </c>
      <c r="I111">
        <v>10048</v>
      </c>
      <c r="J111">
        <v>6984.1</v>
      </c>
      <c r="K111">
        <v>22675</v>
      </c>
      <c r="L111">
        <v>25645</v>
      </c>
      <c r="M111" s="8">
        <f>Table35678[[#This Row],[Ausfuhr: Wert €]]*1000/Table35678[[#This Row],[Ausfuhr: Gewicht]]</f>
        <v>4706.7860359167244</v>
      </c>
      <c r="N111" s="8">
        <f>Table35678[[#This Row],[Einfuhr: Wert €]]*1000/Table35678[[#This Row],[Einfuhr: Gewicht]]</f>
        <v>3246.6602711874111</v>
      </c>
      <c r="O111" s="8">
        <f>Table35678[[#This Row],[Ausfuhr: Wert $]]*1000/Table35678[[#This Row],[Ausfuhr: Gewicht]]</f>
        <v>5322.8796948667687</v>
      </c>
      <c r="P111" s="8">
        <f>Table35678[[#This Row],[Einfuhr: Wert $]]*1000/Table35678[[#This Row],[Einfuhr: Gewicht]]</f>
        <v>3671.9119142051227</v>
      </c>
    </row>
    <row r="112" spans="2:16" x14ac:dyDescent="0.25">
      <c r="B112">
        <f>(Table35678[[#This Row],[Jahr]]-$C$8)*12+Table35678[[#This Row],[Month nr]]</f>
        <v>102</v>
      </c>
      <c r="C112">
        <v>2016</v>
      </c>
      <c r="D112">
        <v>6</v>
      </c>
      <c r="E112" t="s">
        <v>21</v>
      </c>
      <c r="F112" t="str">
        <f>_xlfn.CONCAT(Table35678[[#This Row],[Monat]]," ",Table35678[[#This Row],[Jahr]])</f>
        <v>Juni 2016</v>
      </c>
      <c r="G112">
        <v>890.4000000000002</v>
      </c>
      <c r="H112">
        <v>3507</v>
      </c>
      <c r="I112">
        <v>3940</v>
      </c>
      <c r="J112">
        <v>4040.4999999999995</v>
      </c>
      <c r="K112">
        <v>11643</v>
      </c>
      <c r="L112">
        <v>13074</v>
      </c>
      <c r="M112" s="8">
        <f>Table35678[[#This Row],[Ausfuhr: Wert €]]*1000/Table35678[[#This Row],[Ausfuhr: Gewicht]]</f>
        <v>3938.6792452830177</v>
      </c>
      <c r="N112" s="8">
        <f>Table35678[[#This Row],[Einfuhr: Wert €]]*1000/Table35678[[#This Row],[Einfuhr: Gewicht]]</f>
        <v>2881.5740626160132</v>
      </c>
      <c r="O112" s="8">
        <f>Table35678[[#This Row],[Ausfuhr: Wert $]]*1000/Table35678[[#This Row],[Ausfuhr: Gewicht]]</f>
        <v>4424.9775381850841</v>
      </c>
      <c r="P112" s="8">
        <f>Table35678[[#This Row],[Einfuhr: Wert $]]*1000/Table35678[[#This Row],[Einfuhr: Gewicht]]</f>
        <v>3235.738151218909</v>
      </c>
    </row>
    <row r="113" spans="2:16" x14ac:dyDescent="0.25">
      <c r="B113">
        <f>(Table35678[[#This Row],[Jahr]]-$C$8)*12+Table35678[[#This Row],[Month nr]]</f>
        <v>103</v>
      </c>
      <c r="C113">
        <v>2016</v>
      </c>
      <c r="D113">
        <v>7</v>
      </c>
      <c r="E113" t="s">
        <v>22</v>
      </c>
      <c r="F113" t="str">
        <f>_xlfn.CONCAT(Table35678[[#This Row],[Monat]]," ",Table35678[[#This Row],[Jahr]])</f>
        <v>Juli 2016</v>
      </c>
      <c r="G113">
        <v>136.99999999999997</v>
      </c>
      <c r="H113">
        <v>479</v>
      </c>
      <c r="I113">
        <v>530</v>
      </c>
      <c r="J113">
        <v>767.89999999999986</v>
      </c>
      <c r="K113">
        <v>3002</v>
      </c>
      <c r="L113">
        <v>3321</v>
      </c>
      <c r="M113" s="8">
        <f>Table35678[[#This Row],[Ausfuhr: Wert €]]*1000/Table35678[[#This Row],[Ausfuhr: Gewicht]]</f>
        <v>3496.3503649635045</v>
      </c>
      <c r="N113" s="8">
        <f>Table35678[[#This Row],[Einfuhr: Wert €]]*1000/Table35678[[#This Row],[Einfuhr: Gewicht]]</f>
        <v>3909.363198333117</v>
      </c>
      <c r="O113" s="8">
        <f>Table35678[[#This Row],[Ausfuhr: Wert $]]*1000/Table35678[[#This Row],[Ausfuhr: Gewicht]]</f>
        <v>3868.6131386861321</v>
      </c>
      <c r="P113" s="8">
        <f>Table35678[[#This Row],[Einfuhr: Wert $]]*1000/Table35678[[#This Row],[Einfuhr: Gewicht]]</f>
        <v>4324.7818726396672</v>
      </c>
    </row>
    <row r="114" spans="2:16" x14ac:dyDescent="0.25">
      <c r="B114">
        <f>(Table35678[[#This Row],[Jahr]]-$C$8)*12+Table35678[[#This Row],[Month nr]]</f>
        <v>104</v>
      </c>
      <c r="C114">
        <v>2016</v>
      </c>
      <c r="D114">
        <v>8</v>
      </c>
      <c r="E114" t="s">
        <v>17</v>
      </c>
      <c r="F114" t="str">
        <f>_xlfn.CONCAT(Table35678[[#This Row],[Monat]]," ",Table35678[[#This Row],[Jahr]])</f>
        <v>August 2016</v>
      </c>
      <c r="G114">
        <v>97.899999999999977</v>
      </c>
      <c r="H114">
        <v>502</v>
      </c>
      <c r="I114">
        <v>565</v>
      </c>
      <c r="J114">
        <v>315</v>
      </c>
      <c r="K114">
        <v>1472</v>
      </c>
      <c r="L114">
        <v>1650</v>
      </c>
      <c r="M114" s="8">
        <f>Table35678[[#This Row],[Ausfuhr: Wert €]]*1000/Table35678[[#This Row],[Ausfuhr: Gewicht]]</f>
        <v>5127.6813074565898</v>
      </c>
      <c r="N114" s="8">
        <f>Table35678[[#This Row],[Einfuhr: Wert €]]*1000/Table35678[[#This Row],[Einfuhr: Gewicht]]</f>
        <v>4673.0158730158728</v>
      </c>
      <c r="O114" s="8">
        <f>Table35678[[#This Row],[Ausfuhr: Wert $]]*1000/Table35678[[#This Row],[Ausfuhr: Gewicht]]</f>
        <v>5771.1950970377948</v>
      </c>
      <c r="P114" s="8">
        <f>Table35678[[#This Row],[Einfuhr: Wert $]]*1000/Table35678[[#This Row],[Einfuhr: Gewicht]]</f>
        <v>5238.0952380952385</v>
      </c>
    </row>
    <row r="115" spans="2:16" x14ac:dyDescent="0.25">
      <c r="B115">
        <f>(Table35678[[#This Row],[Jahr]]-$C$8)*12+Table35678[[#This Row],[Month nr]]</f>
        <v>105</v>
      </c>
      <c r="C115">
        <v>2016</v>
      </c>
      <c r="D115">
        <v>9</v>
      </c>
      <c r="E115" t="s">
        <v>18</v>
      </c>
      <c r="F115" t="str">
        <f>_xlfn.CONCAT(Table35678[[#This Row],[Monat]]," ",Table35678[[#This Row],[Jahr]])</f>
        <v>September 2016</v>
      </c>
      <c r="G115">
        <v>133.79999999999998</v>
      </c>
      <c r="H115">
        <v>478</v>
      </c>
      <c r="I115">
        <v>538</v>
      </c>
      <c r="J115">
        <v>333.9</v>
      </c>
      <c r="K115">
        <v>1528</v>
      </c>
      <c r="L115">
        <v>1712</v>
      </c>
      <c r="M115" s="8">
        <f>Table35678[[#This Row],[Ausfuhr: Wert €]]*1000/Table35678[[#This Row],[Ausfuhr: Gewicht]]</f>
        <v>3572.4962630792234</v>
      </c>
      <c r="N115" s="8">
        <f>Table35678[[#This Row],[Einfuhr: Wert €]]*1000/Table35678[[#This Row],[Einfuhr: Gewicht]]</f>
        <v>4576.2204252770298</v>
      </c>
      <c r="O115" s="8">
        <f>Table35678[[#This Row],[Ausfuhr: Wert $]]*1000/Table35678[[#This Row],[Ausfuhr: Gewicht]]</f>
        <v>4020.926756352766</v>
      </c>
      <c r="P115" s="8">
        <f>Table35678[[#This Row],[Einfuhr: Wert $]]*1000/Table35678[[#This Row],[Einfuhr: Gewicht]]</f>
        <v>5127.2836178496564</v>
      </c>
    </row>
    <row r="116" spans="2:16" x14ac:dyDescent="0.25">
      <c r="B116">
        <f>(Table35678[[#This Row],[Jahr]]-$C$8)*12+Table35678[[#This Row],[Month nr]]</f>
        <v>106</v>
      </c>
      <c r="C116">
        <v>2016</v>
      </c>
      <c r="D116">
        <v>10</v>
      </c>
      <c r="E116" t="s">
        <v>23</v>
      </c>
      <c r="F116" t="str">
        <f>_xlfn.CONCAT(Table35678[[#This Row],[Monat]]," ",Table35678[[#This Row],[Jahr]])</f>
        <v>Oktober 2016</v>
      </c>
      <c r="G116">
        <v>3.8</v>
      </c>
      <c r="H116">
        <v>21</v>
      </c>
      <c r="I116">
        <v>23</v>
      </c>
      <c r="J116">
        <v>333.79999999999995</v>
      </c>
      <c r="K116">
        <v>1596</v>
      </c>
      <c r="L116">
        <v>1759</v>
      </c>
      <c r="M116" s="8">
        <f>Table35678[[#This Row],[Ausfuhr: Wert €]]*1000/Table35678[[#This Row],[Ausfuhr: Gewicht]]</f>
        <v>5526.3157894736842</v>
      </c>
      <c r="N116" s="8">
        <f>Table35678[[#This Row],[Einfuhr: Wert €]]*1000/Table35678[[#This Row],[Einfuhr: Gewicht]]</f>
        <v>4781.3061713600964</v>
      </c>
      <c r="O116" s="8">
        <f>Table35678[[#This Row],[Ausfuhr: Wert $]]*1000/Table35678[[#This Row],[Ausfuhr: Gewicht]]</f>
        <v>6052.6315789473683</v>
      </c>
      <c r="P116" s="8">
        <f>Table35678[[#This Row],[Einfuhr: Wert $]]*1000/Table35678[[#This Row],[Einfuhr: Gewicht]]</f>
        <v>5269.6225284601569</v>
      </c>
    </row>
    <row r="117" spans="2:16" x14ac:dyDescent="0.25">
      <c r="B117">
        <f>(Table35678[[#This Row],[Jahr]]-$C$8)*12+Table35678[[#This Row],[Month nr]]</f>
        <v>107</v>
      </c>
      <c r="C117">
        <v>2016</v>
      </c>
      <c r="D117">
        <v>11</v>
      </c>
      <c r="E117" t="s">
        <v>19</v>
      </c>
      <c r="F117" t="str">
        <f>_xlfn.CONCAT(Table35678[[#This Row],[Monat]]," ",Table35678[[#This Row],[Jahr]])</f>
        <v>November 2016</v>
      </c>
      <c r="G117">
        <v>5.0000000000000009</v>
      </c>
      <c r="H117">
        <v>26</v>
      </c>
      <c r="I117">
        <v>26</v>
      </c>
      <c r="J117">
        <v>452.59999999999997</v>
      </c>
      <c r="K117">
        <v>2070</v>
      </c>
      <c r="L117">
        <v>2237</v>
      </c>
      <c r="M117" s="8">
        <f>Table35678[[#This Row],[Ausfuhr: Wert €]]*1000/Table35678[[#This Row],[Ausfuhr: Gewicht]]</f>
        <v>5199.9999999999991</v>
      </c>
      <c r="N117" s="8">
        <f>Table35678[[#This Row],[Einfuhr: Wert €]]*1000/Table35678[[#This Row],[Einfuhr: Gewicht]]</f>
        <v>4573.5749005744592</v>
      </c>
      <c r="O117" s="8">
        <f>Table35678[[#This Row],[Ausfuhr: Wert $]]*1000/Table35678[[#This Row],[Ausfuhr: Gewicht]]</f>
        <v>5199.9999999999991</v>
      </c>
      <c r="P117" s="8">
        <f>Table35678[[#This Row],[Einfuhr: Wert $]]*1000/Table35678[[#This Row],[Einfuhr: Gewicht]]</f>
        <v>4942.5541316836061</v>
      </c>
    </row>
    <row r="118" spans="2:16" x14ac:dyDescent="0.25">
      <c r="B118">
        <f>(Table35678[[#This Row],[Jahr]]-$C$8)*12+Table35678[[#This Row],[Month nr]]</f>
        <v>108</v>
      </c>
      <c r="C118">
        <v>2016</v>
      </c>
      <c r="D118">
        <v>12</v>
      </c>
      <c r="E118" t="s">
        <v>24</v>
      </c>
      <c r="F118" t="str">
        <f>_xlfn.CONCAT(Table35678[[#This Row],[Monat]]," ",Table35678[[#This Row],[Jahr]])</f>
        <v>Dezember 2016</v>
      </c>
      <c r="G118">
        <v>34.5</v>
      </c>
      <c r="H118">
        <v>208</v>
      </c>
      <c r="I118">
        <v>219</v>
      </c>
      <c r="J118">
        <v>610.69999999999993</v>
      </c>
      <c r="K118">
        <v>3320</v>
      </c>
      <c r="L118">
        <v>3501</v>
      </c>
      <c r="M118" s="8">
        <f>Table35678[[#This Row],[Ausfuhr: Wert €]]*1000/Table35678[[#This Row],[Ausfuhr: Gewicht]]</f>
        <v>6028.985507246377</v>
      </c>
      <c r="N118" s="8">
        <f>Table35678[[#This Row],[Einfuhr: Wert €]]*1000/Table35678[[#This Row],[Einfuhr: Gewicht]]</f>
        <v>5436.3844768298677</v>
      </c>
      <c r="O118" s="8">
        <f>Table35678[[#This Row],[Ausfuhr: Wert $]]*1000/Table35678[[#This Row],[Ausfuhr: Gewicht]]</f>
        <v>6347.826086956522</v>
      </c>
      <c r="P118" s="8">
        <f>Table35678[[#This Row],[Einfuhr: Wert $]]*1000/Table35678[[#This Row],[Einfuhr: Gewicht]]</f>
        <v>5732.7656787293272</v>
      </c>
    </row>
    <row r="119" spans="2:16" x14ac:dyDescent="0.25">
      <c r="B119">
        <f>(Table35678[[#This Row],[Jahr]]-$C$8)*12+Table35678[[#This Row],[Month nr]]</f>
        <v>109</v>
      </c>
      <c r="C119">
        <v>2017</v>
      </c>
      <c r="D119">
        <v>1</v>
      </c>
      <c r="E119" t="s">
        <v>13</v>
      </c>
      <c r="F119" t="str">
        <f>_xlfn.CONCAT(Table35678[[#This Row],[Monat]]," ",Table35678[[#This Row],[Jahr]])</f>
        <v>Januar 2017</v>
      </c>
      <c r="G119">
        <v>28.000000000000004</v>
      </c>
      <c r="H119">
        <v>152</v>
      </c>
      <c r="I119">
        <v>162</v>
      </c>
      <c r="J119">
        <v>318.10000000000002</v>
      </c>
      <c r="K119">
        <v>1665</v>
      </c>
      <c r="L119">
        <v>1769</v>
      </c>
      <c r="M119" s="8">
        <f>Table35678[[#This Row],[Ausfuhr: Wert €]]*1000/Table35678[[#This Row],[Ausfuhr: Gewicht]]</f>
        <v>5428.5714285714275</v>
      </c>
      <c r="N119" s="8">
        <f>Table35678[[#This Row],[Einfuhr: Wert €]]*1000/Table35678[[#This Row],[Einfuhr: Gewicht]]</f>
        <v>5234.2030807922038</v>
      </c>
      <c r="O119" s="8">
        <f>Table35678[[#This Row],[Ausfuhr: Wert $]]*1000/Table35678[[#This Row],[Ausfuhr: Gewicht]]</f>
        <v>5785.7142857142853</v>
      </c>
      <c r="P119" s="8">
        <f>Table35678[[#This Row],[Einfuhr: Wert $]]*1000/Table35678[[#This Row],[Einfuhr: Gewicht]]</f>
        <v>5561.1442942470921</v>
      </c>
    </row>
    <row r="120" spans="2:16" x14ac:dyDescent="0.25">
      <c r="B120">
        <f>(Table35678[[#This Row],[Jahr]]-$C$8)*12+Table35678[[#This Row],[Month nr]]</f>
        <v>110</v>
      </c>
      <c r="C120">
        <v>2017</v>
      </c>
      <c r="D120">
        <v>2</v>
      </c>
      <c r="E120" t="s">
        <v>14</v>
      </c>
      <c r="F120" t="str">
        <f>_xlfn.CONCAT(Table35678[[#This Row],[Monat]]," ",Table35678[[#This Row],[Jahr]])</f>
        <v>Februar 2017</v>
      </c>
      <c r="G120">
        <v>17.200000000000003</v>
      </c>
      <c r="H120">
        <v>99</v>
      </c>
      <c r="I120">
        <v>105</v>
      </c>
      <c r="J120">
        <v>463.80000000000007</v>
      </c>
      <c r="K120">
        <v>2416</v>
      </c>
      <c r="L120">
        <v>2570</v>
      </c>
      <c r="M120" s="8">
        <f>Table35678[[#This Row],[Ausfuhr: Wert €]]*1000/Table35678[[#This Row],[Ausfuhr: Gewicht]]</f>
        <v>5755.8139534883712</v>
      </c>
      <c r="N120" s="8">
        <f>Table35678[[#This Row],[Einfuhr: Wert €]]*1000/Table35678[[#This Row],[Einfuhr: Gewicht]]</f>
        <v>5209.1418714963338</v>
      </c>
      <c r="O120" s="8">
        <f>Table35678[[#This Row],[Ausfuhr: Wert $]]*1000/Table35678[[#This Row],[Ausfuhr: Gewicht]]</f>
        <v>6104.6511627906966</v>
      </c>
      <c r="P120" s="8">
        <f>Table35678[[#This Row],[Einfuhr: Wert $]]*1000/Table35678[[#This Row],[Einfuhr: Gewicht]]</f>
        <v>5541.1815437688647</v>
      </c>
    </row>
    <row r="121" spans="2:16" x14ac:dyDescent="0.25">
      <c r="B121">
        <f>(Table35678[[#This Row],[Jahr]]-$C$8)*12+Table35678[[#This Row],[Month nr]]</f>
        <v>111</v>
      </c>
      <c r="C121">
        <v>2017</v>
      </c>
      <c r="D121">
        <v>3</v>
      </c>
      <c r="E121" t="s">
        <v>15</v>
      </c>
      <c r="F121" t="str">
        <f>_xlfn.CONCAT(Table35678[[#This Row],[Monat]]," ",Table35678[[#This Row],[Jahr]])</f>
        <v>März 2017</v>
      </c>
      <c r="G121">
        <v>511.09999999999997</v>
      </c>
      <c r="H121">
        <v>2920</v>
      </c>
      <c r="I121">
        <v>3123</v>
      </c>
      <c r="J121">
        <v>2913.4999999999995</v>
      </c>
      <c r="K121">
        <v>13020</v>
      </c>
      <c r="L121">
        <v>13912</v>
      </c>
      <c r="M121" s="8">
        <f>Table35678[[#This Row],[Ausfuhr: Wert €]]*1000/Table35678[[#This Row],[Ausfuhr: Gewicht]]</f>
        <v>5713.1676775582082</v>
      </c>
      <c r="N121" s="8">
        <f>Table35678[[#This Row],[Einfuhr: Wert €]]*1000/Table35678[[#This Row],[Einfuhr: Gewicht]]</f>
        <v>4468.8518963446031</v>
      </c>
      <c r="O121" s="8">
        <f>Table35678[[#This Row],[Ausfuhr: Wert $]]*1000/Table35678[[#This Row],[Ausfuhr: Gewicht]]</f>
        <v>6110.3502250048914</v>
      </c>
      <c r="P121" s="8">
        <f>Table35678[[#This Row],[Einfuhr: Wert $]]*1000/Table35678[[#This Row],[Einfuhr: Gewicht]]</f>
        <v>4775.0128711172138</v>
      </c>
    </row>
    <row r="122" spans="2:16" x14ac:dyDescent="0.25">
      <c r="B122">
        <f>(Table35678[[#This Row],[Jahr]]-$C$8)*12+Table35678[[#This Row],[Month nr]]</f>
        <v>112</v>
      </c>
      <c r="C122">
        <v>2017</v>
      </c>
      <c r="D122">
        <v>4</v>
      </c>
      <c r="E122" t="s">
        <v>16</v>
      </c>
      <c r="F122" t="str">
        <f>_xlfn.CONCAT(Table35678[[#This Row],[Monat]]," ",Table35678[[#This Row],[Jahr]])</f>
        <v>April 2017</v>
      </c>
      <c r="G122">
        <v>1567.7</v>
      </c>
      <c r="H122">
        <v>6655</v>
      </c>
      <c r="I122">
        <v>7134</v>
      </c>
      <c r="J122">
        <v>7782</v>
      </c>
      <c r="K122">
        <v>25775</v>
      </c>
      <c r="L122">
        <v>27639</v>
      </c>
      <c r="M122" s="8">
        <f>Table35678[[#This Row],[Ausfuhr: Wert €]]*1000/Table35678[[#This Row],[Ausfuhr: Gewicht]]</f>
        <v>4245.0723990559418</v>
      </c>
      <c r="N122" s="8">
        <f>Table35678[[#This Row],[Einfuhr: Wert €]]*1000/Table35678[[#This Row],[Einfuhr: Gewicht]]</f>
        <v>3312.13055769725</v>
      </c>
      <c r="O122" s="8">
        <f>Table35678[[#This Row],[Ausfuhr: Wert $]]*1000/Table35678[[#This Row],[Ausfuhr: Gewicht]]</f>
        <v>4550.6155514447919</v>
      </c>
      <c r="P122" s="8">
        <f>Table35678[[#This Row],[Einfuhr: Wert $]]*1000/Table35678[[#This Row],[Einfuhr: Gewicht]]</f>
        <v>3551.6576715497304</v>
      </c>
    </row>
    <row r="123" spans="2:16" x14ac:dyDescent="0.25">
      <c r="B123">
        <f>(Table35678[[#This Row],[Jahr]]-$C$8)*12+Table35678[[#This Row],[Month nr]]</f>
        <v>113</v>
      </c>
      <c r="C123">
        <v>2017</v>
      </c>
      <c r="D123">
        <v>5</v>
      </c>
      <c r="E123" t="s">
        <v>20</v>
      </c>
      <c r="F123" t="str">
        <f>_xlfn.CONCAT(Table35678[[#This Row],[Monat]]," ",Table35678[[#This Row],[Jahr]])</f>
        <v>Mai 2017</v>
      </c>
      <c r="G123">
        <v>2018.4999999999995</v>
      </c>
      <c r="H123">
        <v>8729</v>
      </c>
      <c r="I123">
        <v>9655</v>
      </c>
      <c r="J123">
        <v>7646.2999999999993</v>
      </c>
      <c r="K123">
        <v>23937</v>
      </c>
      <c r="L123">
        <v>26470</v>
      </c>
      <c r="M123" s="8">
        <f>Table35678[[#This Row],[Ausfuhr: Wert €]]*1000/Table35678[[#This Row],[Ausfuhr: Gewicht]]</f>
        <v>4324.4983898934861</v>
      </c>
      <c r="N123" s="8">
        <f>Table35678[[#This Row],[Einfuhr: Wert €]]*1000/Table35678[[#This Row],[Einfuhr: Gewicht]]</f>
        <v>3130.5337221924333</v>
      </c>
      <c r="O123" s="8">
        <f>Table35678[[#This Row],[Ausfuhr: Wert $]]*1000/Table35678[[#This Row],[Ausfuhr: Gewicht]]</f>
        <v>4783.2548922467186</v>
      </c>
      <c r="P123" s="8">
        <f>Table35678[[#This Row],[Einfuhr: Wert $]]*1000/Table35678[[#This Row],[Einfuhr: Gewicht]]</f>
        <v>3461.8050560401766</v>
      </c>
    </row>
    <row r="124" spans="2:16" x14ac:dyDescent="0.25">
      <c r="B124">
        <f>(Table35678[[#This Row],[Jahr]]-$C$8)*12+Table35678[[#This Row],[Month nr]]</f>
        <v>114</v>
      </c>
      <c r="C124">
        <v>2017</v>
      </c>
      <c r="D124">
        <v>6</v>
      </c>
      <c r="E124" t="s">
        <v>21</v>
      </c>
      <c r="F124" t="str">
        <f>_xlfn.CONCAT(Table35678[[#This Row],[Monat]]," ",Table35678[[#This Row],[Jahr]])</f>
        <v>Juni 2017</v>
      </c>
      <c r="G124">
        <v>430</v>
      </c>
      <c r="H124">
        <v>1881</v>
      </c>
      <c r="I124">
        <v>2113</v>
      </c>
      <c r="J124">
        <v>3403.4999999999995</v>
      </c>
      <c r="K124">
        <v>10465</v>
      </c>
      <c r="L124">
        <v>11750</v>
      </c>
      <c r="M124" s="8">
        <f>Table35678[[#This Row],[Ausfuhr: Wert €]]*1000/Table35678[[#This Row],[Ausfuhr: Gewicht]]</f>
        <v>4374.4186046511632</v>
      </c>
      <c r="N124" s="8">
        <f>Table35678[[#This Row],[Einfuhr: Wert €]]*1000/Table35678[[#This Row],[Einfuhr: Gewicht]]</f>
        <v>3074.7759659174385</v>
      </c>
      <c r="O124" s="8">
        <f>Table35678[[#This Row],[Ausfuhr: Wert $]]*1000/Table35678[[#This Row],[Ausfuhr: Gewicht]]</f>
        <v>4913.9534883720926</v>
      </c>
      <c r="P124" s="8">
        <f>Table35678[[#This Row],[Einfuhr: Wert $]]*1000/Table35678[[#This Row],[Einfuhr: Gewicht]]</f>
        <v>3452.3284853826949</v>
      </c>
    </row>
    <row r="125" spans="2:16" x14ac:dyDescent="0.25">
      <c r="B125">
        <f>(Table35678[[#This Row],[Jahr]]-$C$8)*12+Table35678[[#This Row],[Month nr]]</f>
        <v>115</v>
      </c>
      <c r="C125">
        <v>2017</v>
      </c>
      <c r="D125">
        <v>7</v>
      </c>
      <c r="E125" t="s">
        <v>22</v>
      </c>
      <c r="F125" t="str">
        <f>_xlfn.CONCAT(Table35678[[#This Row],[Monat]]," ",Table35678[[#This Row],[Jahr]])</f>
        <v>Juli 2017</v>
      </c>
      <c r="G125">
        <v>187.80000000000004</v>
      </c>
      <c r="H125">
        <v>385</v>
      </c>
      <c r="I125">
        <v>443</v>
      </c>
      <c r="J125">
        <v>628.4</v>
      </c>
      <c r="K125">
        <v>2543</v>
      </c>
      <c r="L125">
        <v>2927</v>
      </c>
      <c r="M125" s="8">
        <f>Table35678[[#This Row],[Ausfuhr: Wert €]]*1000/Table35678[[#This Row],[Ausfuhr: Gewicht]]</f>
        <v>2050.0532481363148</v>
      </c>
      <c r="N125" s="8">
        <f>Table35678[[#This Row],[Einfuhr: Wert €]]*1000/Table35678[[#This Row],[Einfuhr: Gewicht]]</f>
        <v>4046.785486950987</v>
      </c>
      <c r="O125" s="8">
        <f>Table35678[[#This Row],[Ausfuhr: Wert $]]*1000/Table35678[[#This Row],[Ausfuhr: Gewicht]]</f>
        <v>2358.8924387646425</v>
      </c>
      <c r="P125" s="8">
        <f>Table35678[[#This Row],[Einfuhr: Wert $]]*1000/Table35678[[#This Row],[Einfuhr: Gewicht]]</f>
        <v>4657.8612348822408</v>
      </c>
    </row>
    <row r="126" spans="2:16" x14ac:dyDescent="0.25">
      <c r="B126">
        <f>(Table35678[[#This Row],[Jahr]]-$C$8)*12+Table35678[[#This Row],[Month nr]]</f>
        <v>116</v>
      </c>
      <c r="C126">
        <v>2017</v>
      </c>
      <c r="D126">
        <v>8</v>
      </c>
      <c r="E126" t="s">
        <v>17</v>
      </c>
      <c r="F126" t="str">
        <f>_xlfn.CONCAT(Table35678[[#This Row],[Monat]]," ",Table35678[[#This Row],[Jahr]])</f>
        <v>August 2017</v>
      </c>
      <c r="G126">
        <v>4.3</v>
      </c>
      <c r="H126">
        <v>34</v>
      </c>
      <c r="I126">
        <v>42</v>
      </c>
      <c r="J126">
        <v>287.39999999999998</v>
      </c>
      <c r="K126">
        <v>1601</v>
      </c>
      <c r="L126">
        <v>1888</v>
      </c>
      <c r="M126" s="8">
        <f>Table35678[[#This Row],[Ausfuhr: Wert €]]*1000/Table35678[[#This Row],[Ausfuhr: Gewicht]]</f>
        <v>7906.9767441860467</v>
      </c>
      <c r="N126" s="8">
        <f>Table35678[[#This Row],[Einfuhr: Wert €]]*1000/Table35678[[#This Row],[Einfuhr: Gewicht]]</f>
        <v>5570.6332637439118</v>
      </c>
      <c r="O126" s="8">
        <f>Table35678[[#This Row],[Ausfuhr: Wert $]]*1000/Table35678[[#This Row],[Ausfuhr: Gewicht]]</f>
        <v>9767.4418604651164</v>
      </c>
      <c r="P126" s="8">
        <f>Table35678[[#This Row],[Einfuhr: Wert $]]*1000/Table35678[[#This Row],[Einfuhr: Gewicht]]</f>
        <v>6569.2414752957557</v>
      </c>
    </row>
    <row r="127" spans="2:16" x14ac:dyDescent="0.25">
      <c r="B127">
        <f>(Table35678[[#This Row],[Jahr]]-$C$8)*12+Table35678[[#This Row],[Month nr]]</f>
        <v>117</v>
      </c>
      <c r="C127">
        <v>2017</v>
      </c>
      <c r="D127">
        <v>9</v>
      </c>
      <c r="E127" t="s">
        <v>18</v>
      </c>
      <c r="F127" t="str">
        <f>_xlfn.CONCAT(Table35678[[#This Row],[Monat]]," ",Table35678[[#This Row],[Jahr]])</f>
        <v>September 2017</v>
      </c>
      <c r="G127">
        <v>3.4</v>
      </c>
      <c r="H127">
        <v>29</v>
      </c>
      <c r="I127">
        <v>37</v>
      </c>
      <c r="J127">
        <v>328.29999999999995</v>
      </c>
      <c r="K127">
        <v>1650</v>
      </c>
      <c r="L127">
        <v>1968</v>
      </c>
      <c r="M127" s="8">
        <f>Table35678[[#This Row],[Ausfuhr: Wert €]]*1000/Table35678[[#This Row],[Ausfuhr: Gewicht]]</f>
        <v>8529.4117647058829</v>
      </c>
      <c r="N127" s="8">
        <f>Table35678[[#This Row],[Einfuhr: Wert €]]*1000/Table35678[[#This Row],[Einfuhr: Gewicht]]</f>
        <v>5025.8909533962842</v>
      </c>
      <c r="O127" s="8">
        <f>Table35678[[#This Row],[Ausfuhr: Wert $]]*1000/Table35678[[#This Row],[Ausfuhr: Gewicht]]</f>
        <v>10882.35294117647</v>
      </c>
      <c r="P127" s="8">
        <f>Table35678[[#This Row],[Einfuhr: Wert $]]*1000/Table35678[[#This Row],[Einfuhr: Gewicht]]</f>
        <v>5994.5172098690227</v>
      </c>
    </row>
    <row r="128" spans="2:16" x14ac:dyDescent="0.25">
      <c r="B128">
        <f>(Table35678[[#This Row],[Jahr]]-$C$8)*12+Table35678[[#This Row],[Month nr]]</f>
        <v>118</v>
      </c>
      <c r="C128">
        <v>2017</v>
      </c>
      <c r="D128">
        <v>10</v>
      </c>
      <c r="E128" t="s">
        <v>23</v>
      </c>
      <c r="F128" t="str">
        <f>_xlfn.CONCAT(Table35678[[#This Row],[Monat]]," ",Table35678[[#This Row],[Jahr]])</f>
        <v>Oktober 2017</v>
      </c>
      <c r="G128">
        <v>259.10000000000008</v>
      </c>
      <c r="H128">
        <v>264</v>
      </c>
      <c r="I128">
        <v>309</v>
      </c>
      <c r="J128">
        <v>423.6</v>
      </c>
      <c r="K128">
        <v>1938</v>
      </c>
      <c r="L128">
        <v>2278</v>
      </c>
      <c r="M128" s="8">
        <f>Table35678[[#This Row],[Ausfuhr: Wert €]]*1000/Table35678[[#This Row],[Ausfuhr: Gewicht]]</f>
        <v>1018.9116171362405</v>
      </c>
      <c r="N128" s="8">
        <f>Table35678[[#This Row],[Einfuhr: Wert €]]*1000/Table35678[[#This Row],[Einfuhr: Gewicht]]</f>
        <v>4575.0708215297445</v>
      </c>
      <c r="O128" s="8">
        <f>Table35678[[#This Row],[Ausfuhr: Wert $]]*1000/Table35678[[#This Row],[Ausfuhr: Gewicht]]</f>
        <v>1192.5897336935543</v>
      </c>
      <c r="P128" s="8">
        <f>Table35678[[#This Row],[Einfuhr: Wert $]]*1000/Table35678[[#This Row],[Einfuhr: Gewicht]]</f>
        <v>5377.7148253068926</v>
      </c>
    </row>
    <row r="129" spans="2:16" x14ac:dyDescent="0.25">
      <c r="B129">
        <f>(Table35678[[#This Row],[Jahr]]-$C$8)*12+Table35678[[#This Row],[Month nr]]</f>
        <v>119</v>
      </c>
      <c r="C129">
        <v>2017</v>
      </c>
      <c r="D129">
        <v>11</v>
      </c>
      <c r="E129" t="s">
        <v>19</v>
      </c>
      <c r="F129" t="str">
        <f>_xlfn.CONCAT(Table35678[[#This Row],[Monat]]," ",Table35678[[#This Row],[Jahr]])</f>
        <v>November 2017</v>
      </c>
      <c r="G129">
        <v>83.8</v>
      </c>
      <c r="H129">
        <v>118</v>
      </c>
      <c r="I129">
        <v>140</v>
      </c>
      <c r="J129">
        <v>378.69999999999993</v>
      </c>
      <c r="K129">
        <v>1632</v>
      </c>
      <c r="L129">
        <v>1914</v>
      </c>
      <c r="M129" s="8">
        <f>Table35678[[#This Row],[Ausfuhr: Wert €]]*1000/Table35678[[#This Row],[Ausfuhr: Gewicht]]</f>
        <v>1408.1145584725537</v>
      </c>
      <c r="N129" s="8">
        <f>Table35678[[#This Row],[Einfuhr: Wert €]]*1000/Table35678[[#This Row],[Einfuhr: Gewicht]]</f>
        <v>4309.4797993134416</v>
      </c>
      <c r="O129" s="8">
        <f>Table35678[[#This Row],[Ausfuhr: Wert $]]*1000/Table35678[[#This Row],[Ausfuhr: Gewicht]]</f>
        <v>1670.6443914081146</v>
      </c>
      <c r="P129" s="8">
        <f>Table35678[[#This Row],[Einfuhr: Wert $]]*1000/Table35678[[#This Row],[Einfuhr: Gewicht]]</f>
        <v>5054.1325587536321</v>
      </c>
    </row>
    <row r="130" spans="2:16" x14ac:dyDescent="0.25">
      <c r="B130">
        <f>(Table35678[[#This Row],[Jahr]]-$C$8)*12+Table35678[[#This Row],[Month nr]]</f>
        <v>120</v>
      </c>
      <c r="C130">
        <v>2017</v>
      </c>
      <c r="D130">
        <v>12</v>
      </c>
      <c r="E130" t="s">
        <v>24</v>
      </c>
      <c r="F130" t="str">
        <f>_xlfn.CONCAT(Table35678[[#This Row],[Monat]]," ",Table35678[[#This Row],[Jahr]])</f>
        <v>Dezember 2017</v>
      </c>
      <c r="G130">
        <v>8.3000000000000007</v>
      </c>
      <c r="H130">
        <v>66</v>
      </c>
      <c r="I130">
        <v>79</v>
      </c>
      <c r="J130">
        <v>566.80000000000007</v>
      </c>
      <c r="K130">
        <v>2650</v>
      </c>
      <c r="L130">
        <v>3137</v>
      </c>
      <c r="M130" s="8">
        <f>Table35678[[#This Row],[Ausfuhr: Wert €]]*1000/Table35678[[#This Row],[Ausfuhr: Gewicht]]</f>
        <v>7951.8072289156617</v>
      </c>
      <c r="N130" s="8">
        <f>Table35678[[#This Row],[Einfuhr: Wert €]]*1000/Table35678[[#This Row],[Einfuhr: Gewicht]]</f>
        <v>4675.3705010585736</v>
      </c>
      <c r="O130" s="8">
        <f>Table35678[[#This Row],[Ausfuhr: Wert $]]*1000/Table35678[[#This Row],[Ausfuhr: Gewicht]]</f>
        <v>9518.0722891566256</v>
      </c>
      <c r="P130" s="8">
        <f>Table35678[[#This Row],[Einfuhr: Wert $]]*1000/Table35678[[#This Row],[Einfuhr: Gewicht]]</f>
        <v>5534.580098800282</v>
      </c>
    </row>
    <row r="131" spans="2:16" x14ac:dyDescent="0.25">
      <c r="B131">
        <f>(Table35678[[#This Row],[Jahr]]-$C$8)*12+Table35678[[#This Row],[Month nr]]</f>
        <v>121</v>
      </c>
      <c r="C131">
        <v>2018</v>
      </c>
      <c r="D131">
        <v>1</v>
      </c>
      <c r="E131" t="s">
        <v>13</v>
      </c>
      <c r="F131" t="str">
        <f>_xlfn.CONCAT(Table35678[[#This Row],[Monat]]," ",Table35678[[#This Row],[Jahr]])</f>
        <v>Januar 2018</v>
      </c>
      <c r="G131">
        <v>5.9999999999999991</v>
      </c>
      <c r="H131">
        <v>45</v>
      </c>
      <c r="I131">
        <v>53</v>
      </c>
      <c r="J131">
        <v>269.3</v>
      </c>
      <c r="K131">
        <v>1390</v>
      </c>
      <c r="L131">
        <v>1696</v>
      </c>
      <c r="M131" s="8">
        <f>Table35678[[#This Row],[Ausfuhr: Wert €]]*1000/Table35678[[#This Row],[Ausfuhr: Gewicht]]</f>
        <v>7500.0000000000009</v>
      </c>
      <c r="N131" s="8">
        <f>Table35678[[#This Row],[Einfuhr: Wert €]]*1000/Table35678[[#This Row],[Einfuhr: Gewicht]]</f>
        <v>5161.5298923134051</v>
      </c>
      <c r="O131" s="8">
        <f>Table35678[[#This Row],[Ausfuhr: Wert $]]*1000/Table35678[[#This Row],[Ausfuhr: Gewicht]]</f>
        <v>8833.3333333333339</v>
      </c>
      <c r="P131" s="8">
        <f>Table35678[[#This Row],[Einfuhr: Wert $]]*1000/Table35678[[#This Row],[Einfuhr: Gewicht]]</f>
        <v>6297.8091347939098</v>
      </c>
    </row>
    <row r="132" spans="2:16" x14ac:dyDescent="0.25">
      <c r="B132">
        <f>(Table35678[[#This Row],[Jahr]]-$C$8)*12+Table35678[[#This Row],[Month nr]]</f>
        <v>122</v>
      </c>
      <c r="C132">
        <v>2018</v>
      </c>
      <c r="D132">
        <v>2</v>
      </c>
      <c r="E132" t="s">
        <v>14</v>
      </c>
      <c r="F132" t="str">
        <f>_xlfn.CONCAT(Table35678[[#This Row],[Monat]]," ",Table35678[[#This Row],[Jahr]])</f>
        <v>Februar 2018</v>
      </c>
      <c r="G132">
        <v>53.6</v>
      </c>
      <c r="H132">
        <v>255</v>
      </c>
      <c r="I132">
        <v>314</v>
      </c>
      <c r="J132">
        <v>545</v>
      </c>
      <c r="K132">
        <v>2277</v>
      </c>
      <c r="L132">
        <v>2809</v>
      </c>
      <c r="M132" s="8">
        <f>Table35678[[#This Row],[Ausfuhr: Wert €]]*1000/Table35678[[#This Row],[Ausfuhr: Gewicht]]</f>
        <v>4757.4626865671644</v>
      </c>
      <c r="N132" s="8">
        <f>Table35678[[#This Row],[Einfuhr: Wert €]]*1000/Table35678[[#This Row],[Einfuhr: Gewicht]]</f>
        <v>4177.9816513761471</v>
      </c>
      <c r="O132" s="8">
        <f>Table35678[[#This Row],[Ausfuhr: Wert $]]*1000/Table35678[[#This Row],[Ausfuhr: Gewicht]]</f>
        <v>5858.2089552238804</v>
      </c>
      <c r="P132" s="8">
        <f>Table35678[[#This Row],[Einfuhr: Wert $]]*1000/Table35678[[#This Row],[Einfuhr: Gewicht]]</f>
        <v>5154.1284403669724</v>
      </c>
    </row>
    <row r="133" spans="2:16" x14ac:dyDescent="0.25">
      <c r="B133">
        <f>(Table35678[[#This Row],[Jahr]]-$C$8)*12+Table35678[[#This Row],[Month nr]]</f>
        <v>123</v>
      </c>
      <c r="C133">
        <v>2018</v>
      </c>
      <c r="D133">
        <v>3</v>
      </c>
      <c r="E133" t="s">
        <v>15</v>
      </c>
      <c r="F133" t="str">
        <f>_xlfn.CONCAT(Table35678[[#This Row],[Monat]]," ",Table35678[[#This Row],[Jahr]])</f>
        <v>März 2018</v>
      </c>
      <c r="G133" s="10">
        <v>452.3</v>
      </c>
      <c r="H133" s="10">
        <v>2561</v>
      </c>
      <c r="I133" s="10">
        <v>3159</v>
      </c>
      <c r="J133" s="10">
        <v>2349.4</v>
      </c>
      <c r="K133" s="10">
        <v>12114</v>
      </c>
      <c r="L133" s="10">
        <v>14946</v>
      </c>
      <c r="M133" s="8">
        <f>Table35678[[#This Row],[Ausfuhr: Wert €]]*1000/Table35678[[#This Row],[Ausfuhr: Gewicht]]</f>
        <v>5662.1711253592748</v>
      </c>
      <c r="N133" s="8">
        <f>Table35678[[#This Row],[Einfuhr: Wert €]]*1000/Table35678[[#This Row],[Einfuhr: Gewicht]]</f>
        <v>5156.2100961947726</v>
      </c>
      <c r="O133" s="8">
        <f>Table35678[[#This Row],[Ausfuhr: Wert $]]*1000/Table35678[[#This Row],[Ausfuhr: Gewicht]]</f>
        <v>6984.302454123369</v>
      </c>
      <c r="P133" s="8">
        <f>Table35678[[#This Row],[Einfuhr: Wert $]]*1000/Table35678[[#This Row],[Einfuhr: Gewicht]]</f>
        <v>6361.6242444879545</v>
      </c>
    </row>
    <row r="134" spans="2:16" x14ac:dyDescent="0.25">
      <c r="B134">
        <f>(Table35678[[#This Row],[Jahr]]-$C$8)*12+Table35678[[#This Row],[Month nr]]</f>
        <v>124</v>
      </c>
      <c r="C134">
        <v>2018</v>
      </c>
      <c r="D134">
        <v>4</v>
      </c>
      <c r="E134" t="s">
        <v>16</v>
      </c>
      <c r="F134" t="str">
        <f>_xlfn.CONCAT(Table35678[[#This Row],[Monat]]," ",Table35678[[#This Row],[Jahr]])</f>
        <v>April 2018</v>
      </c>
      <c r="G134">
        <v>1239.6999999999998</v>
      </c>
      <c r="H134">
        <v>5937</v>
      </c>
      <c r="I134">
        <v>7293</v>
      </c>
      <c r="J134">
        <v>8112.4999999999991</v>
      </c>
      <c r="K134">
        <v>32042</v>
      </c>
      <c r="L134">
        <v>39335</v>
      </c>
      <c r="M134" s="8">
        <f>Table35678[[#This Row],[Ausfuhr: Wert €]]*1000/Table35678[[#This Row],[Ausfuhr: Gewicht]]</f>
        <v>4789.0618698072121</v>
      </c>
      <c r="N134" s="8">
        <f>Table35678[[#This Row],[Einfuhr: Wert €]]*1000/Table35678[[#This Row],[Einfuhr: Gewicht]]</f>
        <v>3949.7072419106321</v>
      </c>
      <c r="O134" s="8">
        <f>Table35678[[#This Row],[Ausfuhr: Wert $]]*1000/Table35678[[#This Row],[Ausfuhr: Gewicht]]</f>
        <v>5882.8748890860697</v>
      </c>
      <c r="P134" s="8">
        <f>Table35678[[#This Row],[Einfuhr: Wert $]]*1000/Table35678[[#This Row],[Einfuhr: Gewicht]]</f>
        <v>4848.6902927580895</v>
      </c>
    </row>
    <row r="135" spans="2:16" x14ac:dyDescent="0.25">
      <c r="B135">
        <f>(Table35678[[#This Row],[Jahr]]-$C$8)*12+Table35678[[#This Row],[Month nr]]</f>
        <v>125</v>
      </c>
      <c r="C135">
        <v>2018</v>
      </c>
      <c r="D135">
        <v>5</v>
      </c>
      <c r="E135" t="s">
        <v>20</v>
      </c>
      <c r="F135" t="str">
        <f>_xlfn.CONCAT(Table35678[[#This Row],[Monat]]," ",Table35678[[#This Row],[Jahr]])</f>
        <v>Mai 2018</v>
      </c>
      <c r="G135">
        <v>1539.7</v>
      </c>
      <c r="H135">
        <v>6003</v>
      </c>
      <c r="I135">
        <v>7092</v>
      </c>
      <c r="J135">
        <v>6906.6</v>
      </c>
      <c r="K135">
        <v>20069</v>
      </c>
      <c r="L135">
        <v>23704</v>
      </c>
      <c r="M135" s="8">
        <f>Table35678[[#This Row],[Ausfuhr: Wert €]]*1000/Table35678[[#This Row],[Ausfuhr: Gewicht]]</f>
        <v>3898.8114567772941</v>
      </c>
      <c r="N135" s="8">
        <f>Table35678[[#This Row],[Einfuhr: Wert €]]*1000/Table35678[[#This Row],[Einfuhr: Gewicht]]</f>
        <v>2905.7712912286797</v>
      </c>
      <c r="O135" s="8">
        <f>Table35678[[#This Row],[Ausfuhr: Wert $]]*1000/Table35678[[#This Row],[Ausfuhr: Gewicht]]</f>
        <v>4606.0920958628303</v>
      </c>
      <c r="P135" s="8">
        <f>Table35678[[#This Row],[Einfuhr: Wert $]]*1000/Table35678[[#This Row],[Einfuhr: Gewicht]]</f>
        <v>3432.07946022645</v>
      </c>
    </row>
    <row r="136" spans="2:16" x14ac:dyDescent="0.25">
      <c r="B136">
        <f>(Table35678[[#This Row],[Jahr]]-$C$8)*12+Table35678[[#This Row],[Month nr]]</f>
        <v>126</v>
      </c>
      <c r="C136">
        <v>2018</v>
      </c>
      <c r="D136">
        <v>6</v>
      </c>
      <c r="E136" t="s">
        <v>21</v>
      </c>
      <c r="F136" t="str">
        <f>_xlfn.CONCAT(Table35678[[#This Row],[Monat]]," ",Table35678[[#This Row],[Jahr]])</f>
        <v>Juni 2018</v>
      </c>
      <c r="G136">
        <v>619.9000000000002</v>
      </c>
      <c r="H136">
        <v>2376</v>
      </c>
      <c r="I136">
        <v>2774</v>
      </c>
      <c r="J136">
        <v>3570.4999999999995</v>
      </c>
      <c r="K136">
        <v>9747</v>
      </c>
      <c r="L136">
        <v>11384</v>
      </c>
      <c r="M136" s="8">
        <f>Table35678[[#This Row],[Ausfuhr: Wert €]]*1000/Table35678[[#This Row],[Ausfuhr: Gewicht]]</f>
        <v>3832.8762703661869</v>
      </c>
      <c r="N136" s="8">
        <f>Table35678[[#This Row],[Einfuhr: Wert €]]*1000/Table35678[[#This Row],[Einfuhr: Gewicht]]</f>
        <v>2729.8697661391966</v>
      </c>
      <c r="O136" s="8">
        <f>Table35678[[#This Row],[Ausfuhr: Wert $]]*1000/Table35678[[#This Row],[Ausfuhr: Gewicht]]</f>
        <v>4474.9153089207921</v>
      </c>
      <c r="P136" s="8">
        <f>Table35678[[#This Row],[Einfuhr: Wert $]]*1000/Table35678[[#This Row],[Einfuhr: Gewicht]]</f>
        <v>3188.3489707323906</v>
      </c>
    </row>
    <row r="137" spans="2:16" x14ac:dyDescent="0.25">
      <c r="B137">
        <f>(Table35678[[#This Row],[Jahr]]-$C$8)*12+Table35678[[#This Row],[Month nr]]</f>
        <v>127</v>
      </c>
      <c r="C137">
        <v>2018</v>
      </c>
      <c r="D137">
        <v>7</v>
      </c>
      <c r="E137" t="s">
        <v>22</v>
      </c>
      <c r="F137" t="str">
        <f>_xlfn.CONCAT(Table35678[[#This Row],[Monat]]," ",Table35678[[#This Row],[Jahr]])</f>
        <v>Juli 2018</v>
      </c>
      <c r="G137">
        <v>136.79999999999993</v>
      </c>
      <c r="H137">
        <v>298</v>
      </c>
      <c r="I137">
        <v>350</v>
      </c>
      <c r="J137">
        <v>815.2</v>
      </c>
      <c r="K137">
        <v>2932</v>
      </c>
      <c r="L137">
        <v>3424</v>
      </c>
      <c r="M137" s="8">
        <f>Table35678[[#This Row],[Ausfuhr: Wert €]]*1000/Table35678[[#This Row],[Ausfuhr: Gewicht]]</f>
        <v>2178.3625730994163</v>
      </c>
      <c r="N137" s="8">
        <f>Table35678[[#This Row],[Einfuhr: Wert €]]*1000/Table35678[[#This Row],[Einfuhr: Gewicht]]</f>
        <v>3596.6633954857703</v>
      </c>
      <c r="O137" s="8">
        <f>Table35678[[#This Row],[Ausfuhr: Wert $]]*1000/Table35678[[#This Row],[Ausfuhr: Gewicht]]</f>
        <v>2558.4795321637439</v>
      </c>
      <c r="P137" s="8">
        <f>Table35678[[#This Row],[Einfuhr: Wert $]]*1000/Table35678[[#This Row],[Einfuhr: Gewicht]]</f>
        <v>4200.1962708537776</v>
      </c>
    </row>
    <row r="138" spans="2:16" x14ac:dyDescent="0.25">
      <c r="B138">
        <f>(Table35678[[#This Row],[Jahr]]-$C$8)*12+Table35678[[#This Row],[Month nr]]</f>
        <v>128</v>
      </c>
      <c r="C138">
        <v>2018</v>
      </c>
      <c r="D138">
        <v>8</v>
      </c>
      <c r="E138" t="s">
        <v>17</v>
      </c>
      <c r="F138" t="str">
        <f>_xlfn.CONCAT(Table35678[[#This Row],[Monat]]," ",Table35678[[#This Row],[Jahr]])</f>
        <v>August 2018</v>
      </c>
      <c r="G138">
        <v>5.4999999999999991</v>
      </c>
      <c r="H138">
        <v>45</v>
      </c>
      <c r="I138">
        <v>52</v>
      </c>
      <c r="J138">
        <v>349.5</v>
      </c>
      <c r="K138">
        <v>1554</v>
      </c>
      <c r="L138">
        <v>1796</v>
      </c>
      <c r="M138" s="8">
        <f>Table35678[[#This Row],[Ausfuhr: Wert €]]*1000/Table35678[[#This Row],[Ausfuhr: Gewicht]]</f>
        <v>8181.8181818181829</v>
      </c>
      <c r="N138" s="8">
        <f>Table35678[[#This Row],[Einfuhr: Wert €]]*1000/Table35678[[#This Row],[Einfuhr: Gewicht]]</f>
        <v>4446.3519313304723</v>
      </c>
      <c r="O138" s="8">
        <f>Table35678[[#This Row],[Ausfuhr: Wert $]]*1000/Table35678[[#This Row],[Ausfuhr: Gewicht]]</f>
        <v>9454.5454545454559</v>
      </c>
      <c r="P138" s="8">
        <f>Table35678[[#This Row],[Einfuhr: Wert $]]*1000/Table35678[[#This Row],[Einfuhr: Gewicht]]</f>
        <v>5138.7696709585125</v>
      </c>
    </row>
    <row r="139" spans="2:16" x14ac:dyDescent="0.25">
      <c r="B139">
        <f>(Table35678[[#This Row],[Jahr]]-$C$8)*12+Table35678[[#This Row],[Month nr]]</f>
        <v>129</v>
      </c>
      <c r="C139">
        <v>2018</v>
      </c>
      <c r="D139">
        <v>9</v>
      </c>
      <c r="E139" t="s">
        <v>18</v>
      </c>
      <c r="F139" t="str">
        <f>_xlfn.CONCAT(Table35678[[#This Row],[Monat]]," ",Table35678[[#This Row],[Jahr]])</f>
        <v>September 2018</v>
      </c>
      <c r="G139">
        <v>7.5</v>
      </c>
      <c r="H139">
        <v>43</v>
      </c>
      <c r="I139">
        <v>48</v>
      </c>
      <c r="J139">
        <v>377.49999999999994</v>
      </c>
      <c r="K139">
        <v>1669</v>
      </c>
      <c r="L139">
        <v>1945</v>
      </c>
      <c r="M139" s="8">
        <f>Table35678[[#This Row],[Ausfuhr: Wert €]]*1000/Table35678[[#This Row],[Ausfuhr: Gewicht]]</f>
        <v>5733.333333333333</v>
      </c>
      <c r="N139" s="8">
        <f>Table35678[[#This Row],[Einfuhr: Wert €]]*1000/Table35678[[#This Row],[Einfuhr: Gewicht]]</f>
        <v>4421.1920529801328</v>
      </c>
      <c r="O139" s="8">
        <f>Table35678[[#This Row],[Ausfuhr: Wert $]]*1000/Table35678[[#This Row],[Ausfuhr: Gewicht]]</f>
        <v>6400</v>
      </c>
      <c r="P139" s="8">
        <f>Table35678[[#This Row],[Einfuhr: Wert $]]*1000/Table35678[[#This Row],[Einfuhr: Gewicht]]</f>
        <v>5152.3178807947024</v>
      </c>
    </row>
    <row r="140" spans="2:16" x14ac:dyDescent="0.25">
      <c r="B140">
        <f>(Table35678[[#This Row],[Jahr]]-$C$8)*12+Table35678[[#This Row],[Month nr]]</f>
        <v>130</v>
      </c>
      <c r="C140">
        <v>2018</v>
      </c>
      <c r="D140">
        <v>10</v>
      </c>
      <c r="E140" t="s">
        <v>23</v>
      </c>
      <c r="F140" t="str">
        <f>_xlfn.CONCAT(Table35678[[#This Row],[Monat]]," ",Table35678[[#This Row],[Jahr]])</f>
        <v>Oktober 2018</v>
      </c>
      <c r="G140">
        <v>10.1</v>
      </c>
      <c r="H140">
        <v>54</v>
      </c>
      <c r="I140">
        <v>62</v>
      </c>
      <c r="J140">
        <v>442.20000000000005</v>
      </c>
      <c r="K140">
        <v>1856</v>
      </c>
      <c r="L140">
        <v>2132</v>
      </c>
      <c r="M140" s="8">
        <f>Table35678[[#This Row],[Ausfuhr: Wert €]]*1000/Table35678[[#This Row],[Ausfuhr: Gewicht]]</f>
        <v>5346.5346534653463</v>
      </c>
      <c r="N140" s="8">
        <f>Table35678[[#This Row],[Einfuhr: Wert €]]*1000/Table35678[[#This Row],[Einfuhr: Gewicht]]</f>
        <v>4197.1958389868832</v>
      </c>
      <c r="O140" s="8">
        <f>Table35678[[#This Row],[Ausfuhr: Wert $]]*1000/Table35678[[#This Row],[Ausfuhr: Gewicht]]</f>
        <v>6138.6138613861385</v>
      </c>
      <c r="P140" s="8">
        <f>Table35678[[#This Row],[Einfuhr: Wert $]]*1000/Table35678[[#This Row],[Einfuhr: Gewicht]]</f>
        <v>4821.3478064224328</v>
      </c>
    </row>
    <row r="141" spans="2:16" x14ac:dyDescent="0.25">
      <c r="B141">
        <f>(Table35678[[#This Row],[Jahr]]-$C$8)*12+Table35678[[#This Row],[Month nr]]</f>
        <v>131</v>
      </c>
      <c r="C141">
        <v>2018</v>
      </c>
      <c r="D141">
        <v>11</v>
      </c>
      <c r="E141" t="s">
        <v>19</v>
      </c>
      <c r="F141" t="str">
        <f>_xlfn.CONCAT(Table35678[[#This Row],[Monat]]," ",Table35678[[#This Row],[Jahr]])</f>
        <v>November 2018</v>
      </c>
      <c r="G141">
        <v>17.100000000000001</v>
      </c>
      <c r="H141">
        <v>90</v>
      </c>
      <c r="I141">
        <v>103</v>
      </c>
      <c r="J141">
        <v>364.8</v>
      </c>
      <c r="K141">
        <v>1652</v>
      </c>
      <c r="L141">
        <v>1879</v>
      </c>
      <c r="M141" s="8">
        <f>Table35678[[#This Row],[Ausfuhr: Wert €]]*1000/Table35678[[#This Row],[Ausfuhr: Gewicht]]</f>
        <v>5263.1578947368416</v>
      </c>
      <c r="N141" s="8">
        <f>Table35678[[#This Row],[Einfuhr: Wert €]]*1000/Table35678[[#This Row],[Einfuhr: Gewicht]]</f>
        <v>4528.5087719298244</v>
      </c>
      <c r="O141" s="8">
        <f>Table35678[[#This Row],[Ausfuhr: Wert $]]*1000/Table35678[[#This Row],[Ausfuhr: Gewicht]]</f>
        <v>6023.3918128654968</v>
      </c>
      <c r="P141" s="8">
        <f>Table35678[[#This Row],[Einfuhr: Wert $]]*1000/Table35678[[#This Row],[Einfuhr: Gewicht]]</f>
        <v>5150.7675438596489</v>
      </c>
    </row>
    <row r="142" spans="2:16" x14ac:dyDescent="0.25">
      <c r="B142">
        <f>(Table35678[[#This Row],[Jahr]]-$C$8)*12+Table35678[[#This Row],[Month nr]]</f>
        <v>132</v>
      </c>
      <c r="C142">
        <v>2018</v>
      </c>
      <c r="D142">
        <v>12</v>
      </c>
      <c r="E142" t="s">
        <v>24</v>
      </c>
      <c r="F142" t="str">
        <f>_xlfn.CONCAT(Table35678[[#This Row],[Monat]]," ",Table35678[[#This Row],[Jahr]])</f>
        <v>Dezember 2018</v>
      </c>
      <c r="G142">
        <v>50.600000000000009</v>
      </c>
      <c r="H142">
        <v>247</v>
      </c>
      <c r="I142">
        <v>283</v>
      </c>
      <c r="J142">
        <v>701</v>
      </c>
      <c r="K142">
        <v>3491</v>
      </c>
      <c r="L142">
        <v>3975</v>
      </c>
      <c r="M142" s="8">
        <f>Table35678[[#This Row],[Ausfuhr: Wert €]]*1000/Table35678[[#This Row],[Ausfuhr: Gewicht]]</f>
        <v>4881.4229249011851</v>
      </c>
      <c r="N142" s="8">
        <f>Table35678[[#This Row],[Einfuhr: Wert €]]*1000/Table35678[[#This Row],[Einfuhr: Gewicht]]</f>
        <v>4980.0285306704709</v>
      </c>
      <c r="O142" s="8">
        <f>Table35678[[#This Row],[Ausfuhr: Wert $]]*1000/Table35678[[#This Row],[Ausfuhr: Gewicht]]</f>
        <v>5592.8853754940701</v>
      </c>
      <c r="P142" s="8">
        <f>Table35678[[#This Row],[Einfuhr: Wert $]]*1000/Table35678[[#This Row],[Einfuhr: Gewicht]]</f>
        <v>5670.4707560627676</v>
      </c>
    </row>
    <row r="143" spans="2:16" x14ac:dyDescent="0.25">
      <c r="B143">
        <f>(Table35678[[#This Row],[Jahr]]-$C$8)*12+Table35678[[#This Row],[Month nr]]</f>
        <v>133</v>
      </c>
      <c r="C143">
        <v>2019</v>
      </c>
      <c r="D143">
        <v>1</v>
      </c>
      <c r="E143" t="s">
        <v>13</v>
      </c>
      <c r="F143" t="str">
        <f>_xlfn.CONCAT(Table35678[[#This Row],[Monat]]," ",Table35678[[#This Row],[Jahr]])</f>
        <v>Januar 2019</v>
      </c>
      <c r="G143">
        <v>14.799999999999997</v>
      </c>
      <c r="H143">
        <v>80</v>
      </c>
      <c r="I143">
        <v>91</v>
      </c>
      <c r="J143">
        <v>450.9</v>
      </c>
      <c r="K143">
        <v>2389</v>
      </c>
      <c r="L143">
        <v>2726</v>
      </c>
      <c r="M143" s="8">
        <f>Table35678[[#This Row],[Ausfuhr: Wert €]]*1000/Table35678[[#This Row],[Ausfuhr: Gewicht]]</f>
        <v>5405.4054054054068</v>
      </c>
      <c r="N143" s="8">
        <f>Table35678[[#This Row],[Einfuhr: Wert €]]*1000/Table35678[[#This Row],[Einfuhr: Gewicht]]</f>
        <v>5298.2923042803286</v>
      </c>
      <c r="O143" s="8">
        <f>Table35678[[#This Row],[Ausfuhr: Wert $]]*1000/Table35678[[#This Row],[Ausfuhr: Gewicht]]</f>
        <v>6148.6486486486501</v>
      </c>
      <c r="P143" s="8">
        <f>Table35678[[#This Row],[Einfuhr: Wert $]]*1000/Table35678[[#This Row],[Einfuhr: Gewicht]]</f>
        <v>6045.6864049678425</v>
      </c>
    </row>
    <row r="144" spans="2:16" x14ac:dyDescent="0.25">
      <c r="B144">
        <f>(Table35678[[#This Row],[Jahr]]-$C$8)*12+Table35678[[#This Row],[Month nr]]</f>
        <v>134</v>
      </c>
      <c r="C144">
        <v>2019</v>
      </c>
      <c r="D144">
        <v>2</v>
      </c>
      <c r="E144" t="s">
        <v>14</v>
      </c>
      <c r="F144" t="str">
        <f>_xlfn.CONCAT(Table35678[[#This Row],[Monat]]," ",Table35678[[#This Row],[Jahr]])</f>
        <v>Februar 2019</v>
      </c>
      <c r="G144">
        <v>30.500000000000007</v>
      </c>
      <c r="H144">
        <v>165</v>
      </c>
      <c r="I144">
        <v>187</v>
      </c>
      <c r="J144">
        <v>397.90000000000009</v>
      </c>
      <c r="K144">
        <v>2032</v>
      </c>
      <c r="L144">
        <v>2304</v>
      </c>
      <c r="M144" s="8">
        <f>Table35678[[#This Row],[Ausfuhr: Wert €]]*1000/Table35678[[#This Row],[Ausfuhr: Gewicht]]</f>
        <v>5409.8360655737688</v>
      </c>
      <c r="N144" s="8">
        <f>Table35678[[#This Row],[Einfuhr: Wert €]]*1000/Table35678[[#This Row],[Einfuhr: Gewicht]]</f>
        <v>5106.8107564714737</v>
      </c>
      <c r="O144" s="8">
        <f>Table35678[[#This Row],[Ausfuhr: Wert $]]*1000/Table35678[[#This Row],[Ausfuhr: Gewicht]]</f>
        <v>6131.1475409836048</v>
      </c>
      <c r="P144" s="8">
        <f>Table35678[[#This Row],[Einfuhr: Wert $]]*1000/Table35678[[#This Row],[Einfuhr: Gewicht]]</f>
        <v>5790.3995978889152</v>
      </c>
    </row>
    <row r="145" spans="2:16" x14ac:dyDescent="0.25">
      <c r="B145">
        <f>(Table35678[[#This Row],[Jahr]]-$C$8)*12+Table35678[[#This Row],[Month nr]]</f>
        <v>135</v>
      </c>
      <c r="C145">
        <v>2019</v>
      </c>
      <c r="D145">
        <v>3</v>
      </c>
      <c r="E145" t="s">
        <v>15</v>
      </c>
      <c r="F145" t="str">
        <f>_xlfn.CONCAT(Table35678[[#This Row],[Monat]]," ",Table35678[[#This Row],[Jahr]])</f>
        <v>März 2019</v>
      </c>
      <c r="G145" s="10">
        <v>476.4</v>
      </c>
      <c r="H145" s="10">
        <v>2419</v>
      </c>
      <c r="I145" s="10">
        <v>2736</v>
      </c>
      <c r="J145" s="10">
        <v>2323.5</v>
      </c>
      <c r="K145" s="10">
        <v>10657</v>
      </c>
      <c r="L145" s="10">
        <v>12044</v>
      </c>
      <c r="M145" s="8">
        <f>Table35678[[#This Row],[Ausfuhr: Wert €]]*1000/Table35678[[#This Row],[Ausfuhr: Gewicht]]</f>
        <v>5077.665827036104</v>
      </c>
      <c r="N145" s="8">
        <f>Table35678[[#This Row],[Einfuhr: Wert €]]*1000/Table35678[[#This Row],[Einfuhr: Gewicht]]</f>
        <v>4586.615020443297</v>
      </c>
      <c r="O145" s="8">
        <f>Table35678[[#This Row],[Ausfuhr: Wert $]]*1000/Table35678[[#This Row],[Ausfuhr: Gewicht]]</f>
        <v>5743.0730478589421</v>
      </c>
      <c r="P145" s="8">
        <f>Table35678[[#This Row],[Einfuhr: Wert $]]*1000/Table35678[[#This Row],[Einfuhr: Gewicht]]</f>
        <v>5183.5592855605764</v>
      </c>
    </row>
    <row r="146" spans="2:16" x14ac:dyDescent="0.25">
      <c r="B146">
        <f>(Table35678[[#This Row],[Jahr]]-$C$8)*12+Table35678[[#This Row],[Month nr]]</f>
        <v>136</v>
      </c>
      <c r="C146">
        <v>2019</v>
      </c>
      <c r="D146">
        <v>4</v>
      </c>
      <c r="E146" t="s">
        <v>16</v>
      </c>
      <c r="F146" t="str">
        <f>_xlfn.CONCAT(Table35678[[#This Row],[Monat]]," ",Table35678[[#This Row],[Jahr]])</f>
        <v>April 2019</v>
      </c>
      <c r="G146">
        <v>1395.0999999999997</v>
      </c>
      <c r="H146">
        <v>6492</v>
      </c>
      <c r="I146">
        <v>7293</v>
      </c>
      <c r="J146">
        <v>8000.5000000000018</v>
      </c>
      <c r="K146">
        <v>26908</v>
      </c>
      <c r="L146">
        <v>30239</v>
      </c>
      <c r="M146" s="8">
        <f>Table35678[[#This Row],[Ausfuhr: Wert €]]*1000/Table35678[[#This Row],[Ausfuhr: Gewicht]]</f>
        <v>4653.4298616586639</v>
      </c>
      <c r="N146" s="8">
        <f>Table35678[[#This Row],[Einfuhr: Wert €]]*1000/Table35678[[#This Row],[Einfuhr: Gewicht]]</f>
        <v>3363.2897943878502</v>
      </c>
      <c r="O146" s="8">
        <f>Table35678[[#This Row],[Ausfuhr: Wert $]]*1000/Table35678[[#This Row],[Ausfuhr: Gewicht]]</f>
        <v>5227.5822521683049</v>
      </c>
      <c r="P146" s="8">
        <f>Table35678[[#This Row],[Einfuhr: Wert $]]*1000/Table35678[[#This Row],[Einfuhr: Gewicht]]</f>
        <v>3779.6387725767131</v>
      </c>
    </row>
    <row r="147" spans="2:16" x14ac:dyDescent="0.25">
      <c r="B147">
        <f>(Table35678[[#This Row],[Jahr]]-$C$8)*12+Table35678[[#This Row],[Month nr]]</f>
        <v>137</v>
      </c>
      <c r="C147">
        <v>2019</v>
      </c>
      <c r="D147">
        <v>5</v>
      </c>
      <c r="E147" t="s">
        <v>20</v>
      </c>
      <c r="F147" t="str">
        <f>_xlfn.CONCAT(Table35678[[#This Row],[Monat]]," ",Table35678[[#This Row],[Jahr]])</f>
        <v>Mai 2019</v>
      </c>
      <c r="G147">
        <v>1579.3000000000004</v>
      </c>
      <c r="H147">
        <v>7305</v>
      </c>
      <c r="I147">
        <v>8173</v>
      </c>
      <c r="J147">
        <v>5655.5</v>
      </c>
      <c r="K147">
        <v>16256</v>
      </c>
      <c r="L147">
        <v>18183</v>
      </c>
      <c r="M147" s="8">
        <f>Table35678[[#This Row],[Ausfuhr: Wert €]]*1000/Table35678[[#This Row],[Ausfuhr: Gewicht]]</f>
        <v>4625.4669790413463</v>
      </c>
      <c r="N147" s="8">
        <f>Table35678[[#This Row],[Einfuhr: Wert €]]*1000/Table35678[[#This Row],[Einfuhr: Gewicht]]</f>
        <v>2874.3700822208471</v>
      </c>
      <c r="O147" s="8">
        <f>Table35678[[#This Row],[Ausfuhr: Wert $]]*1000/Table35678[[#This Row],[Ausfuhr: Gewicht]]</f>
        <v>5175.0775660102563</v>
      </c>
      <c r="P147" s="8">
        <f>Table35678[[#This Row],[Einfuhr: Wert $]]*1000/Table35678[[#This Row],[Einfuhr: Gewicht]]</f>
        <v>3215.1003447971002</v>
      </c>
    </row>
    <row r="148" spans="2:16" x14ac:dyDescent="0.25">
      <c r="B148">
        <f>(Table35678[[#This Row],[Jahr]]-$C$8)*12+Table35678[[#This Row],[Month nr]]</f>
        <v>138</v>
      </c>
      <c r="C148">
        <v>2019</v>
      </c>
      <c r="D148">
        <v>6</v>
      </c>
      <c r="E148" t="s">
        <v>21</v>
      </c>
      <c r="F148" t="str">
        <f>_xlfn.CONCAT(Table35678[[#This Row],[Monat]]," ",Table35678[[#This Row],[Jahr]])</f>
        <v>Juni 2019</v>
      </c>
      <c r="G148">
        <v>1043.3</v>
      </c>
      <c r="H148">
        <v>3818</v>
      </c>
      <c r="I148">
        <v>4311</v>
      </c>
      <c r="J148">
        <v>4488.5999999999995</v>
      </c>
      <c r="K148">
        <v>12556</v>
      </c>
      <c r="L148">
        <v>14180</v>
      </c>
      <c r="M148" s="8">
        <f>Table35678[[#This Row],[Ausfuhr: Wert €]]*1000/Table35678[[#This Row],[Ausfuhr: Gewicht]]</f>
        <v>3659.5418383973929</v>
      </c>
      <c r="N148" s="8">
        <f>Table35678[[#This Row],[Einfuhr: Wert €]]*1000/Table35678[[#This Row],[Einfuhr: Gewicht]]</f>
        <v>2797.3087376910398</v>
      </c>
      <c r="O148" s="8">
        <f>Table35678[[#This Row],[Ausfuhr: Wert $]]*1000/Table35678[[#This Row],[Ausfuhr: Gewicht]]</f>
        <v>4132.0808971532642</v>
      </c>
      <c r="P148" s="8">
        <f>Table35678[[#This Row],[Einfuhr: Wert $]]*1000/Table35678[[#This Row],[Einfuhr: Gewicht]]</f>
        <v>3159.1142004188391</v>
      </c>
    </row>
    <row r="149" spans="2:16" x14ac:dyDescent="0.25">
      <c r="B149">
        <f>(Table35678[[#This Row],[Jahr]]-$C$8)*12+Table35678[[#This Row],[Month nr]]</f>
        <v>139</v>
      </c>
      <c r="C149">
        <v>2019</v>
      </c>
      <c r="D149">
        <v>7</v>
      </c>
      <c r="E149" t="s">
        <v>22</v>
      </c>
      <c r="F149" t="str">
        <f>_xlfn.CONCAT(Table35678[[#This Row],[Monat]]," ",Table35678[[#This Row],[Jahr]])</f>
        <v>Juli 2019</v>
      </c>
      <c r="G149">
        <v>86.600000000000009</v>
      </c>
      <c r="H149">
        <v>384</v>
      </c>
      <c r="I149">
        <v>434</v>
      </c>
      <c r="J149">
        <v>951.60000000000014</v>
      </c>
      <c r="K149">
        <v>3884</v>
      </c>
      <c r="L149">
        <v>4356</v>
      </c>
      <c r="M149" s="8">
        <f>Table35678[[#This Row],[Ausfuhr: Wert €]]*1000/Table35678[[#This Row],[Ausfuhr: Gewicht]]</f>
        <v>4434.1801385681292</v>
      </c>
      <c r="N149" s="8">
        <f>Table35678[[#This Row],[Einfuhr: Wert €]]*1000/Table35678[[#This Row],[Einfuhr: Gewicht]]</f>
        <v>4081.5468684321136</v>
      </c>
      <c r="O149" s="8">
        <f>Table35678[[#This Row],[Ausfuhr: Wert $]]*1000/Table35678[[#This Row],[Ausfuhr: Gewicht]]</f>
        <v>5011.5473441108543</v>
      </c>
      <c r="P149" s="8">
        <f>Table35678[[#This Row],[Einfuhr: Wert $]]*1000/Table35678[[#This Row],[Einfuhr: Gewicht]]</f>
        <v>4577.5535939470356</v>
      </c>
    </row>
    <row r="150" spans="2:16" x14ac:dyDescent="0.25">
      <c r="B150">
        <f>(Table35678[[#This Row],[Jahr]]-$C$8)*12+Table35678[[#This Row],[Month nr]]</f>
        <v>140</v>
      </c>
      <c r="C150">
        <v>2019</v>
      </c>
      <c r="D150">
        <v>8</v>
      </c>
      <c r="E150" t="s">
        <v>17</v>
      </c>
      <c r="F150" t="str">
        <f>_xlfn.CONCAT(Table35678[[#This Row],[Monat]]," ",Table35678[[#This Row],[Jahr]])</f>
        <v>August 2019</v>
      </c>
      <c r="G150">
        <v>48.000000000000014</v>
      </c>
      <c r="H150">
        <v>270</v>
      </c>
      <c r="I150">
        <v>301</v>
      </c>
      <c r="J150">
        <v>446.90000000000003</v>
      </c>
      <c r="K150">
        <v>2309</v>
      </c>
      <c r="L150">
        <v>2568</v>
      </c>
      <c r="M150" s="8">
        <f>Table35678[[#This Row],[Ausfuhr: Wert €]]*1000/Table35678[[#This Row],[Ausfuhr: Gewicht]]</f>
        <v>5624.9999999999982</v>
      </c>
      <c r="N150" s="8">
        <f>Table35678[[#This Row],[Einfuhr: Wert €]]*1000/Table35678[[#This Row],[Einfuhr: Gewicht]]</f>
        <v>5166.7039606175877</v>
      </c>
      <c r="O150" s="8">
        <f>Table35678[[#This Row],[Ausfuhr: Wert $]]*1000/Table35678[[#This Row],[Ausfuhr: Gewicht]]</f>
        <v>6270.8333333333312</v>
      </c>
      <c r="P150" s="8">
        <f>Table35678[[#This Row],[Einfuhr: Wert $]]*1000/Table35678[[#This Row],[Einfuhr: Gewicht]]</f>
        <v>5746.2519579324226</v>
      </c>
    </row>
    <row r="151" spans="2:16" x14ac:dyDescent="0.25">
      <c r="B151">
        <f>(Table35678[[#This Row],[Jahr]]-$C$8)*12+Table35678[[#This Row],[Month nr]]</f>
        <v>141</v>
      </c>
      <c r="C151">
        <v>2019</v>
      </c>
      <c r="D151">
        <v>9</v>
      </c>
      <c r="E151" t="s">
        <v>18</v>
      </c>
      <c r="F151" t="str">
        <f>_xlfn.CONCAT(Table35678[[#This Row],[Monat]]," ",Table35678[[#This Row],[Jahr]])</f>
        <v>September 2019</v>
      </c>
      <c r="G151">
        <v>13.300000000000002</v>
      </c>
      <c r="H151">
        <v>53</v>
      </c>
      <c r="I151">
        <v>58</v>
      </c>
      <c r="J151">
        <v>344.2</v>
      </c>
      <c r="K151">
        <v>1723</v>
      </c>
      <c r="L151">
        <v>1895</v>
      </c>
      <c r="M151" s="8">
        <f>Table35678[[#This Row],[Ausfuhr: Wert €]]*1000/Table35678[[#This Row],[Ausfuhr: Gewicht]]</f>
        <v>3984.9624060150368</v>
      </c>
      <c r="N151" s="8">
        <f>Table35678[[#This Row],[Einfuhr: Wert €]]*1000/Table35678[[#This Row],[Einfuhr: Gewicht]]</f>
        <v>5005.8105752469501</v>
      </c>
      <c r="O151" s="8">
        <f>Table35678[[#This Row],[Ausfuhr: Wert $]]*1000/Table35678[[#This Row],[Ausfuhr: Gewicht]]</f>
        <v>4360.9022556390973</v>
      </c>
      <c r="P151" s="8">
        <f>Table35678[[#This Row],[Einfuhr: Wert $]]*1000/Table35678[[#This Row],[Einfuhr: Gewicht]]</f>
        <v>5505.5200464846021</v>
      </c>
    </row>
    <row r="152" spans="2:16" x14ac:dyDescent="0.25">
      <c r="B152">
        <f>(Table35678[[#This Row],[Jahr]]-$C$8)*12+Table35678[[#This Row],[Month nr]]</f>
        <v>142</v>
      </c>
      <c r="C152">
        <v>2019</v>
      </c>
      <c r="D152">
        <v>10</v>
      </c>
      <c r="E152" t="s">
        <v>23</v>
      </c>
      <c r="F152" t="str">
        <f>_xlfn.CONCAT(Table35678[[#This Row],[Monat]]," ",Table35678[[#This Row],[Jahr]])</f>
        <v>Oktober 2019</v>
      </c>
      <c r="G152">
        <v>23.8</v>
      </c>
      <c r="H152">
        <v>168</v>
      </c>
      <c r="I152">
        <v>186</v>
      </c>
      <c r="J152">
        <v>230.40000000000003</v>
      </c>
      <c r="K152">
        <v>1087</v>
      </c>
      <c r="L152">
        <v>1203</v>
      </c>
      <c r="M152" s="8">
        <f>Table35678[[#This Row],[Ausfuhr: Wert €]]*1000/Table35678[[#This Row],[Ausfuhr: Gewicht]]</f>
        <v>7058.8235294117649</v>
      </c>
      <c r="N152" s="8">
        <f>Table35678[[#This Row],[Einfuhr: Wert €]]*1000/Table35678[[#This Row],[Einfuhr: Gewicht]]</f>
        <v>4717.8819444444434</v>
      </c>
      <c r="O152" s="8">
        <f>Table35678[[#This Row],[Ausfuhr: Wert $]]*1000/Table35678[[#This Row],[Ausfuhr: Gewicht]]</f>
        <v>7815.1260504201682</v>
      </c>
      <c r="P152" s="8">
        <f>Table35678[[#This Row],[Einfuhr: Wert $]]*1000/Table35678[[#This Row],[Einfuhr: Gewicht]]</f>
        <v>5221.3541666666661</v>
      </c>
    </row>
    <row r="153" spans="2:16" x14ac:dyDescent="0.25">
      <c r="B153">
        <f>(Table35678[[#This Row],[Jahr]]-$C$8)*12+Table35678[[#This Row],[Month nr]]</f>
        <v>143</v>
      </c>
      <c r="C153">
        <v>2019</v>
      </c>
      <c r="D153">
        <v>11</v>
      </c>
      <c r="E153" t="s">
        <v>19</v>
      </c>
      <c r="F153" t="str">
        <f>_xlfn.CONCAT(Table35678[[#This Row],[Monat]]," ",Table35678[[#This Row],[Jahr]])</f>
        <v>November 2019</v>
      </c>
      <c r="G153">
        <v>46.300000000000004</v>
      </c>
      <c r="H153">
        <v>300</v>
      </c>
      <c r="I153">
        <v>330</v>
      </c>
      <c r="J153">
        <v>463.90000000000003</v>
      </c>
      <c r="K153">
        <v>2326</v>
      </c>
      <c r="L153">
        <v>2573</v>
      </c>
      <c r="M153" s="8">
        <f>Table35678[[#This Row],[Ausfuhr: Wert €]]*1000/Table35678[[#This Row],[Ausfuhr: Gewicht]]</f>
        <v>6479.481641468682</v>
      </c>
      <c r="N153" s="8">
        <f>Table35678[[#This Row],[Einfuhr: Wert €]]*1000/Table35678[[#This Row],[Einfuhr: Gewicht]]</f>
        <v>5014.0116404397495</v>
      </c>
      <c r="O153" s="8">
        <f>Table35678[[#This Row],[Ausfuhr: Wert $]]*1000/Table35678[[#This Row],[Ausfuhr: Gewicht]]</f>
        <v>7127.4298056155503</v>
      </c>
      <c r="P153" s="8">
        <f>Table35678[[#This Row],[Einfuhr: Wert $]]*1000/Table35678[[#This Row],[Einfuhr: Gewicht]]</f>
        <v>5546.4539771502477</v>
      </c>
    </row>
    <row r="154" spans="2:16" x14ac:dyDescent="0.25">
      <c r="B154">
        <f>(Table35678[[#This Row],[Jahr]]-$C$8)*12+Table35678[[#This Row],[Month nr]]</f>
        <v>144</v>
      </c>
      <c r="C154">
        <v>2019</v>
      </c>
      <c r="D154">
        <v>12</v>
      </c>
      <c r="E154" t="s">
        <v>24</v>
      </c>
      <c r="F154" t="str">
        <f>_xlfn.CONCAT(Table35678[[#This Row],[Monat]]," ",Table35678[[#This Row],[Jahr]])</f>
        <v>Dezember 2019</v>
      </c>
      <c r="G154">
        <v>62.099999999999994</v>
      </c>
      <c r="H154">
        <v>347</v>
      </c>
      <c r="I154">
        <v>385</v>
      </c>
      <c r="J154">
        <v>497.49999999999994</v>
      </c>
      <c r="K154">
        <v>2576</v>
      </c>
      <c r="L154">
        <v>2862</v>
      </c>
      <c r="M154" s="8">
        <f>Table35678[[#This Row],[Ausfuhr: Wert €]]*1000/Table35678[[#This Row],[Ausfuhr: Gewicht]]</f>
        <v>5587.7616747181974</v>
      </c>
      <c r="N154" s="8">
        <f>Table35678[[#This Row],[Einfuhr: Wert €]]*1000/Table35678[[#This Row],[Einfuhr: Gewicht]]</f>
        <v>5177.8894472361817</v>
      </c>
      <c r="O154" s="8">
        <f>Table35678[[#This Row],[Ausfuhr: Wert $]]*1000/Table35678[[#This Row],[Ausfuhr: Gewicht]]</f>
        <v>6199.6779388083742</v>
      </c>
      <c r="P154" s="8">
        <f>Table35678[[#This Row],[Einfuhr: Wert $]]*1000/Table35678[[#This Row],[Einfuhr: Gewicht]]</f>
        <v>5752.7638190954776</v>
      </c>
    </row>
    <row r="155" spans="2:16" x14ac:dyDescent="0.25">
      <c r="B155">
        <f>(Table35678[[#This Row],[Jahr]]-$C$8)*12+Table35678[[#This Row],[Month nr]]</f>
        <v>145</v>
      </c>
      <c r="C155">
        <v>2020</v>
      </c>
      <c r="D155">
        <v>1</v>
      </c>
      <c r="E155" t="s">
        <v>13</v>
      </c>
      <c r="F155" t="str">
        <f>_xlfn.CONCAT(Table35678[[#This Row],[Monat]]," ",Table35678[[#This Row],[Jahr]])</f>
        <v>Januar 2020</v>
      </c>
      <c r="G155">
        <v>75.999999999999986</v>
      </c>
      <c r="H155">
        <v>391</v>
      </c>
      <c r="I155">
        <v>436</v>
      </c>
      <c r="J155">
        <v>387.8</v>
      </c>
      <c r="K155">
        <v>1968</v>
      </c>
      <c r="L155">
        <v>2186</v>
      </c>
      <c r="M155" s="8">
        <f>Table35678[[#This Row],[Ausfuhr: Wert €]]*1000/Table35678[[#This Row],[Ausfuhr: Gewicht]]</f>
        <v>5144.7368421052643</v>
      </c>
      <c r="N155" s="8">
        <f>Table35678[[#This Row],[Einfuhr: Wert €]]*1000/Table35678[[#This Row],[Einfuhr: Gewicht]]</f>
        <v>5074.7808148530166</v>
      </c>
      <c r="O155" s="8">
        <f>Table35678[[#This Row],[Ausfuhr: Wert $]]*1000/Table35678[[#This Row],[Ausfuhr: Gewicht]]</f>
        <v>5736.8421052631593</v>
      </c>
      <c r="P155" s="8">
        <f>Table35678[[#This Row],[Einfuhr: Wert $]]*1000/Table35678[[#This Row],[Einfuhr: Gewicht]]</f>
        <v>5636.9262506446621</v>
      </c>
    </row>
    <row r="156" spans="2:16" x14ac:dyDescent="0.25">
      <c r="B156">
        <f>(Table35678[[#This Row],[Jahr]]-$C$8)*12+Table35678[[#This Row],[Month nr]]</f>
        <v>146</v>
      </c>
      <c r="C156">
        <v>2020</v>
      </c>
      <c r="D156">
        <v>2</v>
      </c>
      <c r="E156" t="s">
        <v>14</v>
      </c>
      <c r="F156" t="str">
        <f>_xlfn.CONCAT(Table35678[[#This Row],[Monat]]," ",Table35678[[#This Row],[Jahr]])</f>
        <v>Februar 2020</v>
      </c>
      <c r="G156">
        <v>112.7</v>
      </c>
      <c r="H156">
        <v>564</v>
      </c>
      <c r="I156">
        <v>615</v>
      </c>
      <c r="J156">
        <v>649</v>
      </c>
      <c r="K156">
        <v>3487</v>
      </c>
      <c r="L156">
        <v>3803</v>
      </c>
      <c r="M156" s="8">
        <f>Table35678[[#This Row],[Ausfuhr: Wert €]]*1000/Table35678[[#This Row],[Ausfuhr: Gewicht]]</f>
        <v>5004.4365572315883</v>
      </c>
      <c r="N156" s="8">
        <f>Table35678[[#This Row],[Einfuhr: Wert €]]*1000/Table35678[[#This Row],[Einfuhr: Gewicht]]</f>
        <v>5372.8813559322034</v>
      </c>
      <c r="O156" s="8">
        <f>Table35678[[#This Row],[Ausfuhr: Wert $]]*1000/Table35678[[#This Row],[Ausfuhr: Gewicht]]</f>
        <v>5456.9653948535934</v>
      </c>
      <c r="P156" s="8">
        <f>Table35678[[#This Row],[Einfuhr: Wert $]]*1000/Table35678[[#This Row],[Einfuhr: Gewicht]]</f>
        <v>5859.7842835130969</v>
      </c>
    </row>
    <row r="157" spans="2:16" x14ac:dyDescent="0.25">
      <c r="B157">
        <f>(Table35678[[#This Row],[Jahr]]-$C$8)*12+Table35678[[#This Row],[Month nr]]</f>
        <v>147</v>
      </c>
      <c r="C157">
        <v>2020</v>
      </c>
      <c r="D157">
        <v>3</v>
      </c>
      <c r="E157" t="s">
        <v>15</v>
      </c>
      <c r="F157" t="str">
        <f>_xlfn.CONCAT(Table35678[[#This Row],[Monat]]," ",Table35678[[#This Row],[Jahr]])</f>
        <v>März 2020</v>
      </c>
      <c r="G157" s="10">
        <v>408.40000000000003</v>
      </c>
      <c r="H157" s="10">
        <v>2055</v>
      </c>
      <c r="I157" s="10">
        <v>2272</v>
      </c>
      <c r="J157" s="10">
        <v>2476.3999999999996</v>
      </c>
      <c r="K157" s="10">
        <v>10426</v>
      </c>
      <c r="L157" s="10">
        <v>11533</v>
      </c>
      <c r="M157" s="8">
        <f>Table35678[[#This Row],[Ausfuhr: Wert €]]*1000/Table35678[[#This Row],[Ausfuhr: Gewicht]]</f>
        <v>5031.831537708129</v>
      </c>
      <c r="N157" s="8">
        <f>Table35678[[#This Row],[Einfuhr: Wert €]]*1000/Table35678[[#This Row],[Einfuhr: Gewicht]]</f>
        <v>4210.1437570667104</v>
      </c>
      <c r="O157" s="8">
        <f>Table35678[[#This Row],[Ausfuhr: Wert $]]*1000/Table35678[[#This Row],[Ausfuhr: Gewicht]]</f>
        <v>5563.1733594515181</v>
      </c>
      <c r="P157" s="8">
        <f>Table35678[[#This Row],[Einfuhr: Wert $]]*1000/Table35678[[#This Row],[Einfuhr: Gewicht]]</f>
        <v>4657.1636246163789</v>
      </c>
    </row>
    <row r="158" spans="2:16" x14ac:dyDescent="0.25">
      <c r="B158">
        <f>(Table35678[[#This Row],[Jahr]]-$C$8)*12+Table35678[[#This Row],[Month nr]]</f>
        <v>148</v>
      </c>
      <c r="C158">
        <v>2020</v>
      </c>
      <c r="D158">
        <v>4</v>
      </c>
      <c r="E158" t="s">
        <v>16</v>
      </c>
      <c r="F158" t="str">
        <f>_xlfn.CONCAT(Table35678[[#This Row],[Monat]]," ",Table35678[[#This Row],[Jahr]])</f>
        <v>April 2020</v>
      </c>
      <c r="G158">
        <v>1192.0999999999999</v>
      </c>
      <c r="H158">
        <v>6929</v>
      </c>
      <c r="I158">
        <v>7525</v>
      </c>
      <c r="J158">
        <v>7988.5000000000009</v>
      </c>
      <c r="K158">
        <v>28490</v>
      </c>
      <c r="L158">
        <v>30949</v>
      </c>
      <c r="M158" s="8">
        <f>Table35678[[#This Row],[Ausfuhr: Wert €]]*1000/Table35678[[#This Row],[Ausfuhr: Gewicht]]</f>
        <v>5812.4318429661944</v>
      </c>
      <c r="N158" s="8">
        <f>Table35678[[#This Row],[Einfuhr: Wert €]]*1000/Table35678[[#This Row],[Einfuhr: Gewicht]]</f>
        <v>3566.376666458033</v>
      </c>
      <c r="O158" s="8">
        <f>Table35678[[#This Row],[Ausfuhr: Wert $]]*1000/Table35678[[#This Row],[Ausfuhr: Gewicht]]</f>
        <v>6312.3899001761602</v>
      </c>
      <c r="P158" s="8">
        <f>Table35678[[#This Row],[Einfuhr: Wert $]]*1000/Table35678[[#This Row],[Einfuhr: Gewicht]]</f>
        <v>3874.1941540965131</v>
      </c>
    </row>
    <row r="159" spans="2:16" x14ac:dyDescent="0.25">
      <c r="B159">
        <f>(Table35678[[#This Row],[Jahr]]-$C$8)*12+Table35678[[#This Row],[Month nr]]</f>
        <v>149</v>
      </c>
      <c r="C159">
        <v>2020</v>
      </c>
      <c r="D159">
        <v>5</v>
      </c>
      <c r="E159" t="s">
        <v>20</v>
      </c>
      <c r="F159" t="str">
        <f>_xlfn.CONCAT(Table35678[[#This Row],[Monat]]," ",Table35678[[#This Row],[Jahr]])</f>
        <v>Mai 2020</v>
      </c>
      <c r="G159">
        <v>1341.3999999999999</v>
      </c>
      <c r="H159">
        <v>6684</v>
      </c>
      <c r="I159">
        <v>7285</v>
      </c>
      <c r="J159">
        <v>6163.2000000000007</v>
      </c>
      <c r="K159">
        <v>18792</v>
      </c>
      <c r="L159">
        <v>20486</v>
      </c>
      <c r="M159" s="8">
        <f>Table35678[[#This Row],[Ausfuhr: Wert €]]*1000/Table35678[[#This Row],[Ausfuhr: Gewicht]]</f>
        <v>4982.8537349038324</v>
      </c>
      <c r="N159" s="8">
        <f>Table35678[[#This Row],[Einfuhr: Wert €]]*1000/Table35678[[#This Row],[Einfuhr: Gewicht]]</f>
        <v>3049.0654205607475</v>
      </c>
      <c r="O159" s="8">
        <f>Table35678[[#This Row],[Ausfuhr: Wert $]]*1000/Table35678[[#This Row],[Ausfuhr: Gewicht]]</f>
        <v>5430.8930967645747</v>
      </c>
      <c r="P159" s="8">
        <f>Table35678[[#This Row],[Einfuhr: Wert $]]*1000/Table35678[[#This Row],[Einfuhr: Gewicht]]</f>
        <v>3323.9226375908615</v>
      </c>
    </row>
    <row r="160" spans="2:16" x14ac:dyDescent="0.25">
      <c r="B160">
        <f>(Table35678[[#This Row],[Jahr]]-$C$8)*12+Table35678[[#This Row],[Month nr]]</f>
        <v>150</v>
      </c>
      <c r="C160">
        <v>2020</v>
      </c>
      <c r="D160">
        <v>6</v>
      </c>
      <c r="E160" t="s">
        <v>21</v>
      </c>
      <c r="F160" t="str">
        <f>_xlfn.CONCAT(Table35678[[#This Row],[Monat]]," ",Table35678[[#This Row],[Jahr]])</f>
        <v>Juni 2020</v>
      </c>
      <c r="G160">
        <v>546.29999999999995</v>
      </c>
      <c r="H160">
        <v>2908</v>
      </c>
      <c r="I160">
        <v>3273</v>
      </c>
      <c r="J160">
        <v>3208.3</v>
      </c>
      <c r="K160">
        <v>10599</v>
      </c>
      <c r="L160">
        <v>11930</v>
      </c>
      <c r="M160" s="8">
        <f>Table35678[[#This Row],[Ausfuhr: Wert €]]*1000/Table35678[[#This Row],[Ausfuhr: Gewicht]]</f>
        <v>5323.0825553725062</v>
      </c>
      <c r="N160" s="8">
        <f>Table35678[[#This Row],[Einfuhr: Wert €]]*1000/Table35678[[#This Row],[Einfuhr: Gewicht]]</f>
        <v>3303.6187388959884</v>
      </c>
      <c r="O160" s="8">
        <f>Table35678[[#This Row],[Ausfuhr: Wert $]]*1000/Table35678[[#This Row],[Ausfuhr: Gewicht]]</f>
        <v>5991.2136188907198</v>
      </c>
      <c r="P160" s="8">
        <f>Table35678[[#This Row],[Einfuhr: Wert $]]*1000/Table35678[[#This Row],[Einfuhr: Gewicht]]</f>
        <v>3718.4801920019945</v>
      </c>
    </row>
    <row r="161" spans="2:16" x14ac:dyDescent="0.25">
      <c r="B161">
        <f>(Table35678[[#This Row],[Jahr]]-$C$8)*12+Table35678[[#This Row],[Month nr]]</f>
        <v>151</v>
      </c>
      <c r="C161">
        <v>2020</v>
      </c>
      <c r="D161">
        <v>7</v>
      </c>
      <c r="E161" t="s">
        <v>22</v>
      </c>
      <c r="F161" t="str">
        <f>_xlfn.CONCAT(Table35678[[#This Row],[Monat]]," ",Table35678[[#This Row],[Jahr]])</f>
        <v>Juli 2020</v>
      </c>
      <c r="G161">
        <v>47.900000000000006</v>
      </c>
      <c r="H161">
        <v>282</v>
      </c>
      <c r="I161">
        <v>322</v>
      </c>
      <c r="J161">
        <v>695.00000000000011</v>
      </c>
      <c r="K161">
        <v>2824</v>
      </c>
      <c r="L161">
        <v>3240</v>
      </c>
      <c r="M161" s="8">
        <f>Table35678[[#This Row],[Ausfuhr: Wert €]]*1000/Table35678[[#This Row],[Ausfuhr: Gewicht]]</f>
        <v>5887.2651356993729</v>
      </c>
      <c r="N161" s="8">
        <f>Table35678[[#This Row],[Einfuhr: Wert €]]*1000/Table35678[[#This Row],[Einfuhr: Gewicht]]</f>
        <v>4063.3093525179847</v>
      </c>
      <c r="O161" s="8">
        <f>Table35678[[#This Row],[Ausfuhr: Wert $]]*1000/Table35678[[#This Row],[Ausfuhr: Gewicht]]</f>
        <v>6722.3382045929011</v>
      </c>
      <c r="P161" s="8">
        <f>Table35678[[#This Row],[Einfuhr: Wert $]]*1000/Table35678[[#This Row],[Einfuhr: Gewicht]]</f>
        <v>4661.8705035971216</v>
      </c>
    </row>
    <row r="162" spans="2:16" x14ac:dyDescent="0.25">
      <c r="B162">
        <f>(Table35678[[#This Row],[Jahr]]-$C$8)*12+Table35678[[#This Row],[Month nr]]</f>
        <v>152</v>
      </c>
      <c r="C162">
        <v>2020</v>
      </c>
      <c r="D162">
        <v>8</v>
      </c>
      <c r="E162" t="s">
        <v>17</v>
      </c>
      <c r="F162" t="str">
        <f>_xlfn.CONCAT(Table35678[[#This Row],[Monat]]," ",Table35678[[#This Row],[Jahr]])</f>
        <v>August 2020</v>
      </c>
      <c r="G162">
        <v>1.9</v>
      </c>
      <c r="H162">
        <v>16</v>
      </c>
      <c r="I162">
        <v>18</v>
      </c>
      <c r="J162">
        <v>93.300000000000011</v>
      </c>
      <c r="K162">
        <v>683</v>
      </c>
      <c r="L162">
        <v>809</v>
      </c>
      <c r="M162" s="8">
        <f>Table35678[[#This Row],[Ausfuhr: Wert €]]*1000/Table35678[[#This Row],[Ausfuhr: Gewicht]]</f>
        <v>8421.0526315789484</v>
      </c>
      <c r="N162" s="8">
        <f>Table35678[[#This Row],[Einfuhr: Wert €]]*1000/Table35678[[#This Row],[Einfuhr: Gewicht]]</f>
        <v>7320.4715969989275</v>
      </c>
      <c r="O162" s="8">
        <f>Table35678[[#This Row],[Ausfuhr: Wert $]]*1000/Table35678[[#This Row],[Ausfuhr: Gewicht]]</f>
        <v>9473.6842105263167</v>
      </c>
      <c r="P162" s="8">
        <f>Table35678[[#This Row],[Einfuhr: Wert $]]*1000/Table35678[[#This Row],[Einfuhr: Gewicht]]</f>
        <v>8670.9539121114667</v>
      </c>
    </row>
    <row r="163" spans="2:16" x14ac:dyDescent="0.25">
      <c r="B163">
        <f>(Table35678[[#This Row],[Jahr]]-$C$8)*12+Table35678[[#This Row],[Month nr]]</f>
        <v>153</v>
      </c>
      <c r="C163">
        <v>2020</v>
      </c>
      <c r="D163">
        <v>9</v>
      </c>
      <c r="E163" t="s">
        <v>18</v>
      </c>
      <c r="F163" t="str">
        <f>_xlfn.CONCAT(Table35678[[#This Row],[Monat]]," ",Table35678[[#This Row],[Jahr]])</f>
        <v>September 2020</v>
      </c>
      <c r="G163">
        <v>2.6000000000000005</v>
      </c>
      <c r="H163">
        <v>19</v>
      </c>
      <c r="I163">
        <v>24</v>
      </c>
      <c r="J163">
        <v>90.199999999999989</v>
      </c>
      <c r="K163">
        <v>577</v>
      </c>
      <c r="L163">
        <v>680</v>
      </c>
      <c r="M163" s="8">
        <f>Table35678[[#This Row],[Ausfuhr: Wert €]]*1000/Table35678[[#This Row],[Ausfuhr: Gewicht]]</f>
        <v>7307.6923076923058</v>
      </c>
      <c r="N163" s="8">
        <f>Table35678[[#This Row],[Einfuhr: Wert €]]*1000/Table35678[[#This Row],[Einfuhr: Gewicht]]</f>
        <v>6396.8957871396906</v>
      </c>
      <c r="O163" s="8">
        <f>Table35678[[#This Row],[Ausfuhr: Wert $]]*1000/Table35678[[#This Row],[Ausfuhr: Gewicht]]</f>
        <v>9230.7692307692287</v>
      </c>
      <c r="P163" s="8">
        <f>Table35678[[#This Row],[Einfuhr: Wert $]]*1000/Table35678[[#This Row],[Einfuhr: Gewicht]]</f>
        <v>7538.8026607538814</v>
      </c>
    </row>
  </sheetData>
  <mergeCells count="12">
    <mergeCell ref="A5:F5"/>
    <mergeCell ref="G8:H8"/>
    <mergeCell ref="J8:K8"/>
    <mergeCell ref="M9:N9"/>
    <mergeCell ref="O9:P9"/>
    <mergeCell ref="A6:F6"/>
    <mergeCell ref="A4:F4"/>
    <mergeCell ref="A1:F1"/>
    <mergeCell ref="H1:L1"/>
    <mergeCell ref="A2:F2"/>
    <mergeCell ref="H2:L2"/>
    <mergeCell ref="A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7B55-3098-4123-B55B-A22302005BB1}">
  <sheetPr codeName="Sheet8">
    <tabColor theme="5" tint="-0.249977111117893"/>
  </sheetPr>
  <dimension ref="A1:P163"/>
  <sheetViews>
    <sheetView zoomScaleNormal="100" workbookViewId="0">
      <selection activeCell="W22" sqref="R11:W22"/>
    </sheetView>
  </sheetViews>
  <sheetFormatPr defaultRowHeight="15" x14ac:dyDescent="0.25"/>
  <cols>
    <col min="6" max="6" width="12.7109375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53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60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(Table356789[[#This Row],[Jahr]]-$C$8)*12+Table356789[[#This Row],[Month nr]]</f>
        <v>1</v>
      </c>
      <c r="C11">
        <v>2008</v>
      </c>
      <c r="D11">
        <v>1</v>
      </c>
      <c r="E11" t="s">
        <v>13</v>
      </c>
      <c r="F11" t="str">
        <f>_xlfn.CONCAT(Table356789[[#This Row],[Monat]]," ",Table356789[[#This Row],[Jahr]])</f>
        <v>Januar 2008</v>
      </c>
      <c r="G11">
        <v>1746.7999999999997</v>
      </c>
      <c r="H11">
        <v>1816</v>
      </c>
      <c r="I11">
        <v>2676</v>
      </c>
      <c r="J11">
        <v>13896.900000000001</v>
      </c>
      <c r="K11">
        <v>15511</v>
      </c>
      <c r="L11">
        <v>22829</v>
      </c>
      <c r="M11" s="8">
        <f>Table356789[[#This Row],[Ausfuhr: Wert €]]*1000/Table356789[[#This Row],[Ausfuhr: Gewicht]]</f>
        <v>1039.6152965422489</v>
      </c>
      <c r="N11" s="8">
        <f>Table356789[[#This Row],[Einfuhr: Wert €]]*1000/Table356789[[#This Row],[Einfuhr: Gewicht]]</f>
        <v>1116.1482057149435</v>
      </c>
      <c r="O11" s="8">
        <f>Table356789[[#This Row],[Ausfuhr: Wert $]]*1000/Table356789[[#This Row],[Ausfuhr: Gewicht]]</f>
        <v>1531.944126402565</v>
      </c>
      <c r="P11" s="8">
        <f>Table356789[[#This Row],[Einfuhr: Wert $]]*1000/Table356789[[#This Row],[Einfuhr: Gewicht]]</f>
        <v>1642.7404672984621</v>
      </c>
    </row>
    <row r="12" spans="1:16" x14ac:dyDescent="0.25">
      <c r="B12">
        <f>(Table356789[[#This Row],[Jahr]]-$C$8)*12+Table356789[[#This Row],[Month nr]]</f>
        <v>2</v>
      </c>
      <c r="C12">
        <v>2008</v>
      </c>
      <c r="D12">
        <v>2</v>
      </c>
      <c r="E12" t="s">
        <v>14</v>
      </c>
      <c r="F12" t="str">
        <f>_xlfn.CONCAT(Table356789[[#This Row],[Monat]]," ",Table356789[[#This Row],[Jahr]])</f>
        <v>Februar 2008</v>
      </c>
      <c r="G12">
        <v>2018.8999999999994</v>
      </c>
      <c r="H12">
        <v>1982</v>
      </c>
      <c r="I12">
        <v>2922</v>
      </c>
      <c r="J12">
        <v>12973.9</v>
      </c>
      <c r="K12">
        <v>14705</v>
      </c>
      <c r="L12">
        <v>21690</v>
      </c>
      <c r="M12" s="8">
        <f>Table356789[[#This Row],[Ausfuhr: Wert €]]*1000/Table356789[[#This Row],[Ausfuhr: Gewicht]]</f>
        <v>981.72272029322926</v>
      </c>
      <c r="N12" s="8">
        <f>Table356789[[#This Row],[Einfuhr: Wert €]]*1000/Table356789[[#This Row],[Einfuhr: Gewicht]]</f>
        <v>1133.4294236890989</v>
      </c>
      <c r="O12" s="8">
        <f>Table356789[[#This Row],[Ausfuhr: Wert $]]*1000/Table356789[[#This Row],[Ausfuhr: Gewicht]]</f>
        <v>1447.3227995443067</v>
      </c>
      <c r="P12" s="8">
        <f>Table356789[[#This Row],[Einfuhr: Wert $]]*1000/Table356789[[#This Row],[Einfuhr: Gewicht]]</f>
        <v>1671.818034669606</v>
      </c>
    </row>
    <row r="13" spans="1:16" x14ac:dyDescent="0.25">
      <c r="B13">
        <f>(Table356789[[#This Row],[Jahr]]-$C$8)*12+Table356789[[#This Row],[Month nr]]</f>
        <v>3</v>
      </c>
      <c r="C13">
        <v>2008</v>
      </c>
      <c r="D13">
        <v>3</v>
      </c>
      <c r="E13" t="s">
        <v>15</v>
      </c>
      <c r="F13" t="str">
        <f>_xlfn.CONCAT(Table356789[[#This Row],[Monat]]," ",Table356789[[#This Row],[Jahr]])</f>
        <v>März 2008</v>
      </c>
      <c r="G13">
        <v>1432</v>
      </c>
      <c r="H13">
        <v>1851</v>
      </c>
      <c r="I13">
        <v>2872</v>
      </c>
      <c r="J13">
        <v>12105.8</v>
      </c>
      <c r="K13">
        <v>14548</v>
      </c>
      <c r="L13">
        <v>22591</v>
      </c>
      <c r="M13" s="8">
        <f>Table356789[[#This Row],[Ausfuhr: Wert €]]*1000/Table356789[[#This Row],[Ausfuhr: Gewicht]]</f>
        <v>1292.5977653631285</v>
      </c>
      <c r="N13" s="8">
        <f>Table356789[[#This Row],[Einfuhr: Wert €]]*1000/Table356789[[#This Row],[Einfuhr: Gewicht]]</f>
        <v>1201.738009879562</v>
      </c>
      <c r="O13" s="8">
        <f>Table356789[[#This Row],[Ausfuhr: Wert $]]*1000/Table356789[[#This Row],[Ausfuhr: Gewicht]]</f>
        <v>2005.5865921787708</v>
      </c>
      <c r="P13" s="8">
        <f>Table356789[[#This Row],[Einfuhr: Wert $]]*1000/Table356789[[#This Row],[Einfuhr: Gewicht]]</f>
        <v>1866.1302846569415</v>
      </c>
    </row>
    <row r="14" spans="1:16" x14ac:dyDescent="0.25">
      <c r="B14">
        <f>(Table356789[[#This Row],[Jahr]]-$C$8)*12+Table356789[[#This Row],[Month nr]]</f>
        <v>4</v>
      </c>
      <c r="C14">
        <v>2008</v>
      </c>
      <c r="D14">
        <v>4</v>
      </c>
      <c r="E14" t="s">
        <v>16</v>
      </c>
      <c r="F14" t="str">
        <f>_xlfn.CONCAT(Table356789[[#This Row],[Monat]]," ",Table356789[[#This Row],[Jahr]])</f>
        <v>April 2008</v>
      </c>
      <c r="G14" s="10">
        <v>724.80000000000018</v>
      </c>
      <c r="H14" s="10">
        <v>846</v>
      </c>
      <c r="I14" s="10">
        <v>1331</v>
      </c>
      <c r="J14" s="10">
        <v>11000.3</v>
      </c>
      <c r="K14" s="10">
        <v>14254</v>
      </c>
      <c r="L14" s="10">
        <v>22448</v>
      </c>
      <c r="M14" s="8">
        <f>Table356789[[#This Row],[Ausfuhr: Wert €]]*1000/Table356789[[#This Row],[Ausfuhr: Gewicht]]</f>
        <v>1167.2185430463574</v>
      </c>
      <c r="N14" s="8">
        <f>Table356789[[#This Row],[Einfuhr: Wert €]]*1000/Table356789[[#This Row],[Einfuhr: Gewicht]]</f>
        <v>1295.7828422861196</v>
      </c>
      <c r="O14" s="8">
        <f>Table356789[[#This Row],[Ausfuhr: Wert $]]*1000/Table356789[[#This Row],[Ausfuhr: Gewicht]]</f>
        <v>1836.3686534216331</v>
      </c>
      <c r="P14" s="8">
        <f>Table356789[[#This Row],[Einfuhr: Wert $]]*1000/Table356789[[#This Row],[Einfuhr: Gewicht]]</f>
        <v>2040.6716180467806</v>
      </c>
    </row>
    <row r="15" spans="1:16" x14ac:dyDescent="0.25">
      <c r="B15">
        <f>(Table356789[[#This Row],[Jahr]]-$C$8)*12+Table356789[[#This Row],[Month nr]]</f>
        <v>5</v>
      </c>
      <c r="C15">
        <v>2008</v>
      </c>
      <c r="D15">
        <v>5</v>
      </c>
      <c r="E15" t="s">
        <v>20</v>
      </c>
      <c r="F15" t="str">
        <f>_xlfn.CONCAT(Table356789[[#This Row],[Monat]]," ",Table356789[[#This Row],[Jahr]])</f>
        <v>Mai 2008</v>
      </c>
      <c r="G15">
        <v>1405.6</v>
      </c>
      <c r="H15">
        <v>1986</v>
      </c>
      <c r="I15">
        <v>3090</v>
      </c>
      <c r="J15">
        <v>13298.2</v>
      </c>
      <c r="K15">
        <v>16695</v>
      </c>
      <c r="L15">
        <v>25972</v>
      </c>
      <c r="M15" s="8">
        <f>Table356789[[#This Row],[Ausfuhr: Wert €]]*1000/Table356789[[#This Row],[Ausfuhr: Gewicht]]</f>
        <v>1412.9197495731362</v>
      </c>
      <c r="N15" s="8">
        <f>Table356789[[#This Row],[Einfuhr: Wert €]]*1000/Table356789[[#This Row],[Einfuhr: Gewicht]]</f>
        <v>1255.4330661292506</v>
      </c>
      <c r="O15" s="8">
        <f>Table356789[[#This Row],[Ausfuhr: Wert $]]*1000/Table356789[[#This Row],[Ausfuhr: Gewicht]]</f>
        <v>2198.3494593056348</v>
      </c>
      <c r="P15" s="8">
        <f>Table356789[[#This Row],[Einfuhr: Wert $]]*1000/Table356789[[#This Row],[Einfuhr: Gewicht]]</f>
        <v>1953.0462769397361</v>
      </c>
    </row>
    <row r="16" spans="1:16" x14ac:dyDescent="0.25">
      <c r="B16">
        <f>(Table356789[[#This Row],[Jahr]]-$C$8)*12+Table356789[[#This Row],[Month nr]]</f>
        <v>6</v>
      </c>
      <c r="C16">
        <v>2008</v>
      </c>
      <c r="D16">
        <v>6</v>
      </c>
      <c r="E16" t="s">
        <v>21</v>
      </c>
      <c r="F16" t="str">
        <f>_xlfn.CONCAT(Table356789[[#This Row],[Monat]]," ",Table356789[[#This Row],[Jahr]])</f>
        <v>Juni 2008</v>
      </c>
      <c r="G16">
        <v>909.90000000000009</v>
      </c>
      <c r="H16">
        <v>1179</v>
      </c>
      <c r="I16">
        <v>1839</v>
      </c>
      <c r="J16">
        <v>13348.399999999996</v>
      </c>
      <c r="K16">
        <v>16567</v>
      </c>
      <c r="L16">
        <v>25765</v>
      </c>
      <c r="M16" s="8">
        <f>Table356789[[#This Row],[Ausfuhr: Wert €]]*1000/Table356789[[#This Row],[Ausfuhr: Gewicht]]</f>
        <v>1295.7467853610285</v>
      </c>
      <c r="N16" s="8">
        <f>Table356789[[#This Row],[Einfuhr: Wert €]]*1000/Table356789[[#This Row],[Einfuhr: Gewicht]]</f>
        <v>1241.1225315393608</v>
      </c>
      <c r="O16" s="8">
        <f>Table356789[[#This Row],[Ausfuhr: Wert $]]*1000/Table356789[[#This Row],[Ausfuhr: Gewicht]]</f>
        <v>2021.101219914276</v>
      </c>
      <c r="P16" s="8">
        <f>Table356789[[#This Row],[Einfuhr: Wert $]]*1000/Table356789[[#This Row],[Einfuhr: Gewicht]]</f>
        <v>1930.1938809145672</v>
      </c>
    </row>
    <row r="17" spans="2:16" x14ac:dyDescent="0.25">
      <c r="B17">
        <f>(Table356789[[#This Row],[Jahr]]-$C$8)*12+Table356789[[#This Row],[Month nr]]</f>
        <v>7</v>
      </c>
      <c r="C17">
        <v>2008</v>
      </c>
      <c r="D17">
        <v>7</v>
      </c>
      <c r="E17" t="s">
        <v>22</v>
      </c>
      <c r="F17" t="str">
        <f>_xlfn.CONCAT(Table356789[[#This Row],[Monat]]," ",Table356789[[#This Row],[Jahr]])</f>
        <v>Juli 2008</v>
      </c>
      <c r="G17">
        <v>1745.3999999999999</v>
      </c>
      <c r="H17">
        <v>1682</v>
      </c>
      <c r="I17">
        <v>2652</v>
      </c>
      <c r="J17">
        <v>14150.900000000001</v>
      </c>
      <c r="K17">
        <v>16813</v>
      </c>
      <c r="L17">
        <v>26512</v>
      </c>
      <c r="M17" s="8">
        <f>Table356789[[#This Row],[Ausfuhr: Wert €]]*1000/Table356789[[#This Row],[Ausfuhr: Gewicht]]</f>
        <v>963.67594820671491</v>
      </c>
      <c r="N17" s="8">
        <f>Table356789[[#This Row],[Einfuhr: Wert €]]*1000/Table356789[[#This Row],[Einfuhr: Gewicht]]</f>
        <v>1188.1223102417514</v>
      </c>
      <c r="O17" s="8">
        <f>Table356789[[#This Row],[Ausfuhr: Wert $]]*1000/Table356789[[#This Row],[Ausfuhr: Gewicht]]</f>
        <v>1519.4224819525612</v>
      </c>
      <c r="P17" s="8">
        <f>Table356789[[#This Row],[Einfuhr: Wert $]]*1000/Table356789[[#This Row],[Einfuhr: Gewicht]]</f>
        <v>1873.5204121292636</v>
      </c>
    </row>
    <row r="18" spans="2:16" x14ac:dyDescent="0.25">
      <c r="B18">
        <f>(Table356789[[#This Row],[Jahr]]-$C$8)*12+Table356789[[#This Row],[Month nr]]</f>
        <v>8</v>
      </c>
      <c r="C18">
        <v>2008</v>
      </c>
      <c r="D18">
        <v>8</v>
      </c>
      <c r="E18" t="s">
        <v>17</v>
      </c>
      <c r="F18" t="str">
        <f>_xlfn.CONCAT(Table356789[[#This Row],[Monat]]," ",Table356789[[#This Row],[Jahr]])</f>
        <v>August 2008</v>
      </c>
      <c r="G18">
        <v>1441.1</v>
      </c>
      <c r="H18">
        <v>1363</v>
      </c>
      <c r="I18">
        <v>2041</v>
      </c>
      <c r="J18">
        <v>9620.7999999999993</v>
      </c>
      <c r="K18">
        <v>11290</v>
      </c>
      <c r="L18">
        <v>16905</v>
      </c>
      <c r="M18" s="8">
        <f>Table356789[[#This Row],[Ausfuhr: Wert €]]*1000/Table356789[[#This Row],[Ausfuhr: Gewicht]]</f>
        <v>945.8052876275068</v>
      </c>
      <c r="N18" s="8">
        <f>Table356789[[#This Row],[Einfuhr: Wert €]]*1000/Table356789[[#This Row],[Einfuhr: Gewicht]]</f>
        <v>1173.4990853151505</v>
      </c>
      <c r="O18" s="8">
        <f>Table356789[[#This Row],[Ausfuhr: Wert $]]*1000/Table356789[[#This Row],[Ausfuhr: Gewicht]]</f>
        <v>1416.2792311428771</v>
      </c>
      <c r="P18" s="8">
        <f>Table356789[[#This Row],[Einfuhr: Wert $]]*1000/Table356789[[#This Row],[Einfuhr: Gewicht]]</f>
        <v>1757.130384167637</v>
      </c>
    </row>
    <row r="19" spans="2:16" x14ac:dyDescent="0.25">
      <c r="B19">
        <f>(Table356789[[#This Row],[Jahr]]-$C$8)*12+Table356789[[#This Row],[Month nr]]</f>
        <v>9</v>
      </c>
      <c r="C19">
        <v>2008</v>
      </c>
      <c r="D19">
        <v>9</v>
      </c>
      <c r="E19" t="s">
        <v>18</v>
      </c>
      <c r="F19" t="str">
        <f>_xlfn.CONCAT(Table356789[[#This Row],[Monat]]," ",Table356789[[#This Row],[Jahr]])</f>
        <v>September 2008</v>
      </c>
      <c r="G19">
        <v>1478.2</v>
      </c>
      <c r="H19">
        <v>1326</v>
      </c>
      <c r="I19">
        <v>1906</v>
      </c>
      <c r="J19">
        <v>10690.800000000003</v>
      </c>
      <c r="K19">
        <v>10793</v>
      </c>
      <c r="L19">
        <v>15510</v>
      </c>
      <c r="M19" s="8">
        <f>Table356789[[#This Row],[Ausfuhr: Wert €]]*1000/Table356789[[#This Row],[Ausfuhr: Gewicht]]</f>
        <v>897.03693681504535</v>
      </c>
      <c r="N19" s="8">
        <f>Table356789[[#This Row],[Einfuhr: Wert €]]*1000/Table356789[[#This Row],[Einfuhr: Gewicht]]</f>
        <v>1009.5596213566803</v>
      </c>
      <c r="O19" s="8">
        <f>Table356789[[#This Row],[Ausfuhr: Wert $]]*1000/Table356789[[#This Row],[Ausfuhr: Gewicht]]</f>
        <v>1289.4060343661208</v>
      </c>
      <c r="P19" s="8">
        <f>Table356789[[#This Row],[Einfuhr: Wert $]]*1000/Table356789[[#This Row],[Einfuhr: Gewicht]]</f>
        <v>1450.780110001122</v>
      </c>
    </row>
    <row r="20" spans="2:16" x14ac:dyDescent="0.25">
      <c r="B20">
        <f>(Table356789[[#This Row],[Jahr]]-$C$8)*12+Table356789[[#This Row],[Month nr]]</f>
        <v>10</v>
      </c>
      <c r="C20">
        <v>2008</v>
      </c>
      <c r="D20">
        <v>10</v>
      </c>
      <c r="E20" t="s">
        <v>23</v>
      </c>
      <c r="F20" t="str">
        <f>_xlfn.CONCAT(Table356789[[#This Row],[Monat]]," ",Table356789[[#This Row],[Jahr]])</f>
        <v>Oktober 2008</v>
      </c>
      <c r="G20">
        <v>2357.9</v>
      </c>
      <c r="H20">
        <v>2983</v>
      </c>
      <c r="I20">
        <v>3971</v>
      </c>
      <c r="J20">
        <v>9692.4999999999982</v>
      </c>
      <c r="K20">
        <v>9697</v>
      </c>
      <c r="L20">
        <v>12918</v>
      </c>
      <c r="M20" s="8">
        <f>Table356789[[#This Row],[Ausfuhr: Wert €]]*1000/Table356789[[#This Row],[Ausfuhr: Gewicht]]</f>
        <v>1265.108783239323</v>
      </c>
      <c r="N20" s="8">
        <f>Table356789[[#This Row],[Einfuhr: Wert €]]*1000/Table356789[[#This Row],[Einfuhr: Gewicht]]</f>
        <v>1000.4642765024505</v>
      </c>
      <c r="O20" s="8">
        <f>Table356789[[#This Row],[Ausfuhr: Wert $]]*1000/Table356789[[#This Row],[Ausfuhr: Gewicht]]</f>
        <v>1684.1257050765512</v>
      </c>
      <c r="P20" s="8">
        <f>Table356789[[#This Row],[Einfuhr: Wert $]]*1000/Table356789[[#This Row],[Einfuhr: Gewicht]]</f>
        <v>1332.7830797007998</v>
      </c>
    </row>
    <row r="21" spans="2:16" x14ac:dyDescent="0.25">
      <c r="B21">
        <f>(Table356789[[#This Row],[Jahr]]-$C$8)*12+Table356789[[#This Row],[Month nr]]</f>
        <v>11</v>
      </c>
      <c r="C21">
        <v>2008</v>
      </c>
      <c r="D21">
        <v>11</v>
      </c>
      <c r="E21" t="s">
        <v>19</v>
      </c>
      <c r="F21" t="str">
        <f>_xlfn.CONCAT(Table356789[[#This Row],[Monat]]," ",Table356789[[#This Row],[Jahr]])</f>
        <v>November 2008</v>
      </c>
      <c r="G21">
        <v>891.50000000000011</v>
      </c>
      <c r="H21">
        <v>943</v>
      </c>
      <c r="I21">
        <v>1202</v>
      </c>
      <c r="J21">
        <v>10176.500000000002</v>
      </c>
      <c r="K21">
        <v>11091</v>
      </c>
      <c r="L21">
        <v>14120</v>
      </c>
      <c r="M21" s="8">
        <f>Table356789[[#This Row],[Ausfuhr: Wert €]]*1000/Table356789[[#This Row],[Ausfuhr: Gewicht]]</f>
        <v>1057.7678070667414</v>
      </c>
      <c r="N21" s="8">
        <f>Table356789[[#This Row],[Einfuhr: Wert €]]*1000/Table356789[[#This Row],[Einfuhr: Gewicht]]</f>
        <v>1089.8639021274503</v>
      </c>
      <c r="O21" s="8">
        <f>Table356789[[#This Row],[Ausfuhr: Wert $]]*1000/Table356789[[#This Row],[Ausfuhr: Gewicht]]</f>
        <v>1348.2893998878294</v>
      </c>
      <c r="P21" s="8">
        <f>Table356789[[#This Row],[Einfuhr: Wert $]]*1000/Table356789[[#This Row],[Einfuhr: Gewicht]]</f>
        <v>1387.5104407212693</v>
      </c>
    </row>
    <row r="22" spans="2:16" x14ac:dyDescent="0.25">
      <c r="B22">
        <f>(Table356789[[#This Row],[Jahr]]-$C$8)*12+Table356789[[#This Row],[Month nr]]</f>
        <v>12</v>
      </c>
      <c r="C22">
        <v>2008</v>
      </c>
      <c r="D22">
        <v>12</v>
      </c>
      <c r="E22" t="s">
        <v>24</v>
      </c>
      <c r="F22" t="str">
        <f>_xlfn.CONCAT(Table356789[[#This Row],[Monat]]," ",Table356789[[#This Row],[Jahr]])</f>
        <v>Dezember 2008</v>
      </c>
      <c r="G22">
        <v>1383</v>
      </c>
      <c r="H22">
        <v>1232</v>
      </c>
      <c r="I22">
        <v>1659</v>
      </c>
      <c r="J22">
        <v>12029.099999999999</v>
      </c>
      <c r="K22">
        <v>11891</v>
      </c>
      <c r="L22">
        <v>15989</v>
      </c>
      <c r="M22" s="8">
        <f>Table356789[[#This Row],[Ausfuhr: Wert €]]*1000/Table356789[[#This Row],[Ausfuhr: Gewicht]]</f>
        <v>890.81706435285616</v>
      </c>
      <c r="N22" s="8">
        <f>Table356789[[#This Row],[Einfuhr: Wert €]]*1000/Table356789[[#This Row],[Einfuhr: Gewicht]]</f>
        <v>988.51950686252519</v>
      </c>
      <c r="O22" s="8">
        <f>Table356789[[#This Row],[Ausfuhr: Wert $]]*1000/Table356789[[#This Row],[Ausfuhr: Gewicht]]</f>
        <v>1199.5661605206074</v>
      </c>
      <c r="P22" s="8">
        <f>Table356789[[#This Row],[Einfuhr: Wert $]]*1000/Table356789[[#This Row],[Einfuhr: Gewicht]]</f>
        <v>1329.1933727377777</v>
      </c>
    </row>
    <row r="23" spans="2:16" x14ac:dyDescent="0.25">
      <c r="B23">
        <f>(Table356789[[#This Row],[Jahr]]-$C$8)*12+Table356789[[#This Row],[Month nr]]</f>
        <v>13</v>
      </c>
      <c r="C23">
        <v>2009</v>
      </c>
      <c r="D23">
        <v>1</v>
      </c>
      <c r="E23" t="s">
        <v>13</v>
      </c>
      <c r="F23" t="str">
        <f>_xlfn.CONCAT(Table356789[[#This Row],[Monat]]," ",Table356789[[#This Row],[Jahr]])</f>
        <v>Januar 2009</v>
      </c>
      <c r="G23">
        <v>1902.9000000000003</v>
      </c>
      <c r="H23">
        <v>1483</v>
      </c>
      <c r="I23">
        <v>1963</v>
      </c>
      <c r="J23">
        <v>17125.3</v>
      </c>
      <c r="K23">
        <v>15067</v>
      </c>
      <c r="L23">
        <v>19946</v>
      </c>
      <c r="M23" s="8">
        <f>Table356789[[#This Row],[Ausfuhr: Wert €]]*1000/Table356789[[#This Row],[Ausfuhr: Gewicht]]</f>
        <v>779.33680172368474</v>
      </c>
      <c r="N23" s="8">
        <f>Table356789[[#This Row],[Einfuhr: Wert €]]*1000/Table356789[[#This Row],[Einfuhr: Gewicht]]</f>
        <v>879.80940479874812</v>
      </c>
      <c r="O23" s="8">
        <f>Table356789[[#This Row],[Ausfuhr: Wert $]]*1000/Table356789[[#This Row],[Ausfuhr: Gewicht]]</f>
        <v>1031.5833727468598</v>
      </c>
      <c r="P23" s="8">
        <f>Table356789[[#This Row],[Einfuhr: Wert $]]*1000/Table356789[[#This Row],[Einfuhr: Gewicht]]</f>
        <v>1164.7095233368175</v>
      </c>
    </row>
    <row r="24" spans="2:16" x14ac:dyDescent="0.25">
      <c r="B24">
        <f>(Table356789[[#This Row],[Jahr]]-$C$8)*12+Table356789[[#This Row],[Month nr]]</f>
        <v>14</v>
      </c>
      <c r="C24">
        <v>2009</v>
      </c>
      <c r="D24">
        <v>2</v>
      </c>
      <c r="E24" t="s">
        <v>14</v>
      </c>
      <c r="F24" t="str">
        <f>_xlfn.CONCAT(Table356789[[#This Row],[Monat]]," ",Table356789[[#This Row],[Jahr]])</f>
        <v>Februar 2009</v>
      </c>
      <c r="G24">
        <v>1310</v>
      </c>
      <c r="H24">
        <v>1044</v>
      </c>
      <c r="I24">
        <v>1332</v>
      </c>
      <c r="J24">
        <v>11240</v>
      </c>
      <c r="K24">
        <v>9511</v>
      </c>
      <c r="L24">
        <v>12160</v>
      </c>
      <c r="M24" s="8">
        <f>Table356789[[#This Row],[Ausfuhr: Wert €]]*1000/Table356789[[#This Row],[Ausfuhr: Gewicht]]</f>
        <v>796.94656488549617</v>
      </c>
      <c r="N24" s="8">
        <f>Table356789[[#This Row],[Einfuhr: Wert €]]*1000/Table356789[[#This Row],[Einfuhr: Gewicht]]</f>
        <v>846.17437722419925</v>
      </c>
      <c r="O24" s="8">
        <f>Table356789[[#This Row],[Ausfuhr: Wert $]]*1000/Table356789[[#This Row],[Ausfuhr: Gewicht]]</f>
        <v>1016.7938931297709</v>
      </c>
      <c r="P24" s="8">
        <f>Table356789[[#This Row],[Einfuhr: Wert $]]*1000/Table356789[[#This Row],[Einfuhr: Gewicht]]</f>
        <v>1081.8505338078292</v>
      </c>
    </row>
    <row r="25" spans="2:16" x14ac:dyDescent="0.25">
      <c r="B25">
        <f>(Table356789[[#This Row],[Jahr]]-$C$8)*12+Table356789[[#This Row],[Month nr]]</f>
        <v>15</v>
      </c>
      <c r="C25">
        <v>2009</v>
      </c>
      <c r="D25">
        <v>3</v>
      </c>
      <c r="E25" t="s">
        <v>15</v>
      </c>
      <c r="F25" t="str">
        <f>_xlfn.CONCAT(Table356789[[#This Row],[Monat]]," ",Table356789[[#This Row],[Jahr]])</f>
        <v>März 2009</v>
      </c>
      <c r="G25">
        <v>1454.1000000000001</v>
      </c>
      <c r="H25">
        <v>1069</v>
      </c>
      <c r="I25">
        <v>1396</v>
      </c>
      <c r="J25">
        <v>11393.7</v>
      </c>
      <c r="K25">
        <v>8851</v>
      </c>
      <c r="L25">
        <v>11548</v>
      </c>
      <c r="M25" s="8">
        <f>Table356789[[#This Row],[Ausfuhr: Wert €]]*1000/Table356789[[#This Row],[Ausfuhr: Gewicht]]</f>
        <v>735.16264355959004</v>
      </c>
      <c r="N25" s="8">
        <f>Table356789[[#This Row],[Einfuhr: Wert €]]*1000/Table356789[[#This Row],[Einfuhr: Gewicht]]</f>
        <v>776.83281111491431</v>
      </c>
      <c r="O25" s="8">
        <f>Table356789[[#This Row],[Ausfuhr: Wert $]]*1000/Table356789[[#This Row],[Ausfuhr: Gewicht]]</f>
        <v>960.0440134791279</v>
      </c>
      <c r="P25" s="8">
        <f>Table356789[[#This Row],[Einfuhr: Wert $]]*1000/Table356789[[#This Row],[Einfuhr: Gewicht]]</f>
        <v>1013.5425717721196</v>
      </c>
    </row>
    <row r="26" spans="2:16" x14ac:dyDescent="0.25">
      <c r="B26">
        <f>(Table356789[[#This Row],[Jahr]]-$C$8)*12+Table356789[[#This Row],[Month nr]]</f>
        <v>16</v>
      </c>
      <c r="C26">
        <v>2009</v>
      </c>
      <c r="D26">
        <v>4</v>
      </c>
      <c r="E26" t="s">
        <v>16</v>
      </c>
      <c r="F26" t="str">
        <f>_xlfn.CONCAT(Table356789[[#This Row],[Monat]]," ",Table356789[[#This Row],[Jahr]])</f>
        <v>April 2009</v>
      </c>
      <c r="G26" s="10">
        <v>1257.8</v>
      </c>
      <c r="H26" s="10">
        <v>936</v>
      </c>
      <c r="I26" s="10">
        <v>1231</v>
      </c>
      <c r="J26" s="10">
        <v>14086.099999999999</v>
      </c>
      <c r="K26" s="10">
        <v>10685</v>
      </c>
      <c r="L26" s="10">
        <v>14091</v>
      </c>
      <c r="M26" s="8">
        <f>Table356789[[#This Row],[Ausfuhr: Wert €]]*1000/Table356789[[#This Row],[Ausfuhr: Gewicht]]</f>
        <v>744.15646366671967</v>
      </c>
      <c r="N26" s="8">
        <f>Table356789[[#This Row],[Einfuhr: Wert €]]*1000/Table356789[[#This Row],[Einfuhr: Gewicht]]</f>
        <v>758.54920808456575</v>
      </c>
      <c r="O26" s="8">
        <f>Table356789[[#This Row],[Ausfuhr: Wert $]]*1000/Table356789[[#This Row],[Ausfuhr: Gewicht]]</f>
        <v>978.69295595484186</v>
      </c>
      <c r="P26" s="8">
        <f>Table356789[[#This Row],[Einfuhr: Wert $]]*1000/Table356789[[#This Row],[Einfuhr: Gewicht]]</f>
        <v>1000.3478606569598</v>
      </c>
    </row>
    <row r="27" spans="2:16" x14ac:dyDescent="0.25">
      <c r="B27">
        <f>(Table356789[[#This Row],[Jahr]]-$C$8)*12+Table356789[[#This Row],[Month nr]]</f>
        <v>17</v>
      </c>
      <c r="C27">
        <v>2009</v>
      </c>
      <c r="D27">
        <v>5</v>
      </c>
      <c r="E27" t="s">
        <v>20</v>
      </c>
      <c r="F27" t="str">
        <f>_xlfn.CONCAT(Table356789[[#This Row],[Monat]]," ",Table356789[[#This Row],[Jahr]])</f>
        <v>Mai 2009</v>
      </c>
      <c r="G27">
        <v>1204.3</v>
      </c>
      <c r="H27">
        <v>918</v>
      </c>
      <c r="I27">
        <v>1254</v>
      </c>
      <c r="J27">
        <v>11917.099999999999</v>
      </c>
      <c r="K27">
        <v>8701</v>
      </c>
      <c r="L27">
        <v>11876</v>
      </c>
      <c r="M27" s="8">
        <f>Table356789[[#This Row],[Ausfuhr: Wert €]]*1000/Table356789[[#This Row],[Ausfuhr: Gewicht]]</f>
        <v>762.26853773976586</v>
      </c>
      <c r="N27" s="8">
        <f>Table356789[[#This Row],[Einfuhr: Wert €]]*1000/Table356789[[#This Row],[Einfuhr: Gewicht]]</f>
        <v>730.12729607035283</v>
      </c>
      <c r="O27" s="8">
        <f>Table356789[[#This Row],[Ausfuhr: Wert $]]*1000/Table356789[[#This Row],[Ausfuhr: Gewicht]]</f>
        <v>1041.2687868471312</v>
      </c>
      <c r="P27" s="8">
        <f>Table356789[[#This Row],[Einfuhr: Wert $]]*1000/Table356789[[#This Row],[Einfuhr: Gewicht]]</f>
        <v>996.55117436289038</v>
      </c>
    </row>
    <row r="28" spans="2:16" x14ac:dyDescent="0.25">
      <c r="B28">
        <f>(Table356789[[#This Row],[Jahr]]-$C$8)*12+Table356789[[#This Row],[Month nr]]</f>
        <v>18</v>
      </c>
      <c r="C28">
        <v>2009</v>
      </c>
      <c r="D28">
        <v>6</v>
      </c>
      <c r="E28" t="s">
        <v>21</v>
      </c>
      <c r="F28" t="str">
        <f>_xlfn.CONCAT(Table356789[[#This Row],[Monat]]," ",Table356789[[#This Row],[Jahr]])</f>
        <v>Juni 2009</v>
      </c>
      <c r="G28">
        <v>1526</v>
      </c>
      <c r="H28">
        <v>1326</v>
      </c>
      <c r="I28">
        <v>1857</v>
      </c>
      <c r="J28">
        <v>12291.5</v>
      </c>
      <c r="K28">
        <v>9175</v>
      </c>
      <c r="L28">
        <v>12864</v>
      </c>
      <c r="M28" s="8">
        <f>Table356789[[#This Row],[Ausfuhr: Wert €]]*1000/Table356789[[#This Row],[Ausfuhr: Gewicht]]</f>
        <v>868.93840104849278</v>
      </c>
      <c r="N28" s="8">
        <f>Table356789[[#This Row],[Einfuhr: Wert €]]*1000/Table356789[[#This Row],[Einfuhr: Gewicht]]</f>
        <v>746.45079933287229</v>
      </c>
      <c r="O28" s="8">
        <f>Table356789[[#This Row],[Ausfuhr: Wert $]]*1000/Table356789[[#This Row],[Ausfuhr: Gewicht]]</f>
        <v>1216.9069462647444</v>
      </c>
      <c r="P28" s="8">
        <f>Table356789[[#This Row],[Einfuhr: Wert $]]*1000/Table356789[[#This Row],[Einfuhr: Gewicht]]</f>
        <v>1046.5769027376643</v>
      </c>
    </row>
    <row r="29" spans="2:16" x14ac:dyDescent="0.25">
      <c r="B29">
        <f>(Table356789[[#This Row],[Jahr]]-$C$8)*12+Table356789[[#This Row],[Month nr]]</f>
        <v>19</v>
      </c>
      <c r="C29">
        <v>2009</v>
      </c>
      <c r="D29">
        <v>7</v>
      </c>
      <c r="E29" t="s">
        <v>22</v>
      </c>
      <c r="F29" t="str">
        <f>_xlfn.CONCAT(Table356789[[#This Row],[Monat]]," ",Table356789[[#This Row],[Jahr]])</f>
        <v>Juli 2009</v>
      </c>
      <c r="G29">
        <v>1534.3</v>
      </c>
      <c r="H29">
        <v>1327</v>
      </c>
      <c r="I29">
        <v>1865</v>
      </c>
      <c r="J29">
        <v>13082.199999999999</v>
      </c>
      <c r="K29">
        <v>9794</v>
      </c>
      <c r="L29">
        <v>13806</v>
      </c>
      <c r="M29" s="8">
        <f>Table356789[[#This Row],[Ausfuhr: Wert €]]*1000/Table356789[[#This Row],[Ausfuhr: Gewicht]]</f>
        <v>864.88952616828522</v>
      </c>
      <c r="N29" s="8">
        <f>Table356789[[#This Row],[Einfuhr: Wert €]]*1000/Table356789[[#This Row],[Einfuhr: Gewicht]]</f>
        <v>748.65083854397585</v>
      </c>
      <c r="O29" s="8">
        <f>Table356789[[#This Row],[Ausfuhr: Wert $]]*1000/Table356789[[#This Row],[Ausfuhr: Gewicht]]</f>
        <v>1215.5380303721568</v>
      </c>
      <c r="P29" s="8">
        <f>Table356789[[#This Row],[Einfuhr: Wert $]]*1000/Table356789[[#This Row],[Einfuhr: Gewicht]]</f>
        <v>1055.3270856583756</v>
      </c>
    </row>
    <row r="30" spans="2:16" x14ac:dyDescent="0.25">
      <c r="B30">
        <f>(Table356789[[#This Row],[Jahr]]-$C$8)*12+Table356789[[#This Row],[Month nr]]</f>
        <v>20</v>
      </c>
      <c r="C30">
        <v>2009</v>
      </c>
      <c r="D30">
        <v>8</v>
      </c>
      <c r="E30" t="s">
        <v>17</v>
      </c>
      <c r="F30" t="str">
        <f>_xlfn.CONCAT(Table356789[[#This Row],[Monat]]," ",Table356789[[#This Row],[Jahr]])</f>
        <v>August 2009</v>
      </c>
      <c r="G30">
        <v>1536.4</v>
      </c>
      <c r="H30">
        <v>1487</v>
      </c>
      <c r="I30">
        <v>2121</v>
      </c>
      <c r="J30">
        <v>13054.699999999999</v>
      </c>
      <c r="K30">
        <v>12053</v>
      </c>
      <c r="L30">
        <v>17205</v>
      </c>
      <c r="M30" s="8">
        <f>Table356789[[#This Row],[Ausfuhr: Wert €]]*1000/Table356789[[#This Row],[Ausfuhr: Gewicht]]</f>
        <v>967.84691486592033</v>
      </c>
      <c r="N30" s="8">
        <f>Table356789[[#This Row],[Einfuhr: Wert €]]*1000/Table356789[[#This Row],[Einfuhr: Gewicht]]</f>
        <v>923.26901422476203</v>
      </c>
      <c r="O30" s="8">
        <f>Table356789[[#This Row],[Ausfuhr: Wert $]]*1000/Table356789[[#This Row],[Ausfuhr: Gewicht]]</f>
        <v>1380.4998698255661</v>
      </c>
      <c r="P30" s="8">
        <f>Table356789[[#This Row],[Einfuhr: Wert $]]*1000/Table356789[[#This Row],[Einfuhr: Gewicht]]</f>
        <v>1317.916152803205</v>
      </c>
    </row>
    <row r="31" spans="2:16" x14ac:dyDescent="0.25">
      <c r="B31">
        <f>(Table356789[[#This Row],[Jahr]]-$C$8)*12+Table356789[[#This Row],[Month nr]]</f>
        <v>21</v>
      </c>
      <c r="C31">
        <v>2009</v>
      </c>
      <c r="D31">
        <v>9</v>
      </c>
      <c r="E31" t="s">
        <v>18</v>
      </c>
      <c r="F31" t="str">
        <f>_xlfn.CONCAT(Table356789[[#This Row],[Monat]]," ",Table356789[[#This Row],[Jahr]])</f>
        <v>September 2009</v>
      </c>
      <c r="G31">
        <v>2203.2999999999997</v>
      </c>
      <c r="H31">
        <v>2613</v>
      </c>
      <c r="I31">
        <v>3800</v>
      </c>
      <c r="J31">
        <v>9784.1</v>
      </c>
      <c r="K31">
        <v>10802</v>
      </c>
      <c r="L31">
        <v>15730</v>
      </c>
      <c r="M31" s="8">
        <f>Table356789[[#This Row],[Ausfuhr: Wert €]]*1000/Table356789[[#This Row],[Ausfuhr: Gewicht]]</f>
        <v>1185.94835020197</v>
      </c>
      <c r="N31" s="8">
        <f>Table356789[[#This Row],[Einfuhr: Wert €]]*1000/Table356789[[#This Row],[Einfuhr: Gewicht]]</f>
        <v>1104.0361402683945</v>
      </c>
      <c r="O31" s="8">
        <f>Table356789[[#This Row],[Ausfuhr: Wert $]]*1000/Table356789[[#This Row],[Ausfuhr: Gewicht]]</f>
        <v>1724.6856987246406</v>
      </c>
      <c r="P31" s="8">
        <f>Table356789[[#This Row],[Einfuhr: Wert $]]*1000/Table356789[[#This Row],[Einfuhr: Gewicht]]</f>
        <v>1607.7104690262772</v>
      </c>
    </row>
    <row r="32" spans="2:16" x14ac:dyDescent="0.25">
      <c r="B32">
        <f>(Table356789[[#This Row],[Jahr]]-$C$8)*12+Table356789[[#This Row],[Month nr]]</f>
        <v>22</v>
      </c>
      <c r="C32">
        <v>2009</v>
      </c>
      <c r="D32">
        <v>10</v>
      </c>
      <c r="E32" t="s">
        <v>23</v>
      </c>
      <c r="F32" t="str">
        <f>_xlfn.CONCAT(Table356789[[#This Row],[Monat]]," ",Table356789[[#This Row],[Jahr]])</f>
        <v>Oktober 2009</v>
      </c>
      <c r="G32">
        <v>1842.0999999999997</v>
      </c>
      <c r="H32">
        <v>1951</v>
      </c>
      <c r="I32">
        <v>2891</v>
      </c>
      <c r="J32">
        <v>8599.2999999999993</v>
      </c>
      <c r="K32">
        <v>8989</v>
      </c>
      <c r="L32">
        <v>13317</v>
      </c>
      <c r="M32" s="8">
        <f>Table356789[[#This Row],[Ausfuhr: Wert €]]*1000/Table356789[[#This Row],[Ausfuhr: Gewicht]]</f>
        <v>1059.1173117637481</v>
      </c>
      <c r="N32" s="8">
        <f>Table356789[[#This Row],[Einfuhr: Wert €]]*1000/Table356789[[#This Row],[Einfuhr: Gewicht]]</f>
        <v>1045.317642133662</v>
      </c>
      <c r="O32" s="8">
        <f>Table356789[[#This Row],[Ausfuhr: Wert $]]*1000/Table356789[[#This Row],[Ausfuhr: Gewicht]]</f>
        <v>1569.4044840128117</v>
      </c>
      <c r="P32" s="8">
        <f>Table356789[[#This Row],[Einfuhr: Wert $]]*1000/Table356789[[#This Row],[Einfuhr: Gewicht]]</f>
        <v>1548.614422104125</v>
      </c>
    </row>
    <row r="33" spans="2:16" x14ac:dyDescent="0.25">
      <c r="B33">
        <f>(Table356789[[#This Row],[Jahr]]-$C$8)*12+Table356789[[#This Row],[Month nr]]</f>
        <v>23</v>
      </c>
      <c r="C33">
        <v>2009</v>
      </c>
      <c r="D33">
        <v>11</v>
      </c>
      <c r="E33" t="s">
        <v>19</v>
      </c>
      <c r="F33" t="str">
        <f>_xlfn.CONCAT(Table356789[[#This Row],[Monat]]," ",Table356789[[#This Row],[Jahr]])</f>
        <v>November 2009</v>
      </c>
      <c r="G33">
        <v>1201.8999999999999</v>
      </c>
      <c r="H33">
        <v>1116</v>
      </c>
      <c r="I33">
        <v>1664</v>
      </c>
      <c r="J33">
        <v>11226.599999999999</v>
      </c>
      <c r="K33">
        <v>11466</v>
      </c>
      <c r="L33">
        <v>17101</v>
      </c>
      <c r="M33" s="8">
        <f>Table356789[[#This Row],[Ausfuhr: Wert €]]*1000/Table356789[[#This Row],[Ausfuhr: Gewicht]]</f>
        <v>928.52982777269335</v>
      </c>
      <c r="N33" s="8">
        <f>Table356789[[#This Row],[Einfuhr: Wert €]]*1000/Table356789[[#This Row],[Einfuhr: Gewicht]]</f>
        <v>1021.3243546576881</v>
      </c>
      <c r="O33" s="8">
        <f>Table356789[[#This Row],[Ausfuhr: Wert $]]*1000/Table356789[[#This Row],[Ausfuhr: Gewicht]]</f>
        <v>1384.4745819119728</v>
      </c>
      <c r="P33" s="8">
        <f>Table356789[[#This Row],[Einfuhr: Wert $]]*1000/Table356789[[#This Row],[Einfuhr: Gewicht]]</f>
        <v>1523.2572639980049</v>
      </c>
    </row>
    <row r="34" spans="2:16" x14ac:dyDescent="0.25">
      <c r="B34">
        <f>(Table356789[[#This Row],[Jahr]]-$C$8)*12+Table356789[[#This Row],[Month nr]]</f>
        <v>24</v>
      </c>
      <c r="C34">
        <v>2009</v>
      </c>
      <c r="D34">
        <v>12</v>
      </c>
      <c r="E34" t="s">
        <v>24</v>
      </c>
      <c r="F34" t="str">
        <f>_xlfn.CONCAT(Table356789[[#This Row],[Monat]]," ",Table356789[[#This Row],[Jahr]])</f>
        <v>Dezember 2009</v>
      </c>
      <c r="G34">
        <v>2013.5</v>
      </c>
      <c r="H34">
        <v>1773</v>
      </c>
      <c r="I34">
        <v>2591</v>
      </c>
      <c r="J34">
        <v>14489</v>
      </c>
      <c r="K34">
        <v>14144</v>
      </c>
      <c r="L34">
        <v>20669</v>
      </c>
      <c r="M34" s="8">
        <f>Table356789[[#This Row],[Ausfuhr: Wert €]]*1000/Table356789[[#This Row],[Ausfuhr: Gewicht]]</f>
        <v>880.55624534392848</v>
      </c>
      <c r="N34" s="8">
        <f>Table356789[[#This Row],[Einfuhr: Wert €]]*1000/Table356789[[#This Row],[Einfuhr: Gewicht]]</f>
        <v>976.18883290772305</v>
      </c>
      <c r="O34" s="8">
        <f>Table356789[[#This Row],[Ausfuhr: Wert $]]*1000/Table356789[[#This Row],[Ausfuhr: Gewicht]]</f>
        <v>1286.814005463124</v>
      </c>
      <c r="P34" s="8">
        <f>Table356789[[#This Row],[Einfuhr: Wert $]]*1000/Table356789[[#This Row],[Einfuhr: Gewicht]]</f>
        <v>1426.5304713920905</v>
      </c>
    </row>
    <row r="35" spans="2:16" x14ac:dyDescent="0.25">
      <c r="B35">
        <f>(Table356789[[#This Row],[Jahr]]-$C$8)*12+Table356789[[#This Row],[Month nr]]</f>
        <v>25</v>
      </c>
      <c r="C35">
        <v>2010</v>
      </c>
      <c r="D35">
        <v>1</v>
      </c>
      <c r="E35" t="s">
        <v>13</v>
      </c>
      <c r="F35" t="str">
        <f>_xlfn.CONCAT(Table356789[[#This Row],[Monat]]," ",Table356789[[#This Row],[Jahr]])</f>
        <v>Januar 2010</v>
      </c>
      <c r="G35">
        <v>2243.4999999999995</v>
      </c>
      <c r="H35">
        <v>1983</v>
      </c>
      <c r="I35">
        <v>2835</v>
      </c>
      <c r="J35">
        <v>12187.1</v>
      </c>
      <c r="K35">
        <v>11653</v>
      </c>
      <c r="L35">
        <v>16630</v>
      </c>
      <c r="M35" s="8">
        <f>Table356789[[#This Row],[Ausfuhr: Wert €]]*1000/Table356789[[#This Row],[Ausfuhr: Gewicht]]</f>
        <v>883.88678404279051</v>
      </c>
      <c r="N35" s="8">
        <f>Table356789[[#This Row],[Einfuhr: Wert €]]*1000/Table356789[[#This Row],[Einfuhr: Gewicht]]</f>
        <v>956.17497189651351</v>
      </c>
      <c r="O35" s="8">
        <f>Table356789[[#This Row],[Ausfuhr: Wert $]]*1000/Table356789[[#This Row],[Ausfuhr: Gewicht]]</f>
        <v>1263.6505460218411</v>
      </c>
      <c r="P35" s="8">
        <f>Table356789[[#This Row],[Einfuhr: Wert $]]*1000/Table356789[[#This Row],[Einfuhr: Gewicht]]</f>
        <v>1364.5576059932223</v>
      </c>
    </row>
    <row r="36" spans="2:16" x14ac:dyDescent="0.25">
      <c r="B36">
        <f>(Table356789[[#This Row],[Jahr]]-$C$8)*12+Table356789[[#This Row],[Month nr]]</f>
        <v>26</v>
      </c>
      <c r="C36">
        <v>2010</v>
      </c>
      <c r="D36">
        <v>2</v>
      </c>
      <c r="E36" t="s">
        <v>14</v>
      </c>
      <c r="F36" t="str">
        <f>_xlfn.CONCAT(Table356789[[#This Row],[Monat]]," ",Table356789[[#This Row],[Jahr]])</f>
        <v>Februar 2010</v>
      </c>
      <c r="G36">
        <v>1688.3999999999999</v>
      </c>
      <c r="H36">
        <v>1559</v>
      </c>
      <c r="I36">
        <v>2135</v>
      </c>
      <c r="J36">
        <v>10621.099999999999</v>
      </c>
      <c r="K36">
        <v>9558</v>
      </c>
      <c r="L36">
        <v>13078</v>
      </c>
      <c r="M36" s="8">
        <f>Table356789[[#This Row],[Ausfuhr: Wert €]]*1000/Table356789[[#This Row],[Ausfuhr: Gewicht]]</f>
        <v>923.35939350864726</v>
      </c>
      <c r="N36" s="8">
        <f>Table356789[[#This Row],[Einfuhr: Wert €]]*1000/Table356789[[#This Row],[Einfuhr: Gewicht]]</f>
        <v>899.90678931560774</v>
      </c>
      <c r="O36" s="8">
        <f>Table356789[[#This Row],[Ausfuhr: Wert $]]*1000/Table356789[[#This Row],[Ausfuhr: Gewicht]]</f>
        <v>1264.5107794361527</v>
      </c>
      <c r="P36" s="8">
        <f>Table356789[[#This Row],[Einfuhr: Wert $]]*1000/Table356789[[#This Row],[Einfuhr: Gewicht]]</f>
        <v>1231.322556044101</v>
      </c>
    </row>
    <row r="37" spans="2:16" x14ac:dyDescent="0.25">
      <c r="B37">
        <f>(Table356789[[#This Row],[Jahr]]-$C$8)*12+Table356789[[#This Row],[Month nr]]</f>
        <v>27</v>
      </c>
      <c r="C37">
        <v>2010</v>
      </c>
      <c r="D37">
        <v>3</v>
      </c>
      <c r="E37" t="s">
        <v>15</v>
      </c>
      <c r="F37" t="str">
        <f>_xlfn.CONCAT(Table356789[[#This Row],[Monat]]," ",Table356789[[#This Row],[Jahr]])</f>
        <v>März 2010</v>
      </c>
      <c r="G37">
        <v>1825.4999999999998</v>
      </c>
      <c r="H37">
        <v>1575</v>
      </c>
      <c r="I37">
        <v>2138</v>
      </c>
      <c r="J37">
        <v>11845.099999999999</v>
      </c>
      <c r="K37">
        <v>10827</v>
      </c>
      <c r="L37">
        <v>14690</v>
      </c>
      <c r="M37" s="8">
        <f>Table356789[[#This Row],[Ausfuhr: Wert €]]*1000/Table356789[[#This Row],[Ausfuhr: Gewicht]]</f>
        <v>862.77732128184073</v>
      </c>
      <c r="N37" s="8">
        <f>Table356789[[#This Row],[Einfuhr: Wert €]]*1000/Table356789[[#This Row],[Einfuhr: Gewicht]]</f>
        <v>914.0488472026409</v>
      </c>
      <c r="O37" s="8">
        <f>Table356789[[#This Row],[Ausfuhr: Wert $]]*1000/Table356789[[#This Row],[Ausfuhr: Gewicht]]</f>
        <v>1171.1859764448097</v>
      </c>
      <c r="P37" s="8">
        <f>Table356789[[#This Row],[Einfuhr: Wert $]]*1000/Table356789[[#This Row],[Einfuhr: Gewicht]]</f>
        <v>1240.1752623447671</v>
      </c>
    </row>
    <row r="38" spans="2:16" x14ac:dyDescent="0.25">
      <c r="B38">
        <f>(Table356789[[#This Row],[Jahr]]-$C$8)*12+Table356789[[#This Row],[Month nr]]</f>
        <v>28</v>
      </c>
      <c r="C38">
        <v>2010</v>
      </c>
      <c r="D38">
        <v>4</v>
      </c>
      <c r="E38" t="s">
        <v>16</v>
      </c>
      <c r="F38" t="str">
        <f>_xlfn.CONCAT(Table356789[[#This Row],[Monat]]," ",Table356789[[#This Row],[Jahr]])</f>
        <v>April 2010</v>
      </c>
      <c r="G38" s="10">
        <v>1819.7999999999997</v>
      </c>
      <c r="H38" s="10">
        <v>1691</v>
      </c>
      <c r="I38" s="10">
        <v>2269</v>
      </c>
      <c r="J38" s="10">
        <v>10890.800000000001</v>
      </c>
      <c r="K38" s="10">
        <v>9630</v>
      </c>
      <c r="L38" s="10">
        <v>12911</v>
      </c>
      <c r="M38" s="8">
        <f>Table356789[[#This Row],[Ausfuhr: Wert €]]*1000/Table356789[[#This Row],[Ausfuhr: Gewicht]]</f>
        <v>929.2229915375317</v>
      </c>
      <c r="N38" s="8">
        <f>Table356789[[#This Row],[Einfuhr: Wert €]]*1000/Table356789[[#This Row],[Einfuhr: Gewicht]]</f>
        <v>884.23256326440662</v>
      </c>
      <c r="O38" s="8">
        <f>Table356789[[#This Row],[Ausfuhr: Wert $]]*1000/Table356789[[#This Row],[Ausfuhr: Gewicht]]</f>
        <v>1246.8403121222113</v>
      </c>
      <c r="P38" s="8">
        <f>Table356789[[#This Row],[Einfuhr: Wert $]]*1000/Table356789[[#This Row],[Einfuhr: Gewicht]]</f>
        <v>1185.4960149851249</v>
      </c>
    </row>
    <row r="39" spans="2:16" x14ac:dyDescent="0.25">
      <c r="B39">
        <f>(Table356789[[#This Row],[Jahr]]-$C$8)*12+Table356789[[#This Row],[Month nr]]</f>
        <v>29</v>
      </c>
      <c r="C39">
        <v>2010</v>
      </c>
      <c r="D39">
        <v>5</v>
      </c>
      <c r="E39" t="s">
        <v>20</v>
      </c>
      <c r="F39" t="str">
        <f>_xlfn.CONCAT(Table356789[[#This Row],[Monat]]," ",Table356789[[#This Row],[Jahr]])</f>
        <v>Mai 2010</v>
      </c>
      <c r="G39">
        <v>1531.9</v>
      </c>
      <c r="H39">
        <v>1580</v>
      </c>
      <c r="I39">
        <v>1988</v>
      </c>
      <c r="J39">
        <v>13597.600000000002</v>
      </c>
      <c r="K39">
        <v>13269</v>
      </c>
      <c r="L39">
        <v>16671</v>
      </c>
      <c r="M39" s="8">
        <f>Table356789[[#This Row],[Ausfuhr: Wert €]]*1000/Table356789[[#This Row],[Ausfuhr: Gewicht]]</f>
        <v>1031.3989163783535</v>
      </c>
      <c r="N39" s="8">
        <f>Table356789[[#This Row],[Einfuhr: Wert €]]*1000/Table356789[[#This Row],[Einfuhr: Gewicht]]</f>
        <v>975.83397070071169</v>
      </c>
      <c r="O39" s="8">
        <f>Table356789[[#This Row],[Ausfuhr: Wert $]]*1000/Table356789[[#This Row],[Ausfuhr: Gewicht]]</f>
        <v>1297.7348390887132</v>
      </c>
      <c r="P39" s="8">
        <f>Table356789[[#This Row],[Einfuhr: Wert $]]*1000/Table356789[[#This Row],[Einfuhr: Gewicht]]</f>
        <v>1226.0251809142787</v>
      </c>
    </row>
    <row r="40" spans="2:16" x14ac:dyDescent="0.25">
      <c r="B40">
        <f>(Table356789[[#This Row],[Jahr]]-$C$8)*12+Table356789[[#This Row],[Month nr]]</f>
        <v>30</v>
      </c>
      <c r="C40">
        <v>2010</v>
      </c>
      <c r="D40">
        <v>6</v>
      </c>
      <c r="E40" t="s">
        <v>21</v>
      </c>
      <c r="F40" t="str">
        <f>_xlfn.CONCAT(Table356789[[#This Row],[Monat]]," ",Table356789[[#This Row],[Jahr]])</f>
        <v>Juni 2010</v>
      </c>
      <c r="G40">
        <v>1400.8000000000002</v>
      </c>
      <c r="H40">
        <v>1620</v>
      </c>
      <c r="I40">
        <v>1979</v>
      </c>
      <c r="J40">
        <v>15539.499999999998</v>
      </c>
      <c r="K40">
        <v>16942</v>
      </c>
      <c r="L40">
        <v>20687</v>
      </c>
      <c r="M40" s="8">
        <f>Table356789[[#This Row],[Ausfuhr: Wert €]]*1000/Table356789[[#This Row],[Ausfuhr: Gewicht]]</f>
        <v>1156.4820102798399</v>
      </c>
      <c r="N40" s="8">
        <f>Table356789[[#This Row],[Einfuhr: Wert €]]*1000/Table356789[[#This Row],[Einfuhr: Gewicht]]</f>
        <v>1090.2538691721099</v>
      </c>
      <c r="O40" s="8">
        <f>Table356789[[#This Row],[Ausfuhr: Wert $]]*1000/Table356789[[#This Row],[Ausfuhr: Gewicht]]</f>
        <v>1412.7641347801255</v>
      </c>
      <c r="P40" s="8">
        <f>Table356789[[#This Row],[Einfuhr: Wert $]]*1000/Table356789[[#This Row],[Einfuhr: Gewicht]]</f>
        <v>1331.2526143054797</v>
      </c>
    </row>
    <row r="41" spans="2:16" x14ac:dyDescent="0.25">
      <c r="B41">
        <f>(Table356789[[#This Row],[Jahr]]-$C$8)*12+Table356789[[#This Row],[Month nr]]</f>
        <v>31</v>
      </c>
      <c r="C41">
        <v>2010</v>
      </c>
      <c r="D41">
        <v>7</v>
      </c>
      <c r="E41" t="s">
        <v>22</v>
      </c>
      <c r="F41" t="str">
        <f>_xlfn.CONCAT(Table356789[[#This Row],[Monat]]," ",Table356789[[#This Row],[Jahr]])</f>
        <v>Juli 2010</v>
      </c>
      <c r="G41">
        <v>2402.1000000000008</v>
      </c>
      <c r="H41">
        <v>2871</v>
      </c>
      <c r="I41">
        <v>3668</v>
      </c>
      <c r="J41">
        <v>14121.700000000003</v>
      </c>
      <c r="K41">
        <v>15725</v>
      </c>
      <c r="L41">
        <v>20079</v>
      </c>
      <c r="M41" s="8">
        <f>Table356789[[#This Row],[Ausfuhr: Wert €]]*1000/Table356789[[#This Row],[Ausfuhr: Gewicht]]</f>
        <v>1195.2041963282124</v>
      </c>
      <c r="N41" s="8">
        <f>Table356789[[#This Row],[Einfuhr: Wert €]]*1000/Table356789[[#This Row],[Einfuhr: Gewicht]]</f>
        <v>1113.5344894736468</v>
      </c>
      <c r="O41" s="8">
        <f>Table356789[[#This Row],[Ausfuhr: Wert $]]*1000/Table356789[[#This Row],[Ausfuhr: Gewicht]]</f>
        <v>1526.9972107739056</v>
      </c>
      <c r="P41" s="8">
        <f>Table356789[[#This Row],[Einfuhr: Wert $]]*1000/Table356789[[#This Row],[Einfuhr: Gewicht]]</f>
        <v>1421.8543093253643</v>
      </c>
    </row>
    <row r="42" spans="2:16" x14ac:dyDescent="0.25">
      <c r="B42">
        <f>(Table356789[[#This Row],[Jahr]]-$C$8)*12+Table356789[[#This Row],[Month nr]]</f>
        <v>32</v>
      </c>
      <c r="C42">
        <v>2010</v>
      </c>
      <c r="D42">
        <v>8</v>
      </c>
      <c r="E42" t="s">
        <v>17</v>
      </c>
      <c r="F42" t="str">
        <f>_xlfn.CONCAT(Table356789[[#This Row],[Monat]]," ",Table356789[[#This Row],[Jahr]])</f>
        <v>August 2010</v>
      </c>
      <c r="G42">
        <v>1765.4</v>
      </c>
      <c r="H42">
        <v>2300</v>
      </c>
      <c r="I42">
        <v>2968</v>
      </c>
      <c r="J42">
        <v>11601.699999999999</v>
      </c>
      <c r="K42">
        <v>13597</v>
      </c>
      <c r="L42">
        <v>17532</v>
      </c>
      <c r="M42" s="8">
        <f>Table356789[[#This Row],[Ausfuhr: Wert €]]*1000/Table356789[[#This Row],[Ausfuhr: Gewicht]]</f>
        <v>1302.8208904497565</v>
      </c>
      <c r="N42" s="8">
        <f>Table356789[[#This Row],[Einfuhr: Wert €]]*1000/Table356789[[#This Row],[Einfuhr: Gewicht]]</f>
        <v>1171.9834162234847</v>
      </c>
      <c r="O42" s="8">
        <f>Table356789[[#This Row],[Ausfuhr: Wert $]]*1000/Table356789[[#This Row],[Ausfuhr: Gewicht]]</f>
        <v>1681.2053925455987</v>
      </c>
      <c r="P42" s="8">
        <f>Table356789[[#This Row],[Einfuhr: Wert $]]*1000/Table356789[[#This Row],[Einfuhr: Gewicht]]</f>
        <v>1511.1578475568238</v>
      </c>
    </row>
    <row r="43" spans="2:16" x14ac:dyDescent="0.25">
      <c r="B43">
        <f>(Table356789[[#This Row],[Jahr]]-$C$8)*12+Table356789[[#This Row],[Month nr]]</f>
        <v>33</v>
      </c>
      <c r="C43">
        <v>2010</v>
      </c>
      <c r="D43">
        <v>9</v>
      </c>
      <c r="E43" t="s">
        <v>18</v>
      </c>
      <c r="F43" t="str">
        <f>_xlfn.CONCAT(Table356789[[#This Row],[Monat]]," ",Table356789[[#This Row],[Jahr]])</f>
        <v>September 2010</v>
      </c>
      <c r="G43">
        <v>2107.9999999999995</v>
      </c>
      <c r="H43">
        <v>2765</v>
      </c>
      <c r="I43">
        <v>3612</v>
      </c>
      <c r="J43">
        <v>10571.300000000001</v>
      </c>
      <c r="K43">
        <v>13172</v>
      </c>
      <c r="L43">
        <v>17211</v>
      </c>
      <c r="M43" s="8">
        <f>Table356789[[#This Row],[Ausfuhr: Wert €]]*1000/Table356789[[#This Row],[Ausfuhr: Gewicht]]</f>
        <v>1311.6698292220117</v>
      </c>
      <c r="N43" s="8">
        <f>Table356789[[#This Row],[Einfuhr: Wert €]]*1000/Table356789[[#This Row],[Einfuhr: Gewicht]]</f>
        <v>1246.0151542383621</v>
      </c>
      <c r="O43" s="8">
        <f>Table356789[[#This Row],[Ausfuhr: Wert $]]*1000/Table356789[[#This Row],[Ausfuhr: Gewicht]]</f>
        <v>1713.4724857685014</v>
      </c>
      <c r="P43" s="8">
        <f>Table356789[[#This Row],[Einfuhr: Wert $]]*1000/Table356789[[#This Row],[Einfuhr: Gewicht]]</f>
        <v>1628.0873686301588</v>
      </c>
    </row>
    <row r="44" spans="2:16" x14ac:dyDescent="0.25">
      <c r="B44">
        <f>(Table356789[[#This Row],[Jahr]]-$C$8)*12+Table356789[[#This Row],[Month nr]]</f>
        <v>34</v>
      </c>
      <c r="C44">
        <v>2010</v>
      </c>
      <c r="D44">
        <v>10</v>
      </c>
      <c r="E44" t="s">
        <v>23</v>
      </c>
      <c r="F44" t="str">
        <f>_xlfn.CONCAT(Table356789[[#This Row],[Monat]]," ",Table356789[[#This Row],[Jahr]])</f>
        <v>Oktober 2010</v>
      </c>
      <c r="G44">
        <v>1819.4000000000003</v>
      </c>
      <c r="H44">
        <v>1975</v>
      </c>
      <c r="I44">
        <v>2749</v>
      </c>
      <c r="J44">
        <v>10166.799999999999</v>
      </c>
      <c r="K44">
        <v>12226</v>
      </c>
      <c r="L44">
        <v>16994</v>
      </c>
      <c r="M44" s="8">
        <f>Table356789[[#This Row],[Ausfuhr: Wert €]]*1000/Table356789[[#This Row],[Ausfuhr: Gewicht]]</f>
        <v>1085.5226997911398</v>
      </c>
      <c r="N44" s="8">
        <f>Table356789[[#This Row],[Einfuhr: Wert €]]*1000/Table356789[[#This Row],[Einfuhr: Gewicht]]</f>
        <v>1202.5416060117245</v>
      </c>
      <c r="O44" s="8">
        <f>Table356789[[#This Row],[Ausfuhr: Wert $]]*1000/Table356789[[#This Row],[Ausfuhr: Gewicht]]</f>
        <v>1510.9376717599205</v>
      </c>
      <c r="P44" s="8">
        <f>Table356789[[#This Row],[Einfuhr: Wert $]]*1000/Table356789[[#This Row],[Einfuhr: Gewicht]]</f>
        <v>1671.519062045088</v>
      </c>
    </row>
    <row r="45" spans="2:16" x14ac:dyDescent="0.25">
      <c r="B45">
        <f>(Table356789[[#This Row],[Jahr]]-$C$8)*12+Table356789[[#This Row],[Month nr]]</f>
        <v>35</v>
      </c>
      <c r="C45">
        <v>2010</v>
      </c>
      <c r="D45">
        <v>11</v>
      </c>
      <c r="E45" t="s">
        <v>19</v>
      </c>
      <c r="F45" t="str">
        <f>_xlfn.CONCAT(Table356789[[#This Row],[Monat]]," ",Table356789[[#This Row],[Jahr]])</f>
        <v>November 2010</v>
      </c>
      <c r="G45">
        <v>1735.3999999999999</v>
      </c>
      <c r="H45">
        <v>1555</v>
      </c>
      <c r="I45">
        <v>2127</v>
      </c>
      <c r="J45">
        <v>10550.399999999998</v>
      </c>
      <c r="K45">
        <v>10927</v>
      </c>
      <c r="L45">
        <v>14932</v>
      </c>
      <c r="M45" s="8">
        <f>Table356789[[#This Row],[Ausfuhr: Wert €]]*1000/Table356789[[#This Row],[Ausfuhr: Gewicht]]</f>
        <v>896.04702085974418</v>
      </c>
      <c r="N45" s="8">
        <f>Table356789[[#This Row],[Einfuhr: Wert €]]*1000/Table356789[[#This Row],[Einfuhr: Gewicht]]</f>
        <v>1035.695329087049</v>
      </c>
      <c r="O45" s="8">
        <f>Table356789[[#This Row],[Ausfuhr: Wert $]]*1000/Table356789[[#This Row],[Ausfuhr: Gewicht]]</f>
        <v>1225.6540278898237</v>
      </c>
      <c r="P45" s="8">
        <f>Table356789[[#This Row],[Einfuhr: Wert $]]*1000/Table356789[[#This Row],[Einfuhr: Gewicht]]</f>
        <v>1415.3017895056114</v>
      </c>
    </row>
    <row r="46" spans="2:16" x14ac:dyDescent="0.25">
      <c r="B46">
        <f>(Table356789[[#This Row],[Jahr]]-$C$8)*12+Table356789[[#This Row],[Month nr]]</f>
        <v>36</v>
      </c>
      <c r="C46">
        <v>2010</v>
      </c>
      <c r="D46">
        <v>12</v>
      </c>
      <c r="E46" t="s">
        <v>24</v>
      </c>
      <c r="F46" t="str">
        <f>_xlfn.CONCAT(Table356789[[#This Row],[Monat]]," ",Table356789[[#This Row],[Jahr]])</f>
        <v>Dezember 2010</v>
      </c>
      <c r="G46">
        <v>1276.6999999999998</v>
      </c>
      <c r="H46">
        <v>1230</v>
      </c>
      <c r="I46">
        <v>1627</v>
      </c>
      <c r="J46">
        <v>11455.100000000002</v>
      </c>
      <c r="K46">
        <v>10135</v>
      </c>
      <c r="L46">
        <v>13396</v>
      </c>
      <c r="M46" s="8">
        <f>Table356789[[#This Row],[Ausfuhr: Wert €]]*1000/Table356789[[#This Row],[Ausfuhr: Gewicht]]</f>
        <v>963.4213205921518</v>
      </c>
      <c r="N46" s="8">
        <f>Table356789[[#This Row],[Einfuhr: Wert €]]*1000/Table356789[[#This Row],[Einfuhr: Gewicht]]</f>
        <v>884.75875374287421</v>
      </c>
      <c r="O46" s="8">
        <f>Table356789[[#This Row],[Ausfuhr: Wert $]]*1000/Table356789[[#This Row],[Ausfuhr: Gewicht]]</f>
        <v>1274.3792590271796</v>
      </c>
      <c r="P46" s="8">
        <f>Table356789[[#This Row],[Einfuhr: Wert $]]*1000/Table356789[[#This Row],[Einfuhr: Gewicht]]</f>
        <v>1169.4354479664078</v>
      </c>
    </row>
    <row r="47" spans="2:16" x14ac:dyDescent="0.25">
      <c r="B47">
        <f>(Table356789[[#This Row],[Jahr]]-$C$8)*12+Table356789[[#This Row],[Month nr]]</f>
        <v>37</v>
      </c>
      <c r="C47">
        <v>2011</v>
      </c>
      <c r="D47">
        <v>1</v>
      </c>
      <c r="E47" t="s">
        <v>13</v>
      </c>
      <c r="F47" t="str">
        <f>_xlfn.CONCAT(Table356789[[#This Row],[Monat]]," ",Table356789[[#This Row],[Jahr]])</f>
        <v>Januar 2011</v>
      </c>
      <c r="G47" s="6">
        <v>3377.1</v>
      </c>
      <c r="H47" s="6">
        <v>2621</v>
      </c>
      <c r="I47" s="6">
        <v>3501</v>
      </c>
      <c r="J47" s="6">
        <v>16750</v>
      </c>
      <c r="K47" s="6">
        <v>13710</v>
      </c>
      <c r="L47" s="6">
        <v>18320</v>
      </c>
      <c r="M47" s="8">
        <f>Table356789[[#This Row],[Ausfuhr: Wert €]]*1000/Table356789[[#This Row],[Ausfuhr: Gewicht]]</f>
        <v>776.10967990287531</v>
      </c>
      <c r="N47" s="8">
        <f>Table356789[[#This Row],[Einfuhr: Wert €]]*1000/Table356789[[#This Row],[Einfuhr: Gewicht]]</f>
        <v>818.50746268656712</v>
      </c>
      <c r="O47" s="8">
        <f>Table356789[[#This Row],[Ausfuhr: Wert $]]*1000/Table356789[[#This Row],[Ausfuhr: Gewicht]]</f>
        <v>1036.688282846229</v>
      </c>
      <c r="P47" s="8">
        <f>Table356789[[#This Row],[Einfuhr: Wert $]]*1000/Table356789[[#This Row],[Einfuhr: Gewicht]]</f>
        <v>1093.7313432835822</v>
      </c>
    </row>
    <row r="48" spans="2:16" x14ac:dyDescent="0.25">
      <c r="B48">
        <f>(Table356789[[#This Row],[Jahr]]-$C$8)*12+Table356789[[#This Row],[Month nr]]</f>
        <v>38</v>
      </c>
      <c r="C48">
        <v>2011</v>
      </c>
      <c r="D48">
        <v>2</v>
      </c>
      <c r="E48" t="s">
        <v>14</v>
      </c>
      <c r="F48" t="str">
        <f>_xlfn.CONCAT(Table356789[[#This Row],[Monat]]," ",Table356789[[#This Row],[Jahr]])</f>
        <v>Februar 2011</v>
      </c>
      <c r="G48" s="7">
        <v>1706.0999999999997</v>
      </c>
      <c r="H48" s="7">
        <v>1599</v>
      </c>
      <c r="I48" s="7">
        <v>2184</v>
      </c>
      <c r="J48" s="7">
        <v>11898.6</v>
      </c>
      <c r="K48" s="7">
        <v>10080</v>
      </c>
      <c r="L48" s="7">
        <v>13763</v>
      </c>
      <c r="M48" s="8">
        <f>Table356789[[#This Row],[Ausfuhr: Wert €]]*1000/Table356789[[#This Row],[Ausfuhr: Gewicht]]</f>
        <v>937.22525057147902</v>
      </c>
      <c r="N48" s="8">
        <f>Table356789[[#This Row],[Einfuhr: Wert €]]*1000/Table356789[[#This Row],[Einfuhr: Gewicht]]</f>
        <v>847.15848923402746</v>
      </c>
      <c r="O48" s="8">
        <f>Table356789[[#This Row],[Ausfuhr: Wert $]]*1000/Table356789[[#This Row],[Ausfuhr: Gewicht]]</f>
        <v>1280.1125373659224</v>
      </c>
      <c r="P48" s="8">
        <f>Table356789[[#This Row],[Einfuhr: Wert $]]*1000/Table356789[[#This Row],[Einfuhr: Gewicht]]</f>
        <v>1156.6907031079286</v>
      </c>
    </row>
    <row r="49" spans="2:16" x14ac:dyDescent="0.25">
      <c r="B49">
        <f>(Table356789[[#This Row],[Jahr]]-$C$8)*12+Table356789[[#This Row],[Month nr]]</f>
        <v>39</v>
      </c>
      <c r="C49">
        <v>2011</v>
      </c>
      <c r="D49">
        <v>3</v>
      </c>
      <c r="E49" t="s">
        <v>15</v>
      </c>
      <c r="F49" t="str">
        <f>_xlfn.CONCAT(Table356789[[#This Row],[Monat]]," ",Table356789[[#This Row],[Jahr]])</f>
        <v>März 2011</v>
      </c>
      <c r="G49" s="6">
        <v>2182.1999999999998</v>
      </c>
      <c r="H49" s="6">
        <v>1816</v>
      </c>
      <c r="I49" s="6">
        <v>2542</v>
      </c>
      <c r="J49" s="6">
        <v>12791.2</v>
      </c>
      <c r="K49" s="6">
        <v>10045</v>
      </c>
      <c r="L49" s="6">
        <v>14058</v>
      </c>
      <c r="M49" s="8">
        <f>Table356789[[#This Row],[Ausfuhr: Wert €]]*1000/Table356789[[#This Row],[Ausfuhr: Gewicht]]</f>
        <v>832.18770048574845</v>
      </c>
      <c r="N49" s="8">
        <f>Table356789[[#This Row],[Einfuhr: Wert €]]*1000/Table356789[[#This Row],[Einfuhr: Gewicht]]</f>
        <v>785.30552254675081</v>
      </c>
      <c r="O49" s="8">
        <f>Table356789[[#This Row],[Ausfuhr: Wert $]]*1000/Table356789[[#This Row],[Ausfuhr: Gewicht]]</f>
        <v>1164.8794794244341</v>
      </c>
      <c r="P49" s="8">
        <f>Table356789[[#This Row],[Einfuhr: Wert $]]*1000/Table356789[[#This Row],[Einfuhr: Gewicht]]</f>
        <v>1099.0368378260052</v>
      </c>
    </row>
    <row r="50" spans="2:16" x14ac:dyDescent="0.25">
      <c r="B50">
        <f>(Table356789[[#This Row],[Jahr]]-$C$8)*12+Table356789[[#This Row],[Month nr]]</f>
        <v>40</v>
      </c>
      <c r="C50">
        <v>2011</v>
      </c>
      <c r="D50">
        <v>4</v>
      </c>
      <c r="E50" t="s">
        <v>16</v>
      </c>
      <c r="F50" t="str">
        <f>_xlfn.CONCAT(Table356789[[#This Row],[Monat]]," ",Table356789[[#This Row],[Jahr]])</f>
        <v>April 2011</v>
      </c>
      <c r="G50" s="7">
        <v>1223.3999999999999</v>
      </c>
      <c r="H50" s="7">
        <v>1166</v>
      </c>
      <c r="I50" s="7">
        <v>1682</v>
      </c>
      <c r="J50" s="7">
        <v>11986</v>
      </c>
      <c r="K50" s="7">
        <v>9602</v>
      </c>
      <c r="L50" s="7">
        <v>13868</v>
      </c>
      <c r="M50" s="8">
        <f>Table356789[[#This Row],[Ausfuhr: Wert €]]*1000/Table356789[[#This Row],[Ausfuhr: Gewicht]]</f>
        <v>953.08157593591636</v>
      </c>
      <c r="N50" s="8">
        <f>Table356789[[#This Row],[Einfuhr: Wert €]]*1000/Table356789[[#This Row],[Einfuhr: Gewicht]]</f>
        <v>801.10128483230437</v>
      </c>
      <c r="O50" s="8">
        <f>Table356789[[#This Row],[Ausfuhr: Wert $]]*1000/Table356789[[#This Row],[Ausfuhr: Gewicht]]</f>
        <v>1374.8569560241949</v>
      </c>
      <c r="P50" s="8">
        <f>Table356789[[#This Row],[Einfuhr: Wert $]]*1000/Table356789[[#This Row],[Einfuhr: Gewicht]]</f>
        <v>1157.0165192724846</v>
      </c>
    </row>
    <row r="51" spans="2:16" x14ac:dyDescent="0.25">
      <c r="B51">
        <f>(Table356789[[#This Row],[Jahr]]-$C$8)*12+Table356789[[#This Row],[Month nr]]</f>
        <v>41</v>
      </c>
      <c r="C51">
        <v>2011</v>
      </c>
      <c r="D51">
        <v>5</v>
      </c>
      <c r="E51" t="s">
        <v>20</v>
      </c>
      <c r="F51" t="str">
        <f>_xlfn.CONCAT(Table356789[[#This Row],[Monat]]," ",Table356789[[#This Row],[Jahr]])</f>
        <v>Mai 2011</v>
      </c>
      <c r="G51" s="6">
        <v>1992.1</v>
      </c>
      <c r="H51" s="6">
        <v>1574</v>
      </c>
      <c r="I51" s="6">
        <v>2262</v>
      </c>
      <c r="J51" s="6">
        <v>13030.199999999999</v>
      </c>
      <c r="K51" s="6">
        <v>10578</v>
      </c>
      <c r="L51" s="6">
        <v>15180</v>
      </c>
      <c r="M51" s="8">
        <f>Table356789[[#This Row],[Ausfuhr: Wert €]]*1000/Table356789[[#This Row],[Ausfuhr: Gewicht]]</f>
        <v>790.12097786255708</v>
      </c>
      <c r="N51" s="8">
        <f>Table356789[[#This Row],[Einfuhr: Wert €]]*1000/Table356789[[#This Row],[Einfuhr: Gewicht]]</f>
        <v>811.80641893447535</v>
      </c>
      <c r="O51" s="8">
        <f>Table356789[[#This Row],[Ausfuhr: Wert $]]*1000/Table356789[[#This Row],[Ausfuhr: Gewicht]]</f>
        <v>1135.485166407309</v>
      </c>
      <c r="P51" s="8">
        <f>Table356789[[#This Row],[Einfuhr: Wert $]]*1000/Table356789[[#This Row],[Einfuhr: Gewicht]]</f>
        <v>1164.9859557029056</v>
      </c>
    </row>
    <row r="52" spans="2:16" x14ac:dyDescent="0.25">
      <c r="B52">
        <f>(Table356789[[#This Row],[Jahr]]-$C$8)*12+Table356789[[#This Row],[Month nr]]</f>
        <v>42</v>
      </c>
      <c r="C52">
        <v>2011</v>
      </c>
      <c r="D52">
        <v>6</v>
      </c>
      <c r="E52" t="s">
        <v>21</v>
      </c>
      <c r="F52" t="str">
        <f>_xlfn.CONCAT(Table356789[[#This Row],[Monat]]," ",Table356789[[#This Row],[Jahr]])</f>
        <v>Juni 2011</v>
      </c>
      <c r="G52" s="7">
        <v>1783</v>
      </c>
      <c r="H52" s="7">
        <v>1746</v>
      </c>
      <c r="I52" s="7">
        <v>2512</v>
      </c>
      <c r="J52" s="7">
        <v>13904.099999999999</v>
      </c>
      <c r="K52" s="7">
        <v>12104</v>
      </c>
      <c r="L52" s="7">
        <v>17418</v>
      </c>
      <c r="M52" s="8">
        <f>Table356789[[#This Row],[Ausfuhr: Wert €]]*1000/Table356789[[#This Row],[Ausfuhr: Gewicht]]</f>
        <v>979.24845765563657</v>
      </c>
      <c r="N52" s="8">
        <f>Table356789[[#This Row],[Einfuhr: Wert €]]*1000/Table356789[[#This Row],[Einfuhr: Gewicht]]</f>
        <v>870.53459051646644</v>
      </c>
      <c r="O52" s="8">
        <f>Table356789[[#This Row],[Ausfuhr: Wert $]]*1000/Table356789[[#This Row],[Ausfuhr: Gewicht]]</f>
        <v>1408.861469433539</v>
      </c>
      <c r="P52" s="8">
        <f>Table356789[[#This Row],[Einfuhr: Wert $]]*1000/Table356789[[#This Row],[Einfuhr: Gewicht]]</f>
        <v>1252.7240166569575</v>
      </c>
    </row>
    <row r="53" spans="2:16" x14ac:dyDescent="0.25">
      <c r="B53">
        <f>(Table356789[[#This Row],[Jahr]]-$C$8)*12+Table356789[[#This Row],[Month nr]]</f>
        <v>43</v>
      </c>
      <c r="C53">
        <v>2011</v>
      </c>
      <c r="D53">
        <v>7</v>
      </c>
      <c r="E53" t="s">
        <v>22</v>
      </c>
      <c r="F53" t="str">
        <f>_xlfn.CONCAT(Table356789[[#This Row],[Monat]]," ",Table356789[[#This Row],[Jahr]])</f>
        <v>Juli 2011</v>
      </c>
      <c r="G53" s="6">
        <v>1749.3999999999999</v>
      </c>
      <c r="H53" s="6">
        <v>2022</v>
      </c>
      <c r="I53" s="6">
        <v>2888</v>
      </c>
      <c r="J53" s="6">
        <v>11533.6</v>
      </c>
      <c r="K53" s="6">
        <v>11291</v>
      </c>
      <c r="L53" s="6">
        <v>16104</v>
      </c>
      <c r="M53" s="8">
        <f>Table356789[[#This Row],[Ausfuhr: Wert €]]*1000/Table356789[[#This Row],[Ausfuhr: Gewicht]]</f>
        <v>1155.824854235738</v>
      </c>
      <c r="N53" s="8">
        <f>Table356789[[#This Row],[Einfuhr: Wert €]]*1000/Table356789[[#This Row],[Einfuhr: Gewicht]]</f>
        <v>978.965804258861</v>
      </c>
      <c r="O53" s="8">
        <f>Table356789[[#This Row],[Ausfuhr: Wert $]]*1000/Table356789[[#This Row],[Ausfuhr: Gewicht]]</f>
        <v>1650.8517205899166</v>
      </c>
      <c r="P53" s="8">
        <f>Table356789[[#This Row],[Einfuhr: Wert $]]*1000/Table356789[[#This Row],[Einfuhr: Gewicht]]</f>
        <v>1396.2682943746966</v>
      </c>
    </row>
    <row r="54" spans="2:16" x14ac:dyDescent="0.25">
      <c r="B54">
        <f>(Table356789[[#This Row],[Jahr]]-$C$8)*12+Table356789[[#This Row],[Month nr]]</f>
        <v>44</v>
      </c>
      <c r="C54">
        <v>2011</v>
      </c>
      <c r="D54">
        <v>8</v>
      </c>
      <c r="E54" t="s">
        <v>17</v>
      </c>
      <c r="F54" t="str">
        <f>_xlfn.CONCAT(Table356789[[#This Row],[Monat]]," ",Table356789[[#This Row],[Jahr]])</f>
        <v>August 2011</v>
      </c>
      <c r="G54" s="7">
        <v>2308.0000000000005</v>
      </c>
      <c r="H54" s="7">
        <v>2852</v>
      </c>
      <c r="I54" s="7">
        <v>4096</v>
      </c>
      <c r="J54" s="7">
        <v>12130.199999999997</v>
      </c>
      <c r="K54" s="7">
        <v>12147</v>
      </c>
      <c r="L54" s="7">
        <v>17428</v>
      </c>
      <c r="M54" s="8">
        <f>Table356789[[#This Row],[Ausfuhr: Wert €]]*1000/Table356789[[#This Row],[Ausfuhr: Gewicht]]</f>
        <v>1235.7019064124781</v>
      </c>
      <c r="N54" s="8">
        <f>Table356789[[#This Row],[Einfuhr: Wert €]]*1000/Table356789[[#This Row],[Einfuhr: Gewicht]]</f>
        <v>1001.3849730424893</v>
      </c>
      <c r="O54" s="8">
        <f>Table356789[[#This Row],[Ausfuhr: Wert $]]*1000/Table356789[[#This Row],[Ausfuhr: Gewicht]]</f>
        <v>1774.6967071057188</v>
      </c>
      <c r="P54" s="8">
        <f>Table356789[[#This Row],[Einfuhr: Wert $]]*1000/Table356789[[#This Row],[Einfuhr: Gewicht]]</f>
        <v>1436.7446538391787</v>
      </c>
    </row>
    <row r="55" spans="2:16" x14ac:dyDescent="0.25">
      <c r="B55">
        <f>(Table356789[[#This Row],[Jahr]]-$C$8)*12+Table356789[[#This Row],[Month nr]]</f>
        <v>45</v>
      </c>
      <c r="C55">
        <v>2011</v>
      </c>
      <c r="D55">
        <v>9</v>
      </c>
      <c r="E55" t="s">
        <v>18</v>
      </c>
      <c r="F55" t="str">
        <f>_xlfn.CONCAT(Table356789[[#This Row],[Monat]]," ",Table356789[[#This Row],[Jahr]])</f>
        <v>September 2011</v>
      </c>
      <c r="G55" s="6">
        <v>2022.2000000000005</v>
      </c>
      <c r="H55" s="6">
        <v>2316</v>
      </c>
      <c r="I55" s="6">
        <v>3188</v>
      </c>
      <c r="J55" s="6">
        <v>10763.700000000003</v>
      </c>
      <c r="K55" s="6">
        <v>11461</v>
      </c>
      <c r="L55" s="6">
        <v>15786</v>
      </c>
      <c r="M55" s="8">
        <f>Table356789[[#This Row],[Ausfuhr: Wert €]]*1000/Table356789[[#This Row],[Ausfuhr: Gewicht]]</f>
        <v>1145.2873108495694</v>
      </c>
      <c r="N55" s="8">
        <f>Table356789[[#This Row],[Einfuhr: Wert €]]*1000/Table356789[[#This Row],[Einfuhr: Gewicht]]</f>
        <v>1064.7825561842114</v>
      </c>
      <c r="O55" s="8">
        <f>Table356789[[#This Row],[Ausfuhr: Wert $]]*1000/Table356789[[#This Row],[Ausfuhr: Gewicht]]</f>
        <v>1576.5008406685783</v>
      </c>
      <c r="P55" s="8">
        <f>Table356789[[#This Row],[Einfuhr: Wert $]]*1000/Table356789[[#This Row],[Einfuhr: Gewicht]]</f>
        <v>1466.5960589760023</v>
      </c>
    </row>
    <row r="56" spans="2:16" x14ac:dyDescent="0.25">
      <c r="B56">
        <f>(Table356789[[#This Row],[Jahr]]-$C$8)*12+Table356789[[#This Row],[Month nr]]</f>
        <v>46</v>
      </c>
      <c r="C56">
        <v>2011</v>
      </c>
      <c r="D56">
        <v>10</v>
      </c>
      <c r="E56" t="s">
        <v>23</v>
      </c>
      <c r="F56" t="str">
        <f>_xlfn.CONCAT(Table356789[[#This Row],[Monat]]," ",Table356789[[#This Row],[Jahr]])</f>
        <v>Oktober 2011</v>
      </c>
      <c r="G56" s="7">
        <v>1623.0000000000002</v>
      </c>
      <c r="H56" s="7">
        <v>1534</v>
      </c>
      <c r="I56" s="7">
        <v>2102</v>
      </c>
      <c r="J56" s="7">
        <v>10894.100000000002</v>
      </c>
      <c r="K56" s="7">
        <v>10695</v>
      </c>
      <c r="L56" s="7">
        <v>14657</v>
      </c>
      <c r="M56" s="8">
        <f>Table356789[[#This Row],[Ausfuhr: Wert €]]*1000/Table356789[[#This Row],[Ausfuhr: Gewicht]]</f>
        <v>945.16327788046817</v>
      </c>
      <c r="N56" s="8">
        <f>Table356789[[#This Row],[Einfuhr: Wert €]]*1000/Table356789[[#This Row],[Einfuhr: Gewicht]]</f>
        <v>981.72405246876735</v>
      </c>
      <c r="O56" s="8">
        <f>Table356789[[#This Row],[Ausfuhr: Wert $]]*1000/Table356789[[#This Row],[Ausfuhr: Gewicht]]</f>
        <v>1295.1324707332099</v>
      </c>
      <c r="P56" s="8">
        <f>Table356789[[#This Row],[Einfuhr: Wert $]]*1000/Table356789[[#This Row],[Einfuhr: Gewicht]]</f>
        <v>1345.4071469878188</v>
      </c>
    </row>
    <row r="57" spans="2:16" x14ac:dyDescent="0.25">
      <c r="B57">
        <f>(Table356789[[#This Row],[Jahr]]-$C$8)*12+Table356789[[#This Row],[Month nr]]</f>
        <v>47</v>
      </c>
      <c r="C57">
        <v>2011</v>
      </c>
      <c r="D57">
        <v>11</v>
      </c>
      <c r="E57" t="s">
        <v>19</v>
      </c>
      <c r="F57" t="str">
        <f>_xlfn.CONCAT(Table356789[[#This Row],[Monat]]," ",Table356789[[#This Row],[Jahr]])</f>
        <v>November 2011</v>
      </c>
      <c r="G57" s="6">
        <v>2066.9999999999995</v>
      </c>
      <c r="H57" s="6">
        <v>1637</v>
      </c>
      <c r="I57" s="6">
        <v>2219</v>
      </c>
      <c r="J57" s="6">
        <v>10887.5</v>
      </c>
      <c r="K57" s="6">
        <v>9813</v>
      </c>
      <c r="L57" s="6">
        <v>13297</v>
      </c>
      <c r="M57" s="8">
        <f>Table356789[[#This Row],[Ausfuhr: Wert €]]*1000/Table356789[[#This Row],[Ausfuhr: Gewicht]]</f>
        <v>791.9690372520563</v>
      </c>
      <c r="N57" s="8">
        <f>Table356789[[#This Row],[Einfuhr: Wert €]]*1000/Table356789[[#This Row],[Einfuhr: Gewicht]]</f>
        <v>901.30884041331808</v>
      </c>
      <c r="O57" s="8">
        <f>Table356789[[#This Row],[Ausfuhr: Wert $]]*1000/Table356789[[#This Row],[Ausfuhr: Gewicht]]</f>
        <v>1073.5365263667152</v>
      </c>
      <c r="P57" s="8">
        <f>Table356789[[#This Row],[Einfuhr: Wert $]]*1000/Table356789[[#This Row],[Einfuhr: Gewicht]]</f>
        <v>1221.308840413318</v>
      </c>
    </row>
    <row r="58" spans="2:16" x14ac:dyDescent="0.25">
      <c r="B58">
        <f>(Table356789[[#This Row],[Jahr]]-$C$8)*12+Table356789[[#This Row],[Month nr]]</f>
        <v>48</v>
      </c>
      <c r="C58">
        <v>2011</v>
      </c>
      <c r="D58">
        <v>12</v>
      </c>
      <c r="E58" t="s">
        <v>24</v>
      </c>
      <c r="F58" t="str">
        <f>_xlfn.CONCAT(Table356789[[#This Row],[Monat]]," ",Table356789[[#This Row],[Jahr]])</f>
        <v>Dezember 2011</v>
      </c>
      <c r="G58" s="7">
        <v>2397.3000000000002</v>
      </c>
      <c r="H58" s="7">
        <v>1963</v>
      </c>
      <c r="I58" s="7">
        <v>2587</v>
      </c>
      <c r="J58" s="7">
        <v>13473</v>
      </c>
      <c r="K58" s="7">
        <v>12819</v>
      </c>
      <c r="L58" s="7">
        <v>16894</v>
      </c>
      <c r="M58" s="8">
        <f>Table356789[[#This Row],[Ausfuhr: Wert €]]*1000/Table356789[[#This Row],[Ausfuhr: Gewicht]]</f>
        <v>818.83785925833217</v>
      </c>
      <c r="N58" s="8">
        <f>Table356789[[#This Row],[Einfuhr: Wert €]]*1000/Table356789[[#This Row],[Einfuhr: Gewicht]]</f>
        <v>951.4584725005567</v>
      </c>
      <c r="O58" s="8">
        <f>Table356789[[#This Row],[Ausfuhr: Wert $]]*1000/Table356789[[#This Row],[Ausfuhr: Gewicht]]</f>
        <v>1079.1306886914444</v>
      </c>
      <c r="P58" s="8">
        <f>Table356789[[#This Row],[Einfuhr: Wert $]]*1000/Table356789[[#This Row],[Einfuhr: Gewicht]]</f>
        <v>1253.9152378831739</v>
      </c>
    </row>
    <row r="59" spans="2:16" x14ac:dyDescent="0.25">
      <c r="B59">
        <f>(Table356789[[#This Row],[Jahr]]-$C$8)*12+Table356789[[#This Row],[Month nr]]</f>
        <v>49</v>
      </c>
      <c r="C59">
        <v>2012</v>
      </c>
      <c r="D59">
        <v>1</v>
      </c>
      <c r="E59" t="s">
        <v>13</v>
      </c>
      <c r="F59" t="str">
        <f>_xlfn.CONCAT(Table356789[[#This Row],[Monat]]," ",Table356789[[#This Row],[Jahr]])</f>
        <v>Januar 2012</v>
      </c>
      <c r="G59">
        <v>1123.1999999999998</v>
      </c>
      <c r="H59">
        <v>1140</v>
      </c>
      <c r="I59">
        <v>1474</v>
      </c>
      <c r="J59">
        <v>13025.700000000003</v>
      </c>
      <c r="K59">
        <v>11086</v>
      </c>
      <c r="L59">
        <v>14306</v>
      </c>
      <c r="M59" s="8">
        <f>Table356789[[#This Row],[Ausfuhr: Wert €]]*1000/Table356789[[#This Row],[Ausfuhr: Gewicht]]</f>
        <v>1014.9572649572651</v>
      </c>
      <c r="N59" s="8">
        <f>Table356789[[#This Row],[Einfuhr: Wert €]]*1000/Table356789[[#This Row],[Einfuhr: Gewicht]]</f>
        <v>851.08669783581672</v>
      </c>
      <c r="O59" s="8">
        <f>Table356789[[#This Row],[Ausfuhr: Wert $]]*1000/Table356789[[#This Row],[Ausfuhr: Gewicht]]</f>
        <v>1312.3219373219376</v>
      </c>
      <c r="P59" s="8">
        <f>Table356789[[#This Row],[Einfuhr: Wert $]]*1000/Table356789[[#This Row],[Einfuhr: Gewicht]]</f>
        <v>1098.2903030163443</v>
      </c>
    </row>
    <row r="60" spans="2:16" x14ac:dyDescent="0.25">
      <c r="B60">
        <f>(Table356789[[#This Row],[Jahr]]-$C$8)*12+Table356789[[#This Row],[Month nr]]</f>
        <v>50</v>
      </c>
      <c r="C60">
        <v>2012</v>
      </c>
      <c r="D60">
        <v>2</v>
      </c>
      <c r="E60" t="s">
        <v>14</v>
      </c>
      <c r="F60" t="str">
        <f>_xlfn.CONCAT(Table356789[[#This Row],[Monat]]," ",Table356789[[#This Row],[Jahr]])</f>
        <v>Februar 2012</v>
      </c>
      <c r="G60">
        <v>1567.1999999999998</v>
      </c>
      <c r="H60">
        <v>1268</v>
      </c>
      <c r="I60">
        <v>1677</v>
      </c>
      <c r="J60">
        <v>13035.599999999999</v>
      </c>
      <c r="K60">
        <v>10103</v>
      </c>
      <c r="L60">
        <v>13364</v>
      </c>
      <c r="M60" s="8">
        <f>Table356789[[#This Row],[Ausfuhr: Wert €]]*1000/Table356789[[#This Row],[Ausfuhr: Gewicht]]</f>
        <v>809.08626850433905</v>
      </c>
      <c r="N60" s="8">
        <f>Table356789[[#This Row],[Einfuhr: Wert €]]*1000/Table356789[[#This Row],[Einfuhr: Gewicht]]</f>
        <v>775.03145233054101</v>
      </c>
      <c r="O60" s="8">
        <f>Table356789[[#This Row],[Ausfuhr: Wert $]]*1000/Table356789[[#This Row],[Ausfuhr: Gewicht]]</f>
        <v>1070.061255742726</v>
      </c>
      <c r="P60" s="8">
        <f>Table356789[[#This Row],[Einfuhr: Wert $]]*1000/Table356789[[#This Row],[Einfuhr: Gewicht]]</f>
        <v>1025.192549633312</v>
      </c>
    </row>
    <row r="61" spans="2:16" x14ac:dyDescent="0.25">
      <c r="B61">
        <f>(Table356789[[#This Row],[Jahr]]-$C$8)*12+Table356789[[#This Row],[Month nr]]</f>
        <v>51</v>
      </c>
      <c r="C61">
        <v>2012</v>
      </c>
      <c r="D61">
        <v>3</v>
      </c>
      <c r="E61" t="s">
        <v>15</v>
      </c>
      <c r="F61" t="str">
        <f>_xlfn.CONCAT(Table356789[[#This Row],[Monat]]," ",Table356789[[#This Row],[Jahr]])</f>
        <v>März 2012</v>
      </c>
      <c r="G61">
        <v>2268.6000000000004</v>
      </c>
      <c r="H61">
        <v>1496</v>
      </c>
      <c r="I61">
        <v>1977</v>
      </c>
      <c r="J61">
        <v>12949.7</v>
      </c>
      <c r="K61">
        <v>10074</v>
      </c>
      <c r="L61">
        <v>13301</v>
      </c>
      <c r="M61" s="8">
        <f>Table356789[[#This Row],[Ausfuhr: Wert €]]*1000/Table356789[[#This Row],[Ausfuhr: Gewicht]]</f>
        <v>659.4375385700431</v>
      </c>
      <c r="N61" s="8">
        <f>Table356789[[#This Row],[Einfuhr: Wert €]]*1000/Table356789[[#This Row],[Einfuhr: Gewicht]]</f>
        <v>777.93307953079989</v>
      </c>
      <c r="O61" s="8">
        <f>Table356789[[#This Row],[Ausfuhr: Wert $]]*1000/Table356789[[#This Row],[Ausfuhr: Gewicht]]</f>
        <v>871.46257603808499</v>
      </c>
      <c r="P61" s="8">
        <f>Table356789[[#This Row],[Einfuhr: Wert $]]*1000/Table356789[[#This Row],[Einfuhr: Gewicht]]</f>
        <v>1027.1280415762526</v>
      </c>
    </row>
    <row r="62" spans="2:16" x14ac:dyDescent="0.25">
      <c r="B62">
        <f>(Table356789[[#This Row],[Jahr]]-$C$8)*12+Table356789[[#This Row],[Month nr]]</f>
        <v>52</v>
      </c>
      <c r="C62">
        <v>2012</v>
      </c>
      <c r="D62">
        <v>4</v>
      </c>
      <c r="E62" t="s">
        <v>16</v>
      </c>
      <c r="F62" t="str">
        <f>_xlfn.CONCAT(Table356789[[#This Row],[Monat]]," ",Table356789[[#This Row],[Jahr]])</f>
        <v>April 2012</v>
      </c>
      <c r="G62" s="10">
        <v>1411.5000000000005</v>
      </c>
      <c r="H62" s="10">
        <v>1218</v>
      </c>
      <c r="I62" s="10">
        <v>1604</v>
      </c>
      <c r="J62" s="10">
        <v>12959.500000000002</v>
      </c>
      <c r="K62" s="10">
        <v>9621</v>
      </c>
      <c r="L62" s="10">
        <v>12662</v>
      </c>
      <c r="M62" s="8">
        <f>Table356789[[#This Row],[Ausfuhr: Wert €]]*1000/Table356789[[#This Row],[Ausfuhr: Gewicht]]</f>
        <v>862.91179596174254</v>
      </c>
      <c r="N62" s="8">
        <f>Table356789[[#This Row],[Einfuhr: Wert €]]*1000/Table356789[[#This Row],[Einfuhr: Gewicht]]</f>
        <v>742.38975269107596</v>
      </c>
      <c r="O62" s="8">
        <f>Table356789[[#This Row],[Ausfuhr: Wert $]]*1000/Table356789[[#This Row],[Ausfuhr: Gewicht]]</f>
        <v>1136.3797378675165</v>
      </c>
      <c r="P62" s="8">
        <f>Table356789[[#This Row],[Einfuhr: Wert $]]*1000/Table356789[[#This Row],[Einfuhr: Gewicht]]</f>
        <v>977.04386743315706</v>
      </c>
    </row>
    <row r="63" spans="2:16" x14ac:dyDescent="0.25">
      <c r="B63">
        <f>(Table356789[[#This Row],[Jahr]]-$C$8)*12+Table356789[[#This Row],[Month nr]]</f>
        <v>53</v>
      </c>
      <c r="C63">
        <v>2012</v>
      </c>
      <c r="D63">
        <v>5</v>
      </c>
      <c r="E63" t="s">
        <v>20</v>
      </c>
      <c r="F63" t="str">
        <f>_xlfn.CONCAT(Table356789[[#This Row],[Monat]]," ",Table356789[[#This Row],[Jahr]])</f>
        <v>Mai 2012</v>
      </c>
      <c r="G63">
        <v>1085.8</v>
      </c>
      <c r="H63">
        <v>1148</v>
      </c>
      <c r="I63">
        <v>1472</v>
      </c>
      <c r="J63">
        <v>14563.3</v>
      </c>
      <c r="K63">
        <v>13644</v>
      </c>
      <c r="L63">
        <v>17453</v>
      </c>
      <c r="M63" s="8">
        <f>Table356789[[#This Row],[Ausfuhr: Wert €]]*1000/Table356789[[#This Row],[Ausfuhr: Gewicht]]</f>
        <v>1057.284951188064</v>
      </c>
      <c r="N63" s="8">
        <f>Table356789[[#This Row],[Einfuhr: Wert €]]*1000/Table356789[[#This Row],[Einfuhr: Gewicht]]</f>
        <v>936.87557078409429</v>
      </c>
      <c r="O63" s="8">
        <f>Table356789[[#This Row],[Ausfuhr: Wert $]]*1000/Table356789[[#This Row],[Ausfuhr: Gewicht]]</f>
        <v>1355.6824461226745</v>
      </c>
      <c r="P63" s="8">
        <f>Table356789[[#This Row],[Einfuhr: Wert $]]*1000/Table356789[[#This Row],[Einfuhr: Gewicht]]</f>
        <v>1198.4234342491056</v>
      </c>
    </row>
    <row r="64" spans="2:16" x14ac:dyDescent="0.25">
      <c r="B64">
        <f>(Table356789[[#This Row],[Jahr]]-$C$8)*12+Table356789[[#This Row],[Month nr]]</f>
        <v>54</v>
      </c>
      <c r="C64">
        <v>2012</v>
      </c>
      <c r="D64">
        <v>6</v>
      </c>
      <c r="E64" t="s">
        <v>21</v>
      </c>
      <c r="F64" t="str">
        <f>_xlfn.CONCAT(Table356789[[#This Row],[Monat]]," ",Table356789[[#This Row],[Jahr]])</f>
        <v>Juni 2012</v>
      </c>
      <c r="G64">
        <v>1232.2999999999997</v>
      </c>
      <c r="H64">
        <v>1581</v>
      </c>
      <c r="I64">
        <v>1981</v>
      </c>
      <c r="J64">
        <v>12071.6</v>
      </c>
      <c r="K64">
        <v>12739</v>
      </c>
      <c r="L64">
        <v>15954</v>
      </c>
      <c r="M64" s="8">
        <f>Table356789[[#This Row],[Ausfuhr: Wert €]]*1000/Table356789[[#This Row],[Ausfuhr: Gewicht]]</f>
        <v>1282.9668100300255</v>
      </c>
      <c r="N64" s="8">
        <f>Table356789[[#This Row],[Einfuhr: Wert €]]*1000/Table356789[[#This Row],[Einfuhr: Gewicht]]</f>
        <v>1055.2867888266676</v>
      </c>
      <c r="O64" s="8">
        <f>Table356789[[#This Row],[Ausfuhr: Wert $]]*1000/Table356789[[#This Row],[Ausfuhr: Gewicht]]</f>
        <v>1607.563093402581</v>
      </c>
      <c r="P64" s="8">
        <f>Table356789[[#This Row],[Einfuhr: Wert $]]*1000/Table356789[[#This Row],[Einfuhr: Gewicht]]</f>
        <v>1321.6143676066138</v>
      </c>
    </row>
    <row r="65" spans="2:16" x14ac:dyDescent="0.25">
      <c r="B65">
        <f>(Table356789[[#This Row],[Jahr]]-$C$8)*12+Table356789[[#This Row],[Month nr]]</f>
        <v>55</v>
      </c>
      <c r="C65">
        <v>2012</v>
      </c>
      <c r="D65">
        <v>7</v>
      </c>
      <c r="E65" t="s">
        <v>22</v>
      </c>
      <c r="F65" t="str">
        <f>_xlfn.CONCAT(Table356789[[#This Row],[Monat]]," ",Table356789[[#This Row],[Jahr]])</f>
        <v>Juli 2012</v>
      </c>
      <c r="G65">
        <v>1412.9</v>
      </c>
      <c r="H65">
        <v>1930</v>
      </c>
      <c r="I65">
        <v>2371</v>
      </c>
      <c r="J65">
        <v>11985.6</v>
      </c>
      <c r="K65">
        <v>14393</v>
      </c>
      <c r="L65">
        <v>17687</v>
      </c>
      <c r="M65" s="8">
        <f>Table356789[[#This Row],[Ausfuhr: Wert €]]*1000/Table356789[[#This Row],[Ausfuhr: Gewicht]]</f>
        <v>1365.9848538466981</v>
      </c>
      <c r="N65" s="8">
        <f>Table356789[[#This Row],[Einfuhr: Wert €]]*1000/Table356789[[#This Row],[Einfuhr: Gewicht]]</f>
        <v>1200.8576959017487</v>
      </c>
      <c r="O65" s="8">
        <f>Table356789[[#This Row],[Ausfuhr: Wert $]]*1000/Table356789[[#This Row],[Ausfuhr: Gewicht]]</f>
        <v>1678.1088541298038</v>
      </c>
      <c r="P65" s="8">
        <f>Table356789[[#This Row],[Einfuhr: Wert $]]*1000/Table356789[[#This Row],[Einfuhr: Gewicht]]</f>
        <v>1475.6874916566546</v>
      </c>
    </row>
    <row r="66" spans="2:16" x14ac:dyDescent="0.25">
      <c r="B66">
        <f>(Table356789[[#This Row],[Jahr]]-$C$8)*12+Table356789[[#This Row],[Month nr]]</f>
        <v>56</v>
      </c>
      <c r="C66">
        <v>2012</v>
      </c>
      <c r="D66">
        <v>8</v>
      </c>
      <c r="E66" t="s">
        <v>17</v>
      </c>
      <c r="F66" t="str">
        <f>_xlfn.CONCAT(Table356789[[#This Row],[Monat]]," ",Table356789[[#This Row],[Jahr]])</f>
        <v>August 2012</v>
      </c>
      <c r="G66">
        <v>2819</v>
      </c>
      <c r="H66">
        <v>3718</v>
      </c>
      <c r="I66">
        <v>4613</v>
      </c>
      <c r="J66">
        <v>11074.499999999996</v>
      </c>
      <c r="K66">
        <v>14108</v>
      </c>
      <c r="L66">
        <v>17493</v>
      </c>
      <c r="M66" s="8">
        <f>Table356789[[#This Row],[Ausfuhr: Wert €]]*1000/Table356789[[#This Row],[Ausfuhr: Gewicht]]</f>
        <v>1318.9074139765873</v>
      </c>
      <c r="N66" s="8">
        <f>Table356789[[#This Row],[Einfuhr: Wert €]]*1000/Table356789[[#This Row],[Einfuhr: Gewicht]]</f>
        <v>1273.9175583547794</v>
      </c>
      <c r="O66" s="8">
        <f>Table356789[[#This Row],[Ausfuhr: Wert $]]*1000/Table356789[[#This Row],[Ausfuhr: Gewicht]]</f>
        <v>1636.3958850656261</v>
      </c>
      <c r="P66" s="8">
        <f>Table356789[[#This Row],[Einfuhr: Wert $]]*1000/Table356789[[#This Row],[Einfuhr: Gewicht]]</f>
        <v>1579.574698631993</v>
      </c>
    </row>
    <row r="67" spans="2:16" x14ac:dyDescent="0.25">
      <c r="B67">
        <f>(Table356789[[#This Row],[Jahr]]-$C$8)*12+Table356789[[#This Row],[Month nr]]</f>
        <v>57</v>
      </c>
      <c r="C67">
        <v>2012</v>
      </c>
      <c r="D67">
        <v>9</v>
      </c>
      <c r="E67" t="s">
        <v>18</v>
      </c>
      <c r="F67" t="str">
        <f>_xlfn.CONCAT(Table356789[[#This Row],[Monat]]," ",Table356789[[#This Row],[Jahr]])</f>
        <v>September 2012</v>
      </c>
      <c r="G67">
        <v>1802.5000000000005</v>
      </c>
      <c r="H67">
        <v>2364</v>
      </c>
      <c r="I67">
        <v>3037</v>
      </c>
      <c r="J67">
        <v>9527.6999999999989</v>
      </c>
      <c r="K67">
        <v>13015</v>
      </c>
      <c r="L67">
        <v>16735</v>
      </c>
      <c r="M67" s="8">
        <f>Table356789[[#This Row],[Ausfuhr: Wert €]]*1000/Table356789[[#This Row],[Ausfuhr: Gewicht]]</f>
        <v>1311.5117891816917</v>
      </c>
      <c r="N67" s="8">
        <f>Table356789[[#This Row],[Einfuhr: Wert €]]*1000/Table356789[[#This Row],[Einfuhr: Gewicht]]</f>
        <v>1366.0169820628275</v>
      </c>
      <c r="O67" s="8">
        <f>Table356789[[#This Row],[Ausfuhr: Wert $]]*1000/Table356789[[#This Row],[Ausfuhr: Gewicht]]</f>
        <v>1684.8821081830786</v>
      </c>
      <c r="P67" s="8">
        <f>Table356789[[#This Row],[Einfuhr: Wert $]]*1000/Table356789[[#This Row],[Einfuhr: Gewicht]]</f>
        <v>1756.457487116513</v>
      </c>
    </row>
    <row r="68" spans="2:16" x14ac:dyDescent="0.25">
      <c r="B68">
        <f>(Table356789[[#This Row],[Jahr]]-$C$8)*12+Table356789[[#This Row],[Month nr]]</f>
        <v>58</v>
      </c>
      <c r="C68">
        <v>2012</v>
      </c>
      <c r="D68">
        <v>10</v>
      </c>
      <c r="E68" t="s">
        <v>23</v>
      </c>
      <c r="F68" t="str">
        <f>_xlfn.CONCAT(Table356789[[#This Row],[Monat]]," ",Table356789[[#This Row],[Jahr]])</f>
        <v>Oktober 2012</v>
      </c>
      <c r="G68">
        <v>872.7</v>
      </c>
      <c r="H68">
        <v>1150</v>
      </c>
      <c r="I68">
        <v>1494</v>
      </c>
      <c r="J68">
        <v>11700.7</v>
      </c>
      <c r="K68">
        <v>14251</v>
      </c>
      <c r="L68">
        <v>18492</v>
      </c>
      <c r="M68" s="8">
        <f>Table356789[[#This Row],[Ausfuhr: Wert €]]*1000/Table356789[[#This Row],[Ausfuhr: Gewicht]]</f>
        <v>1317.7495130056147</v>
      </c>
      <c r="N68" s="8">
        <f>Table356789[[#This Row],[Einfuhr: Wert €]]*1000/Table356789[[#This Row],[Einfuhr: Gewicht]]</f>
        <v>1217.9613185535907</v>
      </c>
      <c r="O68" s="8">
        <f>Table356789[[#This Row],[Ausfuhr: Wert $]]*1000/Table356789[[#This Row],[Ausfuhr: Gewicht]]</f>
        <v>1711.928497765555</v>
      </c>
      <c r="P68" s="8">
        <f>Table356789[[#This Row],[Einfuhr: Wert $]]*1000/Table356789[[#This Row],[Einfuhr: Gewicht]]</f>
        <v>1580.4182655738546</v>
      </c>
    </row>
    <row r="69" spans="2:16" x14ac:dyDescent="0.25">
      <c r="B69">
        <f>(Table356789[[#This Row],[Jahr]]-$C$8)*12+Table356789[[#This Row],[Month nr]]</f>
        <v>59</v>
      </c>
      <c r="C69">
        <v>2012</v>
      </c>
      <c r="D69">
        <v>11</v>
      </c>
      <c r="E69" t="s">
        <v>19</v>
      </c>
      <c r="F69" t="str">
        <f>_xlfn.CONCAT(Table356789[[#This Row],[Monat]]," ",Table356789[[#This Row],[Jahr]])</f>
        <v>November 2012</v>
      </c>
      <c r="G69">
        <v>1100.1999999999998</v>
      </c>
      <c r="H69">
        <v>1117</v>
      </c>
      <c r="I69">
        <v>1432</v>
      </c>
      <c r="J69">
        <v>11763.9</v>
      </c>
      <c r="K69">
        <v>13171</v>
      </c>
      <c r="L69">
        <v>16897</v>
      </c>
      <c r="M69" s="8">
        <f>Table356789[[#This Row],[Ausfuhr: Wert €]]*1000/Table356789[[#This Row],[Ausfuhr: Gewicht]]</f>
        <v>1015.2699509180151</v>
      </c>
      <c r="N69" s="8">
        <f>Table356789[[#This Row],[Einfuhr: Wert €]]*1000/Table356789[[#This Row],[Einfuhr: Gewicht]]</f>
        <v>1119.6116934009981</v>
      </c>
      <c r="O69" s="8">
        <f>Table356789[[#This Row],[Ausfuhr: Wert $]]*1000/Table356789[[#This Row],[Ausfuhr: Gewicht]]</f>
        <v>1301.5815306307945</v>
      </c>
      <c r="P69" s="8">
        <f>Table356789[[#This Row],[Einfuhr: Wert $]]*1000/Table356789[[#This Row],[Einfuhr: Gewicht]]</f>
        <v>1436.3433895221824</v>
      </c>
    </row>
    <row r="70" spans="2:16" x14ac:dyDescent="0.25">
      <c r="B70">
        <f>(Table356789[[#This Row],[Jahr]]-$C$8)*12+Table356789[[#This Row],[Month nr]]</f>
        <v>60</v>
      </c>
      <c r="C70">
        <v>2012</v>
      </c>
      <c r="D70">
        <v>12</v>
      </c>
      <c r="E70" t="s">
        <v>24</v>
      </c>
      <c r="F70" t="str">
        <f>_xlfn.CONCAT(Table356789[[#This Row],[Monat]]," ",Table356789[[#This Row],[Jahr]])</f>
        <v>Dezember 2012</v>
      </c>
      <c r="G70">
        <v>1676.2999999999997</v>
      </c>
      <c r="H70">
        <v>1985</v>
      </c>
      <c r="I70">
        <v>2607</v>
      </c>
      <c r="J70">
        <v>14738.4</v>
      </c>
      <c r="K70">
        <v>16171</v>
      </c>
      <c r="L70">
        <v>21212</v>
      </c>
      <c r="M70" s="8">
        <f>Table356789[[#This Row],[Ausfuhr: Wert €]]*1000/Table356789[[#This Row],[Ausfuhr: Gewicht]]</f>
        <v>1184.155580743304</v>
      </c>
      <c r="N70" s="8">
        <f>Table356789[[#This Row],[Einfuhr: Wert €]]*1000/Table356789[[#This Row],[Einfuhr: Gewicht]]</f>
        <v>1097.2018672311785</v>
      </c>
      <c r="O70" s="8">
        <f>Table356789[[#This Row],[Ausfuhr: Wert $]]*1000/Table356789[[#This Row],[Ausfuhr: Gewicht]]</f>
        <v>1555.2108811072007</v>
      </c>
      <c r="P70" s="8">
        <f>Table356789[[#This Row],[Einfuhr: Wert $]]*1000/Table356789[[#This Row],[Einfuhr: Gewicht]]</f>
        <v>1439.2335667372306</v>
      </c>
    </row>
    <row r="71" spans="2:16" x14ac:dyDescent="0.25">
      <c r="B71">
        <f>(Table356789[[#This Row],[Jahr]]-$C$8)*12+Table356789[[#This Row],[Month nr]]</f>
        <v>61</v>
      </c>
      <c r="C71">
        <v>2013</v>
      </c>
      <c r="D71">
        <v>1</v>
      </c>
      <c r="E71" t="s">
        <v>13</v>
      </c>
      <c r="F71" t="str">
        <f>_xlfn.CONCAT(Table356789[[#This Row],[Monat]]," ",Table356789[[#This Row],[Jahr]])</f>
        <v>Januar 2013</v>
      </c>
      <c r="G71" s="6">
        <v>1524.4</v>
      </c>
      <c r="H71" s="6">
        <v>1901</v>
      </c>
      <c r="I71" s="6">
        <v>2529</v>
      </c>
      <c r="J71" s="6">
        <v>13355.9</v>
      </c>
      <c r="K71" s="6">
        <v>15422</v>
      </c>
      <c r="L71" s="6">
        <v>20494</v>
      </c>
      <c r="M71" s="8">
        <f>Table356789[[#This Row],[Ausfuhr: Wert €]]*1000/Table356789[[#This Row],[Ausfuhr: Gewicht]]</f>
        <v>1247.048018892679</v>
      </c>
      <c r="N71" s="8">
        <f>Table356789[[#This Row],[Einfuhr: Wert €]]*1000/Table356789[[#This Row],[Einfuhr: Gewicht]]</f>
        <v>1154.69567756572</v>
      </c>
      <c r="O71" s="8">
        <f>Table356789[[#This Row],[Ausfuhr: Wert $]]*1000/Table356789[[#This Row],[Ausfuhr: Gewicht]]</f>
        <v>1659.0133823143531</v>
      </c>
      <c r="P71" s="8">
        <f>Table356789[[#This Row],[Einfuhr: Wert $]]*1000/Table356789[[#This Row],[Einfuhr: Gewicht]]</f>
        <v>1534.4529384017551</v>
      </c>
    </row>
    <row r="72" spans="2:16" x14ac:dyDescent="0.25">
      <c r="B72">
        <f>(Table356789[[#This Row],[Jahr]]-$C$8)*12+Table356789[[#This Row],[Month nr]]</f>
        <v>62</v>
      </c>
      <c r="C72">
        <v>2013</v>
      </c>
      <c r="D72">
        <v>2</v>
      </c>
      <c r="E72" t="s">
        <v>14</v>
      </c>
      <c r="F72" t="str">
        <f>_xlfn.CONCAT(Table356789[[#This Row],[Monat]]," ",Table356789[[#This Row],[Jahr]])</f>
        <v>Februar 2013</v>
      </c>
      <c r="G72" s="7">
        <v>2510.1999999999998</v>
      </c>
      <c r="H72" s="7">
        <v>2494</v>
      </c>
      <c r="I72" s="7">
        <v>3332</v>
      </c>
      <c r="J72" s="7">
        <v>12461.700000000003</v>
      </c>
      <c r="K72" s="7">
        <v>12833</v>
      </c>
      <c r="L72" s="7">
        <v>17144</v>
      </c>
      <c r="M72" s="8">
        <f>Table356789[[#This Row],[Ausfuhr: Wert €]]*1000/Table356789[[#This Row],[Ausfuhr: Gewicht]]</f>
        <v>993.54633096964392</v>
      </c>
      <c r="N72" s="8">
        <f>Table356789[[#This Row],[Einfuhr: Wert €]]*1000/Table356789[[#This Row],[Einfuhr: Gewicht]]</f>
        <v>1029.7952927770687</v>
      </c>
      <c r="O72" s="8">
        <f>Table356789[[#This Row],[Ausfuhr: Wert $]]*1000/Table356789[[#This Row],[Ausfuhr: Gewicht]]</f>
        <v>1327.3842721695482</v>
      </c>
      <c r="P72" s="8">
        <f>Table356789[[#This Row],[Einfuhr: Wert $]]*1000/Table356789[[#This Row],[Einfuhr: Gewicht]]</f>
        <v>1375.7352528146237</v>
      </c>
    </row>
    <row r="73" spans="2:16" x14ac:dyDescent="0.25">
      <c r="B73">
        <f>(Table356789[[#This Row],[Jahr]]-$C$8)*12+Table356789[[#This Row],[Month nr]]</f>
        <v>63</v>
      </c>
      <c r="C73">
        <v>2013</v>
      </c>
      <c r="D73">
        <v>3</v>
      </c>
      <c r="E73" t="s">
        <v>15</v>
      </c>
      <c r="F73" t="str">
        <f>_xlfn.CONCAT(Table356789[[#This Row],[Monat]]," ",Table356789[[#This Row],[Jahr]])</f>
        <v>März 2013</v>
      </c>
      <c r="G73" s="6">
        <v>1358.8000000000002</v>
      </c>
      <c r="H73" s="6">
        <v>1424</v>
      </c>
      <c r="I73" s="6">
        <v>1847</v>
      </c>
      <c r="J73" s="6">
        <v>13733.400000000001</v>
      </c>
      <c r="K73" s="6">
        <v>14070</v>
      </c>
      <c r="L73" s="6">
        <v>18235</v>
      </c>
      <c r="M73" s="8">
        <f>Table356789[[#This Row],[Ausfuhr: Wert €]]*1000/Table356789[[#This Row],[Ausfuhr: Gewicht]]</f>
        <v>1047.9835148660582</v>
      </c>
      <c r="N73" s="8">
        <f>Table356789[[#This Row],[Einfuhr: Wert €]]*1000/Table356789[[#This Row],[Einfuhr: Gewicht]]</f>
        <v>1024.509589759273</v>
      </c>
      <c r="O73" s="8">
        <f>Table356789[[#This Row],[Ausfuhr: Wert $]]*1000/Table356789[[#This Row],[Ausfuhr: Gewicht]]</f>
        <v>1359.2876067118043</v>
      </c>
      <c r="P73" s="8">
        <f>Table356789[[#This Row],[Einfuhr: Wert $]]*1000/Table356789[[#This Row],[Einfuhr: Gewicht]]</f>
        <v>1327.7848165785601</v>
      </c>
    </row>
    <row r="74" spans="2:16" x14ac:dyDescent="0.25">
      <c r="B74">
        <f>(Table356789[[#This Row],[Jahr]]-$C$8)*12+Table356789[[#This Row],[Month nr]]</f>
        <v>64</v>
      </c>
      <c r="C74">
        <v>2013</v>
      </c>
      <c r="D74">
        <v>4</v>
      </c>
      <c r="E74" t="s">
        <v>16</v>
      </c>
      <c r="F74" t="str">
        <f>_xlfn.CONCAT(Table356789[[#This Row],[Monat]]," ",Table356789[[#This Row],[Jahr]])</f>
        <v>April 2013</v>
      </c>
      <c r="G74" s="7">
        <v>1355.5999999999997</v>
      </c>
      <c r="H74" s="7">
        <v>1408</v>
      </c>
      <c r="I74" s="7">
        <v>1835</v>
      </c>
      <c r="J74" s="7">
        <v>13168</v>
      </c>
      <c r="K74" s="7">
        <v>13686</v>
      </c>
      <c r="L74" s="7">
        <v>17829</v>
      </c>
      <c r="M74" s="8">
        <f>Table356789[[#This Row],[Ausfuhr: Wert €]]*1000/Table356789[[#This Row],[Ausfuhr: Gewicht]]</f>
        <v>1038.6544703452348</v>
      </c>
      <c r="N74" s="8">
        <f>Table356789[[#This Row],[Einfuhr: Wert €]]*1000/Table356789[[#This Row],[Einfuhr: Gewicht]]</f>
        <v>1039.3377885783718</v>
      </c>
      <c r="O74" s="8">
        <f>Table356789[[#This Row],[Ausfuhr: Wert $]]*1000/Table356789[[#This Row],[Ausfuhr: Gewicht]]</f>
        <v>1353.6441428149899</v>
      </c>
      <c r="P74" s="8">
        <f>Table356789[[#This Row],[Einfuhr: Wert $]]*1000/Table356789[[#This Row],[Einfuhr: Gewicht]]</f>
        <v>1353.9641555285541</v>
      </c>
    </row>
    <row r="75" spans="2:16" x14ac:dyDescent="0.25">
      <c r="B75">
        <f>(Table356789[[#This Row],[Jahr]]-$C$8)*12+Table356789[[#This Row],[Month nr]]</f>
        <v>65</v>
      </c>
      <c r="C75">
        <v>2013</v>
      </c>
      <c r="D75">
        <v>5</v>
      </c>
      <c r="E75" t="s">
        <v>20</v>
      </c>
      <c r="F75" t="str">
        <f>_xlfn.CONCAT(Table356789[[#This Row],[Monat]]," ",Table356789[[#This Row],[Jahr]])</f>
        <v>Mai 2013</v>
      </c>
      <c r="G75" s="6">
        <v>1621.6999999999996</v>
      </c>
      <c r="H75" s="6">
        <v>2474</v>
      </c>
      <c r="I75" s="6">
        <v>3214</v>
      </c>
      <c r="J75" s="6">
        <v>13005.800000000001</v>
      </c>
      <c r="K75" s="6">
        <v>16505</v>
      </c>
      <c r="L75" s="6">
        <v>21427</v>
      </c>
      <c r="M75" s="8">
        <f>Table356789[[#This Row],[Ausfuhr: Wert €]]*1000/Table356789[[#This Row],[Ausfuhr: Gewicht]]</f>
        <v>1525.5595979527659</v>
      </c>
      <c r="N75" s="8">
        <f>Table356789[[#This Row],[Einfuhr: Wert €]]*1000/Table356789[[#This Row],[Einfuhr: Gewicht]]</f>
        <v>1269.0491934367742</v>
      </c>
      <c r="O75" s="8">
        <f>Table356789[[#This Row],[Ausfuhr: Wert $]]*1000/Table356789[[#This Row],[Ausfuhr: Gewicht]]</f>
        <v>1981.8708762409822</v>
      </c>
      <c r="P75" s="8">
        <f>Table356789[[#This Row],[Einfuhr: Wert $]]*1000/Table356789[[#This Row],[Einfuhr: Gewicht]]</f>
        <v>1647.4957326731148</v>
      </c>
    </row>
    <row r="76" spans="2:16" x14ac:dyDescent="0.25">
      <c r="B76">
        <f>(Table356789[[#This Row],[Jahr]]-$C$8)*12+Table356789[[#This Row],[Month nr]]</f>
        <v>66</v>
      </c>
      <c r="C76">
        <v>2013</v>
      </c>
      <c r="D76">
        <v>6</v>
      </c>
      <c r="E76" t="s">
        <v>21</v>
      </c>
      <c r="F76" t="str">
        <f>_xlfn.CONCAT(Table356789[[#This Row],[Monat]]," ",Table356789[[#This Row],[Jahr]])</f>
        <v>Juni 2013</v>
      </c>
      <c r="G76" s="7">
        <v>1001.3000000000002</v>
      </c>
      <c r="H76" s="7">
        <v>1219</v>
      </c>
      <c r="I76" s="7">
        <v>1611</v>
      </c>
      <c r="J76" s="7">
        <v>12741.600000000002</v>
      </c>
      <c r="K76" s="7">
        <v>17511</v>
      </c>
      <c r="L76" s="7">
        <v>23100</v>
      </c>
      <c r="M76" s="8">
        <f>Table356789[[#This Row],[Ausfuhr: Wert €]]*1000/Table356789[[#This Row],[Ausfuhr: Gewicht]]</f>
        <v>1217.4173574353338</v>
      </c>
      <c r="N76" s="8">
        <f>Table356789[[#This Row],[Einfuhr: Wert €]]*1000/Table356789[[#This Row],[Einfuhr: Gewicht]]</f>
        <v>1374.3171972122807</v>
      </c>
      <c r="O76" s="8">
        <f>Table356789[[#This Row],[Ausfuhr: Wert $]]*1000/Table356789[[#This Row],[Ausfuhr: Gewicht]]</f>
        <v>1608.908419055228</v>
      </c>
      <c r="P76" s="8">
        <f>Table356789[[#This Row],[Einfuhr: Wert $]]*1000/Table356789[[#This Row],[Einfuhr: Gewicht]]</f>
        <v>1812.9591260124314</v>
      </c>
    </row>
    <row r="77" spans="2:16" x14ac:dyDescent="0.25">
      <c r="B77">
        <f>(Table356789[[#This Row],[Jahr]]-$C$8)*12+Table356789[[#This Row],[Month nr]]</f>
        <v>67</v>
      </c>
      <c r="C77">
        <v>2013</v>
      </c>
      <c r="D77">
        <v>7</v>
      </c>
      <c r="E77" t="s">
        <v>22</v>
      </c>
      <c r="F77" t="str">
        <f>_xlfn.CONCAT(Table356789[[#This Row],[Monat]]," ",Table356789[[#This Row],[Jahr]])</f>
        <v>Juli 2013</v>
      </c>
      <c r="G77" s="6">
        <v>2296.2999999999997</v>
      </c>
      <c r="H77" s="6">
        <v>2918</v>
      </c>
      <c r="I77" s="6">
        <v>3816</v>
      </c>
      <c r="J77" s="6">
        <v>12057.8</v>
      </c>
      <c r="K77" s="6">
        <v>17022</v>
      </c>
      <c r="L77" s="6">
        <v>22264</v>
      </c>
      <c r="M77" s="8">
        <f>Table356789[[#This Row],[Ausfuhr: Wert €]]*1000/Table356789[[#This Row],[Ausfuhr: Gewicht]]</f>
        <v>1270.7398859034099</v>
      </c>
      <c r="N77" s="8">
        <f>Table356789[[#This Row],[Einfuhr: Wert €]]*1000/Table356789[[#This Row],[Einfuhr: Gewicht]]</f>
        <v>1411.7003101726684</v>
      </c>
      <c r="O77" s="8">
        <f>Table356789[[#This Row],[Ausfuhr: Wert $]]*1000/Table356789[[#This Row],[Ausfuhr: Gewicht]]</f>
        <v>1661.8037712842402</v>
      </c>
      <c r="P77" s="8">
        <f>Table356789[[#This Row],[Einfuhr: Wert $]]*1000/Table356789[[#This Row],[Einfuhr: Gewicht]]</f>
        <v>1846.4396490238685</v>
      </c>
    </row>
    <row r="78" spans="2:16" x14ac:dyDescent="0.25">
      <c r="B78">
        <f>(Table356789[[#This Row],[Jahr]]-$C$8)*12+Table356789[[#This Row],[Month nr]]</f>
        <v>68</v>
      </c>
      <c r="C78">
        <v>2013</v>
      </c>
      <c r="D78">
        <v>8</v>
      </c>
      <c r="E78" t="s">
        <v>17</v>
      </c>
      <c r="F78" t="str">
        <f>_xlfn.CONCAT(Table356789[[#This Row],[Monat]]," ",Table356789[[#This Row],[Jahr]])</f>
        <v>August 2013</v>
      </c>
      <c r="G78" s="7">
        <v>3524.5000000000005</v>
      </c>
      <c r="H78" s="7">
        <v>4322</v>
      </c>
      <c r="I78" s="7">
        <v>5755</v>
      </c>
      <c r="J78" s="7">
        <v>13494.3</v>
      </c>
      <c r="K78" s="7">
        <v>19480</v>
      </c>
      <c r="L78" s="7">
        <v>25928</v>
      </c>
      <c r="M78" s="8">
        <f>Table356789[[#This Row],[Ausfuhr: Wert €]]*1000/Table356789[[#This Row],[Ausfuhr: Gewicht]]</f>
        <v>1226.2732302454247</v>
      </c>
      <c r="N78" s="8">
        <f>Table356789[[#This Row],[Einfuhr: Wert €]]*1000/Table356789[[#This Row],[Einfuhr: Gewicht]]</f>
        <v>1443.572471339751</v>
      </c>
      <c r="O78" s="8">
        <f>Table356789[[#This Row],[Ausfuhr: Wert $]]*1000/Table356789[[#This Row],[Ausfuhr: Gewicht]]</f>
        <v>1632.8557242162008</v>
      </c>
      <c r="P78" s="8">
        <f>Table356789[[#This Row],[Einfuhr: Wert $]]*1000/Table356789[[#This Row],[Einfuhr: Gewicht]]</f>
        <v>1921.4038519967692</v>
      </c>
    </row>
    <row r="79" spans="2:16" x14ac:dyDescent="0.25">
      <c r="B79">
        <f>(Table356789[[#This Row],[Jahr]]-$C$8)*12+Table356789[[#This Row],[Month nr]]</f>
        <v>69</v>
      </c>
      <c r="C79">
        <v>2013</v>
      </c>
      <c r="D79">
        <v>9</v>
      </c>
      <c r="E79" t="s">
        <v>18</v>
      </c>
      <c r="F79" t="str">
        <f>_xlfn.CONCAT(Table356789[[#This Row],[Monat]]," ",Table356789[[#This Row],[Jahr]])</f>
        <v>September 2013</v>
      </c>
      <c r="G79" s="6">
        <v>2350.0000000000005</v>
      </c>
      <c r="H79" s="6">
        <v>3527</v>
      </c>
      <c r="I79" s="6">
        <v>4707</v>
      </c>
      <c r="J79" s="6">
        <v>10281.000000000002</v>
      </c>
      <c r="K79" s="6">
        <v>15392</v>
      </c>
      <c r="L79" s="6">
        <v>20542</v>
      </c>
      <c r="M79" s="8">
        <f>Table356789[[#This Row],[Ausfuhr: Wert €]]*1000/Table356789[[#This Row],[Ausfuhr: Gewicht]]</f>
        <v>1500.8510638297869</v>
      </c>
      <c r="N79" s="8">
        <f>Table356789[[#This Row],[Einfuhr: Wert €]]*1000/Table356789[[#This Row],[Einfuhr: Gewicht]]</f>
        <v>1497.130629316214</v>
      </c>
      <c r="O79" s="8">
        <f>Table356789[[#This Row],[Ausfuhr: Wert $]]*1000/Table356789[[#This Row],[Ausfuhr: Gewicht]]</f>
        <v>2002.9787234042549</v>
      </c>
      <c r="P79" s="8">
        <f>Table356789[[#This Row],[Einfuhr: Wert $]]*1000/Table356789[[#This Row],[Einfuhr: Gewicht]]</f>
        <v>1998.0546639431959</v>
      </c>
    </row>
    <row r="80" spans="2:16" x14ac:dyDescent="0.25">
      <c r="B80">
        <f>(Table356789[[#This Row],[Jahr]]-$C$8)*12+Table356789[[#This Row],[Month nr]]</f>
        <v>70</v>
      </c>
      <c r="C80">
        <v>2013</v>
      </c>
      <c r="D80">
        <v>10</v>
      </c>
      <c r="E80" t="s">
        <v>23</v>
      </c>
      <c r="F80" t="str">
        <f>_xlfn.CONCAT(Table356789[[#This Row],[Monat]]," ",Table356789[[#This Row],[Jahr]])</f>
        <v>Oktober 2013</v>
      </c>
      <c r="G80" s="7">
        <v>1309.4000000000001</v>
      </c>
      <c r="H80" s="7">
        <v>1418</v>
      </c>
      <c r="I80" s="7">
        <v>1934</v>
      </c>
      <c r="J80" s="7">
        <v>12507.899999999998</v>
      </c>
      <c r="K80" s="7">
        <v>16098</v>
      </c>
      <c r="L80" s="7">
        <v>21947</v>
      </c>
      <c r="M80" s="8">
        <f>Table356789[[#This Row],[Ausfuhr: Wert €]]*1000/Table356789[[#This Row],[Ausfuhr: Gewicht]]</f>
        <v>1082.9387505727814</v>
      </c>
      <c r="N80" s="8">
        <f>Table356789[[#This Row],[Einfuhr: Wert €]]*1000/Table356789[[#This Row],[Einfuhr: Gewicht]]</f>
        <v>1287.0265991893125</v>
      </c>
      <c r="O80" s="8">
        <f>Table356789[[#This Row],[Ausfuhr: Wert $]]*1000/Table356789[[#This Row],[Ausfuhr: Gewicht]]</f>
        <v>1477.0123720788147</v>
      </c>
      <c r="P80" s="8">
        <f>Table356789[[#This Row],[Einfuhr: Wert $]]*1000/Table356789[[#This Row],[Einfuhr: Gewicht]]</f>
        <v>1754.6510605297456</v>
      </c>
    </row>
    <row r="81" spans="2:16" x14ac:dyDescent="0.25">
      <c r="B81">
        <f>(Table356789[[#This Row],[Jahr]]-$C$8)*12+Table356789[[#This Row],[Month nr]]</f>
        <v>71</v>
      </c>
      <c r="C81">
        <v>2013</v>
      </c>
      <c r="D81">
        <v>11</v>
      </c>
      <c r="E81" t="s">
        <v>19</v>
      </c>
      <c r="F81" t="str">
        <f>_xlfn.CONCAT(Table356789[[#This Row],[Monat]]," ",Table356789[[#This Row],[Jahr]])</f>
        <v>November 2013</v>
      </c>
      <c r="G81" s="6">
        <v>2195.6999999999998</v>
      </c>
      <c r="H81" s="6">
        <v>2093</v>
      </c>
      <c r="I81" s="6">
        <v>2823</v>
      </c>
      <c r="J81" s="6">
        <v>10754.2</v>
      </c>
      <c r="K81" s="6">
        <v>12303</v>
      </c>
      <c r="L81" s="6">
        <v>16602</v>
      </c>
      <c r="M81" s="8">
        <f>Table356789[[#This Row],[Ausfuhr: Wert €]]*1000/Table356789[[#This Row],[Ausfuhr: Gewicht]]</f>
        <v>953.22676139727662</v>
      </c>
      <c r="N81" s="8">
        <f>Table356789[[#This Row],[Einfuhr: Wert €]]*1000/Table356789[[#This Row],[Einfuhr: Gewicht]]</f>
        <v>1144.0181510479626</v>
      </c>
      <c r="O81" s="8">
        <f>Table356789[[#This Row],[Ausfuhr: Wert $]]*1000/Table356789[[#This Row],[Ausfuhr: Gewicht]]</f>
        <v>1285.6947670446784</v>
      </c>
      <c r="P81" s="8">
        <f>Table356789[[#This Row],[Einfuhr: Wert $]]*1000/Table356789[[#This Row],[Einfuhr: Gewicht]]</f>
        <v>1543.7689460861802</v>
      </c>
    </row>
    <row r="82" spans="2:16" x14ac:dyDescent="0.25">
      <c r="B82">
        <f>(Table356789[[#This Row],[Jahr]]-$C$8)*12+Table356789[[#This Row],[Month nr]]</f>
        <v>72</v>
      </c>
      <c r="C82">
        <v>2013</v>
      </c>
      <c r="D82">
        <v>12</v>
      </c>
      <c r="E82" t="s">
        <v>24</v>
      </c>
      <c r="F82" t="str">
        <f>_xlfn.CONCAT(Table356789[[#This Row],[Monat]]," ",Table356789[[#This Row],[Jahr]])</f>
        <v>Dezember 2013</v>
      </c>
      <c r="G82" s="7">
        <v>1570.7999999999997</v>
      </c>
      <c r="H82" s="7">
        <v>1477</v>
      </c>
      <c r="I82" s="7">
        <v>2024</v>
      </c>
      <c r="J82" s="7">
        <v>17245.400000000001</v>
      </c>
      <c r="K82" s="7">
        <v>19572</v>
      </c>
      <c r="L82" s="7">
        <v>26821</v>
      </c>
      <c r="M82" s="8">
        <f>Table356789[[#This Row],[Ausfuhr: Wert €]]*1000/Table356789[[#This Row],[Ausfuhr: Gewicht]]</f>
        <v>940.28520499108754</v>
      </c>
      <c r="N82" s="8">
        <f>Table356789[[#This Row],[Einfuhr: Wert €]]*1000/Table356789[[#This Row],[Einfuhr: Gewicht]]</f>
        <v>1134.9113386758206</v>
      </c>
      <c r="O82" s="8">
        <f>Table356789[[#This Row],[Ausfuhr: Wert $]]*1000/Table356789[[#This Row],[Ausfuhr: Gewicht]]</f>
        <v>1288.5154061624653</v>
      </c>
      <c r="P82" s="8">
        <f>Table356789[[#This Row],[Einfuhr: Wert $]]*1000/Table356789[[#This Row],[Einfuhr: Gewicht]]</f>
        <v>1555.2553144606677</v>
      </c>
    </row>
    <row r="83" spans="2:16" x14ac:dyDescent="0.25">
      <c r="B83">
        <f>(Table356789[[#This Row],[Jahr]]-$C$8)*12+Table356789[[#This Row],[Month nr]]</f>
        <v>73</v>
      </c>
      <c r="C83">
        <v>2014</v>
      </c>
      <c r="D83">
        <v>1</v>
      </c>
      <c r="E83" t="s">
        <v>13</v>
      </c>
      <c r="F83" t="str">
        <f>_xlfn.CONCAT(Table356789[[#This Row],[Monat]]," ",Table356789[[#This Row],[Jahr]])</f>
        <v>Januar 2014</v>
      </c>
      <c r="G83">
        <v>1921.8000000000002</v>
      </c>
      <c r="H83">
        <v>1953</v>
      </c>
      <c r="I83">
        <v>2661</v>
      </c>
      <c r="J83">
        <v>12464.699999999999</v>
      </c>
      <c r="K83">
        <v>12697</v>
      </c>
      <c r="L83">
        <v>17281</v>
      </c>
      <c r="M83" s="8">
        <f>Table356789[[#This Row],[Ausfuhr: Wert €]]*1000/Table356789[[#This Row],[Ausfuhr: Gewicht]]</f>
        <v>1016.2347798938495</v>
      </c>
      <c r="N83" s="8">
        <f>Table356789[[#This Row],[Einfuhr: Wert €]]*1000/Table356789[[#This Row],[Einfuhr: Gewicht]]</f>
        <v>1018.6366298426758</v>
      </c>
      <c r="O83" s="8">
        <f>Table356789[[#This Row],[Ausfuhr: Wert $]]*1000/Table356789[[#This Row],[Ausfuhr: Gewicht]]</f>
        <v>1384.6394005619729</v>
      </c>
      <c r="P83" s="8">
        <f>Table356789[[#This Row],[Einfuhr: Wert $]]*1000/Table356789[[#This Row],[Einfuhr: Gewicht]]</f>
        <v>1386.3951799882871</v>
      </c>
    </row>
    <row r="84" spans="2:16" x14ac:dyDescent="0.25">
      <c r="B84">
        <f>(Table356789[[#This Row],[Jahr]]-$C$8)*12+Table356789[[#This Row],[Month nr]]</f>
        <v>74</v>
      </c>
      <c r="C84">
        <v>2014</v>
      </c>
      <c r="D84">
        <v>2</v>
      </c>
      <c r="E84" t="s">
        <v>14</v>
      </c>
      <c r="F84" t="str">
        <f>_xlfn.CONCAT(Table356789[[#This Row],[Monat]]," ",Table356789[[#This Row],[Jahr]])</f>
        <v>Februar 2014</v>
      </c>
      <c r="G84">
        <v>1514.3999999999999</v>
      </c>
      <c r="H84">
        <v>1588</v>
      </c>
      <c r="I84">
        <v>2172</v>
      </c>
      <c r="J84">
        <v>11782.800000000003</v>
      </c>
      <c r="K84">
        <v>11816</v>
      </c>
      <c r="L84">
        <v>16139</v>
      </c>
      <c r="M84" s="8">
        <f>Table356789[[#This Row],[Ausfuhr: Wert €]]*1000/Table356789[[#This Row],[Ausfuhr: Gewicht]]</f>
        <v>1048.6001056524037</v>
      </c>
      <c r="N84" s="8">
        <f>Table356789[[#This Row],[Einfuhr: Wert €]]*1000/Table356789[[#This Row],[Einfuhr: Gewicht]]</f>
        <v>1002.8176664290319</v>
      </c>
      <c r="O84" s="8">
        <f>Table356789[[#This Row],[Ausfuhr: Wert $]]*1000/Table356789[[#This Row],[Ausfuhr: Gewicht]]</f>
        <v>1434.231378763867</v>
      </c>
      <c r="P84" s="8">
        <f>Table356789[[#This Row],[Einfuhr: Wert $]]*1000/Table356789[[#This Row],[Einfuhr: Gewicht]]</f>
        <v>1369.7083884984891</v>
      </c>
    </row>
    <row r="85" spans="2:16" x14ac:dyDescent="0.25">
      <c r="B85">
        <f>(Table356789[[#This Row],[Jahr]]-$C$8)*12+Table356789[[#This Row],[Month nr]]</f>
        <v>75</v>
      </c>
      <c r="C85">
        <v>2014</v>
      </c>
      <c r="D85">
        <v>3</v>
      </c>
      <c r="E85" t="s">
        <v>15</v>
      </c>
      <c r="F85" t="str">
        <f>_xlfn.CONCAT(Table356789[[#This Row],[Monat]]," ",Table356789[[#This Row],[Jahr]])</f>
        <v>März 2014</v>
      </c>
      <c r="G85">
        <v>1365.6000000000001</v>
      </c>
      <c r="H85">
        <v>1408</v>
      </c>
      <c r="I85">
        <v>1948</v>
      </c>
      <c r="J85">
        <v>11566.7</v>
      </c>
      <c r="K85">
        <v>11418</v>
      </c>
      <c r="L85">
        <v>15784</v>
      </c>
      <c r="M85" s="8">
        <f>Table356789[[#This Row],[Ausfuhr: Wert €]]*1000/Table356789[[#This Row],[Ausfuhr: Gewicht]]</f>
        <v>1031.0486233157585</v>
      </c>
      <c r="N85" s="8">
        <f>Table356789[[#This Row],[Einfuhr: Wert €]]*1000/Table356789[[#This Row],[Einfuhr: Gewicht]]</f>
        <v>987.14412926763896</v>
      </c>
      <c r="O85" s="8">
        <f>Table356789[[#This Row],[Ausfuhr: Wert $]]*1000/Table356789[[#This Row],[Ausfuhr: Gewicht]]</f>
        <v>1426.4792032806092</v>
      </c>
      <c r="P85" s="8">
        <f>Table356789[[#This Row],[Einfuhr: Wert $]]*1000/Table356789[[#This Row],[Einfuhr: Gewicht]]</f>
        <v>1364.607018423578</v>
      </c>
    </row>
    <row r="86" spans="2:16" x14ac:dyDescent="0.25">
      <c r="B86">
        <f>(Table356789[[#This Row],[Jahr]]-$C$8)*12+Table356789[[#This Row],[Month nr]]</f>
        <v>76</v>
      </c>
      <c r="C86">
        <v>2014</v>
      </c>
      <c r="D86">
        <v>4</v>
      </c>
      <c r="E86" t="s">
        <v>16</v>
      </c>
      <c r="F86" t="str">
        <f>_xlfn.CONCAT(Table356789[[#This Row],[Monat]]," ",Table356789[[#This Row],[Jahr]])</f>
        <v>April 2014</v>
      </c>
      <c r="G86" s="10">
        <v>1191.1000000000001</v>
      </c>
      <c r="H86" s="10">
        <v>1195</v>
      </c>
      <c r="I86" s="10">
        <v>1650</v>
      </c>
      <c r="J86" s="10">
        <v>14157.900000000001</v>
      </c>
      <c r="K86" s="10">
        <v>13321</v>
      </c>
      <c r="L86" s="10">
        <v>18404</v>
      </c>
      <c r="M86" s="8">
        <f>Table356789[[#This Row],[Ausfuhr: Wert €]]*1000/Table356789[[#This Row],[Ausfuhr: Gewicht]]</f>
        <v>1003.2742842750398</v>
      </c>
      <c r="N86" s="8">
        <f>Table356789[[#This Row],[Einfuhr: Wert €]]*1000/Table356789[[#This Row],[Einfuhr: Gewicht]]</f>
        <v>940.88812606389354</v>
      </c>
      <c r="O86" s="8">
        <f>Table356789[[#This Row],[Ausfuhr: Wert $]]*1000/Table356789[[#This Row],[Ausfuhr: Gewicht]]</f>
        <v>1385.2741163630255</v>
      </c>
      <c r="P86" s="8">
        <f>Table356789[[#This Row],[Einfuhr: Wert $]]*1000/Table356789[[#This Row],[Einfuhr: Gewicht]]</f>
        <v>1299.9102974311161</v>
      </c>
    </row>
    <row r="87" spans="2:16" x14ac:dyDescent="0.25">
      <c r="B87">
        <f>(Table356789[[#This Row],[Jahr]]-$C$8)*12+Table356789[[#This Row],[Month nr]]</f>
        <v>77</v>
      </c>
      <c r="C87">
        <v>2014</v>
      </c>
      <c r="D87">
        <v>5</v>
      </c>
      <c r="E87" t="s">
        <v>20</v>
      </c>
      <c r="F87" t="str">
        <f>_xlfn.CONCAT(Table356789[[#This Row],[Monat]]," ",Table356789[[#This Row],[Jahr]])</f>
        <v>Mai 2014</v>
      </c>
      <c r="G87">
        <v>1407.4999999999998</v>
      </c>
      <c r="H87">
        <v>1835</v>
      </c>
      <c r="I87">
        <v>2520</v>
      </c>
      <c r="J87">
        <v>13516.299999999997</v>
      </c>
      <c r="K87">
        <v>15602</v>
      </c>
      <c r="L87">
        <v>21428</v>
      </c>
      <c r="M87" s="8">
        <f>Table356789[[#This Row],[Ausfuhr: Wert €]]*1000/Table356789[[#This Row],[Ausfuhr: Gewicht]]</f>
        <v>1303.7300177619895</v>
      </c>
      <c r="N87" s="8">
        <f>Table356789[[#This Row],[Einfuhr: Wert €]]*1000/Table356789[[#This Row],[Einfuhr: Gewicht]]</f>
        <v>1154.3099812818598</v>
      </c>
      <c r="O87" s="8">
        <f>Table356789[[#This Row],[Ausfuhr: Wert $]]*1000/Table356789[[#This Row],[Ausfuhr: Gewicht]]</f>
        <v>1790.4085257548847</v>
      </c>
      <c r="P87" s="8">
        <f>Table356789[[#This Row],[Einfuhr: Wert $]]*1000/Table356789[[#This Row],[Einfuhr: Gewicht]]</f>
        <v>1585.3451018400008</v>
      </c>
    </row>
    <row r="88" spans="2:16" x14ac:dyDescent="0.25">
      <c r="B88">
        <f>(Table356789[[#This Row],[Jahr]]-$C$8)*12+Table356789[[#This Row],[Month nr]]</f>
        <v>78</v>
      </c>
      <c r="C88">
        <v>2014</v>
      </c>
      <c r="D88">
        <v>6</v>
      </c>
      <c r="E88" t="s">
        <v>21</v>
      </c>
      <c r="F88" t="str">
        <f>_xlfn.CONCAT(Table356789[[#This Row],[Monat]]," ",Table356789[[#This Row],[Jahr]])</f>
        <v>Juni 2014</v>
      </c>
      <c r="G88">
        <v>2146.1</v>
      </c>
      <c r="H88">
        <v>3236</v>
      </c>
      <c r="I88">
        <v>4395</v>
      </c>
      <c r="J88">
        <v>15442.6</v>
      </c>
      <c r="K88">
        <v>21469</v>
      </c>
      <c r="L88">
        <v>29181</v>
      </c>
      <c r="M88" s="8">
        <f>Table356789[[#This Row],[Ausfuhr: Wert €]]*1000/Table356789[[#This Row],[Ausfuhr: Gewicht]]</f>
        <v>1507.8514514701087</v>
      </c>
      <c r="N88" s="8">
        <f>Table356789[[#This Row],[Einfuhr: Wert €]]*1000/Table356789[[#This Row],[Einfuhr: Gewicht]]</f>
        <v>1390.2451659694611</v>
      </c>
      <c r="O88" s="8">
        <f>Table356789[[#This Row],[Ausfuhr: Wert $]]*1000/Table356789[[#This Row],[Ausfuhr: Gewicht]]</f>
        <v>2047.9008433903361</v>
      </c>
      <c r="P88" s="8">
        <f>Table356789[[#This Row],[Einfuhr: Wert $]]*1000/Table356789[[#This Row],[Einfuhr: Gewicht]]</f>
        <v>1889.6429357750637</v>
      </c>
    </row>
    <row r="89" spans="2:16" x14ac:dyDescent="0.25">
      <c r="B89">
        <f>(Table356789[[#This Row],[Jahr]]-$C$8)*12+Table356789[[#This Row],[Month nr]]</f>
        <v>79</v>
      </c>
      <c r="C89">
        <v>2014</v>
      </c>
      <c r="D89">
        <v>7</v>
      </c>
      <c r="E89" t="s">
        <v>22</v>
      </c>
      <c r="F89" t="str">
        <f>_xlfn.CONCAT(Table356789[[#This Row],[Monat]]," ",Table356789[[#This Row],[Jahr]])</f>
        <v>Juli 2014</v>
      </c>
      <c r="G89">
        <v>1961.7</v>
      </c>
      <c r="H89">
        <v>2760</v>
      </c>
      <c r="I89">
        <v>3735</v>
      </c>
      <c r="J89">
        <v>14284.3</v>
      </c>
      <c r="K89">
        <v>20919</v>
      </c>
      <c r="L89">
        <v>28323</v>
      </c>
      <c r="M89" s="8">
        <f>Table356789[[#This Row],[Ausfuhr: Wert €]]*1000/Table356789[[#This Row],[Ausfuhr: Gewicht]]</f>
        <v>1406.9429576387827</v>
      </c>
      <c r="N89" s="8">
        <f>Table356789[[#This Row],[Einfuhr: Wert €]]*1000/Table356789[[#This Row],[Einfuhr: Gewicht]]</f>
        <v>1464.4749830233193</v>
      </c>
      <c r="O89" s="8">
        <f>Table356789[[#This Row],[Ausfuhr: Wert $]]*1000/Table356789[[#This Row],[Ausfuhr: Gewicht]]</f>
        <v>1903.9608502829178</v>
      </c>
      <c r="P89" s="8">
        <f>Table356789[[#This Row],[Einfuhr: Wert $]]*1000/Table356789[[#This Row],[Einfuhr: Gewicht]]</f>
        <v>1982.8062978234846</v>
      </c>
    </row>
    <row r="90" spans="2:16" x14ac:dyDescent="0.25">
      <c r="B90">
        <f>(Table356789[[#This Row],[Jahr]]-$C$8)*12+Table356789[[#This Row],[Month nr]]</f>
        <v>80</v>
      </c>
      <c r="C90">
        <v>2014</v>
      </c>
      <c r="D90">
        <v>8</v>
      </c>
      <c r="E90" t="s">
        <v>17</v>
      </c>
      <c r="F90" t="str">
        <f>_xlfn.CONCAT(Table356789[[#This Row],[Monat]]," ",Table356789[[#This Row],[Jahr]])</f>
        <v>August 2014</v>
      </c>
      <c r="G90">
        <v>2464.4</v>
      </c>
      <c r="H90">
        <v>4377</v>
      </c>
      <c r="I90">
        <v>5831</v>
      </c>
      <c r="J90">
        <v>12354.9</v>
      </c>
      <c r="K90">
        <v>21534</v>
      </c>
      <c r="L90">
        <v>28675</v>
      </c>
      <c r="M90" s="8">
        <f>Table356789[[#This Row],[Ausfuhr: Wert €]]*1000/Table356789[[#This Row],[Ausfuhr: Gewicht]]</f>
        <v>1776.0915435805875</v>
      </c>
      <c r="N90" s="8">
        <f>Table356789[[#This Row],[Einfuhr: Wert €]]*1000/Table356789[[#This Row],[Einfuhr: Gewicht]]</f>
        <v>1742.9521890100284</v>
      </c>
      <c r="O90" s="8">
        <f>Table356789[[#This Row],[Ausfuhr: Wert $]]*1000/Table356789[[#This Row],[Ausfuhr: Gewicht]]</f>
        <v>2366.0931666937186</v>
      </c>
      <c r="P90" s="8">
        <f>Table356789[[#This Row],[Einfuhr: Wert $]]*1000/Table356789[[#This Row],[Einfuhr: Gewicht]]</f>
        <v>2320.9414888020137</v>
      </c>
    </row>
    <row r="91" spans="2:16" x14ac:dyDescent="0.25">
      <c r="B91">
        <f>(Table356789[[#This Row],[Jahr]]-$C$8)*12+Table356789[[#This Row],[Month nr]]</f>
        <v>81</v>
      </c>
      <c r="C91">
        <v>2014</v>
      </c>
      <c r="D91">
        <v>9</v>
      </c>
      <c r="E91" t="s">
        <v>18</v>
      </c>
      <c r="F91" t="str">
        <f>_xlfn.CONCAT(Table356789[[#This Row],[Monat]]," ",Table356789[[#This Row],[Jahr]])</f>
        <v>September 2014</v>
      </c>
      <c r="G91">
        <v>2147.5</v>
      </c>
      <c r="H91">
        <v>3569</v>
      </c>
      <c r="I91">
        <v>4609</v>
      </c>
      <c r="J91">
        <v>9741.0999999999985</v>
      </c>
      <c r="K91">
        <v>18821</v>
      </c>
      <c r="L91">
        <v>24279</v>
      </c>
      <c r="M91" s="8">
        <f>Table356789[[#This Row],[Ausfuhr: Wert €]]*1000/Table356789[[#This Row],[Ausfuhr: Gewicht]]</f>
        <v>1661.9324796274739</v>
      </c>
      <c r="N91" s="8">
        <f>Table356789[[#This Row],[Einfuhr: Wert €]]*1000/Table356789[[#This Row],[Einfuhr: Gewicht]]</f>
        <v>1932.122655552248</v>
      </c>
      <c r="O91" s="8">
        <f>Table356789[[#This Row],[Ausfuhr: Wert $]]*1000/Table356789[[#This Row],[Ausfuhr: Gewicht]]</f>
        <v>2146.2165308498252</v>
      </c>
      <c r="P91" s="8">
        <f>Table356789[[#This Row],[Einfuhr: Wert $]]*1000/Table356789[[#This Row],[Einfuhr: Gewicht]]</f>
        <v>2492.4289864594352</v>
      </c>
    </row>
    <row r="92" spans="2:16" x14ac:dyDescent="0.25">
      <c r="B92">
        <f>(Table356789[[#This Row],[Jahr]]-$C$8)*12+Table356789[[#This Row],[Month nr]]</f>
        <v>82</v>
      </c>
      <c r="C92">
        <v>2014</v>
      </c>
      <c r="D92">
        <v>10</v>
      </c>
      <c r="E92" t="s">
        <v>23</v>
      </c>
      <c r="F92" t="str">
        <f>_xlfn.CONCAT(Table356789[[#This Row],[Monat]]," ",Table356789[[#This Row],[Jahr]])</f>
        <v>Oktober 2014</v>
      </c>
      <c r="G92">
        <v>1681.5999999999997</v>
      </c>
      <c r="H92">
        <v>2292</v>
      </c>
      <c r="I92">
        <v>2907</v>
      </c>
      <c r="J92">
        <v>10821.800000000001</v>
      </c>
      <c r="K92">
        <v>16440</v>
      </c>
      <c r="L92">
        <v>20835</v>
      </c>
      <c r="M92" s="8">
        <f>Table356789[[#This Row],[Ausfuhr: Wert €]]*1000/Table356789[[#This Row],[Ausfuhr: Gewicht]]</f>
        <v>1362.9876308277833</v>
      </c>
      <c r="N92" s="8">
        <f>Table356789[[#This Row],[Einfuhr: Wert €]]*1000/Table356789[[#This Row],[Einfuhr: Gewicht]]</f>
        <v>1519.1557781515089</v>
      </c>
      <c r="O92" s="8">
        <f>Table356789[[#This Row],[Ausfuhr: Wert $]]*1000/Table356789[[#This Row],[Ausfuhr: Gewicht]]</f>
        <v>1728.7107516650813</v>
      </c>
      <c r="P92" s="8">
        <f>Table356789[[#This Row],[Einfuhr: Wert $]]*1000/Table356789[[#This Row],[Einfuhr: Gewicht]]</f>
        <v>1925.2804524201147</v>
      </c>
    </row>
    <row r="93" spans="2:16" x14ac:dyDescent="0.25">
      <c r="B93">
        <f>(Table356789[[#This Row],[Jahr]]-$C$8)*12+Table356789[[#This Row],[Month nr]]</f>
        <v>83</v>
      </c>
      <c r="C93">
        <v>2014</v>
      </c>
      <c r="D93">
        <v>11</v>
      </c>
      <c r="E93" t="s">
        <v>19</v>
      </c>
      <c r="F93" t="str">
        <f>_xlfn.CONCAT(Table356789[[#This Row],[Monat]]," ",Table356789[[#This Row],[Jahr]])</f>
        <v>November 2014</v>
      </c>
      <c r="G93">
        <v>1401.4000000000003</v>
      </c>
      <c r="H93">
        <v>1704</v>
      </c>
      <c r="I93">
        <v>2123</v>
      </c>
      <c r="J93">
        <v>11189.600000000002</v>
      </c>
      <c r="K93">
        <v>13672</v>
      </c>
      <c r="L93">
        <v>17054</v>
      </c>
      <c r="M93" s="8">
        <f>Table356789[[#This Row],[Ausfuhr: Wert €]]*1000/Table356789[[#This Row],[Ausfuhr: Gewicht]]</f>
        <v>1215.9269302126443</v>
      </c>
      <c r="N93" s="8">
        <f>Table356789[[#This Row],[Einfuhr: Wert €]]*1000/Table356789[[#This Row],[Einfuhr: Gewicht]]</f>
        <v>1221.8488596553941</v>
      </c>
      <c r="O93" s="8">
        <f>Table356789[[#This Row],[Ausfuhr: Wert $]]*1000/Table356789[[#This Row],[Ausfuhr: Gewicht]]</f>
        <v>1514.9136577708002</v>
      </c>
      <c r="P93" s="8">
        <f>Table356789[[#This Row],[Einfuhr: Wert $]]*1000/Table356789[[#This Row],[Einfuhr: Gewicht]]</f>
        <v>1524.093801387002</v>
      </c>
    </row>
    <row r="94" spans="2:16" x14ac:dyDescent="0.25">
      <c r="B94">
        <f>(Table356789[[#This Row],[Jahr]]-$C$8)*12+Table356789[[#This Row],[Month nr]]</f>
        <v>84</v>
      </c>
      <c r="C94">
        <v>2014</v>
      </c>
      <c r="D94">
        <v>12</v>
      </c>
      <c r="E94" t="s">
        <v>24</v>
      </c>
      <c r="F94" t="str">
        <f>_xlfn.CONCAT(Table356789[[#This Row],[Monat]]," ",Table356789[[#This Row],[Jahr]])</f>
        <v>Dezember 2014</v>
      </c>
      <c r="G94">
        <v>1810.6000000000006</v>
      </c>
      <c r="H94">
        <v>1830</v>
      </c>
      <c r="I94">
        <v>2260</v>
      </c>
      <c r="J94">
        <v>15749.1</v>
      </c>
      <c r="K94">
        <v>17535</v>
      </c>
      <c r="L94">
        <v>21623</v>
      </c>
      <c r="M94" s="8">
        <f>Table356789[[#This Row],[Ausfuhr: Wert €]]*1000/Table356789[[#This Row],[Ausfuhr: Gewicht]]</f>
        <v>1010.7146802165025</v>
      </c>
      <c r="N94" s="8">
        <f>Table356789[[#This Row],[Einfuhr: Wert €]]*1000/Table356789[[#This Row],[Einfuhr: Gewicht]]</f>
        <v>1113.3969560165342</v>
      </c>
      <c r="O94" s="8">
        <f>Table356789[[#This Row],[Ausfuhr: Wert $]]*1000/Table356789[[#This Row],[Ausfuhr: Gewicht]]</f>
        <v>1248.2050149121833</v>
      </c>
      <c r="P94" s="8">
        <f>Table356789[[#This Row],[Einfuhr: Wert $]]*1000/Table356789[[#This Row],[Einfuhr: Gewicht]]</f>
        <v>1372.9673441656983</v>
      </c>
    </row>
    <row r="95" spans="2:16" x14ac:dyDescent="0.25">
      <c r="B95">
        <f>(Table356789[[#This Row],[Jahr]]-$C$8)*12+Table356789[[#This Row],[Month nr]]</f>
        <v>85</v>
      </c>
      <c r="C95">
        <v>2015</v>
      </c>
      <c r="D95">
        <v>1</v>
      </c>
      <c r="E95" t="s">
        <v>13</v>
      </c>
      <c r="F95" t="str">
        <f>_xlfn.CONCAT(Table356789[[#This Row],[Monat]]," ",Table356789[[#This Row],[Jahr]])</f>
        <v>Januar 2015</v>
      </c>
      <c r="G95">
        <v>2364.5</v>
      </c>
      <c r="H95">
        <v>2560</v>
      </c>
      <c r="I95">
        <v>2972</v>
      </c>
      <c r="J95">
        <v>14694.6</v>
      </c>
      <c r="K95">
        <v>15676</v>
      </c>
      <c r="L95">
        <v>18219</v>
      </c>
      <c r="M95" s="8">
        <f>Table356789[[#This Row],[Ausfuhr: Wert €]]*1000/Table356789[[#This Row],[Ausfuhr: Gewicht]]</f>
        <v>1082.6813279763164</v>
      </c>
      <c r="N95" s="8">
        <f>Table356789[[#This Row],[Einfuhr: Wert €]]*1000/Table356789[[#This Row],[Einfuhr: Gewicht]]</f>
        <v>1066.78643855566</v>
      </c>
      <c r="O95" s="8">
        <f>Table356789[[#This Row],[Ausfuhr: Wert $]]*1000/Table356789[[#This Row],[Ausfuhr: Gewicht]]</f>
        <v>1256.9253541975047</v>
      </c>
      <c r="P95" s="8">
        <f>Table356789[[#This Row],[Einfuhr: Wert $]]*1000/Table356789[[#This Row],[Einfuhr: Gewicht]]</f>
        <v>1239.8432077089542</v>
      </c>
    </row>
    <row r="96" spans="2:16" x14ac:dyDescent="0.25">
      <c r="B96">
        <f>(Table356789[[#This Row],[Jahr]]-$C$8)*12+Table356789[[#This Row],[Month nr]]</f>
        <v>86</v>
      </c>
      <c r="C96">
        <v>2015</v>
      </c>
      <c r="D96">
        <v>2</v>
      </c>
      <c r="E96" t="s">
        <v>14</v>
      </c>
      <c r="F96" t="str">
        <f>_xlfn.CONCAT(Table356789[[#This Row],[Monat]]," ",Table356789[[#This Row],[Jahr]])</f>
        <v>Februar 2015</v>
      </c>
      <c r="G96">
        <v>2140.3999999999996</v>
      </c>
      <c r="H96">
        <v>1868</v>
      </c>
      <c r="I96">
        <v>2120</v>
      </c>
      <c r="J96">
        <v>10973.899999999998</v>
      </c>
      <c r="K96">
        <v>11236</v>
      </c>
      <c r="L96">
        <v>12751</v>
      </c>
      <c r="M96" s="8">
        <f>Table356789[[#This Row],[Ausfuhr: Wert €]]*1000/Table356789[[#This Row],[Ausfuhr: Gewicht]]</f>
        <v>872.7340683984304</v>
      </c>
      <c r="N96" s="8">
        <f>Table356789[[#This Row],[Einfuhr: Wert €]]*1000/Table356789[[#This Row],[Einfuhr: Gewicht]]</f>
        <v>1023.8839428097579</v>
      </c>
      <c r="O96" s="8">
        <f>Table356789[[#This Row],[Ausfuhr: Wert $]]*1000/Table356789[[#This Row],[Ausfuhr: Gewicht]]</f>
        <v>990.46907120164474</v>
      </c>
      <c r="P96" s="8">
        <f>Table356789[[#This Row],[Einfuhr: Wert $]]*1000/Table356789[[#This Row],[Einfuhr: Gewicht]]</f>
        <v>1161.9387820191548</v>
      </c>
    </row>
    <row r="97" spans="2:16" x14ac:dyDescent="0.25">
      <c r="B97">
        <f>(Table356789[[#This Row],[Jahr]]-$C$8)*12+Table356789[[#This Row],[Month nr]]</f>
        <v>87</v>
      </c>
      <c r="C97">
        <v>2015</v>
      </c>
      <c r="D97">
        <v>3</v>
      </c>
      <c r="E97" t="s">
        <v>15</v>
      </c>
      <c r="F97" t="str">
        <f>_xlfn.CONCAT(Table356789[[#This Row],[Monat]]," ",Table356789[[#This Row],[Jahr]])</f>
        <v>März 2015</v>
      </c>
      <c r="G97">
        <v>1383.8999999999999</v>
      </c>
      <c r="H97">
        <v>1508</v>
      </c>
      <c r="I97">
        <v>1631</v>
      </c>
      <c r="J97">
        <v>14883.599999999997</v>
      </c>
      <c r="K97">
        <v>15477</v>
      </c>
      <c r="L97">
        <v>16771</v>
      </c>
      <c r="M97" s="8">
        <f>Table356789[[#This Row],[Ausfuhr: Wert €]]*1000/Table356789[[#This Row],[Ausfuhr: Gewicht]]</f>
        <v>1089.6741094009683</v>
      </c>
      <c r="N97" s="8">
        <f>Table356789[[#This Row],[Einfuhr: Wert €]]*1000/Table356789[[#This Row],[Einfuhr: Gewicht]]</f>
        <v>1039.8693864387651</v>
      </c>
      <c r="O97" s="8">
        <f>Table356789[[#This Row],[Ausfuhr: Wert $]]*1000/Table356789[[#This Row],[Ausfuhr: Gewicht]]</f>
        <v>1178.553363682347</v>
      </c>
      <c r="P97" s="8">
        <f>Table356789[[#This Row],[Einfuhr: Wert $]]*1000/Table356789[[#This Row],[Einfuhr: Gewicht]]</f>
        <v>1126.8107178370826</v>
      </c>
    </row>
    <row r="98" spans="2:16" x14ac:dyDescent="0.25">
      <c r="B98">
        <f>(Table356789[[#This Row],[Jahr]]-$C$8)*12+Table356789[[#This Row],[Month nr]]</f>
        <v>88</v>
      </c>
      <c r="C98">
        <v>2015</v>
      </c>
      <c r="D98">
        <v>4</v>
      </c>
      <c r="E98" t="s">
        <v>16</v>
      </c>
      <c r="F98" t="str">
        <f>_xlfn.CONCAT(Table356789[[#This Row],[Monat]]," ",Table356789[[#This Row],[Jahr]])</f>
        <v>April 2015</v>
      </c>
      <c r="G98" s="10">
        <v>1855.5999999999997</v>
      </c>
      <c r="H98" s="10">
        <v>1921</v>
      </c>
      <c r="I98" s="10">
        <v>2070</v>
      </c>
      <c r="J98" s="10">
        <v>16059.900000000001</v>
      </c>
      <c r="K98" s="10">
        <v>16669</v>
      </c>
      <c r="L98" s="10">
        <v>17967</v>
      </c>
      <c r="M98" s="8">
        <f>Table356789[[#This Row],[Ausfuhr: Wert €]]*1000/Table356789[[#This Row],[Ausfuhr: Gewicht]]</f>
        <v>1035.2446647984482</v>
      </c>
      <c r="N98" s="8">
        <f>Table356789[[#This Row],[Einfuhr: Wert €]]*1000/Table356789[[#This Row],[Einfuhr: Gewicht]]</f>
        <v>1037.9267616859381</v>
      </c>
      <c r="O98" s="8">
        <f>Table356789[[#This Row],[Ausfuhr: Wert $]]*1000/Table356789[[#This Row],[Ausfuhr: Gewicht]]</f>
        <v>1115.542142703169</v>
      </c>
      <c r="P98" s="8">
        <f>Table356789[[#This Row],[Einfuhr: Wert $]]*1000/Table356789[[#This Row],[Einfuhr: Gewicht]]</f>
        <v>1118.7491827470906</v>
      </c>
    </row>
    <row r="99" spans="2:16" x14ac:dyDescent="0.25">
      <c r="B99">
        <f>(Table356789[[#This Row],[Jahr]]-$C$8)*12+Table356789[[#This Row],[Month nr]]</f>
        <v>89</v>
      </c>
      <c r="C99">
        <v>2015</v>
      </c>
      <c r="D99">
        <v>5</v>
      </c>
      <c r="E99" t="s">
        <v>20</v>
      </c>
      <c r="F99" t="str">
        <f>_xlfn.CONCAT(Table356789[[#This Row],[Monat]]," ",Table356789[[#This Row],[Jahr]])</f>
        <v>Mai 2015</v>
      </c>
      <c r="G99">
        <v>1987.3999999999999</v>
      </c>
      <c r="H99">
        <v>2403</v>
      </c>
      <c r="I99">
        <v>2677</v>
      </c>
      <c r="J99">
        <v>14477.800000000001</v>
      </c>
      <c r="K99">
        <v>17507</v>
      </c>
      <c r="L99">
        <v>19521</v>
      </c>
      <c r="M99" s="8">
        <f>Table356789[[#This Row],[Ausfuhr: Wert €]]*1000/Table356789[[#This Row],[Ausfuhr: Gewicht]]</f>
        <v>1209.1174398711885</v>
      </c>
      <c r="N99" s="8">
        <f>Table356789[[#This Row],[Einfuhr: Wert €]]*1000/Table356789[[#This Row],[Einfuhr: Gewicht]]</f>
        <v>1209.230684219978</v>
      </c>
      <c r="O99" s="8">
        <f>Table356789[[#This Row],[Ausfuhr: Wert $]]*1000/Table356789[[#This Row],[Ausfuhr: Gewicht]]</f>
        <v>1346.9860118748113</v>
      </c>
      <c r="P99" s="8">
        <f>Table356789[[#This Row],[Einfuhr: Wert $]]*1000/Table356789[[#This Row],[Einfuhr: Gewicht]]</f>
        <v>1348.3402174363507</v>
      </c>
    </row>
    <row r="100" spans="2:16" x14ac:dyDescent="0.25">
      <c r="B100">
        <f>(Table356789[[#This Row],[Jahr]]-$C$8)*12+Table356789[[#This Row],[Month nr]]</f>
        <v>90</v>
      </c>
      <c r="C100">
        <v>2015</v>
      </c>
      <c r="D100">
        <v>6</v>
      </c>
      <c r="E100" t="s">
        <v>21</v>
      </c>
      <c r="F100" t="str">
        <f>_xlfn.CONCAT(Table356789[[#This Row],[Monat]]," ",Table356789[[#This Row],[Jahr]])</f>
        <v>Juni 2015</v>
      </c>
      <c r="G100">
        <v>2686.7999999999993</v>
      </c>
      <c r="H100">
        <v>3478</v>
      </c>
      <c r="I100">
        <v>3901</v>
      </c>
      <c r="J100">
        <v>16110.200000000003</v>
      </c>
      <c r="K100">
        <v>20550</v>
      </c>
      <c r="L100">
        <v>23039</v>
      </c>
      <c r="M100" s="8">
        <f>Table356789[[#This Row],[Ausfuhr: Wert €]]*1000/Table356789[[#This Row],[Ausfuhr: Gewicht]]</f>
        <v>1294.4767009081438</v>
      </c>
      <c r="N100" s="8">
        <f>Table356789[[#This Row],[Einfuhr: Wert €]]*1000/Table356789[[#This Row],[Einfuhr: Gewicht]]</f>
        <v>1275.5893781579371</v>
      </c>
      <c r="O100" s="8">
        <f>Table356789[[#This Row],[Ausfuhr: Wert $]]*1000/Table356789[[#This Row],[Ausfuhr: Gewicht]]</f>
        <v>1451.9130564239993</v>
      </c>
      <c r="P100" s="8">
        <f>Table356789[[#This Row],[Einfuhr: Wert $]]*1000/Table356789[[#This Row],[Einfuhr: Gewicht]]</f>
        <v>1430.0877704808131</v>
      </c>
    </row>
    <row r="101" spans="2:16" x14ac:dyDescent="0.25">
      <c r="B101">
        <f>(Table356789[[#This Row],[Jahr]]-$C$8)*12+Table356789[[#This Row],[Month nr]]</f>
        <v>91</v>
      </c>
      <c r="C101">
        <v>2015</v>
      </c>
      <c r="D101">
        <v>7</v>
      </c>
      <c r="E101" t="s">
        <v>22</v>
      </c>
      <c r="F101" t="str">
        <f>_xlfn.CONCAT(Table356789[[#This Row],[Monat]]," ",Table356789[[#This Row],[Jahr]])</f>
        <v>Juli 2015</v>
      </c>
      <c r="G101">
        <v>2665.6999999999994</v>
      </c>
      <c r="H101">
        <v>4333</v>
      </c>
      <c r="I101">
        <v>4765</v>
      </c>
      <c r="J101">
        <v>17302.899999999994</v>
      </c>
      <c r="K101">
        <v>24738</v>
      </c>
      <c r="L101">
        <v>27204</v>
      </c>
      <c r="M101" s="8">
        <f>Table356789[[#This Row],[Ausfuhr: Wert €]]*1000/Table356789[[#This Row],[Ausfuhr: Gewicht]]</f>
        <v>1625.4642307836596</v>
      </c>
      <c r="N101" s="8">
        <f>Table356789[[#This Row],[Einfuhr: Wert €]]*1000/Table356789[[#This Row],[Einfuhr: Gewicht]]</f>
        <v>1429.7025354131392</v>
      </c>
      <c r="O101" s="8">
        <f>Table356789[[#This Row],[Ausfuhr: Wert $]]*1000/Table356789[[#This Row],[Ausfuhr: Gewicht]]</f>
        <v>1787.5229770791916</v>
      </c>
      <c r="P101" s="8">
        <f>Table356789[[#This Row],[Einfuhr: Wert $]]*1000/Table356789[[#This Row],[Einfuhr: Gewicht]]</f>
        <v>1572.2219974686329</v>
      </c>
    </row>
    <row r="102" spans="2:16" x14ac:dyDescent="0.25">
      <c r="B102">
        <f>(Table356789[[#This Row],[Jahr]]-$C$8)*12+Table356789[[#This Row],[Month nr]]</f>
        <v>92</v>
      </c>
      <c r="C102">
        <v>2015</v>
      </c>
      <c r="D102">
        <v>8</v>
      </c>
      <c r="E102" t="s">
        <v>17</v>
      </c>
      <c r="F102" t="str">
        <f>_xlfn.CONCAT(Table356789[[#This Row],[Monat]]," ",Table356789[[#This Row],[Jahr]])</f>
        <v>August 2015</v>
      </c>
      <c r="G102">
        <v>3066</v>
      </c>
      <c r="H102">
        <v>5431</v>
      </c>
      <c r="I102">
        <v>6049</v>
      </c>
      <c r="J102">
        <v>14038.7</v>
      </c>
      <c r="K102">
        <v>24577</v>
      </c>
      <c r="L102">
        <v>27372</v>
      </c>
      <c r="M102" s="8">
        <f>Table356789[[#This Row],[Ausfuhr: Wert €]]*1000/Table356789[[#This Row],[Ausfuhr: Gewicht]]</f>
        <v>1771.3633398564905</v>
      </c>
      <c r="N102" s="8">
        <f>Table356789[[#This Row],[Einfuhr: Wert €]]*1000/Table356789[[#This Row],[Einfuhr: Gewicht]]</f>
        <v>1750.660673709104</v>
      </c>
      <c r="O102" s="8">
        <f>Table356789[[#This Row],[Ausfuhr: Wert $]]*1000/Table356789[[#This Row],[Ausfuhr: Gewicht]]</f>
        <v>1972.9288975864317</v>
      </c>
      <c r="P102" s="8">
        <f>Table356789[[#This Row],[Einfuhr: Wert $]]*1000/Table356789[[#This Row],[Einfuhr: Gewicht]]</f>
        <v>1949.7531822747119</v>
      </c>
    </row>
    <row r="103" spans="2:16" x14ac:dyDescent="0.25">
      <c r="B103">
        <f>(Table356789[[#This Row],[Jahr]]-$C$8)*12+Table356789[[#This Row],[Month nr]]</f>
        <v>93</v>
      </c>
      <c r="C103">
        <v>2015</v>
      </c>
      <c r="D103">
        <v>9</v>
      </c>
      <c r="E103" t="s">
        <v>18</v>
      </c>
      <c r="F103" t="str">
        <f>_xlfn.CONCAT(Table356789[[#This Row],[Monat]]," ",Table356789[[#This Row],[Jahr]])</f>
        <v>September 2015</v>
      </c>
      <c r="G103">
        <v>2468.6999999999998</v>
      </c>
      <c r="H103">
        <v>4432</v>
      </c>
      <c r="I103">
        <v>4974</v>
      </c>
      <c r="J103">
        <v>10894.499999999998</v>
      </c>
      <c r="K103">
        <v>18789</v>
      </c>
      <c r="L103">
        <v>21082</v>
      </c>
      <c r="M103" s="8">
        <f>Table356789[[#This Row],[Ausfuhr: Wert €]]*1000/Table356789[[#This Row],[Ausfuhr: Gewicht]]</f>
        <v>1795.276866366914</v>
      </c>
      <c r="N103" s="8">
        <f>Table356789[[#This Row],[Einfuhr: Wert €]]*1000/Table356789[[#This Row],[Einfuhr: Gewicht]]</f>
        <v>1724.6316948919182</v>
      </c>
      <c r="O103" s="8">
        <f>Table356789[[#This Row],[Ausfuhr: Wert $]]*1000/Table356789[[#This Row],[Ausfuhr: Gewicht]]</f>
        <v>2014.8256167213515</v>
      </c>
      <c r="P103" s="8">
        <f>Table356789[[#This Row],[Einfuhr: Wert $]]*1000/Table356789[[#This Row],[Einfuhr: Gewicht]]</f>
        <v>1935.1048694295289</v>
      </c>
    </row>
    <row r="104" spans="2:16" x14ac:dyDescent="0.25">
      <c r="B104">
        <f>(Table356789[[#This Row],[Jahr]]-$C$8)*12+Table356789[[#This Row],[Month nr]]</f>
        <v>94</v>
      </c>
      <c r="C104">
        <v>2015</v>
      </c>
      <c r="D104">
        <v>10</v>
      </c>
      <c r="E104" t="s">
        <v>23</v>
      </c>
      <c r="F104" t="str">
        <f>_xlfn.CONCAT(Table356789[[#This Row],[Monat]]," ",Table356789[[#This Row],[Jahr]])</f>
        <v>Oktober 2015</v>
      </c>
      <c r="G104">
        <v>1263.4999999999998</v>
      </c>
      <c r="H104">
        <v>1995</v>
      </c>
      <c r="I104">
        <v>2243</v>
      </c>
      <c r="J104">
        <v>11939.100000000002</v>
      </c>
      <c r="K104">
        <v>19730</v>
      </c>
      <c r="L104">
        <v>22168</v>
      </c>
      <c r="M104" s="8">
        <f>Table356789[[#This Row],[Ausfuhr: Wert €]]*1000/Table356789[[#This Row],[Ausfuhr: Gewicht]]</f>
        <v>1578.9473684210529</v>
      </c>
      <c r="N104" s="8">
        <f>Table356789[[#This Row],[Einfuhr: Wert €]]*1000/Table356789[[#This Row],[Einfuhr: Gewicht]]</f>
        <v>1652.5533750450199</v>
      </c>
      <c r="O104" s="8">
        <f>Table356789[[#This Row],[Ausfuhr: Wert $]]*1000/Table356789[[#This Row],[Ausfuhr: Gewicht]]</f>
        <v>1775.2275425405624</v>
      </c>
      <c r="P104" s="8">
        <f>Table356789[[#This Row],[Einfuhr: Wert $]]*1000/Table356789[[#This Row],[Einfuhr: Gewicht]]</f>
        <v>1856.7563719208313</v>
      </c>
    </row>
    <row r="105" spans="2:16" x14ac:dyDescent="0.25">
      <c r="B105">
        <f>(Table356789[[#This Row],[Jahr]]-$C$8)*12+Table356789[[#This Row],[Month nr]]</f>
        <v>95</v>
      </c>
      <c r="C105">
        <v>2015</v>
      </c>
      <c r="D105">
        <v>11</v>
      </c>
      <c r="E105" t="s">
        <v>19</v>
      </c>
      <c r="F105" t="str">
        <f>_xlfn.CONCAT(Table356789[[#This Row],[Monat]]," ",Table356789[[#This Row],[Jahr]])</f>
        <v>November 2015</v>
      </c>
      <c r="G105">
        <v>3104.8000000000006</v>
      </c>
      <c r="H105">
        <v>3648</v>
      </c>
      <c r="I105">
        <v>3916</v>
      </c>
      <c r="J105">
        <v>13941.5</v>
      </c>
      <c r="K105">
        <v>21657</v>
      </c>
      <c r="L105">
        <v>23251</v>
      </c>
      <c r="M105" s="8">
        <f>Table356789[[#This Row],[Ausfuhr: Wert €]]*1000/Table356789[[#This Row],[Ausfuhr: Gewicht]]</f>
        <v>1174.9549085287294</v>
      </c>
      <c r="N105" s="8">
        <f>Table356789[[#This Row],[Einfuhr: Wert €]]*1000/Table356789[[#This Row],[Einfuhr: Gewicht]]</f>
        <v>1553.4196463795145</v>
      </c>
      <c r="O105" s="8">
        <f>Table356789[[#This Row],[Ausfuhr: Wert $]]*1000/Table356789[[#This Row],[Ausfuhr: Gewicht]]</f>
        <v>1261.2728678175724</v>
      </c>
      <c r="P105" s="8">
        <f>Table356789[[#This Row],[Einfuhr: Wert $]]*1000/Table356789[[#This Row],[Einfuhr: Gewicht]]</f>
        <v>1667.7545457805832</v>
      </c>
    </row>
    <row r="106" spans="2:16" x14ac:dyDescent="0.25">
      <c r="B106">
        <f>(Table356789[[#This Row],[Jahr]]-$C$8)*12+Table356789[[#This Row],[Month nr]]</f>
        <v>96</v>
      </c>
      <c r="C106">
        <v>2015</v>
      </c>
      <c r="D106">
        <v>12</v>
      </c>
      <c r="E106" t="s">
        <v>24</v>
      </c>
      <c r="F106" t="str">
        <f>_xlfn.CONCAT(Table356789[[#This Row],[Monat]]," ",Table356789[[#This Row],[Jahr]])</f>
        <v>Dezember 2015</v>
      </c>
      <c r="G106">
        <v>1871.3</v>
      </c>
      <c r="H106">
        <v>2535</v>
      </c>
      <c r="I106">
        <v>2760</v>
      </c>
      <c r="J106">
        <v>16672.999999999996</v>
      </c>
      <c r="K106">
        <v>23618</v>
      </c>
      <c r="L106">
        <v>25691</v>
      </c>
      <c r="M106" s="8">
        <f>Table356789[[#This Row],[Ausfuhr: Wert €]]*1000/Table356789[[#This Row],[Ausfuhr: Gewicht]]</f>
        <v>1354.6732218244001</v>
      </c>
      <c r="N106" s="8">
        <f>Table356789[[#This Row],[Einfuhr: Wert €]]*1000/Table356789[[#This Row],[Einfuhr: Gewicht]]</f>
        <v>1416.5417141486239</v>
      </c>
      <c r="O106" s="8">
        <f>Table356789[[#This Row],[Ausfuhr: Wert $]]*1000/Table356789[[#This Row],[Ausfuhr: Gewicht]]</f>
        <v>1474.9104900336665</v>
      </c>
      <c r="P106" s="8">
        <f>Table356789[[#This Row],[Einfuhr: Wert $]]*1000/Table356789[[#This Row],[Einfuhr: Gewicht]]</f>
        <v>1540.8744677022735</v>
      </c>
    </row>
    <row r="107" spans="2:16" x14ac:dyDescent="0.25">
      <c r="B107">
        <f>(Table356789[[#This Row],[Jahr]]-$C$8)*12+Table356789[[#This Row],[Month nr]]</f>
        <v>97</v>
      </c>
      <c r="C107">
        <v>2016</v>
      </c>
      <c r="D107">
        <v>1</v>
      </c>
      <c r="E107" t="s">
        <v>13</v>
      </c>
      <c r="F107" t="str">
        <f>_xlfn.CONCAT(Table356789[[#This Row],[Monat]]," ",Table356789[[#This Row],[Jahr]])</f>
        <v>Januar 2016</v>
      </c>
      <c r="G107">
        <v>1900.2999999999997</v>
      </c>
      <c r="H107">
        <v>2035</v>
      </c>
      <c r="I107">
        <v>2209</v>
      </c>
      <c r="J107">
        <v>17512.699999999997</v>
      </c>
      <c r="K107">
        <v>22037</v>
      </c>
      <c r="L107">
        <v>23937</v>
      </c>
      <c r="M107" s="8">
        <f>Table356789[[#This Row],[Ausfuhr: Wert €]]*1000/Table356789[[#This Row],[Ausfuhr: Gewicht]]</f>
        <v>1070.883544703468</v>
      </c>
      <c r="N107" s="8">
        <f>Table356789[[#This Row],[Einfuhr: Wert €]]*1000/Table356789[[#This Row],[Einfuhr: Gewicht]]</f>
        <v>1258.3439446801467</v>
      </c>
      <c r="O107" s="8">
        <f>Table356789[[#This Row],[Ausfuhr: Wert $]]*1000/Table356789[[#This Row],[Ausfuhr: Gewicht]]</f>
        <v>1162.4480345208653</v>
      </c>
      <c r="P107" s="8">
        <f>Table356789[[#This Row],[Einfuhr: Wert $]]*1000/Table356789[[#This Row],[Einfuhr: Gewicht]]</f>
        <v>1366.8366385537356</v>
      </c>
    </row>
    <row r="108" spans="2:16" x14ac:dyDescent="0.25">
      <c r="B108">
        <f>(Table356789[[#This Row],[Jahr]]-$C$8)*12+Table356789[[#This Row],[Month nr]]</f>
        <v>98</v>
      </c>
      <c r="C108">
        <v>2016</v>
      </c>
      <c r="D108">
        <v>2</v>
      </c>
      <c r="E108" t="s">
        <v>14</v>
      </c>
      <c r="F108" t="str">
        <f>_xlfn.CONCAT(Table356789[[#This Row],[Monat]]," ",Table356789[[#This Row],[Jahr]])</f>
        <v>Februar 2016</v>
      </c>
      <c r="G108">
        <v>1704.1000000000001</v>
      </c>
      <c r="H108">
        <v>2168</v>
      </c>
      <c r="I108">
        <v>2406</v>
      </c>
      <c r="J108">
        <v>13770.700000000003</v>
      </c>
      <c r="K108">
        <v>19260</v>
      </c>
      <c r="L108">
        <v>21364</v>
      </c>
      <c r="M108" s="8">
        <f>Table356789[[#This Row],[Ausfuhr: Wert €]]*1000/Table356789[[#This Row],[Ausfuhr: Gewicht]]</f>
        <v>1272.2258083445806</v>
      </c>
      <c r="N108" s="8">
        <f>Table356789[[#This Row],[Einfuhr: Wert €]]*1000/Table356789[[#This Row],[Einfuhr: Gewicht]]</f>
        <v>1398.6217113146024</v>
      </c>
      <c r="O108" s="8">
        <f>Table356789[[#This Row],[Ausfuhr: Wert $]]*1000/Table356789[[#This Row],[Ausfuhr: Gewicht]]</f>
        <v>1411.8889736517808</v>
      </c>
      <c r="P108" s="8">
        <f>Table356789[[#This Row],[Einfuhr: Wert $]]*1000/Table356789[[#This Row],[Einfuhr: Gewicht]]</f>
        <v>1551.4098774935185</v>
      </c>
    </row>
    <row r="109" spans="2:16" x14ac:dyDescent="0.25">
      <c r="B109">
        <f>(Table356789[[#This Row],[Jahr]]-$C$8)*12+Table356789[[#This Row],[Month nr]]</f>
        <v>99</v>
      </c>
      <c r="C109">
        <v>2016</v>
      </c>
      <c r="D109">
        <v>3</v>
      </c>
      <c r="E109" t="s">
        <v>15</v>
      </c>
      <c r="F109" t="str">
        <f>_xlfn.CONCAT(Table356789[[#This Row],[Monat]]," ",Table356789[[#This Row],[Jahr]])</f>
        <v>März 2016</v>
      </c>
      <c r="G109">
        <v>1141.8</v>
      </c>
      <c r="H109">
        <v>1661</v>
      </c>
      <c r="I109">
        <v>1843</v>
      </c>
      <c r="J109">
        <v>16057.4</v>
      </c>
      <c r="K109">
        <v>23447</v>
      </c>
      <c r="L109">
        <v>26024</v>
      </c>
      <c r="M109" s="8">
        <f>Table356789[[#This Row],[Ausfuhr: Wert €]]*1000/Table356789[[#This Row],[Ausfuhr: Gewicht]]</f>
        <v>1454.7206165703276</v>
      </c>
      <c r="N109" s="8">
        <f>Table356789[[#This Row],[Einfuhr: Wert €]]*1000/Table356789[[#This Row],[Einfuhr: Gewicht]]</f>
        <v>1460.1990359584988</v>
      </c>
      <c r="O109" s="8">
        <f>Table356789[[#This Row],[Ausfuhr: Wert $]]*1000/Table356789[[#This Row],[Ausfuhr: Gewicht]]</f>
        <v>1614.1180592047644</v>
      </c>
      <c r="P109" s="8">
        <f>Table356789[[#This Row],[Einfuhr: Wert $]]*1000/Table356789[[#This Row],[Einfuhr: Gewicht]]</f>
        <v>1620.685789729346</v>
      </c>
    </row>
    <row r="110" spans="2:16" x14ac:dyDescent="0.25">
      <c r="B110">
        <f>(Table356789[[#This Row],[Jahr]]-$C$8)*12+Table356789[[#This Row],[Month nr]]</f>
        <v>100</v>
      </c>
      <c r="C110">
        <v>2016</v>
      </c>
      <c r="D110">
        <v>4</v>
      </c>
      <c r="E110" t="s">
        <v>16</v>
      </c>
      <c r="F110" t="str">
        <f>_xlfn.CONCAT(Table356789[[#This Row],[Monat]]," ",Table356789[[#This Row],[Jahr]])</f>
        <v>April 2016</v>
      </c>
      <c r="G110" s="10">
        <v>1330.0000000000002</v>
      </c>
      <c r="H110" s="10">
        <v>1868</v>
      </c>
      <c r="I110" s="10">
        <v>2117</v>
      </c>
      <c r="J110" s="10">
        <v>16374</v>
      </c>
      <c r="K110" s="10">
        <v>22129</v>
      </c>
      <c r="L110" s="10">
        <v>25091</v>
      </c>
      <c r="M110" s="8">
        <f>Table356789[[#This Row],[Ausfuhr: Wert €]]*1000/Table356789[[#This Row],[Ausfuhr: Gewicht]]</f>
        <v>1404.5112781954886</v>
      </c>
      <c r="N110" s="8">
        <f>Table356789[[#This Row],[Einfuhr: Wert €]]*1000/Table356789[[#This Row],[Einfuhr: Gewicht]]</f>
        <v>1351.4718456088922</v>
      </c>
      <c r="O110" s="8">
        <f>Table356789[[#This Row],[Ausfuhr: Wert $]]*1000/Table356789[[#This Row],[Ausfuhr: Gewicht]]</f>
        <v>1591.7293233082703</v>
      </c>
      <c r="P110" s="8">
        <f>Table356789[[#This Row],[Einfuhr: Wert $]]*1000/Table356789[[#This Row],[Einfuhr: Gewicht]]</f>
        <v>1532.3683889092463</v>
      </c>
    </row>
    <row r="111" spans="2:16" x14ac:dyDescent="0.25">
      <c r="B111">
        <f>(Table356789[[#This Row],[Jahr]]-$C$8)*12+Table356789[[#This Row],[Month nr]]</f>
        <v>101</v>
      </c>
      <c r="C111">
        <v>2016</v>
      </c>
      <c r="D111">
        <v>5</v>
      </c>
      <c r="E111" t="s">
        <v>20</v>
      </c>
      <c r="F111" t="str">
        <f>_xlfn.CONCAT(Table356789[[#This Row],[Monat]]," ",Table356789[[#This Row],[Jahr]])</f>
        <v>Mai 2016</v>
      </c>
      <c r="G111">
        <v>1143.5999999999999</v>
      </c>
      <c r="H111">
        <v>2520</v>
      </c>
      <c r="I111">
        <v>2849</v>
      </c>
      <c r="J111">
        <v>15690.599999999999</v>
      </c>
      <c r="K111">
        <v>28614</v>
      </c>
      <c r="L111">
        <v>32362</v>
      </c>
      <c r="M111" s="8">
        <f>Table356789[[#This Row],[Ausfuhr: Wert €]]*1000/Table356789[[#This Row],[Ausfuhr: Gewicht]]</f>
        <v>2203.5676810073455</v>
      </c>
      <c r="N111" s="8">
        <f>Table356789[[#This Row],[Einfuhr: Wert €]]*1000/Table356789[[#This Row],[Einfuhr: Gewicht]]</f>
        <v>1823.6396313716493</v>
      </c>
      <c r="O111" s="8">
        <f>Table356789[[#This Row],[Ausfuhr: Wert $]]*1000/Table356789[[#This Row],[Ausfuhr: Gewicht]]</f>
        <v>2491.2556838055266</v>
      </c>
      <c r="P111" s="8">
        <f>Table356789[[#This Row],[Einfuhr: Wert $]]*1000/Table356789[[#This Row],[Einfuhr: Gewicht]]</f>
        <v>2062.5087632085456</v>
      </c>
    </row>
    <row r="112" spans="2:16" x14ac:dyDescent="0.25">
      <c r="B112">
        <f>(Table356789[[#This Row],[Jahr]]-$C$8)*12+Table356789[[#This Row],[Month nr]]</f>
        <v>102</v>
      </c>
      <c r="C112">
        <v>2016</v>
      </c>
      <c r="D112">
        <v>6</v>
      </c>
      <c r="E112" t="s">
        <v>21</v>
      </c>
      <c r="F112" t="str">
        <f>_xlfn.CONCAT(Table356789[[#This Row],[Monat]]," ",Table356789[[#This Row],[Jahr]])</f>
        <v>Juni 2016</v>
      </c>
      <c r="G112">
        <v>1642.4000000000003</v>
      </c>
      <c r="H112">
        <v>3881</v>
      </c>
      <c r="I112">
        <v>4357</v>
      </c>
      <c r="J112">
        <v>17240.2</v>
      </c>
      <c r="K112">
        <v>34039</v>
      </c>
      <c r="L112">
        <v>38226</v>
      </c>
      <c r="M112" s="8">
        <f>Table356789[[#This Row],[Ausfuhr: Wert €]]*1000/Table356789[[#This Row],[Ausfuhr: Gewicht]]</f>
        <v>2363.0053580126641</v>
      </c>
      <c r="N112" s="8">
        <f>Table356789[[#This Row],[Einfuhr: Wert €]]*1000/Table356789[[#This Row],[Einfuhr: Gewicht]]</f>
        <v>1974.397048758135</v>
      </c>
      <c r="O112" s="8">
        <f>Table356789[[#This Row],[Ausfuhr: Wert $]]*1000/Table356789[[#This Row],[Ausfuhr: Gewicht]]</f>
        <v>2652.8251339503163</v>
      </c>
      <c r="P112" s="8">
        <f>Table356789[[#This Row],[Einfuhr: Wert $]]*1000/Table356789[[#This Row],[Einfuhr: Gewicht]]</f>
        <v>2217.2596605607823</v>
      </c>
    </row>
    <row r="113" spans="2:16" x14ac:dyDescent="0.25">
      <c r="B113">
        <f>(Table356789[[#This Row],[Jahr]]-$C$8)*12+Table356789[[#This Row],[Month nr]]</f>
        <v>103</v>
      </c>
      <c r="C113">
        <v>2016</v>
      </c>
      <c r="D113">
        <v>7</v>
      </c>
      <c r="E113" t="s">
        <v>22</v>
      </c>
      <c r="F113" t="str">
        <f>_xlfn.CONCAT(Table356789[[#This Row],[Monat]]," ",Table356789[[#This Row],[Jahr]])</f>
        <v>Juli 2016</v>
      </c>
      <c r="G113">
        <v>2441.8999999999996</v>
      </c>
      <c r="H113">
        <v>5794</v>
      </c>
      <c r="I113">
        <v>6417</v>
      </c>
      <c r="J113">
        <v>13993.1</v>
      </c>
      <c r="K113">
        <v>30118</v>
      </c>
      <c r="L113">
        <v>33337</v>
      </c>
      <c r="M113" s="8">
        <f>Table356789[[#This Row],[Ausfuhr: Wert €]]*1000/Table356789[[#This Row],[Ausfuhr: Gewicht]]</f>
        <v>2372.7425365494087</v>
      </c>
      <c r="N113" s="8">
        <f>Table356789[[#This Row],[Einfuhr: Wert €]]*1000/Table356789[[#This Row],[Einfuhr: Gewicht]]</f>
        <v>2152.346513638865</v>
      </c>
      <c r="O113" s="8">
        <f>Table356789[[#This Row],[Ausfuhr: Wert $]]*1000/Table356789[[#This Row],[Ausfuhr: Gewicht]]</f>
        <v>2627.8717392194608</v>
      </c>
      <c r="P113" s="8">
        <f>Table356789[[#This Row],[Einfuhr: Wert $]]*1000/Table356789[[#This Row],[Einfuhr: Gewicht]]</f>
        <v>2382.3884628852793</v>
      </c>
    </row>
    <row r="114" spans="2:16" x14ac:dyDescent="0.25">
      <c r="B114">
        <f>(Table356789[[#This Row],[Jahr]]-$C$8)*12+Table356789[[#This Row],[Month nr]]</f>
        <v>104</v>
      </c>
      <c r="C114">
        <v>2016</v>
      </c>
      <c r="D114">
        <v>8</v>
      </c>
      <c r="E114" t="s">
        <v>17</v>
      </c>
      <c r="F114" t="str">
        <f>_xlfn.CONCAT(Table356789[[#This Row],[Monat]]," ",Table356789[[#This Row],[Jahr]])</f>
        <v>August 2016</v>
      </c>
      <c r="G114">
        <v>2016.3999999999996</v>
      </c>
      <c r="H114">
        <v>4951</v>
      </c>
      <c r="I114">
        <v>5552</v>
      </c>
      <c r="J114">
        <v>12199.699999999997</v>
      </c>
      <c r="K114">
        <v>26704</v>
      </c>
      <c r="L114">
        <v>29942</v>
      </c>
      <c r="M114" s="8">
        <f>Table356789[[#This Row],[Ausfuhr: Wert €]]*1000/Table356789[[#This Row],[Ausfuhr: Gewicht]]</f>
        <v>2455.3659988097602</v>
      </c>
      <c r="N114" s="8">
        <f>Table356789[[#This Row],[Einfuhr: Wert €]]*1000/Table356789[[#This Row],[Einfuhr: Gewicht]]</f>
        <v>2188.9062845807689</v>
      </c>
      <c r="O114" s="8">
        <f>Table356789[[#This Row],[Ausfuhr: Wert $]]*1000/Table356789[[#This Row],[Ausfuhr: Gewicht]]</f>
        <v>2753.4219400912521</v>
      </c>
      <c r="P114" s="8">
        <f>Table356789[[#This Row],[Einfuhr: Wert $]]*1000/Table356789[[#This Row],[Einfuhr: Gewicht]]</f>
        <v>2454.3226472782126</v>
      </c>
    </row>
    <row r="115" spans="2:16" x14ac:dyDescent="0.25">
      <c r="B115">
        <f>(Table356789[[#This Row],[Jahr]]-$C$8)*12+Table356789[[#This Row],[Month nr]]</f>
        <v>105</v>
      </c>
      <c r="C115">
        <v>2016</v>
      </c>
      <c r="D115">
        <v>9</v>
      </c>
      <c r="E115" t="s">
        <v>18</v>
      </c>
      <c r="F115" t="str">
        <f>_xlfn.CONCAT(Table356789[[#This Row],[Monat]]," ",Table356789[[#This Row],[Jahr]])</f>
        <v>September 2016</v>
      </c>
      <c r="G115">
        <v>1830.8000000000002</v>
      </c>
      <c r="H115">
        <v>3647</v>
      </c>
      <c r="I115">
        <v>4089</v>
      </c>
      <c r="J115">
        <v>11375.8</v>
      </c>
      <c r="K115">
        <v>22748</v>
      </c>
      <c r="L115">
        <v>25507</v>
      </c>
      <c r="M115" s="8">
        <f>Table356789[[#This Row],[Ausfuhr: Wert €]]*1000/Table356789[[#This Row],[Ausfuhr: Gewicht]]</f>
        <v>1992.0253441118634</v>
      </c>
      <c r="N115" s="8">
        <f>Table356789[[#This Row],[Einfuhr: Wert €]]*1000/Table356789[[#This Row],[Einfuhr: Gewicht]]</f>
        <v>1999.6835387401327</v>
      </c>
      <c r="O115" s="8">
        <f>Table356789[[#This Row],[Ausfuhr: Wert $]]*1000/Table356789[[#This Row],[Ausfuhr: Gewicht]]</f>
        <v>2233.4498579855799</v>
      </c>
      <c r="P115" s="8">
        <f>Table356789[[#This Row],[Einfuhr: Wert $]]*1000/Table356789[[#This Row],[Einfuhr: Gewicht]]</f>
        <v>2242.2159320663163</v>
      </c>
    </row>
    <row r="116" spans="2:16" x14ac:dyDescent="0.25">
      <c r="B116">
        <f>(Table356789[[#This Row],[Jahr]]-$C$8)*12+Table356789[[#This Row],[Month nr]]</f>
        <v>106</v>
      </c>
      <c r="C116">
        <v>2016</v>
      </c>
      <c r="D116">
        <v>10</v>
      </c>
      <c r="E116" t="s">
        <v>23</v>
      </c>
      <c r="F116" t="str">
        <f>_xlfn.CONCAT(Table356789[[#This Row],[Monat]]," ",Table356789[[#This Row],[Jahr]])</f>
        <v>Oktober 2016</v>
      </c>
      <c r="G116">
        <v>1944.9000000000003</v>
      </c>
      <c r="H116">
        <v>2443</v>
      </c>
      <c r="I116">
        <v>2699</v>
      </c>
      <c r="J116">
        <v>13005.4</v>
      </c>
      <c r="K116">
        <v>21039</v>
      </c>
      <c r="L116">
        <v>23196</v>
      </c>
      <c r="M116" s="8">
        <f>Table356789[[#This Row],[Ausfuhr: Wert €]]*1000/Table356789[[#This Row],[Ausfuhr: Gewicht]]</f>
        <v>1256.1057123759574</v>
      </c>
      <c r="N116" s="8">
        <f>Table356789[[#This Row],[Einfuhr: Wert €]]*1000/Table356789[[#This Row],[Einfuhr: Gewicht]]</f>
        <v>1617.7126424408323</v>
      </c>
      <c r="O116" s="8">
        <f>Table356789[[#This Row],[Ausfuhr: Wert $]]*1000/Table356789[[#This Row],[Ausfuhr: Gewicht]]</f>
        <v>1387.7320170702862</v>
      </c>
      <c r="P116" s="8">
        <f>Table356789[[#This Row],[Einfuhr: Wert $]]*1000/Table356789[[#This Row],[Einfuhr: Gewicht]]</f>
        <v>1783.5668260876253</v>
      </c>
    </row>
    <row r="117" spans="2:16" x14ac:dyDescent="0.25">
      <c r="B117">
        <f>(Table356789[[#This Row],[Jahr]]-$C$8)*12+Table356789[[#This Row],[Month nr]]</f>
        <v>107</v>
      </c>
      <c r="C117">
        <v>2016</v>
      </c>
      <c r="D117">
        <v>11</v>
      </c>
      <c r="E117" t="s">
        <v>19</v>
      </c>
      <c r="F117" t="str">
        <f>_xlfn.CONCAT(Table356789[[#This Row],[Monat]]," ",Table356789[[#This Row],[Jahr]])</f>
        <v>November 2016</v>
      </c>
      <c r="G117">
        <v>2220.4</v>
      </c>
      <c r="H117">
        <v>2517</v>
      </c>
      <c r="I117">
        <v>2716</v>
      </c>
      <c r="J117">
        <v>15143.199999999999</v>
      </c>
      <c r="K117">
        <v>22443</v>
      </c>
      <c r="L117">
        <v>24235</v>
      </c>
      <c r="M117" s="8">
        <f>Table356789[[#This Row],[Ausfuhr: Wert €]]*1000/Table356789[[#This Row],[Ausfuhr: Gewicht]]</f>
        <v>1133.5795352188795</v>
      </c>
      <c r="N117" s="8">
        <f>Table356789[[#This Row],[Einfuhr: Wert €]]*1000/Table356789[[#This Row],[Einfuhr: Gewicht]]</f>
        <v>1482.0513497807599</v>
      </c>
      <c r="O117" s="8">
        <f>Table356789[[#This Row],[Ausfuhr: Wert $]]*1000/Table356789[[#This Row],[Ausfuhr: Gewicht]]</f>
        <v>1223.2030264817149</v>
      </c>
      <c r="P117" s="8">
        <f>Table356789[[#This Row],[Einfuhr: Wert $]]*1000/Table356789[[#This Row],[Einfuhr: Gewicht]]</f>
        <v>1600.3882930952509</v>
      </c>
    </row>
    <row r="118" spans="2:16" x14ac:dyDescent="0.25">
      <c r="B118">
        <f>(Table356789[[#This Row],[Jahr]]-$C$8)*12+Table356789[[#This Row],[Month nr]]</f>
        <v>108</v>
      </c>
      <c r="C118">
        <v>2016</v>
      </c>
      <c r="D118">
        <v>12</v>
      </c>
      <c r="E118" t="s">
        <v>24</v>
      </c>
      <c r="F118" t="str">
        <f>_xlfn.CONCAT(Table356789[[#This Row],[Monat]]," ",Table356789[[#This Row],[Jahr]])</f>
        <v>Dezember 2016</v>
      </c>
      <c r="G118">
        <v>1672.8999999999999</v>
      </c>
      <c r="H118">
        <v>1959</v>
      </c>
      <c r="I118">
        <v>2067</v>
      </c>
      <c r="J118">
        <v>17464.500000000004</v>
      </c>
      <c r="K118">
        <v>21409</v>
      </c>
      <c r="L118">
        <v>22574</v>
      </c>
      <c r="M118" s="8">
        <f>Table356789[[#This Row],[Ausfuhr: Wert €]]*1000/Table356789[[#This Row],[Ausfuhr: Gewicht]]</f>
        <v>1171.02038376472</v>
      </c>
      <c r="N118" s="8">
        <f>Table356789[[#This Row],[Einfuhr: Wert €]]*1000/Table356789[[#This Row],[Einfuhr: Gewicht]]</f>
        <v>1225.8581694294137</v>
      </c>
      <c r="O118" s="8">
        <f>Table356789[[#This Row],[Ausfuhr: Wert $]]*1000/Table356789[[#This Row],[Ausfuhr: Gewicht]]</f>
        <v>1235.5789347839084</v>
      </c>
      <c r="P118" s="8">
        <f>Table356789[[#This Row],[Einfuhr: Wert $]]*1000/Table356789[[#This Row],[Einfuhr: Gewicht]]</f>
        <v>1292.5649174038763</v>
      </c>
    </row>
    <row r="119" spans="2:16" x14ac:dyDescent="0.25">
      <c r="B119">
        <f>(Table356789[[#This Row],[Jahr]]-$C$8)*12+Table356789[[#This Row],[Month nr]]</f>
        <v>109</v>
      </c>
      <c r="C119">
        <v>2017</v>
      </c>
      <c r="D119">
        <v>1</v>
      </c>
      <c r="E119" t="s">
        <v>13</v>
      </c>
      <c r="F119" t="str">
        <f>_xlfn.CONCAT(Table356789[[#This Row],[Monat]]," ",Table356789[[#This Row],[Jahr]])</f>
        <v>Januar 2017</v>
      </c>
      <c r="G119">
        <v>1626.5</v>
      </c>
      <c r="H119">
        <v>1772</v>
      </c>
      <c r="I119">
        <v>1879</v>
      </c>
      <c r="J119">
        <v>17887.2</v>
      </c>
      <c r="K119">
        <v>22981</v>
      </c>
      <c r="L119">
        <v>24391</v>
      </c>
      <c r="M119" s="8">
        <f>Table356789[[#This Row],[Ausfuhr: Wert €]]*1000/Table356789[[#This Row],[Ausfuhr: Gewicht]]</f>
        <v>1089.4558868736551</v>
      </c>
      <c r="N119" s="8">
        <f>Table356789[[#This Row],[Einfuhr: Wert €]]*1000/Table356789[[#This Row],[Einfuhr: Gewicht]]</f>
        <v>1284.77346929648</v>
      </c>
      <c r="O119" s="8">
        <f>Table356789[[#This Row],[Ausfuhr: Wert $]]*1000/Table356789[[#This Row],[Ausfuhr: Gewicht]]</f>
        <v>1155.2413157085766</v>
      </c>
      <c r="P119" s="8">
        <f>Table356789[[#This Row],[Einfuhr: Wert $]]*1000/Table356789[[#This Row],[Einfuhr: Gewicht]]</f>
        <v>1363.6007871550605</v>
      </c>
    </row>
    <row r="120" spans="2:16" x14ac:dyDescent="0.25">
      <c r="B120">
        <f>(Table356789[[#This Row],[Jahr]]-$C$8)*12+Table356789[[#This Row],[Month nr]]</f>
        <v>110</v>
      </c>
      <c r="C120">
        <v>2017</v>
      </c>
      <c r="D120">
        <v>2</v>
      </c>
      <c r="E120" t="s">
        <v>14</v>
      </c>
      <c r="F120" t="str">
        <f>_xlfn.CONCAT(Table356789[[#This Row],[Monat]]," ",Table356789[[#This Row],[Jahr]])</f>
        <v>Februar 2017</v>
      </c>
      <c r="G120">
        <v>1124.1000000000004</v>
      </c>
      <c r="H120">
        <v>1463</v>
      </c>
      <c r="I120">
        <v>1559</v>
      </c>
      <c r="J120">
        <v>15787.7</v>
      </c>
      <c r="K120">
        <v>19869</v>
      </c>
      <c r="L120">
        <v>21145</v>
      </c>
      <c r="M120" s="8">
        <f>Table356789[[#This Row],[Ausfuhr: Wert €]]*1000/Table356789[[#This Row],[Ausfuhr: Gewicht]]</f>
        <v>1301.4856329508048</v>
      </c>
      <c r="N120" s="8">
        <f>Table356789[[#This Row],[Einfuhr: Wert €]]*1000/Table356789[[#This Row],[Einfuhr: Gewicht]]</f>
        <v>1258.511372777542</v>
      </c>
      <c r="O120" s="8">
        <f>Table356789[[#This Row],[Ausfuhr: Wert $]]*1000/Table356789[[#This Row],[Ausfuhr: Gewicht]]</f>
        <v>1386.8872876078635</v>
      </c>
      <c r="P120" s="8">
        <f>Table356789[[#This Row],[Einfuhr: Wert $]]*1000/Table356789[[#This Row],[Einfuhr: Gewicht]]</f>
        <v>1339.3337851618664</v>
      </c>
    </row>
    <row r="121" spans="2:16" x14ac:dyDescent="0.25">
      <c r="B121">
        <f>(Table356789[[#This Row],[Jahr]]-$C$8)*12+Table356789[[#This Row],[Month nr]]</f>
        <v>111</v>
      </c>
      <c r="C121">
        <v>2017</v>
      </c>
      <c r="D121">
        <v>3</v>
      </c>
      <c r="E121" t="s">
        <v>15</v>
      </c>
      <c r="F121" t="str">
        <f>_xlfn.CONCAT(Table356789[[#This Row],[Monat]]," ",Table356789[[#This Row],[Jahr]])</f>
        <v>März 2017</v>
      </c>
      <c r="G121">
        <v>1072.8</v>
      </c>
      <c r="H121">
        <v>1394</v>
      </c>
      <c r="I121">
        <v>1491</v>
      </c>
      <c r="J121">
        <v>16228.600000000002</v>
      </c>
      <c r="K121">
        <v>19585</v>
      </c>
      <c r="L121">
        <v>20929</v>
      </c>
      <c r="M121" s="8">
        <f>Table356789[[#This Row],[Ausfuhr: Wert €]]*1000/Table356789[[#This Row],[Ausfuhr: Gewicht]]</f>
        <v>1299.4034302759135</v>
      </c>
      <c r="N121" s="8">
        <f>Table356789[[#This Row],[Einfuhr: Wert €]]*1000/Table356789[[#This Row],[Einfuhr: Gewicht]]</f>
        <v>1206.8200584153899</v>
      </c>
      <c r="O121" s="8">
        <f>Table356789[[#This Row],[Ausfuhr: Wert $]]*1000/Table356789[[#This Row],[Ausfuhr: Gewicht]]</f>
        <v>1389.8210290827742</v>
      </c>
      <c r="P121" s="8">
        <f>Table356789[[#This Row],[Einfuhr: Wert $]]*1000/Table356789[[#This Row],[Einfuhr: Gewicht]]</f>
        <v>1289.6368140196935</v>
      </c>
    </row>
    <row r="122" spans="2:16" x14ac:dyDescent="0.25">
      <c r="B122">
        <f>(Table356789[[#This Row],[Jahr]]-$C$8)*12+Table356789[[#This Row],[Month nr]]</f>
        <v>112</v>
      </c>
      <c r="C122">
        <v>2017</v>
      </c>
      <c r="D122">
        <v>4</v>
      </c>
      <c r="E122" t="s">
        <v>16</v>
      </c>
      <c r="F122" t="str">
        <f>_xlfn.CONCAT(Table356789[[#This Row],[Monat]]," ",Table356789[[#This Row],[Jahr]])</f>
        <v>April 2017</v>
      </c>
      <c r="G122">
        <v>1239.5999999999999</v>
      </c>
      <c r="H122">
        <v>1828</v>
      </c>
      <c r="I122">
        <v>1962</v>
      </c>
      <c r="J122">
        <v>16850.199999999997</v>
      </c>
      <c r="K122">
        <v>21826</v>
      </c>
      <c r="L122">
        <v>23403</v>
      </c>
      <c r="M122" s="8">
        <f>Table356789[[#This Row],[Ausfuhr: Wert €]]*1000/Table356789[[#This Row],[Ausfuhr: Gewicht]]</f>
        <v>1474.669248144563</v>
      </c>
      <c r="N122" s="8">
        <f>Table356789[[#This Row],[Einfuhr: Wert €]]*1000/Table356789[[#This Row],[Einfuhr: Gewicht]]</f>
        <v>1295.2961982647093</v>
      </c>
      <c r="O122" s="8">
        <f>Table356789[[#This Row],[Ausfuhr: Wert $]]*1000/Table356789[[#This Row],[Ausfuhr: Gewicht]]</f>
        <v>1582.7686350435627</v>
      </c>
      <c r="P122" s="8">
        <f>Table356789[[#This Row],[Einfuhr: Wert $]]*1000/Table356789[[#This Row],[Einfuhr: Gewicht]]</f>
        <v>1388.8855918624113</v>
      </c>
    </row>
    <row r="123" spans="2:16" x14ac:dyDescent="0.25">
      <c r="B123">
        <f>(Table356789[[#This Row],[Jahr]]-$C$8)*12+Table356789[[#This Row],[Month nr]]</f>
        <v>113</v>
      </c>
      <c r="C123">
        <v>2017</v>
      </c>
      <c r="D123">
        <v>5</v>
      </c>
      <c r="E123" t="s">
        <v>20</v>
      </c>
      <c r="F123" t="str">
        <f>_xlfn.CONCAT(Table356789[[#This Row],[Monat]]," ",Table356789[[#This Row],[Jahr]])</f>
        <v>Mai 2017</v>
      </c>
      <c r="G123">
        <v>1458.4</v>
      </c>
      <c r="H123">
        <v>2002</v>
      </c>
      <c r="I123">
        <v>2216</v>
      </c>
      <c r="J123">
        <v>17146.900000000001</v>
      </c>
      <c r="K123">
        <v>23441</v>
      </c>
      <c r="L123">
        <v>25920</v>
      </c>
      <c r="M123" s="8">
        <f>Table356789[[#This Row],[Ausfuhr: Wert €]]*1000/Table356789[[#This Row],[Ausfuhr: Gewicht]]</f>
        <v>1372.7372462973121</v>
      </c>
      <c r="N123" s="8">
        <f>Table356789[[#This Row],[Einfuhr: Wert €]]*1000/Table356789[[#This Row],[Einfuhr: Gewicht]]</f>
        <v>1367.0692661647295</v>
      </c>
      <c r="O123" s="8">
        <f>Table356789[[#This Row],[Ausfuhr: Wert $]]*1000/Table356789[[#This Row],[Ausfuhr: Gewicht]]</f>
        <v>1519.4733955019199</v>
      </c>
      <c r="P123" s="8">
        <f>Table356789[[#This Row],[Einfuhr: Wert $]]*1000/Table356789[[#This Row],[Einfuhr: Gewicht]]</f>
        <v>1511.6435040736226</v>
      </c>
    </row>
    <row r="124" spans="2:16" x14ac:dyDescent="0.25">
      <c r="B124">
        <f>(Table356789[[#This Row],[Jahr]]-$C$8)*12+Table356789[[#This Row],[Month nr]]</f>
        <v>114</v>
      </c>
      <c r="C124">
        <v>2017</v>
      </c>
      <c r="D124">
        <v>6</v>
      </c>
      <c r="E124" t="s">
        <v>21</v>
      </c>
      <c r="F124" t="str">
        <f>_xlfn.CONCAT(Table356789[[#This Row],[Monat]]," ",Table356789[[#This Row],[Jahr]])</f>
        <v>Juni 2017</v>
      </c>
      <c r="G124">
        <v>1577.4999999999998</v>
      </c>
      <c r="H124">
        <v>2230</v>
      </c>
      <c r="I124">
        <v>2504</v>
      </c>
      <c r="J124">
        <v>17468.3</v>
      </c>
      <c r="K124">
        <v>25603</v>
      </c>
      <c r="L124">
        <v>28746</v>
      </c>
      <c r="M124" s="8">
        <f>Table356789[[#This Row],[Ausfuhr: Wert €]]*1000/Table356789[[#This Row],[Ausfuhr: Gewicht]]</f>
        <v>1413.6291600633917</v>
      </c>
      <c r="N124" s="8">
        <f>Table356789[[#This Row],[Einfuhr: Wert €]]*1000/Table356789[[#This Row],[Einfuhr: Gewicht]]</f>
        <v>1465.6835524922287</v>
      </c>
      <c r="O124" s="8">
        <f>Table356789[[#This Row],[Ausfuhr: Wert $]]*1000/Table356789[[#This Row],[Ausfuhr: Gewicht]]</f>
        <v>1587.3217115689383</v>
      </c>
      <c r="P124" s="8">
        <f>Table356789[[#This Row],[Einfuhr: Wert $]]*1000/Table356789[[#This Row],[Einfuhr: Gewicht]]</f>
        <v>1645.6094754498149</v>
      </c>
    </row>
    <row r="125" spans="2:16" x14ac:dyDescent="0.25">
      <c r="B125">
        <f>(Table356789[[#This Row],[Jahr]]-$C$8)*12+Table356789[[#This Row],[Month nr]]</f>
        <v>115</v>
      </c>
      <c r="C125">
        <v>2017</v>
      </c>
      <c r="D125">
        <v>7</v>
      </c>
      <c r="E125" t="s">
        <v>22</v>
      </c>
      <c r="F125" t="str">
        <f>_xlfn.CONCAT(Table356789[[#This Row],[Monat]]," ",Table356789[[#This Row],[Jahr]])</f>
        <v>Juli 2017</v>
      </c>
      <c r="G125">
        <v>2035.4000000000003</v>
      </c>
      <c r="H125">
        <v>3617</v>
      </c>
      <c r="I125">
        <v>4162</v>
      </c>
      <c r="J125">
        <v>18392.299999999996</v>
      </c>
      <c r="K125">
        <v>28370</v>
      </c>
      <c r="L125">
        <v>32654</v>
      </c>
      <c r="M125" s="8">
        <f>Table356789[[#This Row],[Ausfuhr: Wert €]]*1000/Table356789[[#This Row],[Ausfuhr: Gewicht]]</f>
        <v>1777.0462808293207</v>
      </c>
      <c r="N125" s="8">
        <f>Table356789[[#This Row],[Einfuhr: Wert €]]*1000/Table356789[[#This Row],[Einfuhr: Gewicht]]</f>
        <v>1542.493326011429</v>
      </c>
      <c r="O125" s="8">
        <f>Table356789[[#This Row],[Ausfuhr: Wert $]]*1000/Table356789[[#This Row],[Ausfuhr: Gewicht]]</f>
        <v>2044.8069175592018</v>
      </c>
      <c r="P125" s="8">
        <f>Table356789[[#This Row],[Einfuhr: Wert $]]*1000/Table356789[[#This Row],[Einfuhr: Gewicht]]</f>
        <v>1775.4168864144237</v>
      </c>
    </row>
    <row r="126" spans="2:16" x14ac:dyDescent="0.25">
      <c r="B126">
        <f>(Table356789[[#This Row],[Jahr]]-$C$8)*12+Table356789[[#This Row],[Month nr]]</f>
        <v>116</v>
      </c>
      <c r="C126">
        <v>2017</v>
      </c>
      <c r="D126">
        <v>8</v>
      </c>
      <c r="E126" t="s">
        <v>17</v>
      </c>
      <c r="F126" t="str">
        <f>_xlfn.CONCAT(Table356789[[#This Row],[Monat]]," ",Table356789[[#This Row],[Jahr]])</f>
        <v>August 2017</v>
      </c>
      <c r="G126">
        <v>2475.9</v>
      </c>
      <c r="H126">
        <v>4243</v>
      </c>
      <c r="I126">
        <v>5010</v>
      </c>
      <c r="J126">
        <v>13743.500000000002</v>
      </c>
      <c r="K126">
        <v>22614</v>
      </c>
      <c r="L126">
        <v>26704</v>
      </c>
      <c r="M126" s="8">
        <f>Table356789[[#This Row],[Ausfuhr: Wert €]]*1000/Table356789[[#This Row],[Ausfuhr: Gewicht]]</f>
        <v>1713.7202633385839</v>
      </c>
      <c r="N126" s="8">
        <f>Table356789[[#This Row],[Einfuhr: Wert €]]*1000/Table356789[[#This Row],[Einfuhr: Gewicht]]</f>
        <v>1645.4323862189397</v>
      </c>
      <c r="O126" s="8">
        <f>Table356789[[#This Row],[Ausfuhr: Wert $]]*1000/Table356789[[#This Row],[Ausfuhr: Gewicht]]</f>
        <v>2023.5066036592752</v>
      </c>
      <c r="P126" s="8">
        <f>Table356789[[#This Row],[Einfuhr: Wert $]]*1000/Table356789[[#This Row],[Einfuhr: Gewicht]]</f>
        <v>1943.0276130534432</v>
      </c>
    </row>
    <row r="127" spans="2:16" x14ac:dyDescent="0.25">
      <c r="B127">
        <f>(Table356789[[#This Row],[Jahr]]-$C$8)*12+Table356789[[#This Row],[Month nr]]</f>
        <v>117</v>
      </c>
      <c r="C127">
        <v>2017</v>
      </c>
      <c r="D127">
        <v>9</v>
      </c>
      <c r="E127" t="s">
        <v>18</v>
      </c>
      <c r="F127" t="str">
        <f>_xlfn.CONCAT(Table356789[[#This Row],[Monat]]," ",Table356789[[#This Row],[Jahr]])</f>
        <v>September 2017</v>
      </c>
      <c r="G127">
        <v>2063.1</v>
      </c>
      <c r="H127">
        <v>3582</v>
      </c>
      <c r="I127">
        <v>4266</v>
      </c>
      <c r="J127">
        <v>13636</v>
      </c>
      <c r="K127">
        <v>22976</v>
      </c>
      <c r="L127">
        <v>27379</v>
      </c>
      <c r="M127" s="8">
        <f>Table356789[[#This Row],[Ausfuhr: Wert €]]*1000/Table356789[[#This Row],[Ausfuhr: Gewicht]]</f>
        <v>1736.2221899083904</v>
      </c>
      <c r="N127" s="8">
        <f>Table356789[[#This Row],[Einfuhr: Wert €]]*1000/Table356789[[#This Row],[Einfuhr: Gewicht]]</f>
        <v>1684.9515987092989</v>
      </c>
      <c r="O127" s="8">
        <f>Table356789[[#This Row],[Ausfuhr: Wert $]]*1000/Table356789[[#This Row],[Ausfuhr: Gewicht]]</f>
        <v>2067.7621055692889</v>
      </c>
      <c r="P127" s="8">
        <f>Table356789[[#This Row],[Einfuhr: Wert $]]*1000/Table356789[[#This Row],[Einfuhr: Gewicht]]</f>
        <v>2007.846875916691</v>
      </c>
    </row>
    <row r="128" spans="2:16" x14ac:dyDescent="0.25">
      <c r="B128">
        <f>(Table356789[[#This Row],[Jahr]]-$C$8)*12+Table356789[[#This Row],[Month nr]]</f>
        <v>118</v>
      </c>
      <c r="C128">
        <v>2017</v>
      </c>
      <c r="D128">
        <v>10</v>
      </c>
      <c r="E128" t="s">
        <v>23</v>
      </c>
      <c r="F128" t="str">
        <f>_xlfn.CONCAT(Table356789[[#This Row],[Monat]]," ",Table356789[[#This Row],[Jahr]])</f>
        <v>Oktober 2017</v>
      </c>
      <c r="G128">
        <v>1700.7</v>
      </c>
      <c r="H128">
        <v>2481</v>
      </c>
      <c r="I128">
        <v>2919</v>
      </c>
      <c r="J128">
        <v>13023.8</v>
      </c>
      <c r="K128">
        <v>20481</v>
      </c>
      <c r="L128">
        <v>24076</v>
      </c>
      <c r="M128" s="8">
        <f>Table356789[[#This Row],[Ausfuhr: Wert €]]*1000/Table356789[[#This Row],[Ausfuhr: Gewicht]]</f>
        <v>1458.8110777914976</v>
      </c>
      <c r="N128" s="8">
        <f>Table356789[[#This Row],[Einfuhr: Wert €]]*1000/Table356789[[#This Row],[Einfuhr: Gewicht]]</f>
        <v>1572.5825028025615</v>
      </c>
      <c r="O128" s="8">
        <f>Table356789[[#This Row],[Ausfuhr: Wert $]]*1000/Table356789[[#This Row],[Ausfuhr: Gewicht]]</f>
        <v>1716.3520903157523</v>
      </c>
      <c r="P128" s="8">
        <f>Table356789[[#This Row],[Einfuhr: Wert $]]*1000/Table356789[[#This Row],[Einfuhr: Gewicht]]</f>
        <v>1848.6156114190944</v>
      </c>
    </row>
    <row r="129" spans="2:16" x14ac:dyDescent="0.25">
      <c r="B129">
        <f>(Table356789[[#This Row],[Jahr]]-$C$8)*12+Table356789[[#This Row],[Month nr]]</f>
        <v>119</v>
      </c>
      <c r="C129">
        <v>2017</v>
      </c>
      <c r="D129">
        <v>11</v>
      </c>
      <c r="E129" t="s">
        <v>19</v>
      </c>
      <c r="F129" t="str">
        <f>_xlfn.CONCAT(Table356789[[#This Row],[Monat]]," ",Table356789[[#This Row],[Jahr]])</f>
        <v>November 2017</v>
      </c>
      <c r="G129">
        <v>1099.8</v>
      </c>
      <c r="H129">
        <v>1607</v>
      </c>
      <c r="I129">
        <v>1887</v>
      </c>
      <c r="J129">
        <v>14333.6</v>
      </c>
      <c r="K129">
        <v>22324</v>
      </c>
      <c r="L129">
        <v>26203</v>
      </c>
      <c r="M129" s="8">
        <f>Table356789[[#This Row],[Ausfuhr: Wert €]]*1000/Table356789[[#This Row],[Ausfuhr: Gewicht]]</f>
        <v>1461.1747590470995</v>
      </c>
      <c r="N129" s="8">
        <f>Table356789[[#This Row],[Einfuhr: Wert €]]*1000/Table356789[[#This Row],[Einfuhr: Gewicht]]</f>
        <v>1557.4593961042585</v>
      </c>
      <c r="O129" s="8">
        <f>Table356789[[#This Row],[Ausfuhr: Wert $]]*1000/Table356789[[#This Row],[Ausfuhr: Gewicht]]</f>
        <v>1715.7665030005455</v>
      </c>
      <c r="P129" s="8">
        <f>Table356789[[#This Row],[Einfuhr: Wert $]]*1000/Table356789[[#This Row],[Einfuhr: Gewicht]]</f>
        <v>1828.08226823687</v>
      </c>
    </row>
    <row r="130" spans="2:16" x14ac:dyDescent="0.25">
      <c r="B130">
        <f>(Table356789[[#This Row],[Jahr]]-$C$8)*12+Table356789[[#This Row],[Month nr]]</f>
        <v>120</v>
      </c>
      <c r="C130">
        <v>2017</v>
      </c>
      <c r="D130">
        <v>12</v>
      </c>
      <c r="E130" t="s">
        <v>24</v>
      </c>
      <c r="F130" t="str">
        <f>_xlfn.CONCAT(Table356789[[#This Row],[Monat]]," ",Table356789[[#This Row],[Jahr]])</f>
        <v>Dezember 2017</v>
      </c>
      <c r="G130">
        <v>1630.5</v>
      </c>
      <c r="H130">
        <v>2203</v>
      </c>
      <c r="I130">
        <v>2606</v>
      </c>
      <c r="J130">
        <v>18247.7</v>
      </c>
      <c r="K130">
        <v>27501</v>
      </c>
      <c r="L130">
        <v>32552</v>
      </c>
      <c r="M130" s="8">
        <f>Table356789[[#This Row],[Ausfuhr: Wert €]]*1000/Table356789[[#This Row],[Ausfuhr: Gewicht]]</f>
        <v>1351.1192885617909</v>
      </c>
      <c r="N130" s="8">
        <f>Table356789[[#This Row],[Einfuhr: Wert €]]*1000/Table356789[[#This Row],[Einfuhr: Gewicht]]</f>
        <v>1507.0940447289247</v>
      </c>
      <c r="O130" s="8">
        <f>Table356789[[#This Row],[Ausfuhr: Wert $]]*1000/Table356789[[#This Row],[Ausfuhr: Gewicht]]</f>
        <v>1598.2827353572525</v>
      </c>
      <c r="P130" s="8">
        <f>Table356789[[#This Row],[Einfuhr: Wert $]]*1000/Table356789[[#This Row],[Einfuhr: Gewicht]]</f>
        <v>1783.896052653211</v>
      </c>
    </row>
    <row r="131" spans="2:16" x14ac:dyDescent="0.25">
      <c r="B131">
        <f>(Table356789[[#This Row],[Jahr]]-$C$8)*12+Table356789[[#This Row],[Month nr]]</f>
        <v>121</v>
      </c>
      <c r="C131">
        <v>2018</v>
      </c>
      <c r="D131">
        <v>1</v>
      </c>
      <c r="E131" t="s">
        <v>13</v>
      </c>
      <c r="F131" t="str">
        <f>_xlfn.CONCAT(Table356789[[#This Row],[Monat]]," ",Table356789[[#This Row],[Jahr]])</f>
        <v>Januar 2018</v>
      </c>
      <c r="G131">
        <v>1400.1999999999998</v>
      </c>
      <c r="H131">
        <v>1638</v>
      </c>
      <c r="I131">
        <v>2001</v>
      </c>
      <c r="J131">
        <v>16177.399999999998</v>
      </c>
      <c r="K131">
        <v>22409</v>
      </c>
      <c r="L131">
        <v>27337</v>
      </c>
      <c r="M131" s="8">
        <f>Table356789[[#This Row],[Ausfuhr: Wert €]]*1000/Table356789[[#This Row],[Ausfuhr: Gewicht]]</f>
        <v>1169.8328810169978</v>
      </c>
      <c r="N131" s="8">
        <f>Table356789[[#This Row],[Einfuhr: Wert €]]*1000/Table356789[[#This Row],[Einfuhr: Gewicht]]</f>
        <v>1385.2040500945766</v>
      </c>
      <c r="O131" s="8">
        <f>Table356789[[#This Row],[Ausfuhr: Wert $]]*1000/Table356789[[#This Row],[Ausfuhr: Gewicht]]</f>
        <v>1429.0815597771748</v>
      </c>
      <c r="P131" s="8">
        <f>Table356789[[#This Row],[Einfuhr: Wert $]]*1000/Table356789[[#This Row],[Einfuhr: Gewicht]]</f>
        <v>1689.8265481474157</v>
      </c>
    </row>
    <row r="132" spans="2:16" x14ac:dyDescent="0.25">
      <c r="B132">
        <f>(Table356789[[#This Row],[Jahr]]-$C$8)*12+Table356789[[#This Row],[Month nr]]</f>
        <v>122</v>
      </c>
      <c r="C132">
        <v>2018</v>
      </c>
      <c r="D132">
        <v>2</v>
      </c>
      <c r="E132" t="s">
        <v>14</v>
      </c>
      <c r="F132" t="str">
        <f>_xlfn.CONCAT(Table356789[[#This Row],[Monat]]," ",Table356789[[#This Row],[Jahr]])</f>
        <v>Februar 2018</v>
      </c>
      <c r="G132">
        <v>1673.5</v>
      </c>
      <c r="H132">
        <v>1854</v>
      </c>
      <c r="I132">
        <v>2289</v>
      </c>
      <c r="J132">
        <v>16107.800000000001</v>
      </c>
      <c r="K132">
        <v>21817</v>
      </c>
      <c r="L132">
        <v>26939</v>
      </c>
      <c r="M132" s="8">
        <f>Table356789[[#This Row],[Ausfuhr: Wert €]]*1000/Table356789[[#This Row],[Ausfuhr: Gewicht]]</f>
        <v>1107.8577830893337</v>
      </c>
      <c r="N132" s="8">
        <f>Table356789[[#This Row],[Einfuhr: Wert €]]*1000/Table356789[[#This Row],[Einfuhr: Gewicht]]</f>
        <v>1354.4369808415797</v>
      </c>
      <c r="O132" s="8">
        <f>Table356789[[#This Row],[Ausfuhr: Wert $]]*1000/Table356789[[#This Row],[Ausfuhr: Gewicht]]</f>
        <v>1367.792052584404</v>
      </c>
      <c r="P132" s="8">
        <f>Table356789[[#This Row],[Einfuhr: Wert $]]*1000/Table356789[[#This Row],[Einfuhr: Gewicht]]</f>
        <v>1672.4195731260631</v>
      </c>
    </row>
    <row r="133" spans="2:16" x14ac:dyDescent="0.25">
      <c r="B133">
        <f>(Table356789[[#This Row],[Jahr]]-$C$8)*12+Table356789[[#This Row],[Month nr]]</f>
        <v>123</v>
      </c>
      <c r="C133">
        <v>2018</v>
      </c>
      <c r="D133">
        <v>3</v>
      </c>
      <c r="E133" t="s">
        <v>15</v>
      </c>
      <c r="F133" t="str">
        <f>_xlfn.CONCAT(Table356789[[#This Row],[Monat]]," ",Table356789[[#This Row],[Jahr]])</f>
        <v>März 2018</v>
      </c>
      <c r="G133" s="10">
        <v>1316.7999999999997</v>
      </c>
      <c r="H133" s="10">
        <v>1391</v>
      </c>
      <c r="I133" s="10">
        <v>1712</v>
      </c>
      <c r="J133" s="10">
        <v>17941</v>
      </c>
      <c r="K133" s="10">
        <v>22097</v>
      </c>
      <c r="L133" s="10">
        <v>27261</v>
      </c>
      <c r="M133" s="8">
        <f>Table356789[[#This Row],[Ausfuhr: Wert €]]*1000/Table356789[[#This Row],[Ausfuhr: Gewicht]]</f>
        <v>1056.34872417983</v>
      </c>
      <c r="N133" s="8">
        <f>Table356789[[#This Row],[Einfuhr: Wert €]]*1000/Table356789[[#This Row],[Einfuhr: Gewicht]]</f>
        <v>1231.6481801460343</v>
      </c>
      <c r="O133" s="8">
        <f>Table356789[[#This Row],[Ausfuhr: Wert $]]*1000/Table356789[[#This Row],[Ausfuhr: Gewicht]]</f>
        <v>1300.1215066828679</v>
      </c>
      <c r="P133" s="8">
        <f>Table356789[[#This Row],[Einfuhr: Wert $]]*1000/Table356789[[#This Row],[Einfuhr: Gewicht]]</f>
        <v>1519.4805194805194</v>
      </c>
    </row>
    <row r="134" spans="2:16" x14ac:dyDescent="0.25">
      <c r="B134">
        <f>(Table356789[[#This Row],[Jahr]]-$C$8)*12+Table356789[[#This Row],[Month nr]]</f>
        <v>124</v>
      </c>
      <c r="C134">
        <v>2018</v>
      </c>
      <c r="D134">
        <v>4</v>
      </c>
      <c r="E134" t="s">
        <v>16</v>
      </c>
      <c r="F134" t="str">
        <f>_xlfn.CONCAT(Table356789[[#This Row],[Monat]]," ",Table356789[[#This Row],[Jahr]])</f>
        <v>April 2018</v>
      </c>
      <c r="G134">
        <v>2084.6999999999998</v>
      </c>
      <c r="H134">
        <v>2106</v>
      </c>
      <c r="I134">
        <v>2587</v>
      </c>
      <c r="J134">
        <v>17319.699999999997</v>
      </c>
      <c r="K134">
        <v>22373</v>
      </c>
      <c r="L134">
        <v>27464</v>
      </c>
      <c r="M134" s="8">
        <f>Table356789[[#This Row],[Ausfuhr: Wert €]]*1000/Table356789[[#This Row],[Ausfuhr: Gewicht]]</f>
        <v>1010.217297452871</v>
      </c>
      <c r="N134" s="8">
        <f>Table356789[[#This Row],[Einfuhr: Wert €]]*1000/Table356789[[#This Row],[Einfuhr: Gewicht]]</f>
        <v>1291.7660236609181</v>
      </c>
      <c r="O134" s="8">
        <f>Table356789[[#This Row],[Ausfuhr: Wert $]]*1000/Table356789[[#This Row],[Ausfuhr: Gewicht]]</f>
        <v>1240.945939463712</v>
      </c>
      <c r="P134" s="8">
        <f>Table356789[[#This Row],[Einfuhr: Wert $]]*1000/Table356789[[#This Row],[Einfuhr: Gewicht]]</f>
        <v>1585.7087593895972</v>
      </c>
    </row>
    <row r="135" spans="2:16" x14ac:dyDescent="0.25">
      <c r="B135">
        <f>(Table356789[[#This Row],[Jahr]]-$C$8)*12+Table356789[[#This Row],[Month nr]]</f>
        <v>125</v>
      </c>
      <c r="C135">
        <v>2018</v>
      </c>
      <c r="D135">
        <v>5</v>
      </c>
      <c r="E135" t="s">
        <v>20</v>
      </c>
      <c r="F135" t="str">
        <f>_xlfn.CONCAT(Table356789[[#This Row],[Monat]]," ",Table356789[[#This Row],[Jahr]])</f>
        <v>Mai 2018</v>
      </c>
      <c r="G135">
        <v>1666.1000000000001</v>
      </c>
      <c r="H135">
        <v>2448</v>
      </c>
      <c r="I135">
        <v>2890</v>
      </c>
      <c r="J135">
        <v>19664.999999999996</v>
      </c>
      <c r="K135">
        <v>29850</v>
      </c>
      <c r="L135">
        <v>35261</v>
      </c>
      <c r="M135" s="8">
        <f>Table356789[[#This Row],[Ausfuhr: Wert €]]*1000/Table356789[[#This Row],[Ausfuhr: Gewicht]]</f>
        <v>1469.2995618510292</v>
      </c>
      <c r="N135" s="8">
        <f>Table356789[[#This Row],[Einfuhr: Wert €]]*1000/Table356789[[#This Row],[Einfuhr: Gewicht]]</f>
        <v>1517.9252479023648</v>
      </c>
      <c r="O135" s="8">
        <f>Table356789[[#This Row],[Ausfuhr: Wert $]]*1000/Table356789[[#This Row],[Ausfuhr: Gewicht]]</f>
        <v>1734.5897605185762</v>
      </c>
      <c r="P135" s="8">
        <f>Table356789[[#This Row],[Einfuhr: Wert $]]*1000/Table356789[[#This Row],[Einfuhr: Gewicht]]</f>
        <v>1793.084159674549</v>
      </c>
    </row>
    <row r="136" spans="2:16" x14ac:dyDescent="0.25">
      <c r="B136">
        <f>(Table356789[[#This Row],[Jahr]]-$C$8)*12+Table356789[[#This Row],[Month nr]]</f>
        <v>126</v>
      </c>
      <c r="C136">
        <v>2018</v>
      </c>
      <c r="D136">
        <v>6</v>
      </c>
      <c r="E136" t="s">
        <v>21</v>
      </c>
      <c r="F136" t="str">
        <f>_xlfn.CONCAT(Table356789[[#This Row],[Monat]]," ",Table356789[[#This Row],[Jahr]])</f>
        <v>Juni 2018</v>
      </c>
      <c r="G136">
        <v>1879.8000000000004</v>
      </c>
      <c r="H136">
        <v>3245</v>
      </c>
      <c r="I136">
        <v>3791</v>
      </c>
      <c r="J136">
        <v>18491.8</v>
      </c>
      <c r="K136">
        <v>33997</v>
      </c>
      <c r="L136">
        <v>39700</v>
      </c>
      <c r="M136" s="8">
        <f>Table356789[[#This Row],[Ausfuhr: Wert €]]*1000/Table356789[[#This Row],[Ausfuhr: Gewicht]]</f>
        <v>1726.2474731354396</v>
      </c>
      <c r="N136" s="8">
        <f>Table356789[[#This Row],[Einfuhr: Wert €]]*1000/Table356789[[#This Row],[Einfuhr: Gewicht]]</f>
        <v>1838.4905742004564</v>
      </c>
      <c r="O136" s="8">
        <f>Table356789[[#This Row],[Ausfuhr: Wert $]]*1000/Table356789[[#This Row],[Ausfuhr: Gewicht]]</f>
        <v>2016.7039046707091</v>
      </c>
      <c r="P136" s="8">
        <f>Table356789[[#This Row],[Einfuhr: Wert $]]*1000/Table356789[[#This Row],[Einfuhr: Gewicht]]</f>
        <v>2146.8975437761605</v>
      </c>
    </row>
    <row r="137" spans="2:16" x14ac:dyDescent="0.25">
      <c r="B137">
        <f>(Table356789[[#This Row],[Jahr]]-$C$8)*12+Table356789[[#This Row],[Month nr]]</f>
        <v>127</v>
      </c>
      <c r="C137">
        <v>2018</v>
      </c>
      <c r="D137">
        <v>7</v>
      </c>
      <c r="E137" t="s">
        <v>22</v>
      </c>
      <c r="F137" t="str">
        <f>_xlfn.CONCAT(Table356789[[#This Row],[Monat]]," ",Table356789[[#This Row],[Jahr]])</f>
        <v>Juli 2018</v>
      </c>
      <c r="G137">
        <v>2476.2000000000003</v>
      </c>
      <c r="H137">
        <v>4442</v>
      </c>
      <c r="I137">
        <v>5191</v>
      </c>
      <c r="J137">
        <v>17634.499999999996</v>
      </c>
      <c r="K137">
        <v>34311</v>
      </c>
      <c r="L137">
        <v>40102</v>
      </c>
      <c r="M137" s="8">
        <f>Table356789[[#This Row],[Ausfuhr: Wert €]]*1000/Table356789[[#This Row],[Ausfuhr: Gewicht]]</f>
        <v>1793.8777158549387</v>
      </c>
      <c r="N137" s="8">
        <f>Table356789[[#This Row],[Einfuhr: Wert €]]*1000/Table356789[[#This Row],[Einfuhr: Gewicht]]</f>
        <v>1945.6746718081038</v>
      </c>
      <c r="O137" s="8">
        <f>Table356789[[#This Row],[Ausfuhr: Wert $]]*1000/Table356789[[#This Row],[Ausfuhr: Gewicht]]</f>
        <v>2096.3573217026087</v>
      </c>
      <c r="P137" s="8">
        <f>Table356789[[#This Row],[Einfuhr: Wert $]]*1000/Table356789[[#This Row],[Einfuhr: Gewicht]]</f>
        <v>2274.0650429555703</v>
      </c>
    </row>
    <row r="138" spans="2:16" x14ac:dyDescent="0.25">
      <c r="B138">
        <f>(Table356789[[#This Row],[Jahr]]-$C$8)*12+Table356789[[#This Row],[Month nr]]</f>
        <v>128</v>
      </c>
      <c r="C138">
        <v>2018</v>
      </c>
      <c r="D138">
        <v>8</v>
      </c>
      <c r="E138" t="s">
        <v>17</v>
      </c>
      <c r="F138" t="str">
        <f>_xlfn.CONCAT(Table356789[[#This Row],[Monat]]," ",Table356789[[#This Row],[Jahr]])</f>
        <v>August 2018</v>
      </c>
      <c r="G138">
        <v>2153.5</v>
      </c>
      <c r="H138">
        <v>4271</v>
      </c>
      <c r="I138">
        <v>4931</v>
      </c>
      <c r="J138">
        <v>15491.599999999997</v>
      </c>
      <c r="K138">
        <v>31770</v>
      </c>
      <c r="L138">
        <v>36691</v>
      </c>
      <c r="M138" s="8">
        <f>Table356789[[#This Row],[Ausfuhr: Wert €]]*1000/Table356789[[#This Row],[Ausfuhr: Gewicht]]</f>
        <v>1983.2830276294405</v>
      </c>
      <c r="N138" s="8">
        <f>Table356789[[#This Row],[Einfuhr: Wert €]]*1000/Table356789[[#This Row],[Einfuhr: Gewicht]]</f>
        <v>2050.7888145833876</v>
      </c>
      <c r="O138" s="8">
        <f>Table356789[[#This Row],[Ausfuhr: Wert $]]*1000/Table356789[[#This Row],[Ausfuhr: Gewicht]]</f>
        <v>2289.7608544230325</v>
      </c>
      <c r="P138" s="8">
        <f>Table356789[[#This Row],[Einfuhr: Wert $]]*1000/Table356789[[#This Row],[Einfuhr: Gewicht]]</f>
        <v>2368.4448346200525</v>
      </c>
    </row>
    <row r="139" spans="2:16" x14ac:dyDescent="0.25">
      <c r="B139">
        <f>(Table356789[[#This Row],[Jahr]]-$C$8)*12+Table356789[[#This Row],[Month nr]]</f>
        <v>129</v>
      </c>
      <c r="C139">
        <v>2018</v>
      </c>
      <c r="D139">
        <v>9</v>
      </c>
      <c r="E139" t="s">
        <v>18</v>
      </c>
      <c r="F139" t="str">
        <f>_xlfn.CONCAT(Table356789[[#This Row],[Monat]]," ",Table356789[[#This Row],[Jahr]])</f>
        <v>September 2018</v>
      </c>
      <c r="G139">
        <v>1718.4</v>
      </c>
      <c r="H139">
        <v>3412</v>
      </c>
      <c r="I139">
        <v>3979</v>
      </c>
      <c r="J139">
        <v>13978.2</v>
      </c>
      <c r="K139">
        <v>28318</v>
      </c>
      <c r="L139">
        <v>33012</v>
      </c>
      <c r="M139" s="8">
        <f>Table356789[[#This Row],[Ausfuhr: Wert €]]*1000/Table356789[[#This Row],[Ausfuhr: Gewicht]]</f>
        <v>1985.5679702048417</v>
      </c>
      <c r="N139" s="8">
        <f>Table356789[[#This Row],[Einfuhr: Wert €]]*1000/Table356789[[#This Row],[Einfuhr: Gewicht]]</f>
        <v>2025.8688529281308</v>
      </c>
      <c r="O139" s="8">
        <f>Table356789[[#This Row],[Ausfuhr: Wert $]]*1000/Table356789[[#This Row],[Ausfuhr: Gewicht]]</f>
        <v>2315.5260707635007</v>
      </c>
      <c r="P139" s="8">
        <f>Table356789[[#This Row],[Einfuhr: Wert $]]*1000/Table356789[[#This Row],[Einfuhr: Gewicht]]</f>
        <v>2361.6774692020431</v>
      </c>
    </row>
    <row r="140" spans="2:16" x14ac:dyDescent="0.25">
      <c r="B140">
        <f>(Table356789[[#This Row],[Jahr]]-$C$8)*12+Table356789[[#This Row],[Month nr]]</f>
        <v>130</v>
      </c>
      <c r="C140">
        <v>2018</v>
      </c>
      <c r="D140">
        <v>10</v>
      </c>
      <c r="E140" t="s">
        <v>23</v>
      </c>
      <c r="F140" t="str">
        <f>_xlfn.CONCAT(Table356789[[#This Row],[Monat]]," ",Table356789[[#This Row],[Jahr]])</f>
        <v>Oktober 2018</v>
      </c>
      <c r="G140">
        <v>2144.7000000000003</v>
      </c>
      <c r="H140">
        <v>2708</v>
      </c>
      <c r="I140">
        <v>3112</v>
      </c>
      <c r="J140">
        <v>14393.9</v>
      </c>
      <c r="K140">
        <v>25204</v>
      </c>
      <c r="L140">
        <v>28943</v>
      </c>
      <c r="M140" s="8">
        <f>Table356789[[#This Row],[Ausfuhr: Wert €]]*1000/Table356789[[#This Row],[Ausfuhr: Gewicht]]</f>
        <v>1262.6474565207254</v>
      </c>
      <c r="N140" s="8">
        <f>Table356789[[#This Row],[Einfuhr: Wert €]]*1000/Table356789[[#This Row],[Einfuhr: Gewicht]]</f>
        <v>1751.0195291060797</v>
      </c>
      <c r="O140" s="8">
        <f>Table356789[[#This Row],[Ausfuhr: Wert $]]*1000/Table356789[[#This Row],[Ausfuhr: Gewicht]]</f>
        <v>1451.0187905068306</v>
      </c>
      <c r="P140" s="8">
        <f>Table356789[[#This Row],[Einfuhr: Wert $]]*1000/Table356789[[#This Row],[Einfuhr: Gewicht]]</f>
        <v>2010.7823452990503</v>
      </c>
    </row>
    <row r="141" spans="2:16" x14ac:dyDescent="0.25">
      <c r="B141">
        <f>(Table356789[[#This Row],[Jahr]]-$C$8)*12+Table356789[[#This Row],[Month nr]]</f>
        <v>131</v>
      </c>
      <c r="C141">
        <v>2018</v>
      </c>
      <c r="D141">
        <v>11</v>
      </c>
      <c r="E141" t="s">
        <v>19</v>
      </c>
      <c r="F141" t="str">
        <f>_xlfn.CONCAT(Table356789[[#This Row],[Monat]]," ",Table356789[[#This Row],[Jahr]])</f>
        <v>November 2018</v>
      </c>
      <c r="G141">
        <v>1155.5</v>
      </c>
      <c r="H141">
        <v>1383</v>
      </c>
      <c r="I141">
        <v>1575</v>
      </c>
      <c r="J141">
        <v>15607.800000000001</v>
      </c>
      <c r="K141">
        <v>23724</v>
      </c>
      <c r="L141">
        <v>26965</v>
      </c>
      <c r="M141" s="8">
        <f>Table356789[[#This Row],[Ausfuhr: Wert €]]*1000/Table356789[[#This Row],[Ausfuhr: Gewicht]]</f>
        <v>1196.8844655993078</v>
      </c>
      <c r="N141" s="8">
        <f>Table356789[[#This Row],[Einfuhr: Wert €]]*1000/Table356789[[#This Row],[Einfuhr: Gewicht]]</f>
        <v>1520.0092261561526</v>
      </c>
      <c r="O141" s="8">
        <f>Table356789[[#This Row],[Ausfuhr: Wert $]]*1000/Table356789[[#This Row],[Ausfuhr: Gewicht]]</f>
        <v>1363.0463003028992</v>
      </c>
      <c r="P141" s="8">
        <f>Table356789[[#This Row],[Einfuhr: Wert $]]*1000/Table356789[[#This Row],[Einfuhr: Gewicht]]</f>
        <v>1727.6618101205806</v>
      </c>
    </row>
    <row r="142" spans="2:16" x14ac:dyDescent="0.25">
      <c r="B142">
        <f>(Table356789[[#This Row],[Jahr]]-$C$8)*12+Table356789[[#This Row],[Month nr]]</f>
        <v>132</v>
      </c>
      <c r="C142">
        <v>2018</v>
      </c>
      <c r="D142">
        <v>12</v>
      </c>
      <c r="E142" t="s">
        <v>24</v>
      </c>
      <c r="F142" t="str">
        <f>_xlfn.CONCAT(Table356789[[#This Row],[Monat]]," ",Table356789[[#This Row],[Jahr]])</f>
        <v>Dezember 2018</v>
      </c>
      <c r="G142">
        <v>914.69999999999982</v>
      </c>
      <c r="H142">
        <v>1368</v>
      </c>
      <c r="I142">
        <v>1556</v>
      </c>
      <c r="J142">
        <v>16003.399999999998</v>
      </c>
      <c r="K142">
        <v>23377</v>
      </c>
      <c r="L142">
        <v>26611</v>
      </c>
      <c r="M142" s="8">
        <f>Table356789[[#This Row],[Ausfuhr: Wert €]]*1000/Table356789[[#This Row],[Ausfuhr: Gewicht]]</f>
        <v>1495.5723187930471</v>
      </c>
      <c r="N142" s="8">
        <f>Table356789[[#This Row],[Einfuhr: Wert €]]*1000/Table356789[[#This Row],[Einfuhr: Gewicht]]</f>
        <v>1460.7520901808368</v>
      </c>
      <c r="O142" s="8">
        <f>Table356789[[#This Row],[Ausfuhr: Wert $]]*1000/Table356789[[#This Row],[Ausfuhr: Gewicht]]</f>
        <v>1701.1041871651912</v>
      </c>
      <c r="P142" s="8">
        <f>Table356789[[#This Row],[Einfuhr: Wert $]]*1000/Table356789[[#This Row],[Einfuhr: Gewicht]]</f>
        <v>1662.8341477436047</v>
      </c>
    </row>
    <row r="143" spans="2:16" x14ac:dyDescent="0.25">
      <c r="B143">
        <f>(Table356789[[#This Row],[Jahr]]-$C$8)*12+Table356789[[#This Row],[Month nr]]</f>
        <v>133</v>
      </c>
      <c r="C143">
        <v>2019</v>
      </c>
      <c r="D143">
        <v>1</v>
      </c>
      <c r="E143" t="s">
        <v>13</v>
      </c>
      <c r="F143" t="str">
        <f>_xlfn.CONCAT(Table356789[[#This Row],[Monat]]," ",Table356789[[#This Row],[Jahr]])</f>
        <v>Januar 2019</v>
      </c>
      <c r="G143">
        <v>2344.5</v>
      </c>
      <c r="H143">
        <v>2114</v>
      </c>
      <c r="I143">
        <v>2413</v>
      </c>
      <c r="J143">
        <v>17593.900000000001</v>
      </c>
      <c r="K143">
        <v>23253</v>
      </c>
      <c r="L143">
        <v>26546</v>
      </c>
      <c r="M143" s="8">
        <f>Table356789[[#This Row],[Ausfuhr: Wert €]]*1000/Table356789[[#This Row],[Ausfuhr: Gewicht]]</f>
        <v>901.68479419918958</v>
      </c>
      <c r="N143" s="8">
        <f>Table356789[[#This Row],[Einfuhr: Wert €]]*1000/Table356789[[#This Row],[Einfuhr: Gewicht]]</f>
        <v>1321.651254127851</v>
      </c>
      <c r="O143" s="8">
        <f>Table356789[[#This Row],[Ausfuhr: Wert $]]*1000/Table356789[[#This Row],[Ausfuhr: Gewicht]]</f>
        <v>1029.2173171251866</v>
      </c>
      <c r="P143" s="8">
        <f>Table356789[[#This Row],[Einfuhr: Wert $]]*1000/Table356789[[#This Row],[Einfuhr: Gewicht]]</f>
        <v>1508.8183972854226</v>
      </c>
    </row>
    <row r="144" spans="2:16" x14ac:dyDescent="0.25">
      <c r="B144">
        <f>(Table356789[[#This Row],[Jahr]]-$C$8)*12+Table356789[[#This Row],[Month nr]]</f>
        <v>134</v>
      </c>
      <c r="C144">
        <v>2019</v>
      </c>
      <c r="D144">
        <v>2</v>
      </c>
      <c r="E144" t="s">
        <v>14</v>
      </c>
      <c r="F144" t="str">
        <f>_xlfn.CONCAT(Table356789[[#This Row],[Monat]]," ",Table356789[[#This Row],[Jahr]])</f>
        <v>Februar 2019</v>
      </c>
      <c r="G144">
        <v>1276.6000000000001</v>
      </c>
      <c r="H144">
        <v>1492</v>
      </c>
      <c r="I144">
        <v>1694</v>
      </c>
      <c r="J144">
        <v>15898.999999999998</v>
      </c>
      <c r="K144">
        <v>20405</v>
      </c>
      <c r="L144">
        <v>23160</v>
      </c>
      <c r="M144" s="8">
        <f>Table356789[[#This Row],[Ausfuhr: Wert €]]*1000/Table356789[[#This Row],[Ausfuhr: Gewicht]]</f>
        <v>1168.7294375685412</v>
      </c>
      <c r="N144" s="8">
        <f>Table356789[[#This Row],[Einfuhr: Wert €]]*1000/Table356789[[#This Row],[Einfuhr: Gewicht]]</f>
        <v>1283.4140511981886</v>
      </c>
      <c r="O144" s="8">
        <f>Table356789[[#This Row],[Ausfuhr: Wert $]]*1000/Table356789[[#This Row],[Ausfuhr: Gewicht]]</f>
        <v>1326.9622434591884</v>
      </c>
      <c r="P144" s="8">
        <f>Table356789[[#This Row],[Einfuhr: Wert $]]*1000/Table356789[[#This Row],[Einfuhr: Gewicht]]</f>
        <v>1456.6953896471477</v>
      </c>
    </row>
    <row r="145" spans="2:16" x14ac:dyDescent="0.25">
      <c r="B145">
        <f>(Table356789[[#This Row],[Jahr]]-$C$8)*12+Table356789[[#This Row],[Month nr]]</f>
        <v>135</v>
      </c>
      <c r="C145">
        <v>2019</v>
      </c>
      <c r="D145">
        <v>3</v>
      </c>
      <c r="E145" t="s">
        <v>15</v>
      </c>
      <c r="F145" t="str">
        <f>_xlfn.CONCAT(Table356789[[#This Row],[Monat]]," ",Table356789[[#This Row],[Jahr]])</f>
        <v>März 2019</v>
      </c>
      <c r="G145" s="10">
        <v>1740.8999999999999</v>
      </c>
      <c r="H145" s="10">
        <v>1696</v>
      </c>
      <c r="I145" s="10">
        <v>1917</v>
      </c>
      <c r="J145" s="10">
        <v>18267.199999999997</v>
      </c>
      <c r="K145" s="10">
        <v>20645</v>
      </c>
      <c r="L145" s="10">
        <v>23335</v>
      </c>
      <c r="M145" s="8">
        <f>Table356789[[#This Row],[Ausfuhr: Wert €]]*1000/Table356789[[#This Row],[Ausfuhr: Gewicht]]</f>
        <v>974.20874260440007</v>
      </c>
      <c r="N145" s="8">
        <f>Table356789[[#This Row],[Einfuhr: Wert €]]*1000/Table356789[[#This Row],[Einfuhr: Gewicht]]</f>
        <v>1130.1677323289832</v>
      </c>
      <c r="O145" s="8">
        <f>Table356789[[#This Row],[Ausfuhr: Wert $]]*1000/Table356789[[#This Row],[Ausfuhr: Gewicht]]</f>
        <v>1101.1545752197139</v>
      </c>
      <c r="P145" s="8">
        <f>Table356789[[#This Row],[Einfuhr: Wert $]]*1000/Table356789[[#This Row],[Einfuhr: Gewicht]]</f>
        <v>1277.4262065341161</v>
      </c>
    </row>
    <row r="146" spans="2:16" x14ac:dyDescent="0.25">
      <c r="B146">
        <f>(Table356789[[#This Row],[Jahr]]-$C$8)*12+Table356789[[#This Row],[Month nr]]</f>
        <v>136</v>
      </c>
      <c r="C146">
        <v>2019</v>
      </c>
      <c r="D146">
        <v>4</v>
      </c>
      <c r="E146" t="s">
        <v>16</v>
      </c>
      <c r="F146" t="str">
        <f>_xlfn.CONCAT(Table356789[[#This Row],[Monat]]," ",Table356789[[#This Row],[Jahr]])</f>
        <v>April 2019</v>
      </c>
      <c r="G146">
        <v>1073.6000000000006</v>
      </c>
      <c r="H146">
        <v>1384</v>
      </c>
      <c r="I146">
        <v>1559</v>
      </c>
      <c r="J146">
        <v>17978.5</v>
      </c>
      <c r="K146">
        <v>22534</v>
      </c>
      <c r="L146">
        <v>25324</v>
      </c>
      <c r="M146" s="8">
        <f>Table356789[[#This Row],[Ausfuhr: Wert €]]*1000/Table356789[[#This Row],[Ausfuhr: Gewicht]]</f>
        <v>1289.1207153502228</v>
      </c>
      <c r="N146" s="8">
        <f>Table356789[[#This Row],[Einfuhr: Wert €]]*1000/Table356789[[#This Row],[Einfuhr: Gewicht]]</f>
        <v>1253.3859888199795</v>
      </c>
      <c r="O146" s="8">
        <f>Table356789[[#This Row],[Ausfuhr: Wert $]]*1000/Table356789[[#This Row],[Ausfuhr: Gewicht]]</f>
        <v>1452.1236959761543</v>
      </c>
      <c r="P146" s="8">
        <f>Table356789[[#This Row],[Einfuhr: Wert $]]*1000/Table356789[[#This Row],[Einfuhr: Gewicht]]</f>
        <v>1408.5713491114386</v>
      </c>
    </row>
    <row r="147" spans="2:16" x14ac:dyDescent="0.25">
      <c r="B147">
        <f>(Table356789[[#This Row],[Jahr]]-$C$8)*12+Table356789[[#This Row],[Month nr]]</f>
        <v>137</v>
      </c>
      <c r="C147">
        <v>2019</v>
      </c>
      <c r="D147">
        <v>5</v>
      </c>
      <c r="E147" t="s">
        <v>20</v>
      </c>
      <c r="F147" t="str">
        <f>_xlfn.CONCAT(Table356789[[#This Row],[Monat]]," ",Table356789[[#This Row],[Jahr]])</f>
        <v>Mai 2019</v>
      </c>
      <c r="G147">
        <v>755.2</v>
      </c>
      <c r="H147">
        <v>1232</v>
      </c>
      <c r="I147">
        <v>1377</v>
      </c>
      <c r="J147">
        <v>16458.199999999997</v>
      </c>
      <c r="K147">
        <v>22043</v>
      </c>
      <c r="L147">
        <v>24655</v>
      </c>
      <c r="M147" s="8">
        <f>Table356789[[#This Row],[Ausfuhr: Wert €]]*1000/Table356789[[#This Row],[Ausfuhr: Gewicht]]</f>
        <v>1631.3559322033898</v>
      </c>
      <c r="N147" s="8">
        <f>Table356789[[#This Row],[Einfuhr: Wert €]]*1000/Table356789[[#This Row],[Einfuhr: Gewicht]]</f>
        <v>1339.3323692748907</v>
      </c>
      <c r="O147" s="8">
        <f>Table356789[[#This Row],[Ausfuhr: Wert $]]*1000/Table356789[[#This Row],[Ausfuhr: Gewicht]]</f>
        <v>1823.3580508474574</v>
      </c>
      <c r="P147" s="8">
        <f>Table356789[[#This Row],[Einfuhr: Wert $]]*1000/Table356789[[#This Row],[Einfuhr: Gewicht]]</f>
        <v>1498.0374524553113</v>
      </c>
    </row>
    <row r="148" spans="2:16" x14ac:dyDescent="0.25">
      <c r="B148">
        <f>(Table356789[[#This Row],[Jahr]]-$C$8)*12+Table356789[[#This Row],[Month nr]]</f>
        <v>138</v>
      </c>
      <c r="C148">
        <v>2019</v>
      </c>
      <c r="D148">
        <v>6</v>
      </c>
      <c r="E148" t="s">
        <v>21</v>
      </c>
      <c r="F148" t="str">
        <f>_xlfn.CONCAT(Table356789[[#This Row],[Monat]]," ",Table356789[[#This Row],[Jahr]])</f>
        <v>Juni 2019</v>
      </c>
      <c r="G148">
        <v>1513.6999999999998</v>
      </c>
      <c r="H148">
        <v>2084</v>
      </c>
      <c r="I148">
        <v>2352</v>
      </c>
      <c r="J148">
        <v>24507.4</v>
      </c>
      <c r="K148">
        <v>29939</v>
      </c>
      <c r="L148">
        <v>33817</v>
      </c>
      <c r="M148" s="8">
        <f>Table356789[[#This Row],[Ausfuhr: Wert €]]*1000/Table356789[[#This Row],[Ausfuhr: Gewicht]]</f>
        <v>1376.7589350597875</v>
      </c>
      <c r="N148" s="8">
        <f>Table356789[[#This Row],[Einfuhr: Wert €]]*1000/Table356789[[#This Row],[Einfuhr: Gewicht]]</f>
        <v>1221.6310175702033</v>
      </c>
      <c r="O148" s="8">
        <f>Table356789[[#This Row],[Ausfuhr: Wert $]]*1000/Table356789[[#This Row],[Ausfuhr: Gewicht]]</f>
        <v>1553.808548589549</v>
      </c>
      <c r="P148" s="8">
        <f>Table356789[[#This Row],[Einfuhr: Wert $]]*1000/Table356789[[#This Row],[Einfuhr: Gewicht]]</f>
        <v>1379.8689375453944</v>
      </c>
    </row>
    <row r="149" spans="2:16" x14ac:dyDescent="0.25">
      <c r="B149">
        <f>(Table356789[[#This Row],[Jahr]]-$C$8)*12+Table356789[[#This Row],[Month nr]]</f>
        <v>139</v>
      </c>
      <c r="C149">
        <v>2019</v>
      </c>
      <c r="D149">
        <v>7</v>
      </c>
      <c r="E149" t="s">
        <v>22</v>
      </c>
      <c r="F149" t="str">
        <f>_xlfn.CONCAT(Table356789[[#This Row],[Monat]]," ",Table356789[[#This Row],[Jahr]])</f>
        <v>Juli 2019</v>
      </c>
      <c r="G149">
        <v>1886.9</v>
      </c>
      <c r="H149">
        <v>3231</v>
      </c>
      <c r="I149">
        <v>3625</v>
      </c>
      <c r="J149">
        <v>21462.399999999994</v>
      </c>
      <c r="K149">
        <v>29062</v>
      </c>
      <c r="L149">
        <v>32603</v>
      </c>
      <c r="M149" s="8">
        <f>Table356789[[#This Row],[Ausfuhr: Wert €]]*1000/Table356789[[#This Row],[Ausfuhr: Gewicht]]</f>
        <v>1712.3323970533679</v>
      </c>
      <c r="N149" s="8">
        <f>Table356789[[#This Row],[Einfuhr: Wert €]]*1000/Table356789[[#This Row],[Einfuhr: Gewicht]]</f>
        <v>1354.0890114805431</v>
      </c>
      <c r="O149" s="8">
        <f>Table356789[[#This Row],[Ausfuhr: Wert $]]*1000/Table356789[[#This Row],[Ausfuhr: Gewicht]]</f>
        <v>1921.1404949917853</v>
      </c>
      <c r="P149" s="8">
        <f>Table356789[[#This Row],[Einfuhr: Wert $]]*1000/Table356789[[#This Row],[Einfuhr: Gewicht]]</f>
        <v>1519.0752199194876</v>
      </c>
    </row>
    <row r="150" spans="2:16" x14ac:dyDescent="0.25">
      <c r="B150">
        <f>(Table356789[[#This Row],[Jahr]]-$C$8)*12+Table356789[[#This Row],[Month nr]]</f>
        <v>140</v>
      </c>
      <c r="C150">
        <v>2019</v>
      </c>
      <c r="D150">
        <v>8</v>
      </c>
      <c r="E150" t="s">
        <v>17</v>
      </c>
      <c r="F150" t="str">
        <f>_xlfn.CONCAT(Table356789[[#This Row],[Monat]]," ",Table356789[[#This Row],[Jahr]])</f>
        <v>August 2019</v>
      </c>
      <c r="G150">
        <v>1987.9999999999995</v>
      </c>
      <c r="H150">
        <v>3386</v>
      </c>
      <c r="I150">
        <v>3766</v>
      </c>
      <c r="J150">
        <v>19497.000000000004</v>
      </c>
      <c r="K150">
        <v>27337</v>
      </c>
      <c r="L150">
        <v>30414</v>
      </c>
      <c r="M150" s="8">
        <f>Table356789[[#This Row],[Ausfuhr: Wert €]]*1000/Table356789[[#This Row],[Ausfuhr: Gewicht]]</f>
        <v>1703.2193158953726</v>
      </c>
      <c r="N150" s="8">
        <f>Table356789[[#This Row],[Einfuhr: Wert €]]*1000/Table356789[[#This Row],[Einfuhr: Gewicht]]</f>
        <v>1402.1131456121452</v>
      </c>
      <c r="O150" s="8">
        <f>Table356789[[#This Row],[Ausfuhr: Wert $]]*1000/Table356789[[#This Row],[Ausfuhr: Gewicht]]</f>
        <v>1894.3661971830991</v>
      </c>
      <c r="P150" s="8">
        <f>Table356789[[#This Row],[Einfuhr: Wert $]]*1000/Table356789[[#This Row],[Einfuhr: Gewicht]]</f>
        <v>1559.9322972765037</v>
      </c>
    </row>
    <row r="151" spans="2:16" x14ac:dyDescent="0.25">
      <c r="B151">
        <f>(Table356789[[#This Row],[Jahr]]-$C$8)*12+Table356789[[#This Row],[Month nr]]</f>
        <v>141</v>
      </c>
      <c r="C151">
        <v>2019</v>
      </c>
      <c r="D151">
        <v>9</v>
      </c>
      <c r="E151" t="s">
        <v>18</v>
      </c>
      <c r="F151" t="str">
        <f>_xlfn.CONCAT(Table356789[[#This Row],[Monat]]," ",Table356789[[#This Row],[Jahr]])</f>
        <v>September 2019</v>
      </c>
      <c r="G151">
        <v>2117.6999999999998</v>
      </c>
      <c r="H151">
        <v>3381</v>
      </c>
      <c r="I151">
        <v>3724</v>
      </c>
      <c r="J151">
        <v>12854.700000000003</v>
      </c>
      <c r="K151">
        <v>21021</v>
      </c>
      <c r="L151">
        <v>23136</v>
      </c>
      <c r="M151" s="8">
        <f>Table356789[[#This Row],[Ausfuhr: Wert €]]*1000/Table356789[[#This Row],[Ausfuhr: Gewicht]]</f>
        <v>1596.5434197478398</v>
      </c>
      <c r="N151" s="8">
        <f>Table356789[[#This Row],[Einfuhr: Wert €]]*1000/Table356789[[#This Row],[Einfuhr: Gewicht]]</f>
        <v>1635.277369366846</v>
      </c>
      <c r="O151" s="8">
        <f>Table356789[[#This Row],[Ausfuhr: Wert $]]*1000/Table356789[[#This Row],[Ausfuhr: Gewicht]]</f>
        <v>1758.5115927657366</v>
      </c>
      <c r="P151" s="8">
        <f>Table356789[[#This Row],[Einfuhr: Wert $]]*1000/Table356789[[#This Row],[Einfuhr: Gewicht]]</f>
        <v>1799.8086303064244</v>
      </c>
    </row>
    <row r="152" spans="2:16" x14ac:dyDescent="0.25">
      <c r="B152">
        <f>(Table356789[[#This Row],[Jahr]]-$C$8)*12+Table356789[[#This Row],[Month nr]]</f>
        <v>142</v>
      </c>
      <c r="C152">
        <v>2019</v>
      </c>
      <c r="D152">
        <v>10</v>
      </c>
      <c r="E152" t="s">
        <v>23</v>
      </c>
      <c r="F152" t="str">
        <f>_xlfn.CONCAT(Table356789[[#This Row],[Monat]]," ",Table356789[[#This Row],[Jahr]])</f>
        <v>Oktober 2019</v>
      </c>
      <c r="G152">
        <v>886.5</v>
      </c>
      <c r="H152">
        <v>1467</v>
      </c>
      <c r="I152">
        <v>1624</v>
      </c>
      <c r="J152">
        <v>13796.899999999996</v>
      </c>
      <c r="K152">
        <v>21442</v>
      </c>
      <c r="L152">
        <v>23703</v>
      </c>
      <c r="M152" s="8">
        <f>Table356789[[#This Row],[Ausfuhr: Wert €]]*1000/Table356789[[#This Row],[Ausfuhr: Gewicht]]</f>
        <v>1654.8223350253807</v>
      </c>
      <c r="N152" s="8">
        <f>Table356789[[#This Row],[Einfuhr: Wert €]]*1000/Table356789[[#This Row],[Einfuhr: Gewicht]]</f>
        <v>1554.1172292326542</v>
      </c>
      <c r="O152" s="8">
        <f>Table356789[[#This Row],[Ausfuhr: Wert $]]*1000/Table356789[[#This Row],[Ausfuhr: Gewicht]]</f>
        <v>1831.923293852228</v>
      </c>
      <c r="P152" s="8">
        <f>Table356789[[#This Row],[Einfuhr: Wert $]]*1000/Table356789[[#This Row],[Einfuhr: Gewicht]]</f>
        <v>1717.9946219803005</v>
      </c>
    </row>
    <row r="153" spans="2:16" x14ac:dyDescent="0.25">
      <c r="B153">
        <f>(Table356789[[#This Row],[Jahr]]-$C$8)*12+Table356789[[#This Row],[Month nr]]</f>
        <v>143</v>
      </c>
      <c r="C153">
        <v>2019</v>
      </c>
      <c r="D153">
        <v>11</v>
      </c>
      <c r="E153" t="s">
        <v>19</v>
      </c>
      <c r="F153" t="str">
        <f>_xlfn.CONCAT(Table356789[[#This Row],[Monat]]," ",Table356789[[#This Row],[Jahr]])</f>
        <v>November 2019</v>
      </c>
      <c r="G153">
        <v>1383.0000000000002</v>
      </c>
      <c r="H153">
        <v>1776</v>
      </c>
      <c r="I153">
        <v>1960</v>
      </c>
      <c r="J153">
        <v>18018.900000000001</v>
      </c>
      <c r="K153">
        <v>26248</v>
      </c>
      <c r="L153">
        <v>29011</v>
      </c>
      <c r="M153" s="8">
        <f>Table356789[[#This Row],[Ausfuhr: Wert €]]*1000/Table356789[[#This Row],[Ausfuhr: Gewicht]]</f>
        <v>1284.1648590021689</v>
      </c>
      <c r="N153" s="8">
        <f>Table356789[[#This Row],[Einfuhr: Wert €]]*1000/Table356789[[#This Row],[Einfuhr: Gewicht]]</f>
        <v>1456.692694892585</v>
      </c>
      <c r="O153" s="8">
        <f>Table356789[[#This Row],[Ausfuhr: Wert $]]*1000/Table356789[[#This Row],[Ausfuhr: Gewicht]]</f>
        <v>1417.2089660159072</v>
      </c>
      <c r="P153" s="8">
        <f>Table356789[[#This Row],[Einfuhr: Wert $]]*1000/Table356789[[#This Row],[Einfuhr: Gewicht]]</f>
        <v>1610.0316889488258</v>
      </c>
    </row>
    <row r="154" spans="2:16" x14ac:dyDescent="0.25">
      <c r="B154">
        <f>(Table356789[[#This Row],[Jahr]]-$C$8)*12+Table356789[[#This Row],[Month nr]]</f>
        <v>144</v>
      </c>
      <c r="C154">
        <v>2019</v>
      </c>
      <c r="D154">
        <v>12</v>
      </c>
      <c r="E154" t="s">
        <v>24</v>
      </c>
      <c r="F154" t="str">
        <f>_xlfn.CONCAT(Table356789[[#This Row],[Monat]]," ",Table356789[[#This Row],[Jahr]])</f>
        <v>Dezember 2019</v>
      </c>
      <c r="G154">
        <v>761.60000000000014</v>
      </c>
      <c r="H154">
        <v>1285</v>
      </c>
      <c r="I154">
        <v>1426</v>
      </c>
      <c r="J154">
        <v>17098.7</v>
      </c>
      <c r="K154">
        <v>25612</v>
      </c>
      <c r="L154">
        <v>28465</v>
      </c>
      <c r="M154" s="8">
        <f>Table356789[[#This Row],[Ausfuhr: Wert €]]*1000/Table356789[[#This Row],[Ausfuhr: Gewicht]]</f>
        <v>1687.2373949579828</v>
      </c>
      <c r="N154" s="8">
        <f>Table356789[[#This Row],[Einfuhr: Wert €]]*1000/Table356789[[#This Row],[Einfuhr: Gewicht]]</f>
        <v>1497.8916525817751</v>
      </c>
      <c r="O154" s="8">
        <f>Table356789[[#This Row],[Ausfuhr: Wert $]]*1000/Table356789[[#This Row],[Ausfuhr: Gewicht]]</f>
        <v>1872.3739495798316</v>
      </c>
      <c r="P154" s="8">
        <f>Table356789[[#This Row],[Einfuhr: Wert $]]*1000/Table356789[[#This Row],[Einfuhr: Gewicht]]</f>
        <v>1664.746442712019</v>
      </c>
    </row>
    <row r="155" spans="2:16" x14ac:dyDescent="0.25">
      <c r="B155">
        <f>(Table356789[[#This Row],[Jahr]]-$C$8)*12+Table356789[[#This Row],[Month nr]]</f>
        <v>145</v>
      </c>
      <c r="C155">
        <v>2020</v>
      </c>
      <c r="D155">
        <v>1</v>
      </c>
      <c r="E155" t="s">
        <v>13</v>
      </c>
      <c r="F155" t="str">
        <f>_xlfn.CONCAT(Table356789[[#This Row],[Monat]]," ",Table356789[[#This Row],[Jahr]])</f>
        <v>Januar 2020</v>
      </c>
      <c r="G155">
        <v>2211.9999999999995</v>
      </c>
      <c r="H155">
        <v>2570</v>
      </c>
      <c r="I155">
        <v>2853</v>
      </c>
      <c r="J155">
        <v>19853.900000000001</v>
      </c>
      <c r="K155">
        <v>27953</v>
      </c>
      <c r="L155">
        <v>31031</v>
      </c>
      <c r="M155" s="8">
        <f>Table356789[[#This Row],[Ausfuhr: Wert €]]*1000/Table356789[[#This Row],[Ausfuhr: Gewicht]]</f>
        <v>1161.844484629295</v>
      </c>
      <c r="N155" s="8">
        <f>Table356789[[#This Row],[Einfuhr: Wert €]]*1000/Table356789[[#This Row],[Einfuhr: Gewicht]]</f>
        <v>1407.9349649187313</v>
      </c>
      <c r="O155" s="8">
        <f>Table356789[[#This Row],[Ausfuhr: Wert $]]*1000/Table356789[[#This Row],[Ausfuhr: Gewicht]]</f>
        <v>1289.7830018083184</v>
      </c>
      <c r="P155" s="8">
        <f>Table356789[[#This Row],[Einfuhr: Wert $]]*1000/Table356789[[#This Row],[Einfuhr: Gewicht]]</f>
        <v>1562.9674774225718</v>
      </c>
    </row>
    <row r="156" spans="2:16" x14ac:dyDescent="0.25">
      <c r="B156">
        <f>(Table356789[[#This Row],[Jahr]]-$C$8)*12+Table356789[[#This Row],[Month nr]]</f>
        <v>146</v>
      </c>
      <c r="C156">
        <v>2020</v>
      </c>
      <c r="D156">
        <v>2</v>
      </c>
      <c r="E156" t="s">
        <v>14</v>
      </c>
      <c r="F156" t="str">
        <f>_xlfn.CONCAT(Table356789[[#This Row],[Monat]]," ",Table356789[[#This Row],[Jahr]])</f>
        <v>Februar 2020</v>
      </c>
      <c r="G156">
        <v>1447.0999999999997</v>
      </c>
      <c r="H156">
        <v>1928</v>
      </c>
      <c r="I156">
        <v>2104</v>
      </c>
      <c r="J156">
        <v>18392.500000000007</v>
      </c>
      <c r="K156">
        <v>24928</v>
      </c>
      <c r="L156">
        <v>27182</v>
      </c>
      <c r="M156" s="8">
        <f>Table356789[[#This Row],[Ausfuhr: Wert €]]*1000/Table356789[[#This Row],[Ausfuhr: Gewicht]]</f>
        <v>1332.319812037869</v>
      </c>
      <c r="N156" s="8">
        <f>Table356789[[#This Row],[Einfuhr: Wert €]]*1000/Table356789[[#This Row],[Einfuhr: Gewicht]]</f>
        <v>1355.335055049612</v>
      </c>
      <c r="O156" s="8">
        <f>Table356789[[#This Row],[Ausfuhr: Wert $]]*1000/Table356789[[#This Row],[Ausfuhr: Gewicht]]</f>
        <v>1453.9423674936081</v>
      </c>
      <c r="P156" s="8">
        <f>Table356789[[#This Row],[Einfuhr: Wert $]]*1000/Table356789[[#This Row],[Einfuhr: Gewicht]]</f>
        <v>1477.8850074758727</v>
      </c>
    </row>
    <row r="157" spans="2:16" x14ac:dyDescent="0.25">
      <c r="B157">
        <f>(Table356789[[#This Row],[Jahr]]-$C$8)*12+Table356789[[#This Row],[Month nr]]</f>
        <v>147</v>
      </c>
      <c r="C157">
        <v>2020</v>
      </c>
      <c r="D157">
        <v>3</v>
      </c>
      <c r="E157" t="s">
        <v>15</v>
      </c>
      <c r="F157" t="str">
        <f>_xlfn.CONCAT(Table356789[[#This Row],[Monat]]," ",Table356789[[#This Row],[Jahr]])</f>
        <v>März 2020</v>
      </c>
      <c r="G157" s="10">
        <v>1267.8999999999996</v>
      </c>
      <c r="H157" s="10">
        <v>1761</v>
      </c>
      <c r="I157" s="10">
        <v>1950</v>
      </c>
      <c r="J157" s="10">
        <v>27360.600000000006</v>
      </c>
      <c r="K157" s="10">
        <v>32970</v>
      </c>
      <c r="L157" s="10">
        <v>36471</v>
      </c>
      <c r="M157" s="8">
        <f>Table356789[[#This Row],[Ausfuhr: Wert €]]*1000/Table356789[[#This Row],[Ausfuhr: Gewicht]]</f>
        <v>1388.9107973814973</v>
      </c>
      <c r="N157" s="8">
        <f>Table356789[[#This Row],[Einfuhr: Wert €]]*1000/Table356789[[#This Row],[Einfuhr: Gewicht]]</f>
        <v>1205.0174338282052</v>
      </c>
      <c r="O157" s="8">
        <f>Table356789[[#This Row],[Ausfuhr: Wert $]]*1000/Table356789[[#This Row],[Ausfuhr: Gewicht]]</f>
        <v>1537.976181086837</v>
      </c>
      <c r="P157" s="8">
        <f>Table356789[[#This Row],[Einfuhr: Wert $]]*1000/Table356789[[#This Row],[Einfuhr: Gewicht]]</f>
        <v>1332.9751540536388</v>
      </c>
    </row>
    <row r="158" spans="2:16" x14ac:dyDescent="0.25">
      <c r="B158">
        <f>(Table356789[[#This Row],[Jahr]]-$C$8)*12+Table356789[[#This Row],[Month nr]]</f>
        <v>148</v>
      </c>
      <c r="C158">
        <v>2020</v>
      </c>
      <c r="D158">
        <v>4</v>
      </c>
      <c r="E158" t="s">
        <v>16</v>
      </c>
      <c r="F158" t="str">
        <f>_xlfn.CONCAT(Table356789[[#This Row],[Monat]]," ",Table356789[[#This Row],[Jahr]])</f>
        <v>April 2020</v>
      </c>
      <c r="G158">
        <v>1175.7999999999997</v>
      </c>
      <c r="H158">
        <v>1861</v>
      </c>
      <c r="I158">
        <v>2018</v>
      </c>
      <c r="J158">
        <v>27845.700000000004</v>
      </c>
      <c r="K158">
        <v>40958</v>
      </c>
      <c r="L158">
        <v>44489</v>
      </c>
      <c r="M158" s="8">
        <f>Table356789[[#This Row],[Ausfuhr: Wert €]]*1000/Table356789[[#This Row],[Ausfuhr: Gewicht]]</f>
        <v>1582.75216873618</v>
      </c>
      <c r="N158" s="8">
        <f>Table356789[[#This Row],[Einfuhr: Wert €]]*1000/Table356789[[#This Row],[Einfuhr: Gewicht]]</f>
        <v>1470.8913764064107</v>
      </c>
      <c r="O158" s="8">
        <f>Table356789[[#This Row],[Ausfuhr: Wert $]]*1000/Table356789[[#This Row],[Ausfuhr: Gewicht]]</f>
        <v>1716.2782786188131</v>
      </c>
      <c r="P158" s="8">
        <f>Table356789[[#This Row],[Einfuhr: Wert $]]*1000/Table356789[[#This Row],[Einfuhr: Gewicht]]</f>
        <v>1597.6973105362765</v>
      </c>
    </row>
    <row r="159" spans="2:16" x14ac:dyDescent="0.25">
      <c r="B159">
        <f>(Table356789[[#This Row],[Jahr]]-$C$8)*12+Table356789[[#This Row],[Month nr]]</f>
        <v>149</v>
      </c>
      <c r="C159">
        <v>2020</v>
      </c>
      <c r="D159">
        <v>5</v>
      </c>
      <c r="E159" t="s">
        <v>20</v>
      </c>
      <c r="F159" t="str">
        <f>_xlfn.CONCAT(Table356789[[#This Row],[Monat]]," ",Table356789[[#This Row],[Jahr]])</f>
        <v>Mai 2020</v>
      </c>
      <c r="G159">
        <v>1875.1999999999998</v>
      </c>
      <c r="H159">
        <v>2680</v>
      </c>
      <c r="I159">
        <v>2919</v>
      </c>
      <c r="J159">
        <v>21816.600000000002</v>
      </c>
      <c r="K159">
        <v>36894</v>
      </c>
      <c r="L159">
        <v>40219</v>
      </c>
      <c r="M159" s="8">
        <f>Table356789[[#This Row],[Ausfuhr: Wert €]]*1000/Table356789[[#This Row],[Ausfuhr: Gewicht]]</f>
        <v>1429.1808873720138</v>
      </c>
      <c r="N159" s="8">
        <f>Table356789[[#This Row],[Einfuhr: Wert €]]*1000/Table356789[[#This Row],[Einfuhr: Gewicht]]</f>
        <v>1691.0976045763316</v>
      </c>
      <c r="O159" s="8">
        <f>Table356789[[#This Row],[Ausfuhr: Wert $]]*1000/Table356789[[#This Row],[Ausfuhr: Gewicht]]</f>
        <v>1556.6339590443688</v>
      </c>
      <c r="P159" s="8">
        <f>Table356789[[#This Row],[Einfuhr: Wert $]]*1000/Table356789[[#This Row],[Einfuhr: Gewicht]]</f>
        <v>1843.5044874086702</v>
      </c>
    </row>
    <row r="160" spans="2:16" x14ac:dyDescent="0.25">
      <c r="B160">
        <f>(Table356789[[#This Row],[Jahr]]-$C$8)*12+Table356789[[#This Row],[Month nr]]</f>
        <v>150</v>
      </c>
      <c r="C160">
        <v>2020</v>
      </c>
      <c r="D160">
        <v>6</v>
      </c>
      <c r="E160" t="s">
        <v>21</v>
      </c>
      <c r="F160" t="str">
        <f>_xlfn.CONCAT(Table356789[[#This Row],[Monat]]," ",Table356789[[#This Row],[Jahr]])</f>
        <v>Juni 2020</v>
      </c>
      <c r="G160">
        <v>1969.0000000000002</v>
      </c>
      <c r="H160">
        <v>2786</v>
      </c>
      <c r="I160">
        <v>3134</v>
      </c>
      <c r="J160">
        <v>20643.2</v>
      </c>
      <c r="K160">
        <v>40609</v>
      </c>
      <c r="L160">
        <v>45704</v>
      </c>
      <c r="M160" s="8">
        <f>Table356789[[#This Row],[Ausfuhr: Wert €]]*1000/Table356789[[#This Row],[Ausfuhr: Gewicht]]</f>
        <v>1414.9314372778058</v>
      </c>
      <c r="N160" s="8">
        <f>Table356789[[#This Row],[Einfuhr: Wert €]]*1000/Table356789[[#This Row],[Einfuhr: Gewicht]]</f>
        <v>1967.18532010541</v>
      </c>
      <c r="O160" s="8">
        <f>Table356789[[#This Row],[Ausfuhr: Wert $]]*1000/Table356789[[#This Row],[Ausfuhr: Gewicht]]</f>
        <v>1591.6708989334686</v>
      </c>
      <c r="P160" s="8">
        <f>Table356789[[#This Row],[Einfuhr: Wert $]]*1000/Table356789[[#This Row],[Einfuhr: Gewicht]]</f>
        <v>2213.9978297938305</v>
      </c>
    </row>
    <row r="161" spans="2:16" x14ac:dyDescent="0.25">
      <c r="B161">
        <f>(Table356789[[#This Row],[Jahr]]-$C$8)*12+Table356789[[#This Row],[Month nr]]</f>
        <v>151</v>
      </c>
      <c r="C161">
        <v>2020</v>
      </c>
      <c r="D161">
        <v>7</v>
      </c>
      <c r="E161" t="s">
        <v>22</v>
      </c>
      <c r="F161" t="str">
        <f>_xlfn.CONCAT(Table356789[[#This Row],[Monat]]," ",Table356789[[#This Row],[Jahr]])</f>
        <v>Juli 2020</v>
      </c>
      <c r="G161">
        <v>1745</v>
      </c>
      <c r="H161">
        <v>3198</v>
      </c>
      <c r="I161">
        <v>3662</v>
      </c>
      <c r="J161">
        <v>26572.400000000001</v>
      </c>
      <c r="K161">
        <v>41218</v>
      </c>
      <c r="L161">
        <v>47249</v>
      </c>
      <c r="M161" s="8">
        <f>Table356789[[#This Row],[Ausfuhr: Wert €]]*1000/Table356789[[#This Row],[Ausfuhr: Gewicht]]</f>
        <v>1832.6647564469913</v>
      </c>
      <c r="N161" s="8">
        <f>Table356789[[#This Row],[Einfuhr: Wert €]]*1000/Table356789[[#This Row],[Einfuhr: Gewicht]]</f>
        <v>1551.1583447486864</v>
      </c>
      <c r="O161" s="8">
        <f>Table356789[[#This Row],[Ausfuhr: Wert $]]*1000/Table356789[[#This Row],[Ausfuhr: Gewicht]]</f>
        <v>2098.5673352435529</v>
      </c>
      <c r="P161" s="8">
        <f>Table356789[[#This Row],[Einfuhr: Wert $]]*1000/Table356789[[#This Row],[Einfuhr: Gewicht]]</f>
        <v>1778.1231653896523</v>
      </c>
    </row>
    <row r="162" spans="2:16" x14ac:dyDescent="0.25">
      <c r="B162">
        <f>(Table356789[[#This Row],[Jahr]]-$C$8)*12+Table356789[[#This Row],[Month nr]]</f>
        <v>152</v>
      </c>
      <c r="C162">
        <v>2020</v>
      </c>
      <c r="D162">
        <v>8</v>
      </c>
      <c r="E162" t="s">
        <v>17</v>
      </c>
      <c r="F162" t="str">
        <f>_xlfn.CONCAT(Table356789[[#This Row],[Monat]]," ",Table356789[[#This Row],[Jahr]])</f>
        <v>August 2020</v>
      </c>
      <c r="G162">
        <v>3764.8999999999996</v>
      </c>
      <c r="H162">
        <v>5387</v>
      </c>
      <c r="I162">
        <v>6371</v>
      </c>
      <c r="J162">
        <v>17446.499999999996</v>
      </c>
      <c r="K162">
        <v>28878</v>
      </c>
      <c r="L162">
        <v>34155</v>
      </c>
      <c r="M162" s="8">
        <f>Table356789[[#This Row],[Ausfuhr: Wert €]]*1000/Table356789[[#This Row],[Ausfuhr: Gewicht]]</f>
        <v>1430.8480968950039</v>
      </c>
      <c r="N162" s="8">
        <f>Table356789[[#This Row],[Einfuhr: Wert €]]*1000/Table356789[[#This Row],[Einfuhr: Gewicht]]</f>
        <v>1655.2317083655751</v>
      </c>
      <c r="O162" s="8">
        <f>Table356789[[#This Row],[Ausfuhr: Wert $]]*1000/Table356789[[#This Row],[Ausfuhr: Gewicht]]</f>
        <v>1692.2096204414461</v>
      </c>
      <c r="P162" s="8">
        <f>Table356789[[#This Row],[Einfuhr: Wert $]]*1000/Table356789[[#This Row],[Einfuhr: Gewicht]]</f>
        <v>1957.6992519989687</v>
      </c>
    </row>
    <row r="163" spans="2:16" x14ac:dyDescent="0.25">
      <c r="B163">
        <f>(Table356789[[#This Row],[Jahr]]-$C$8)*12+Table356789[[#This Row],[Month nr]]</f>
        <v>153</v>
      </c>
      <c r="C163">
        <v>2020</v>
      </c>
      <c r="D163">
        <v>9</v>
      </c>
      <c r="E163" t="s">
        <v>18</v>
      </c>
      <c r="F163" t="str">
        <f>_xlfn.CONCAT(Table356789[[#This Row],[Monat]]," ",Table356789[[#This Row],[Jahr]])</f>
        <v>September 2020</v>
      </c>
      <c r="G163">
        <v>1865.8999999999999</v>
      </c>
      <c r="H163">
        <v>3301</v>
      </c>
      <c r="I163">
        <v>3893</v>
      </c>
      <c r="J163">
        <v>25584.099999999995</v>
      </c>
      <c r="K163">
        <v>46316</v>
      </c>
      <c r="L163">
        <v>54616</v>
      </c>
      <c r="M163" s="8">
        <f>Table356789[[#This Row],[Ausfuhr: Wert €]]*1000/Table356789[[#This Row],[Ausfuhr: Gewicht]]</f>
        <v>1769.1194597781232</v>
      </c>
      <c r="N163" s="8">
        <f>Table356789[[#This Row],[Einfuhr: Wert €]]*1000/Table356789[[#This Row],[Einfuhr: Gewicht]]</f>
        <v>1810.3431428113558</v>
      </c>
      <c r="O163" s="8">
        <f>Table356789[[#This Row],[Ausfuhr: Wert $]]*1000/Table356789[[#This Row],[Ausfuhr: Gewicht]]</f>
        <v>2086.3926255426336</v>
      </c>
      <c r="P163" s="8">
        <f>Table356789[[#This Row],[Einfuhr: Wert $]]*1000/Table356789[[#This Row],[Einfuhr: Gewicht]]</f>
        <v>2134.7633881981392</v>
      </c>
    </row>
  </sheetData>
  <mergeCells count="12">
    <mergeCell ref="A5:F5"/>
    <mergeCell ref="G8:H8"/>
    <mergeCell ref="J8:K8"/>
    <mergeCell ref="M9:N9"/>
    <mergeCell ref="O9:P9"/>
    <mergeCell ref="A6:F6"/>
    <mergeCell ref="A4:F4"/>
    <mergeCell ref="A1:F1"/>
    <mergeCell ref="H1:L1"/>
    <mergeCell ref="A2:F2"/>
    <mergeCell ref="H2:L2"/>
    <mergeCell ref="A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324E-FFC2-4ADA-A8A7-033C2ED87BDE}">
  <sheetPr codeName="Sheet3"/>
  <dimension ref="B2:L157"/>
  <sheetViews>
    <sheetView zoomScaleNormal="100" workbookViewId="0">
      <selection activeCell="V2" sqref="V2"/>
    </sheetView>
  </sheetViews>
  <sheetFormatPr defaultColWidth="16" defaultRowHeight="15" x14ac:dyDescent="0.25"/>
  <cols>
    <col min="1" max="1" width="6.85546875" customWidth="1"/>
    <col min="2" max="2" width="9.42578125" customWidth="1"/>
    <col min="3" max="3" width="6.85546875" bestFit="1" customWidth="1"/>
    <col min="4" max="4" width="11.5703125" bestFit="1" customWidth="1"/>
    <col min="5" max="5" width="11.7109375" customWidth="1"/>
    <col min="6" max="6" width="16.140625" bestFit="1" customWidth="1"/>
    <col min="7" max="8" width="10.85546875" bestFit="1" customWidth="1"/>
    <col min="9" max="9" width="10.7109375" bestFit="1" customWidth="1"/>
    <col min="10" max="10" width="10.28515625" bestFit="1" customWidth="1"/>
    <col min="11" max="12" width="16.28515625" bestFit="1" customWidth="1"/>
  </cols>
  <sheetData>
    <row r="2" spans="2:12" x14ac:dyDescent="0.25">
      <c r="B2" t="s">
        <v>30</v>
      </c>
      <c r="C2">
        <v>2008</v>
      </c>
      <c r="D2" t="s">
        <v>8</v>
      </c>
      <c r="E2" t="s">
        <v>25</v>
      </c>
      <c r="F2" t="s">
        <v>26</v>
      </c>
    </row>
    <row r="3" spans="2:12" x14ac:dyDescent="0.25">
      <c r="K3" s="11" t="s">
        <v>33</v>
      </c>
      <c r="L3" s="11"/>
    </row>
    <row r="4" spans="2:12" ht="30" customHeight="1" x14ac:dyDescent="0.25">
      <c r="B4" s="9" t="s">
        <v>29</v>
      </c>
      <c r="C4" s="9" t="s">
        <v>7</v>
      </c>
      <c r="D4" s="9" t="s">
        <v>27</v>
      </c>
      <c r="E4" s="9" t="s">
        <v>1</v>
      </c>
      <c r="F4" s="9" t="s">
        <v>28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31</v>
      </c>
      <c r="L4" s="9" t="s">
        <v>32</v>
      </c>
    </row>
    <row r="5" spans="2:12" x14ac:dyDescent="0.25">
      <c r="B5">
        <f>(Table3[[#This Row],[Jahr]]-$C$2)*12+Table3[[#This Row],[Month nr]]</f>
        <v>1</v>
      </c>
      <c r="C5">
        <v>2008</v>
      </c>
      <c r="D5">
        <v>1</v>
      </c>
      <c r="E5" t="s">
        <v>13</v>
      </c>
      <c r="F5" t="str">
        <f>_xlfn.CONCAT(Table3[[#This Row],[Monat]]," ",Table3[[#This Row],[Jahr]])</f>
        <v>Januar 2008</v>
      </c>
      <c r="G5">
        <v>5891.2</v>
      </c>
      <c r="H5">
        <v>887</v>
      </c>
      <c r="I5">
        <v>110.1</v>
      </c>
      <c r="J5">
        <v>51</v>
      </c>
      <c r="K5" s="8">
        <f>Table3[[#This Row],[Ausfuhr: Wert]]*1000/Table3[[#This Row],[Ausfuhr: Gewicht]]</f>
        <v>150.5635524171646</v>
      </c>
      <c r="L5" s="8">
        <f>Table3[[#This Row],[Einfuhr: Wert]]*1000/Table3[[#This Row],[Einfuhr: Gewicht]]</f>
        <v>463.21525885558583</v>
      </c>
    </row>
    <row r="6" spans="2:12" x14ac:dyDescent="0.25">
      <c r="B6">
        <f>(Table3[[#This Row],[Jahr]]-$C$2)*12+Table3[[#This Row],[Month nr]]</f>
        <v>2</v>
      </c>
      <c r="C6">
        <v>2008</v>
      </c>
      <c r="D6">
        <v>2</v>
      </c>
      <c r="E6" t="s">
        <v>14</v>
      </c>
      <c r="F6" t="str">
        <f>_xlfn.CONCAT(Table3[[#This Row],[Monat]]," ",Table3[[#This Row],[Jahr]])</f>
        <v>Februar 2008</v>
      </c>
      <c r="G6">
        <v>5312.5</v>
      </c>
      <c r="H6">
        <v>836</v>
      </c>
      <c r="I6">
        <v>927.4</v>
      </c>
      <c r="J6">
        <v>225</v>
      </c>
      <c r="K6" s="8">
        <f>Table3[[#This Row],[Ausfuhr: Wert]]*1000/Table3[[#This Row],[Ausfuhr: Gewicht]]</f>
        <v>157.36470588235295</v>
      </c>
      <c r="L6" s="8">
        <f>Table3[[#This Row],[Einfuhr: Wert]]*1000/Table3[[#This Row],[Einfuhr: Gewicht]]</f>
        <v>242.61375889583783</v>
      </c>
    </row>
    <row r="7" spans="2:12" x14ac:dyDescent="0.25">
      <c r="B7">
        <f>(Table3[[#This Row],[Jahr]]-$C$2)*12+Table3[[#This Row],[Month nr]]</f>
        <v>3</v>
      </c>
      <c r="C7">
        <v>2008</v>
      </c>
      <c r="D7">
        <v>3</v>
      </c>
      <c r="E7" t="s">
        <v>15</v>
      </c>
      <c r="F7" t="str">
        <f>_xlfn.CONCAT(Table3[[#This Row],[Monat]]," ",Table3[[#This Row],[Jahr]])</f>
        <v>März 2008</v>
      </c>
      <c r="G7">
        <v>6531.5</v>
      </c>
      <c r="H7">
        <v>1078</v>
      </c>
      <c r="I7">
        <v>418.2</v>
      </c>
      <c r="J7">
        <v>75</v>
      </c>
      <c r="K7" s="8">
        <f>Table3[[#This Row],[Ausfuhr: Wert]]*1000/Table3[[#This Row],[Ausfuhr: Gewicht]]</f>
        <v>165.04631401668837</v>
      </c>
      <c r="L7" s="8">
        <f>Table3[[#This Row],[Einfuhr: Wert]]*1000/Table3[[#This Row],[Einfuhr: Gewicht]]</f>
        <v>179.34002869440459</v>
      </c>
    </row>
    <row r="8" spans="2:12" x14ac:dyDescent="0.25">
      <c r="B8">
        <f>(Table3[[#This Row],[Jahr]]-$C$2)*12+Table3[[#This Row],[Month nr]]</f>
        <v>4</v>
      </c>
      <c r="C8">
        <v>2008</v>
      </c>
      <c r="D8">
        <v>4</v>
      </c>
      <c r="E8" t="s">
        <v>16</v>
      </c>
      <c r="F8" t="str">
        <f>_xlfn.CONCAT(Table3[[#This Row],[Monat]]," ",Table3[[#This Row],[Jahr]])</f>
        <v>April 2008</v>
      </c>
      <c r="G8">
        <v>7117.7</v>
      </c>
      <c r="H8">
        <v>1211</v>
      </c>
      <c r="I8">
        <v>1504.8</v>
      </c>
      <c r="J8">
        <v>375</v>
      </c>
      <c r="K8" s="8">
        <f>Table3[[#This Row],[Ausfuhr: Wert]]*1000/Table3[[#This Row],[Ausfuhr: Gewicht]]</f>
        <v>170.13923036936089</v>
      </c>
      <c r="L8" s="8">
        <f>Table3[[#This Row],[Einfuhr: Wert]]*1000/Table3[[#This Row],[Einfuhr: Gewicht]]</f>
        <v>249.20255183413079</v>
      </c>
    </row>
    <row r="9" spans="2:12" x14ac:dyDescent="0.25">
      <c r="B9">
        <f>(Table3[[#This Row],[Jahr]]-$C$2)*12+Table3[[#This Row],[Month nr]]</f>
        <v>5</v>
      </c>
      <c r="C9">
        <v>2008</v>
      </c>
      <c r="D9">
        <v>5</v>
      </c>
      <c r="E9" t="s">
        <v>20</v>
      </c>
      <c r="F9" t="str">
        <f>_xlfn.CONCAT(Table3[[#This Row],[Monat]]," ",Table3[[#This Row],[Jahr]])</f>
        <v>Mai 2008</v>
      </c>
      <c r="G9">
        <v>5241.5</v>
      </c>
      <c r="H9">
        <v>918</v>
      </c>
      <c r="I9">
        <v>1686.2</v>
      </c>
      <c r="J9">
        <v>364</v>
      </c>
      <c r="K9" s="8">
        <f>Table3[[#This Row],[Ausfuhr: Wert]]*1000/Table3[[#This Row],[Ausfuhr: Gewicht]]</f>
        <v>175.14070399694745</v>
      </c>
      <c r="L9" s="8">
        <f>Table3[[#This Row],[Einfuhr: Wert]]*1000/Table3[[#This Row],[Einfuhr: Gewicht]]</f>
        <v>215.87000355829676</v>
      </c>
    </row>
    <row r="10" spans="2:12" x14ac:dyDescent="0.25">
      <c r="B10">
        <f>(Table3[[#This Row],[Jahr]]-$C$2)*12+Table3[[#This Row],[Month nr]]</f>
        <v>6</v>
      </c>
      <c r="C10">
        <v>2008</v>
      </c>
      <c r="D10">
        <v>6</v>
      </c>
      <c r="E10" t="s">
        <v>21</v>
      </c>
      <c r="F10" t="str">
        <f>_xlfn.CONCAT(Table3[[#This Row],[Monat]]," ",Table3[[#This Row],[Jahr]])</f>
        <v>Juni 2008</v>
      </c>
      <c r="G10">
        <v>857.2</v>
      </c>
      <c r="H10">
        <v>445</v>
      </c>
      <c r="I10">
        <v>1311.5</v>
      </c>
      <c r="J10">
        <v>702</v>
      </c>
      <c r="K10" s="8">
        <f>Table3[[#This Row],[Ausfuhr: Wert]]*1000/Table3[[#This Row],[Ausfuhr: Gewicht]]</f>
        <v>519.13205786280912</v>
      </c>
      <c r="L10" s="8">
        <f>Table3[[#This Row],[Einfuhr: Wert]]*1000/Table3[[#This Row],[Einfuhr: Gewicht]]</f>
        <v>535.26496378192905</v>
      </c>
    </row>
    <row r="11" spans="2:12" x14ac:dyDescent="0.25">
      <c r="B11">
        <f>(Table3[[#This Row],[Jahr]]-$C$2)*12+Table3[[#This Row],[Month nr]]</f>
        <v>7</v>
      </c>
      <c r="C11">
        <v>2008</v>
      </c>
      <c r="D11">
        <v>7</v>
      </c>
      <c r="E11" t="s">
        <v>22</v>
      </c>
      <c r="F11" t="str">
        <f>_xlfn.CONCAT(Table3[[#This Row],[Monat]]," ",Table3[[#This Row],[Jahr]])</f>
        <v>Juli 2008</v>
      </c>
      <c r="G11">
        <v>12249.4</v>
      </c>
      <c r="H11">
        <v>2009</v>
      </c>
      <c r="I11">
        <v>1206.2</v>
      </c>
      <c r="J11">
        <v>504</v>
      </c>
      <c r="K11" s="8">
        <f>Table3[[#This Row],[Ausfuhr: Wert]]*1000/Table3[[#This Row],[Ausfuhr: Gewicht]]</f>
        <v>164.00803304651657</v>
      </c>
      <c r="L11" s="8">
        <f>Table3[[#This Row],[Einfuhr: Wert]]*1000/Table3[[#This Row],[Einfuhr: Gewicht]]</f>
        <v>417.84115403747302</v>
      </c>
    </row>
    <row r="12" spans="2:12" x14ac:dyDescent="0.25">
      <c r="B12">
        <f>(Table3[[#This Row],[Jahr]]-$C$2)*12+Table3[[#This Row],[Month nr]]</f>
        <v>8</v>
      </c>
      <c r="C12">
        <v>2008</v>
      </c>
      <c r="D12">
        <v>8</v>
      </c>
      <c r="E12" t="s">
        <v>17</v>
      </c>
      <c r="F12" t="str">
        <f>_xlfn.CONCAT(Table3[[#This Row],[Monat]]," ",Table3[[#This Row],[Jahr]])</f>
        <v>August 2008</v>
      </c>
      <c r="G12">
        <v>21341.1</v>
      </c>
      <c r="H12">
        <v>3250</v>
      </c>
      <c r="I12">
        <v>382.9</v>
      </c>
      <c r="J12">
        <v>218</v>
      </c>
      <c r="K12" s="8">
        <f>Table3[[#This Row],[Ausfuhr: Wert]]*1000/Table3[[#This Row],[Ausfuhr: Gewicht]]</f>
        <v>152.28830753803695</v>
      </c>
      <c r="L12" s="8">
        <f>Table3[[#This Row],[Einfuhr: Wert]]*1000/Table3[[#This Row],[Einfuhr: Gewicht]]</f>
        <v>569.33925306868639</v>
      </c>
    </row>
    <row r="13" spans="2:12" x14ac:dyDescent="0.25">
      <c r="B13">
        <f>(Table3[[#This Row],[Jahr]]-$C$2)*12+Table3[[#This Row],[Month nr]]</f>
        <v>9</v>
      </c>
      <c r="C13">
        <v>2008</v>
      </c>
      <c r="D13">
        <v>9</v>
      </c>
      <c r="E13" t="s">
        <v>18</v>
      </c>
      <c r="F13" t="str">
        <f>_xlfn.CONCAT(Table3[[#This Row],[Monat]]," ",Table3[[#This Row],[Jahr]])</f>
        <v>September 2008</v>
      </c>
      <c r="G13">
        <v>18268.8</v>
      </c>
      <c r="H13">
        <v>2457</v>
      </c>
      <c r="I13">
        <v>3934.6</v>
      </c>
      <c r="J13">
        <v>940</v>
      </c>
      <c r="K13" s="8">
        <f>Table3[[#This Row],[Ausfuhr: Wert]]*1000/Table3[[#This Row],[Ausfuhr: Gewicht]]</f>
        <v>134.4915922228061</v>
      </c>
      <c r="L13" s="8">
        <f>Table3[[#This Row],[Einfuhr: Wert]]*1000/Table3[[#This Row],[Einfuhr: Gewicht]]</f>
        <v>238.90611497992174</v>
      </c>
    </row>
    <row r="14" spans="2:12" x14ac:dyDescent="0.25">
      <c r="B14">
        <f>(Table3[[#This Row],[Jahr]]-$C$2)*12+Table3[[#This Row],[Month nr]]</f>
        <v>10</v>
      </c>
      <c r="C14">
        <v>2008</v>
      </c>
      <c r="D14">
        <v>10</v>
      </c>
      <c r="E14" t="s">
        <v>23</v>
      </c>
      <c r="F14" t="str">
        <f>_xlfn.CONCAT(Table3[[#This Row],[Monat]]," ",Table3[[#This Row],[Jahr]])</f>
        <v>Oktober 2008</v>
      </c>
      <c r="G14">
        <v>25197.599999999999</v>
      </c>
      <c r="H14">
        <v>3181</v>
      </c>
      <c r="I14">
        <v>302.10000000000002</v>
      </c>
      <c r="J14">
        <v>201</v>
      </c>
      <c r="K14" s="8">
        <f>Table3[[#This Row],[Ausfuhr: Wert]]*1000/Table3[[#This Row],[Ausfuhr: Gewicht]]</f>
        <v>126.2421817950916</v>
      </c>
      <c r="L14" s="8">
        <f>Table3[[#This Row],[Einfuhr: Wert]]*1000/Table3[[#This Row],[Einfuhr: Gewicht]]</f>
        <v>665.34260178748752</v>
      </c>
    </row>
    <row r="15" spans="2:12" x14ac:dyDescent="0.25">
      <c r="B15">
        <f>(Table3[[#This Row],[Jahr]]-$C$2)*12+Table3[[#This Row],[Month nr]]</f>
        <v>11</v>
      </c>
      <c r="C15">
        <v>2008</v>
      </c>
      <c r="D15">
        <v>11</v>
      </c>
      <c r="E15" t="s">
        <v>19</v>
      </c>
      <c r="F15" t="str">
        <f>_xlfn.CONCAT(Table3[[#This Row],[Monat]]," ",Table3[[#This Row],[Jahr]])</f>
        <v>November 2008</v>
      </c>
      <c r="G15">
        <v>11933.7</v>
      </c>
      <c r="H15">
        <v>1875</v>
      </c>
      <c r="I15">
        <v>266.2</v>
      </c>
      <c r="J15">
        <v>152</v>
      </c>
      <c r="K15" s="8">
        <f>Table3[[#This Row],[Ausfuhr: Wert]]*1000/Table3[[#This Row],[Ausfuhr: Gewicht]]</f>
        <v>157.11807737751073</v>
      </c>
      <c r="L15" s="8">
        <f>Table3[[#This Row],[Einfuhr: Wert]]*1000/Table3[[#This Row],[Einfuhr: Gewicht]]</f>
        <v>570.99924868519918</v>
      </c>
    </row>
    <row r="16" spans="2:12" x14ac:dyDescent="0.25">
      <c r="B16">
        <f>(Table3[[#This Row],[Jahr]]-$C$2)*12+Table3[[#This Row],[Month nr]]</f>
        <v>12</v>
      </c>
      <c r="C16">
        <v>2008</v>
      </c>
      <c r="D16">
        <v>12</v>
      </c>
      <c r="E16" t="s">
        <v>24</v>
      </c>
      <c r="F16" t="str">
        <f>_xlfn.CONCAT(Table3[[#This Row],[Monat]]," ",Table3[[#This Row],[Jahr]])</f>
        <v>Dezember 2008</v>
      </c>
      <c r="G16">
        <v>8182.6</v>
      </c>
      <c r="H16">
        <v>1192</v>
      </c>
      <c r="I16">
        <v>1909.4</v>
      </c>
      <c r="J16">
        <v>819</v>
      </c>
      <c r="K16" s="8">
        <f>Table3[[#This Row],[Ausfuhr: Wert]]*1000/Table3[[#This Row],[Ausfuhr: Gewicht]]</f>
        <v>145.67496883631119</v>
      </c>
      <c r="L16" s="8">
        <f>Table3[[#This Row],[Einfuhr: Wert]]*1000/Table3[[#This Row],[Einfuhr: Gewicht]]</f>
        <v>428.9305541007646</v>
      </c>
    </row>
    <row r="17" spans="2:12" x14ac:dyDescent="0.25">
      <c r="B17">
        <f>(Table3[[#This Row],[Jahr]]-$C$2)*12+Table3[[#This Row],[Month nr]]</f>
        <v>13</v>
      </c>
      <c r="C17">
        <v>2009</v>
      </c>
      <c r="D17">
        <v>1</v>
      </c>
      <c r="E17" t="s">
        <v>13</v>
      </c>
      <c r="F17" t="str">
        <f>_xlfn.CONCAT(Table3[[#This Row],[Monat]]," ",Table3[[#This Row],[Jahr]])</f>
        <v>Januar 2009</v>
      </c>
      <c r="G17">
        <v>8538.7000000000007</v>
      </c>
      <c r="H17">
        <v>1319</v>
      </c>
      <c r="I17">
        <v>3310.6</v>
      </c>
      <c r="J17">
        <v>597</v>
      </c>
      <c r="K17" s="8">
        <f>Table3[[#This Row],[Ausfuhr: Wert]]*1000/Table3[[#This Row],[Ausfuhr: Gewicht]]</f>
        <v>154.47316336210429</v>
      </c>
      <c r="L17" s="8">
        <f>Table3[[#This Row],[Einfuhr: Wert]]*1000/Table3[[#This Row],[Einfuhr: Gewicht]]</f>
        <v>180.32984957409533</v>
      </c>
    </row>
    <row r="18" spans="2:12" x14ac:dyDescent="0.25">
      <c r="B18">
        <f>(Table3[[#This Row],[Jahr]]-$C$2)*12+Table3[[#This Row],[Month nr]]</f>
        <v>14</v>
      </c>
      <c r="C18">
        <v>2009</v>
      </c>
      <c r="D18">
        <v>2</v>
      </c>
      <c r="E18" t="s">
        <v>14</v>
      </c>
      <c r="F18" t="str">
        <f>_xlfn.CONCAT(Table3[[#This Row],[Monat]]," ",Table3[[#This Row],[Jahr]])</f>
        <v>Februar 2009</v>
      </c>
      <c r="G18">
        <v>15173.7</v>
      </c>
      <c r="H18">
        <v>2273</v>
      </c>
      <c r="I18">
        <v>542.1</v>
      </c>
      <c r="J18">
        <v>282</v>
      </c>
      <c r="K18" s="8">
        <f>Table3[[#This Row],[Ausfuhr: Wert]]*1000/Table3[[#This Row],[Ausfuhr: Gewicht]]</f>
        <v>149.79866479500714</v>
      </c>
      <c r="L18" s="8">
        <f>Table3[[#This Row],[Einfuhr: Wert]]*1000/Table3[[#This Row],[Einfuhr: Gewicht]]</f>
        <v>520.19922523519642</v>
      </c>
    </row>
    <row r="19" spans="2:12" x14ac:dyDescent="0.25">
      <c r="B19">
        <f>(Table3[[#This Row],[Jahr]]-$C$2)*12+Table3[[#This Row],[Month nr]]</f>
        <v>15</v>
      </c>
      <c r="C19">
        <v>2009</v>
      </c>
      <c r="D19">
        <v>3</v>
      </c>
      <c r="E19" t="s">
        <v>15</v>
      </c>
      <c r="F19" t="str">
        <f>_xlfn.CONCAT(Table3[[#This Row],[Monat]]," ",Table3[[#This Row],[Jahr]])</f>
        <v>März 2009</v>
      </c>
      <c r="G19">
        <v>7861.9</v>
      </c>
      <c r="H19">
        <v>1134</v>
      </c>
      <c r="I19">
        <v>1181.3</v>
      </c>
      <c r="J19">
        <v>309</v>
      </c>
      <c r="K19" s="8">
        <f>Table3[[#This Row],[Ausfuhr: Wert]]*1000/Table3[[#This Row],[Ausfuhr: Gewicht]]</f>
        <v>144.23994199875349</v>
      </c>
      <c r="L19" s="8">
        <f>Table3[[#This Row],[Einfuhr: Wert]]*1000/Table3[[#This Row],[Einfuhr: Gewicht]]</f>
        <v>261.576229577584</v>
      </c>
    </row>
    <row r="20" spans="2:12" x14ac:dyDescent="0.25">
      <c r="B20">
        <f>(Table3[[#This Row],[Jahr]]-$C$2)*12+Table3[[#This Row],[Month nr]]</f>
        <v>16</v>
      </c>
      <c r="C20">
        <v>2009</v>
      </c>
      <c r="D20">
        <v>4</v>
      </c>
      <c r="E20" t="s">
        <v>16</v>
      </c>
      <c r="F20" t="str">
        <f>_xlfn.CONCAT(Table3[[#This Row],[Monat]]," ",Table3[[#This Row],[Jahr]])</f>
        <v>April 2009</v>
      </c>
      <c r="G20">
        <v>13025.8</v>
      </c>
      <c r="H20">
        <v>1820</v>
      </c>
      <c r="I20">
        <v>2746.9</v>
      </c>
      <c r="J20">
        <v>876</v>
      </c>
      <c r="K20" s="8">
        <f>Table3[[#This Row],[Ausfuhr: Wert]]*1000/Table3[[#This Row],[Ausfuhr: Gewicht]]</f>
        <v>139.72270417172075</v>
      </c>
      <c r="L20" s="8">
        <f>Table3[[#This Row],[Einfuhr: Wert]]*1000/Table3[[#This Row],[Einfuhr: Gewicht]]</f>
        <v>318.90494739524553</v>
      </c>
    </row>
    <row r="21" spans="2:12" x14ac:dyDescent="0.25">
      <c r="B21">
        <f>(Table3[[#This Row],[Jahr]]-$C$2)*12+Table3[[#This Row],[Month nr]]</f>
        <v>17</v>
      </c>
      <c r="C21">
        <v>2009</v>
      </c>
      <c r="D21">
        <v>5</v>
      </c>
      <c r="E21" t="s">
        <v>20</v>
      </c>
      <c r="F21" t="str">
        <f>_xlfn.CONCAT(Table3[[#This Row],[Monat]]," ",Table3[[#This Row],[Jahr]])</f>
        <v>Mai 2009</v>
      </c>
      <c r="G21">
        <v>13802.5</v>
      </c>
      <c r="H21">
        <v>1746</v>
      </c>
      <c r="I21">
        <v>2916.5</v>
      </c>
      <c r="J21">
        <v>1249</v>
      </c>
      <c r="K21" s="8">
        <f>Table3[[#This Row],[Ausfuhr: Wert]]*1000/Table3[[#This Row],[Ausfuhr: Gewicht]]</f>
        <v>126.49882267705127</v>
      </c>
      <c r="L21" s="8">
        <f>Table3[[#This Row],[Einfuhr: Wert]]*1000/Table3[[#This Row],[Einfuhr: Gewicht]]</f>
        <v>428.25304303103036</v>
      </c>
    </row>
    <row r="22" spans="2:12" x14ac:dyDescent="0.25">
      <c r="B22">
        <f>(Table3[[#This Row],[Jahr]]-$C$2)*12+Table3[[#This Row],[Month nr]]</f>
        <v>18</v>
      </c>
      <c r="C22">
        <v>2009</v>
      </c>
      <c r="D22">
        <v>6</v>
      </c>
      <c r="E22" t="s">
        <v>21</v>
      </c>
      <c r="F22" t="str">
        <f>_xlfn.CONCAT(Table3[[#This Row],[Monat]]," ",Table3[[#This Row],[Jahr]])</f>
        <v>Juni 2009</v>
      </c>
      <c r="G22">
        <v>7951.2</v>
      </c>
      <c r="H22">
        <v>1183</v>
      </c>
      <c r="I22">
        <v>3249.7</v>
      </c>
      <c r="J22">
        <v>923</v>
      </c>
      <c r="K22" s="8">
        <f>Table3[[#This Row],[Ausfuhr: Wert]]*1000/Table3[[#This Row],[Ausfuhr: Gewicht]]</f>
        <v>148.78257369956737</v>
      </c>
      <c r="L22" s="8">
        <f>Table3[[#This Row],[Einfuhr: Wert]]*1000/Table3[[#This Row],[Einfuhr: Gewicht]]</f>
        <v>284.02621780472043</v>
      </c>
    </row>
    <row r="23" spans="2:12" x14ac:dyDescent="0.25">
      <c r="B23">
        <f>(Table3[[#This Row],[Jahr]]-$C$2)*12+Table3[[#This Row],[Month nr]]</f>
        <v>19</v>
      </c>
      <c r="C23">
        <v>2009</v>
      </c>
      <c r="D23">
        <v>7</v>
      </c>
      <c r="E23" t="s">
        <v>22</v>
      </c>
      <c r="F23" t="str">
        <f>_xlfn.CONCAT(Table3[[#This Row],[Monat]]," ",Table3[[#This Row],[Jahr]])</f>
        <v>Juli 2009</v>
      </c>
      <c r="G23">
        <v>24429.200000000001</v>
      </c>
      <c r="H23">
        <v>3722</v>
      </c>
      <c r="I23">
        <v>6285</v>
      </c>
      <c r="J23">
        <v>1417</v>
      </c>
      <c r="K23" s="8">
        <f>Table3[[#This Row],[Ausfuhr: Wert]]*1000/Table3[[#This Row],[Ausfuhr: Gewicht]]</f>
        <v>152.35865275981203</v>
      </c>
      <c r="L23" s="8">
        <f>Table3[[#This Row],[Einfuhr: Wert]]*1000/Table3[[#This Row],[Einfuhr: Gewicht]]</f>
        <v>225.4574383452665</v>
      </c>
    </row>
    <row r="24" spans="2:12" x14ac:dyDescent="0.25">
      <c r="B24">
        <f>(Table3[[#This Row],[Jahr]]-$C$2)*12+Table3[[#This Row],[Month nr]]</f>
        <v>20</v>
      </c>
      <c r="C24">
        <v>2009</v>
      </c>
      <c r="D24">
        <v>8</v>
      </c>
      <c r="E24" t="s">
        <v>17</v>
      </c>
      <c r="F24" t="str">
        <f>_xlfn.CONCAT(Table3[[#This Row],[Monat]]," ",Table3[[#This Row],[Jahr]])</f>
        <v>August 2009</v>
      </c>
      <c r="G24">
        <v>13757.9</v>
      </c>
      <c r="H24">
        <v>1529</v>
      </c>
      <c r="I24">
        <v>6387.4</v>
      </c>
      <c r="J24">
        <v>888</v>
      </c>
      <c r="K24" s="8">
        <f>Table3[[#This Row],[Ausfuhr: Wert]]*1000/Table3[[#This Row],[Ausfuhr: Gewicht]]</f>
        <v>111.1361472317723</v>
      </c>
      <c r="L24" s="8">
        <f>Table3[[#This Row],[Einfuhr: Wert]]*1000/Table3[[#This Row],[Einfuhr: Gewicht]]</f>
        <v>139.02370291511414</v>
      </c>
    </row>
    <row r="25" spans="2:12" x14ac:dyDescent="0.25">
      <c r="B25">
        <f>(Table3[[#This Row],[Jahr]]-$C$2)*12+Table3[[#This Row],[Month nr]]</f>
        <v>21</v>
      </c>
      <c r="C25">
        <v>2009</v>
      </c>
      <c r="D25">
        <v>9</v>
      </c>
      <c r="E25" t="s">
        <v>18</v>
      </c>
      <c r="F25" t="str">
        <f>_xlfn.CONCAT(Table3[[#This Row],[Monat]]," ",Table3[[#This Row],[Jahr]])</f>
        <v>September 2009</v>
      </c>
      <c r="G25">
        <v>14598.6</v>
      </c>
      <c r="H25">
        <v>1465</v>
      </c>
      <c r="I25">
        <v>1684.9</v>
      </c>
      <c r="J25">
        <v>202</v>
      </c>
      <c r="K25" s="8">
        <f>Table3[[#This Row],[Ausfuhr: Wert]]*1000/Table3[[#This Row],[Ausfuhr: Gewicht]]</f>
        <v>100.35208855643691</v>
      </c>
      <c r="L25" s="8">
        <f>Table3[[#This Row],[Einfuhr: Wert]]*1000/Table3[[#This Row],[Einfuhr: Gewicht]]</f>
        <v>119.88842067778502</v>
      </c>
    </row>
    <row r="26" spans="2:12" x14ac:dyDescent="0.25">
      <c r="B26">
        <f>(Table3[[#This Row],[Jahr]]-$C$2)*12+Table3[[#This Row],[Month nr]]</f>
        <v>22</v>
      </c>
      <c r="C26">
        <v>2009</v>
      </c>
      <c r="D26">
        <v>10</v>
      </c>
      <c r="E26" t="s">
        <v>23</v>
      </c>
      <c r="F26" t="str">
        <f>_xlfn.CONCAT(Table3[[#This Row],[Monat]]," ",Table3[[#This Row],[Jahr]])</f>
        <v>Oktober 2009</v>
      </c>
      <c r="G26">
        <v>17983.900000000001</v>
      </c>
      <c r="H26">
        <v>2209</v>
      </c>
      <c r="I26">
        <v>1687.1</v>
      </c>
      <c r="J26">
        <v>239</v>
      </c>
      <c r="K26" s="8">
        <f>Table3[[#This Row],[Ausfuhr: Wert]]*1000/Table3[[#This Row],[Ausfuhr: Gewicht]]</f>
        <v>122.83208870156083</v>
      </c>
      <c r="L26" s="8">
        <f>Table3[[#This Row],[Einfuhr: Wert]]*1000/Table3[[#This Row],[Einfuhr: Gewicht]]</f>
        <v>141.66320905696165</v>
      </c>
    </row>
    <row r="27" spans="2:12" x14ac:dyDescent="0.25">
      <c r="B27">
        <f>(Table3[[#This Row],[Jahr]]-$C$2)*12+Table3[[#This Row],[Month nr]]</f>
        <v>23</v>
      </c>
      <c r="C27">
        <v>2009</v>
      </c>
      <c r="D27">
        <v>11</v>
      </c>
      <c r="E27" t="s">
        <v>19</v>
      </c>
      <c r="F27" t="str">
        <f>_xlfn.CONCAT(Table3[[#This Row],[Monat]]," ",Table3[[#This Row],[Jahr]])</f>
        <v>November 2009</v>
      </c>
      <c r="G27">
        <v>10354.5</v>
      </c>
      <c r="H27">
        <v>1195</v>
      </c>
      <c r="I27">
        <v>311.8</v>
      </c>
      <c r="J27">
        <v>108</v>
      </c>
      <c r="K27" s="8">
        <f>Table3[[#This Row],[Ausfuhr: Wert]]*1000/Table3[[#This Row],[Ausfuhr: Gewicht]]</f>
        <v>115.40875947655609</v>
      </c>
      <c r="L27" s="8">
        <f>Table3[[#This Row],[Einfuhr: Wert]]*1000/Table3[[#This Row],[Einfuhr: Gewicht]]</f>
        <v>346.37588197562536</v>
      </c>
    </row>
    <row r="28" spans="2:12" x14ac:dyDescent="0.25">
      <c r="B28">
        <f>(Table3[[#This Row],[Jahr]]-$C$2)*12+Table3[[#This Row],[Month nr]]</f>
        <v>24</v>
      </c>
      <c r="C28">
        <v>2009</v>
      </c>
      <c r="D28">
        <v>12</v>
      </c>
      <c r="E28" t="s">
        <v>24</v>
      </c>
      <c r="F28" t="str">
        <f>_xlfn.CONCAT(Table3[[#This Row],[Monat]]," ",Table3[[#This Row],[Jahr]])</f>
        <v>Dezember 2009</v>
      </c>
      <c r="G28">
        <v>4243.7</v>
      </c>
      <c r="H28">
        <v>599</v>
      </c>
      <c r="I28">
        <v>257.7</v>
      </c>
      <c r="J28">
        <v>95</v>
      </c>
      <c r="K28" s="8">
        <f>Table3[[#This Row],[Ausfuhr: Wert]]*1000/Table3[[#This Row],[Ausfuhr: Gewicht]]</f>
        <v>141.15041119777553</v>
      </c>
      <c r="L28" s="8">
        <f>Table3[[#This Row],[Einfuhr: Wert]]*1000/Table3[[#This Row],[Einfuhr: Gewicht]]</f>
        <v>368.64571206829646</v>
      </c>
    </row>
    <row r="29" spans="2:12" x14ac:dyDescent="0.25">
      <c r="B29">
        <f>(Table3[[#This Row],[Jahr]]-$C$2)*12+Table3[[#This Row],[Month nr]]</f>
        <v>25</v>
      </c>
      <c r="C29">
        <v>2010</v>
      </c>
      <c r="D29">
        <v>1</v>
      </c>
      <c r="E29" t="s">
        <v>13</v>
      </c>
      <c r="F29" t="str">
        <f>_xlfn.CONCAT(Table3[[#This Row],[Monat]]," ",Table3[[#This Row],[Jahr]])</f>
        <v>Januar 2010</v>
      </c>
      <c r="G29">
        <v>5557.3</v>
      </c>
      <c r="H29">
        <v>1190</v>
      </c>
      <c r="I29">
        <v>2100.1999999999998</v>
      </c>
      <c r="J29">
        <v>455</v>
      </c>
      <c r="K29" s="8">
        <f>Table3[[#This Row],[Ausfuhr: Wert]]*1000/Table3[[#This Row],[Ausfuhr: Gewicht]]</f>
        <v>214.13276231263382</v>
      </c>
      <c r="L29" s="8">
        <f>Table3[[#This Row],[Einfuhr: Wert]]*1000/Table3[[#This Row],[Einfuhr: Gewicht]]</f>
        <v>216.64603371107515</v>
      </c>
    </row>
    <row r="30" spans="2:12" x14ac:dyDescent="0.25">
      <c r="B30">
        <f>(Table3[[#This Row],[Jahr]]-$C$2)*12+Table3[[#This Row],[Month nr]]</f>
        <v>26</v>
      </c>
      <c r="C30">
        <v>2010</v>
      </c>
      <c r="D30">
        <v>2</v>
      </c>
      <c r="E30" t="s">
        <v>14</v>
      </c>
      <c r="F30" t="str">
        <f>_xlfn.CONCAT(Table3[[#This Row],[Monat]]," ",Table3[[#This Row],[Jahr]])</f>
        <v>Februar 2010</v>
      </c>
      <c r="G30">
        <v>8705.7000000000007</v>
      </c>
      <c r="H30">
        <v>1097</v>
      </c>
      <c r="I30">
        <v>1185.4000000000001</v>
      </c>
      <c r="J30">
        <v>260</v>
      </c>
      <c r="K30" s="8">
        <f>Table3[[#This Row],[Ausfuhr: Wert]]*1000/Table3[[#This Row],[Ausfuhr: Gewicht]]</f>
        <v>126.00939614275704</v>
      </c>
      <c r="L30" s="8">
        <f>Table3[[#This Row],[Einfuhr: Wert]]*1000/Table3[[#This Row],[Einfuhr: Gewicht]]</f>
        <v>219.3352454867555</v>
      </c>
    </row>
    <row r="31" spans="2:12" x14ac:dyDescent="0.25">
      <c r="B31">
        <f>(Table3[[#This Row],[Jahr]]-$C$2)*12+Table3[[#This Row],[Month nr]]</f>
        <v>27</v>
      </c>
      <c r="C31">
        <v>2010</v>
      </c>
      <c r="D31">
        <v>3</v>
      </c>
      <c r="E31" t="s">
        <v>15</v>
      </c>
      <c r="F31" t="str">
        <f>_xlfn.CONCAT(Table3[[#This Row],[Monat]]," ",Table3[[#This Row],[Jahr]])</f>
        <v>März 2010</v>
      </c>
      <c r="G31">
        <v>7424.5</v>
      </c>
      <c r="H31">
        <v>930</v>
      </c>
      <c r="I31">
        <v>1401.4</v>
      </c>
      <c r="J31">
        <v>237</v>
      </c>
      <c r="K31" s="8">
        <f>Table3[[#This Row],[Ausfuhr: Wert]]*1000/Table3[[#This Row],[Ausfuhr: Gewicht]]</f>
        <v>125.26096033402922</v>
      </c>
      <c r="L31" s="8">
        <f>Table3[[#This Row],[Einfuhr: Wert]]*1000/Table3[[#This Row],[Einfuhr: Gewicht]]</f>
        <v>169.11659768802625</v>
      </c>
    </row>
    <row r="32" spans="2:12" x14ac:dyDescent="0.25">
      <c r="B32">
        <f>(Table3[[#This Row],[Jahr]]-$C$2)*12+Table3[[#This Row],[Month nr]]</f>
        <v>28</v>
      </c>
      <c r="C32">
        <v>2010</v>
      </c>
      <c r="D32">
        <v>4</v>
      </c>
      <c r="E32" t="s">
        <v>16</v>
      </c>
      <c r="F32" t="str">
        <f>_xlfn.CONCAT(Table3[[#This Row],[Monat]]," ",Table3[[#This Row],[Jahr]])</f>
        <v>April 2010</v>
      </c>
      <c r="G32">
        <v>5298.1</v>
      </c>
      <c r="H32">
        <v>930</v>
      </c>
      <c r="I32">
        <v>1083.8</v>
      </c>
      <c r="J32">
        <v>511</v>
      </c>
      <c r="K32" s="8">
        <f>Table3[[#This Row],[Ausfuhr: Wert]]*1000/Table3[[#This Row],[Ausfuhr: Gewicht]]</f>
        <v>175.53462562050547</v>
      </c>
      <c r="L32" s="8">
        <f>Table3[[#This Row],[Einfuhr: Wert]]*1000/Table3[[#This Row],[Einfuhr: Gewicht]]</f>
        <v>471.48920465030449</v>
      </c>
    </row>
    <row r="33" spans="2:12" x14ac:dyDescent="0.25">
      <c r="B33">
        <f>(Table3[[#This Row],[Jahr]]-$C$2)*12+Table3[[#This Row],[Month nr]]</f>
        <v>29</v>
      </c>
      <c r="C33">
        <v>2010</v>
      </c>
      <c r="D33">
        <v>5</v>
      </c>
      <c r="E33" t="s">
        <v>20</v>
      </c>
      <c r="F33" t="str">
        <f>_xlfn.CONCAT(Table3[[#This Row],[Monat]]," ",Table3[[#This Row],[Jahr]])</f>
        <v>Mai 2010</v>
      </c>
      <c r="G33">
        <v>3920.8</v>
      </c>
      <c r="H33">
        <v>673</v>
      </c>
      <c r="I33">
        <v>2904.6</v>
      </c>
      <c r="J33">
        <v>1111</v>
      </c>
      <c r="K33" s="8">
        <f>Table3[[#This Row],[Ausfuhr: Wert]]*1000/Table3[[#This Row],[Ausfuhr: Gewicht]]</f>
        <v>171.64864313405425</v>
      </c>
      <c r="L33" s="8">
        <f>Table3[[#This Row],[Einfuhr: Wert]]*1000/Table3[[#This Row],[Einfuhr: Gewicht]]</f>
        <v>382.49672932589687</v>
      </c>
    </row>
    <row r="34" spans="2:12" x14ac:dyDescent="0.25">
      <c r="B34">
        <f>(Table3[[#This Row],[Jahr]]-$C$2)*12+Table3[[#This Row],[Month nr]]</f>
        <v>30</v>
      </c>
      <c r="C34">
        <v>2010</v>
      </c>
      <c r="D34">
        <v>6</v>
      </c>
      <c r="E34" t="s">
        <v>21</v>
      </c>
      <c r="F34" t="str">
        <f>_xlfn.CONCAT(Table3[[#This Row],[Monat]]," ",Table3[[#This Row],[Jahr]])</f>
        <v>Juni 2010</v>
      </c>
      <c r="G34">
        <v>12261.5</v>
      </c>
      <c r="H34">
        <v>1556</v>
      </c>
      <c r="I34">
        <v>2336</v>
      </c>
      <c r="J34">
        <v>801</v>
      </c>
      <c r="K34" s="8">
        <f>Table3[[#This Row],[Ausfuhr: Wert]]*1000/Table3[[#This Row],[Ausfuhr: Gewicht]]</f>
        <v>126.90127635281165</v>
      </c>
      <c r="L34" s="8">
        <f>Table3[[#This Row],[Einfuhr: Wert]]*1000/Table3[[#This Row],[Einfuhr: Gewicht]]</f>
        <v>342.89383561643837</v>
      </c>
    </row>
    <row r="35" spans="2:12" x14ac:dyDescent="0.25">
      <c r="B35">
        <f>(Table3[[#This Row],[Jahr]]-$C$2)*12+Table3[[#This Row],[Month nr]]</f>
        <v>31</v>
      </c>
      <c r="C35">
        <v>2010</v>
      </c>
      <c r="D35">
        <v>7</v>
      </c>
      <c r="E35" t="s">
        <v>22</v>
      </c>
      <c r="F35" t="str">
        <f>_xlfn.CONCAT(Table3[[#This Row],[Monat]]," ",Table3[[#This Row],[Jahr]])</f>
        <v>Juli 2010</v>
      </c>
      <c r="G35">
        <v>22885.599999999999</v>
      </c>
      <c r="H35">
        <v>3966</v>
      </c>
      <c r="I35">
        <v>946.7</v>
      </c>
      <c r="J35">
        <v>500</v>
      </c>
      <c r="K35" s="8">
        <f>Table3[[#This Row],[Ausfuhr: Wert]]*1000/Table3[[#This Row],[Ausfuhr: Gewicht]]</f>
        <v>173.29674555178804</v>
      </c>
      <c r="L35" s="8">
        <f>Table3[[#This Row],[Einfuhr: Wert]]*1000/Table3[[#This Row],[Einfuhr: Gewicht]]</f>
        <v>528.15041723882962</v>
      </c>
    </row>
    <row r="36" spans="2:12" x14ac:dyDescent="0.25">
      <c r="B36">
        <f>(Table3[[#This Row],[Jahr]]-$C$2)*12+Table3[[#This Row],[Month nr]]</f>
        <v>32</v>
      </c>
      <c r="C36">
        <v>2010</v>
      </c>
      <c r="D36">
        <v>8</v>
      </c>
      <c r="E36" t="s">
        <v>17</v>
      </c>
      <c r="F36" t="str">
        <f>_xlfn.CONCAT(Table3[[#This Row],[Monat]]," ",Table3[[#This Row],[Jahr]])</f>
        <v>August 2010</v>
      </c>
      <c r="G36">
        <v>31871.5</v>
      </c>
      <c r="H36">
        <v>5136</v>
      </c>
      <c r="I36">
        <v>868.5</v>
      </c>
      <c r="J36">
        <v>442</v>
      </c>
      <c r="K36" s="8">
        <f>Table3[[#This Row],[Ausfuhr: Wert]]*1000/Table3[[#This Row],[Ausfuhr: Gewicht]]</f>
        <v>161.14710634893243</v>
      </c>
      <c r="L36" s="8">
        <f>Table3[[#This Row],[Einfuhr: Wert]]*1000/Table3[[#This Row],[Einfuhr: Gewicht]]</f>
        <v>508.92343120322397</v>
      </c>
    </row>
    <row r="37" spans="2:12" x14ac:dyDescent="0.25">
      <c r="B37">
        <f>(Table3[[#This Row],[Jahr]]-$C$2)*12+Table3[[#This Row],[Month nr]]</f>
        <v>33</v>
      </c>
      <c r="C37">
        <v>2010</v>
      </c>
      <c r="D37">
        <v>9</v>
      </c>
      <c r="E37" t="s">
        <v>18</v>
      </c>
      <c r="F37" t="str">
        <f>_xlfn.CONCAT(Table3[[#This Row],[Monat]]," ",Table3[[#This Row],[Jahr]])</f>
        <v>September 2010</v>
      </c>
      <c r="G37">
        <v>19761.5</v>
      </c>
      <c r="H37">
        <v>2774</v>
      </c>
      <c r="I37">
        <v>259.10000000000002</v>
      </c>
      <c r="J37">
        <v>240</v>
      </c>
      <c r="K37" s="8">
        <f>Table3[[#This Row],[Ausfuhr: Wert]]*1000/Table3[[#This Row],[Ausfuhr: Gewicht]]</f>
        <v>140.37395946663969</v>
      </c>
      <c r="L37" s="8">
        <f>Table3[[#This Row],[Einfuhr: Wert]]*1000/Table3[[#This Row],[Einfuhr: Gewicht]]</f>
        <v>926.28328830567341</v>
      </c>
    </row>
    <row r="38" spans="2:12" x14ac:dyDescent="0.25">
      <c r="B38">
        <f>(Table3[[#This Row],[Jahr]]-$C$2)*12+Table3[[#This Row],[Month nr]]</f>
        <v>34</v>
      </c>
      <c r="C38">
        <v>2010</v>
      </c>
      <c r="D38">
        <v>10</v>
      </c>
      <c r="E38" t="s">
        <v>23</v>
      </c>
      <c r="F38" t="str">
        <f>_xlfn.CONCAT(Table3[[#This Row],[Monat]]," ",Table3[[#This Row],[Jahr]])</f>
        <v>Oktober 2010</v>
      </c>
      <c r="G38">
        <v>30862.799999999999</v>
      </c>
      <c r="H38">
        <v>4442</v>
      </c>
      <c r="I38">
        <v>338.3</v>
      </c>
      <c r="J38">
        <v>228</v>
      </c>
      <c r="K38" s="8">
        <f>Table3[[#This Row],[Ausfuhr: Wert]]*1000/Table3[[#This Row],[Ausfuhr: Gewicht]]</f>
        <v>143.92731702891507</v>
      </c>
      <c r="L38" s="8">
        <f>Table3[[#This Row],[Einfuhr: Wert]]*1000/Table3[[#This Row],[Einfuhr: Gewicht]]</f>
        <v>673.95802542122374</v>
      </c>
    </row>
    <row r="39" spans="2:12" x14ac:dyDescent="0.25">
      <c r="B39">
        <f>(Table3[[#This Row],[Jahr]]-$C$2)*12+Table3[[#This Row],[Month nr]]</f>
        <v>35</v>
      </c>
      <c r="C39">
        <v>2010</v>
      </c>
      <c r="D39">
        <v>11</v>
      </c>
      <c r="E39" t="s">
        <v>19</v>
      </c>
      <c r="F39" t="str">
        <f>_xlfn.CONCAT(Table3[[#This Row],[Monat]]," ",Table3[[#This Row],[Jahr]])</f>
        <v>November 2010</v>
      </c>
      <c r="G39">
        <v>5581.4</v>
      </c>
      <c r="H39">
        <v>840</v>
      </c>
      <c r="I39">
        <v>3435.9</v>
      </c>
      <c r="J39">
        <v>656</v>
      </c>
      <c r="K39" s="8">
        <f>Table3[[#This Row],[Ausfuhr: Wert]]*1000/Table3[[#This Row],[Ausfuhr: Gewicht]]</f>
        <v>150.49987458343784</v>
      </c>
      <c r="L39" s="8">
        <f>Table3[[#This Row],[Einfuhr: Wert]]*1000/Table3[[#This Row],[Einfuhr: Gewicht]]</f>
        <v>190.92523065281293</v>
      </c>
    </row>
    <row r="40" spans="2:12" x14ac:dyDescent="0.25">
      <c r="B40">
        <f>(Table3[[#This Row],[Jahr]]-$C$2)*12+Table3[[#This Row],[Month nr]]</f>
        <v>36</v>
      </c>
      <c r="C40">
        <v>2010</v>
      </c>
      <c r="D40">
        <v>12</v>
      </c>
      <c r="E40" t="s">
        <v>24</v>
      </c>
      <c r="F40" t="str">
        <f>_xlfn.CONCAT(Table3[[#This Row],[Monat]]," ",Table3[[#This Row],[Jahr]])</f>
        <v>Dezember 2010</v>
      </c>
      <c r="G40">
        <v>12395.4</v>
      </c>
      <c r="H40">
        <v>1980</v>
      </c>
      <c r="I40">
        <v>3149.7</v>
      </c>
      <c r="J40">
        <v>850</v>
      </c>
      <c r="K40" s="8">
        <f>Table3[[#This Row],[Ausfuhr: Wert]]*1000/Table3[[#This Row],[Ausfuhr: Gewicht]]</f>
        <v>159.73667650902755</v>
      </c>
      <c r="L40" s="8">
        <f>Table3[[#This Row],[Einfuhr: Wert]]*1000/Table3[[#This Row],[Einfuhr: Gewicht]]</f>
        <v>269.86697145759916</v>
      </c>
    </row>
    <row r="41" spans="2:12" x14ac:dyDescent="0.25">
      <c r="B41">
        <f>(Table3[[#This Row],[Jahr]]-$C$2)*12+Table3[[#This Row],[Month nr]]</f>
        <v>37</v>
      </c>
      <c r="C41">
        <v>2011</v>
      </c>
      <c r="D41">
        <v>1</v>
      </c>
      <c r="E41" t="s">
        <v>13</v>
      </c>
      <c r="F41" t="str">
        <f>_xlfn.CONCAT(Table3[[#This Row],[Monat]]," ",Table3[[#This Row],[Jahr]])</f>
        <v>Januar 2011</v>
      </c>
      <c r="G41">
        <v>4134.1000000000004</v>
      </c>
      <c r="H41">
        <v>758</v>
      </c>
      <c r="I41">
        <v>3191</v>
      </c>
      <c r="J41">
        <v>684</v>
      </c>
      <c r="K41" s="8">
        <f>Table3[[#This Row],[Ausfuhr: Wert]]*1000/Table3[[#This Row],[Ausfuhr: Gewicht]]</f>
        <v>183.3530877337268</v>
      </c>
      <c r="L41" s="8">
        <f>Table3[[#This Row],[Einfuhr: Wert]]*1000/Table3[[#This Row],[Einfuhr: Gewicht]]</f>
        <v>214.35286743967407</v>
      </c>
    </row>
    <row r="42" spans="2:12" x14ac:dyDescent="0.25">
      <c r="B42">
        <f>(Table3[[#This Row],[Jahr]]-$C$2)*12+Table3[[#This Row],[Month nr]]</f>
        <v>38</v>
      </c>
      <c r="C42">
        <v>2011</v>
      </c>
      <c r="D42">
        <v>2</v>
      </c>
      <c r="E42" t="s">
        <v>14</v>
      </c>
      <c r="F42" t="str">
        <f>_xlfn.CONCAT(Table3[[#This Row],[Monat]]," ",Table3[[#This Row],[Jahr]])</f>
        <v>Februar 2011</v>
      </c>
      <c r="G42">
        <v>5632.3</v>
      </c>
      <c r="H42">
        <v>1255</v>
      </c>
      <c r="I42">
        <v>636.5</v>
      </c>
      <c r="J42">
        <v>264</v>
      </c>
      <c r="K42" s="8">
        <f>Table3[[#This Row],[Ausfuhr: Wert]]*1000/Table3[[#This Row],[Ausfuhr: Gewicht]]</f>
        <v>222.82193775189532</v>
      </c>
      <c r="L42" s="8">
        <f>Table3[[#This Row],[Einfuhr: Wert]]*1000/Table3[[#This Row],[Einfuhr: Gewicht]]</f>
        <v>414.76826394344067</v>
      </c>
    </row>
    <row r="43" spans="2:12" x14ac:dyDescent="0.25">
      <c r="B43">
        <f>(Table3[[#This Row],[Jahr]]-$C$2)*12+Table3[[#This Row],[Month nr]]</f>
        <v>39</v>
      </c>
      <c r="C43">
        <v>2011</v>
      </c>
      <c r="D43">
        <v>3</v>
      </c>
      <c r="E43" t="s">
        <v>15</v>
      </c>
      <c r="F43" t="str">
        <f>_xlfn.CONCAT(Table3[[#This Row],[Monat]]," ",Table3[[#This Row],[Jahr]])</f>
        <v>März 2011</v>
      </c>
      <c r="G43">
        <v>14678.6</v>
      </c>
      <c r="H43">
        <v>3475</v>
      </c>
      <c r="I43">
        <v>2531.9</v>
      </c>
      <c r="J43">
        <v>595</v>
      </c>
      <c r="K43" s="8">
        <f>Table3[[#This Row],[Ausfuhr: Wert]]*1000/Table3[[#This Row],[Ausfuhr: Gewicht]]</f>
        <v>236.73919856117067</v>
      </c>
      <c r="L43" s="8">
        <f>Table3[[#This Row],[Einfuhr: Wert]]*1000/Table3[[#This Row],[Einfuhr: Gewicht]]</f>
        <v>235.0013823610727</v>
      </c>
    </row>
    <row r="44" spans="2:12" x14ac:dyDescent="0.25">
      <c r="B44">
        <f>(Table3[[#This Row],[Jahr]]-$C$2)*12+Table3[[#This Row],[Month nr]]</f>
        <v>40</v>
      </c>
      <c r="C44">
        <v>2011</v>
      </c>
      <c r="D44">
        <v>4</v>
      </c>
      <c r="E44" t="s">
        <v>16</v>
      </c>
      <c r="F44" t="str">
        <f>_xlfn.CONCAT(Table3[[#This Row],[Monat]]," ",Table3[[#This Row],[Jahr]])</f>
        <v>April 2011</v>
      </c>
      <c r="G44">
        <v>8404.2000000000007</v>
      </c>
      <c r="H44">
        <v>1731</v>
      </c>
      <c r="I44">
        <v>1208.9000000000001</v>
      </c>
      <c r="J44">
        <v>407</v>
      </c>
      <c r="K44" s="8">
        <f>Table3[[#This Row],[Ausfuhr: Wert]]*1000/Table3[[#This Row],[Ausfuhr: Gewicht]]</f>
        <v>205.96844434925393</v>
      </c>
      <c r="L44" s="8">
        <f>Table3[[#This Row],[Einfuhr: Wert]]*1000/Table3[[#This Row],[Einfuhr: Gewicht]]</f>
        <v>336.66969972702452</v>
      </c>
    </row>
    <row r="45" spans="2:12" x14ac:dyDescent="0.25">
      <c r="B45">
        <f>(Table3[[#This Row],[Jahr]]-$C$2)*12+Table3[[#This Row],[Month nr]]</f>
        <v>41</v>
      </c>
      <c r="C45">
        <v>2011</v>
      </c>
      <c r="D45">
        <v>5</v>
      </c>
      <c r="E45" t="s">
        <v>20</v>
      </c>
      <c r="F45" t="str">
        <f>_xlfn.CONCAT(Table3[[#This Row],[Monat]]," ",Table3[[#This Row],[Jahr]])</f>
        <v>Mai 2011</v>
      </c>
      <c r="G45">
        <v>7840.9</v>
      </c>
      <c r="H45">
        <v>1750</v>
      </c>
      <c r="I45">
        <v>1065.5</v>
      </c>
      <c r="J45">
        <v>390</v>
      </c>
      <c r="K45" s="8">
        <f>Table3[[#This Row],[Ausfuhr: Wert]]*1000/Table3[[#This Row],[Ausfuhr: Gewicht]]</f>
        <v>223.18866456656761</v>
      </c>
      <c r="L45" s="8">
        <f>Table3[[#This Row],[Einfuhr: Wert]]*1000/Table3[[#This Row],[Einfuhr: Gewicht]]</f>
        <v>366.02534021586109</v>
      </c>
    </row>
    <row r="46" spans="2:12" x14ac:dyDescent="0.25">
      <c r="B46">
        <f>(Table3[[#This Row],[Jahr]]-$C$2)*12+Table3[[#This Row],[Month nr]]</f>
        <v>42</v>
      </c>
      <c r="C46">
        <v>2011</v>
      </c>
      <c r="D46">
        <v>6</v>
      </c>
      <c r="E46" t="s">
        <v>21</v>
      </c>
      <c r="F46" t="str">
        <f>_xlfn.CONCAT(Table3[[#This Row],[Monat]]," ",Table3[[#This Row],[Jahr]])</f>
        <v>Juni 2011</v>
      </c>
      <c r="G46">
        <v>12702</v>
      </c>
      <c r="H46">
        <v>2886</v>
      </c>
      <c r="I46">
        <v>1431.9</v>
      </c>
      <c r="J46">
        <v>557</v>
      </c>
      <c r="K46" s="8">
        <f>Table3[[#This Row],[Ausfuhr: Wert]]*1000/Table3[[#This Row],[Ausfuhr: Gewicht]]</f>
        <v>227.20831365139347</v>
      </c>
      <c r="L46" s="8">
        <f>Table3[[#This Row],[Einfuhr: Wert]]*1000/Table3[[#This Row],[Einfuhr: Gewicht]]</f>
        <v>388.99364480759829</v>
      </c>
    </row>
    <row r="47" spans="2:12" x14ac:dyDescent="0.25">
      <c r="B47">
        <f>(Table3[[#This Row],[Jahr]]-$C$2)*12+Table3[[#This Row],[Month nr]]</f>
        <v>43</v>
      </c>
      <c r="C47">
        <v>2011</v>
      </c>
      <c r="D47">
        <v>7</v>
      </c>
      <c r="E47" t="s">
        <v>22</v>
      </c>
      <c r="F47" t="str">
        <f>_xlfn.CONCAT(Table3[[#This Row],[Monat]]," ",Table3[[#This Row],[Jahr]])</f>
        <v>Juli 2011</v>
      </c>
      <c r="G47">
        <v>36519.800000000003</v>
      </c>
      <c r="H47">
        <v>5942</v>
      </c>
      <c r="I47">
        <v>1156.8</v>
      </c>
      <c r="J47">
        <v>323</v>
      </c>
      <c r="K47" s="8">
        <f>Table3[[#This Row],[Ausfuhr: Wert]]*1000/Table3[[#This Row],[Ausfuhr: Gewicht]]</f>
        <v>162.70625797512582</v>
      </c>
      <c r="L47" s="8">
        <f>Table3[[#This Row],[Einfuhr: Wert]]*1000/Table3[[#This Row],[Einfuhr: Gewicht]]</f>
        <v>279.21853388658371</v>
      </c>
    </row>
    <row r="48" spans="2:12" x14ac:dyDescent="0.25">
      <c r="B48">
        <f>(Table3[[#This Row],[Jahr]]-$C$2)*12+Table3[[#This Row],[Month nr]]</f>
        <v>44</v>
      </c>
      <c r="C48">
        <v>2011</v>
      </c>
      <c r="D48">
        <v>8</v>
      </c>
      <c r="E48" t="s">
        <v>17</v>
      </c>
      <c r="F48" t="str">
        <f>_xlfn.CONCAT(Table3[[#This Row],[Monat]]," ",Table3[[#This Row],[Jahr]])</f>
        <v>August 2011</v>
      </c>
      <c r="G48">
        <v>23609.1</v>
      </c>
      <c r="H48">
        <v>3187</v>
      </c>
      <c r="I48">
        <v>680.7</v>
      </c>
      <c r="J48">
        <v>279</v>
      </c>
      <c r="K48" s="8">
        <f>Table3[[#This Row],[Ausfuhr: Wert]]*1000/Table3[[#This Row],[Ausfuhr: Gewicht]]</f>
        <v>134.99032152856316</v>
      </c>
      <c r="L48" s="8">
        <f>Table3[[#This Row],[Einfuhr: Wert]]*1000/Table3[[#This Row],[Einfuhr: Gewicht]]</f>
        <v>409.87219039224323</v>
      </c>
    </row>
    <row r="49" spans="2:12" x14ac:dyDescent="0.25">
      <c r="B49">
        <f>(Table3[[#This Row],[Jahr]]-$C$2)*12+Table3[[#This Row],[Month nr]]</f>
        <v>45</v>
      </c>
      <c r="C49">
        <v>2011</v>
      </c>
      <c r="D49">
        <v>9</v>
      </c>
      <c r="E49" t="s">
        <v>18</v>
      </c>
      <c r="F49" t="str">
        <f>_xlfn.CONCAT(Table3[[#This Row],[Monat]]," ",Table3[[#This Row],[Jahr]])</f>
        <v>September 2011</v>
      </c>
      <c r="G49">
        <v>11633.3</v>
      </c>
      <c r="H49">
        <v>1869</v>
      </c>
      <c r="I49">
        <v>514</v>
      </c>
      <c r="J49">
        <v>263</v>
      </c>
      <c r="K49" s="8">
        <f>Table3[[#This Row],[Ausfuhr: Wert]]*1000/Table3[[#This Row],[Ausfuhr: Gewicht]]</f>
        <v>160.65948613033277</v>
      </c>
      <c r="L49" s="8">
        <f>Table3[[#This Row],[Einfuhr: Wert]]*1000/Table3[[#This Row],[Einfuhr: Gewicht]]</f>
        <v>511.67315175097275</v>
      </c>
    </row>
    <row r="50" spans="2:12" x14ac:dyDescent="0.25">
      <c r="B50">
        <f>(Table3[[#This Row],[Jahr]]-$C$2)*12+Table3[[#This Row],[Month nr]]</f>
        <v>46</v>
      </c>
      <c r="C50">
        <v>2011</v>
      </c>
      <c r="D50">
        <v>10</v>
      </c>
      <c r="E50" t="s">
        <v>23</v>
      </c>
      <c r="F50" t="str">
        <f>_xlfn.CONCAT(Table3[[#This Row],[Monat]]," ",Table3[[#This Row],[Jahr]])</f>
        <v>Oktober 2011</v>
      </c>
      <c r="G50">
        <v>15117.6</v>
      </c>
      <c r="H50">
        <v>1832</v>
      </c>
      <c r="I50">
        <v>744.9</v>
      </c>
      <c r="J50">
        <v>219</v>
      </c>
      <c r="K50" s="8">
        <f>Table3[[#This Row],[Ausfuhr: Wert]]*1000/Table3[[#This Row],[Ausfuhr: Gewicht]]</f>
        <v>121.18325660157697</v>
      </c>
      <c r="L50" s="8">
        <f>Table3[[#This Row],[Einfuhr: Wert]]*1000/Table3[[#This Row],[Einfuhr: Gewicht]]</f>
        <v>293.99919452275475</v>
      </c>
    </row>
    <row r="51" spans="2:12" x14ac:dyDescent="0.25">
      <c r="B51">
        <f>(Table3[[#This Row],[Jahr]]-$C$2)*12+Table3[[#This Row],[Month nr]]</f>
        <v>47</v>
      </c>
      <c r="C51">
        <v>2011</v>
      </c>
      <c r="D51">
        <v>11</v>
      </c>
      <c r="E51" t="s">
        <v>19</v>
      </c>
      <c r="F51" t="str">
        <f>_xlfn.CONCAT(Table3[[#This Row],[Monat]]," ",Table3[[#This Row],[Jahr]])</f>
        <v>November 2011</v>
      </c>
      <c r="G51">
        <v>1859.7</v>
      </c>
      <c r="H51">
        <v>169</v>
      </c>
      <c r="I51">
        <v>611.6</v>
      </c>
      <c r="J51">
        <v>424</v>
      </c>
      <c r="K51" s="8">
        <f>Table3[[#This Row],[Ausfuhr: Wert]]*1000/Table3[[#This Row],[Ausfuhr: Gewicht]]</f>
        <v>90.874872291229764</v>
      </c>
      <c r="L51" s="8">
        <f>Table3[[#This Row],[Einfuhr: Wert]]*1000/Table3[[#This Row],[Einfuhr: Gewicht]]</f>
        <v>693.26357096141271</v>
      </c>
    </row>
    <row r="52" spans="2:12" x14ac:dyDescent="0.25">
      <c r="B52">
        <f>(Table3[[#This Row],[Jahr]]-$C$2)*12+Table3[[#This Row],[Month nr]]</f>
        <v>48</v>
      </c>
      <c r="C52">
        <v>2011</v>
      </c>
      <c r="D52">
        <v>12</v>
      </c>
      <c r="E52" t="s">
        <v>24</v>
      </c>
      <c r="F52" t="str">
        <f>_xlfn.CONCAT(Table3[[#This Row],[Monat]]," ",Table3[[#This Row],[Jahr]])</f>
        <v>Dezember 2011</v>
      </c>
      <c r="G52">
        <v>23200.400000000001</v>
      </c>
      <c r="H52">
        <v>2278</v>
      </c>
      <c r="I52">
        <v>8172.5</v>
      </c>
      <c r="J52">
        <v>788</v>
      </c>
      <c r="K52" s="8">
        <f>Table3[[#This Row],[Ausfuhr: Wert]]*1000/Table3[[#This Row],[Ausfuhr: Gewicht]]</f>
        <v>98.187962276512465</v>
      </c>
      <c r="L52" s="8">
        <f>Table3[[#This Row],[Einfuhr: Wert]]*1000/Table3[[#This Row],[Einfuhr: Gewicht]]</f>
        <v>96.420923829917399</v>
      </c>
    </row>
    <row r="53" spans="2:12" x14ac:dyDescent="0.25">
      <c r="B53">
        <f>(Table3[[#This Row],[Jahr]]-$C$2)*12+Table3[[#This Row],[Month nr]]</f>
        <v>49</v>
      </c>
      <c r="C53">
        <v>2012</v>
      </c>
      <c r="D53">
        <v>1</v>
      </c>
      <c r="E53" t="s">
        <v>13</v>
      </c>
      <c r="F53" t="str">
        <f>_xlfn.CONCAT(Table3[[#This Row],[Monat]]," ",Table3[[#This Row],[Jahr]])</f>
        <v>Januar 2012</v>
      </c>
      <c r="G53">
        <v>432.7</v>
      </c>
      <c r="H53">
        <v>139</v>
      </c>
      <c r="I53">
        <v>486.5</v>
      </c>
      <c r="J53">
        <v>215</v>
      </c>
      <c r="K53" s="8">
        <f>Table3[[#This Row],[Ausfuhr: Wert]]*1000/Table3[[#This Row],[Ausfuhr: Gewicht]]</f>
        <v>321.23873353362609</v>
      </c>
      <c r="L53" s="8">
        <f>Table3[[#This Row],[Einfuhr: Wert]]*1000/Table3[[#This Row],[Einfuhr: Gewicht]]</f>
        <v>441.9321685508736</v>
      </c>
    </row>
    <row r="54" spans="2:12" x14ac:dyDescent="0.25">
      <c r="B54">
        <f>(Table3[[#This Row],[Jahr]]-$C$2)*12+Table3[[#This Row],[Month nr]]</f>
        <v>50</v>
      </c>
      <c r="C54">
        <v>2012</v>
      </c>
      <c r="D54">
        <v>2</v>
      </c>
      <c r="E54" t="s">
        <v>14</v>
      </c>
      <c r="F54" t="str">
        <f>_xlfn.CONCAT(Table3[[#This Row],[Monat]]," ",Table3[[#This Row],[Jahr]])</f>
        <v>Februar 2012</v>
      </c>
      <c r="G54">
        <v>7308.4</v>
      </c>
      <c r="H54">
        <v>764</v>
      </c>
      <c r="I54">
        <v>1979.5</v>
      </c>
      <c r="J54">
        <v>254</v>
      </c>
      <c r="K54" s="8">
        <f>Table3[[#This Row],[Ausfuhr: Wert]]*1000/Table3[[#This Row],[Ausfuhr: Gewicht]]</f>
        <v>104.53724481418642</v>
      </c>
      <c r="L54" s="8">
        <f>Table3[[#This Row],[Einfuhr: Wert]]*1000/Table3[[#This Row],[Einfuhr: Gewicht]]</f>
        <v>128.31523111896945</v>
      </c>
    </row>
    <row r="55" spans="2:12" x14ac:dyDescent="0.25">
      <c r="B55">
        <f>(Table3[[#This Row],[Jahr]]-$C$2)*12+Table3[[#This Row],[Month nr]]</f>
        <v>51</v>
      </c>
      <c r="C55">
        <v>2012</v>
      </c>
      <c r="D55">
        <v>3</v>
      </c>
      <c r="E55" t="s">
        <v>15</v>
      </c>
      <c r="F55" t="str">
        <f>_xlfn.CONCAT(Table3[[#This Row],[Monat]]," ",Table3[[#This Row],[Jahr]])</f>
        <v>März 2012</v>
      </c>
      <c r="G55">
        <v>11235.1</v>
      </c>
      <c r="H55">
        <v>1097</v>
      </c>
      <c r="I55">
        <v>1504.6</v>
      </c>
      <c r="J55">
        <v>492</v>
      </c>
      <c r="K55" s="8">
        <f>Table3[[#This Row],[Ausfuhr: Wert]]*1000/Table3[[#This Row],[Ausfuhr: Gewicht]]</f>
        <v>97.640430436756233</v>
      </c>
      <c r="L55" s="8">
        <f>Table3[[#This Row],[Einfuhr: Wert]]*1000/Table3[[#This Row],[Einfuhr: Gewicht]]</f>
        <v>326.99720856041472</v>
      </c>
    </row>
    <row r="56" spans="2:12" x14ac:dyDescent="0.25">
      <c r="B56">
        <f>(Table3[[#This Row],[Jahr]]-$C$2)*12+Table3[[#This Row],[Month nr]]</f>
        <v>52</v>
      </c>
      <c r="C56">
        <v>2012</v>
      </c>
      <c r="D56">
        <v>4</v>
      </c>
      <c r="E56" t="s">
        <v>16</v>
      </c>
      <c r="F56" t="str">
        <f>_xlfn.CONCAT(Table3[[#This Row],[Monat]]," ",Table3[[#This Row],[Jahr]])</f>
        <v>April 2012</v>
      </c>
      <c r="G56">
        <v>17123.3</v>
      </c>
      <c r="H56">
        <v>1577</v>
      </c>
      <c r="I56">
        <v>5990.8</v>
      </c>
      <c r="J56">
        <v>740</v>
      </c>
      <c r="K56" s="8">
        <f>Table3[[#This Row],[Ausfuhr: Wert]]*1000/Table3[[#This Row],[Ausfuhr: Gewicht]]</f>
        <v>92.096733690351741</v>
      </c>
      <c r="L56" s="8">
        <f>Table3[[#This Row],[Einfuhr: Wert]]*1000/Table3[[#This Row],[Einfuhr: Gewicht]]</f>
        <v>123.52273486011885</v>
      </c>
    </row>
    <row r="57" spans="2:12" x14ac:dyDescent="0.25">
      <c r="B57">
        <f>(Table3[[#This Row],[Jahr]]-$C$2)*12+Table3[[#This Row],[Month nr]]</f>
        <v>53</v>
      </c>
      <c r="C57">
        <v>2012</v>
      </c>
      <c r="D57">
        <v>5</v>
      </c>
      <c r="E57" t="s">
        <v>20</v>
      </c>
      <c r="F57" t="str">
        <f>_xlfn.CONCAT(Table3[[#This Row],[Monat]]," ",Table3[[#This Row],[Jahr]])</f>
        <v>Mai 2012</v>
      </c>
      <c r="G57">
        <v>11377.5</v>
      </c>
      <c r="H57">
        <v>951</v>
      </c>
      <c r="I57">
        <v>3868.5</v>
      </c>
      <c r="J57">
        <v>833</v>
      </c>
      <c r="K57" s="8">
        <f>Table3[[#This Row],[Ausfuhr: Wert]]*1000/Table3[[#This Row],[Ausfuhr: Gewicht]]</f>
        <v>83.586025049439684</v>
      </c>
      <c r="L57" s="8">
        <f>Table3[[#This Row],[Einfuhr: Wert]]*1000/Table3[[#This Row],[Einfuhr: Gewicht]]</f>
        <v>215.32893886519324</v>
      </c>
    </row>
    <row r="58" spans="2:12" x14ac:dyDescent="0.25">
      <c r="B58">
        <f>(Table3[[#This Row],[Jahr]]-$C$2)*12+Table3[[#This Row],[Month nr]]</f>
        <v>54</v>
      </c>
      <c r="C58">
        <v>2012</v>
      </c>
      <c r="D58">
        <v>6</v>
      </c>
      <c r="E58" t="s">
        <v>21</v>
      </c>
      <c r="F58" t="str">
        <f>_xlfn.CONCAT(Table3[[#This Row],[Monat]]," ",Table3[[#This Row],[Jahr]])</f>
        <v>Juni 2012</v>
      </c>
      <c r="G58">
        <v>13344.7</v>
      </c>
      <c r="H58">
        <v>1321</v>
      </c>
      <c r="I58">
        <v>6575.1</v>
      </c>
      <c r="J58">
        <v>702</v>
      </c>
      <c r="K58" s="8">
        <f>Table3[[#This Row],[Ausfuhr: Wert]]*1000/Table3[[#This Row],[Ausfuhr: Gewicht]]</f>
        <v>98.990610504544875</v>
      </c>
      <c r="L58" s="8">
        <f>Table3[[#This Row],[Einfuhr: Wert]]*1000/Table3[[#This Row],[Einfuhr: Gewicht]]</f>
        <v>106.76643701236482</v>
      </c>
    </row>
    <row r="59" spans="2:12" x14ac:dyDescent="0.25">
      <c r="B59">
        <f>(Table3[[#This Row],[Jahr]]-$C$2)*12+Table3[[#This Row],[Month nr]]</f>
        <v>55</v>
      </c>
      <c r="C59">
        <v>2012</v>
      </c>
      <c r="D59">
        <v>7</v>
      </c>
      <c r="E59" t="s">
        <v>22</v>
      </c>
      <c r="F59" t="str">
        <f>_xlfn.CONCAT(Table3[[#This Row],[Monat]]," ",Table3[[#This Row],[Jahr]])</f>
        <v>Juli 2012</v>
      </c>
      <c r="G59">
        <v>14343.9</v>
      </c>
      <c r="H59">
        <v>1774</v>
      </c>
      <c r="I59">
        <v>1225.9000000000001</v>
      </c>
      <c r="J59">
        <v>420</v>
      </c>
      <c r="K59" s="8">
        <f>Table3[[#This Row],[Ausfuhr: Wert]]*1000/Table3[[#This Row],[Ausfuhr: Gewicht]]</f>
        <v>123.67626656627556</v>
      </c>
      <c r="L59" s="8">
        <f>Table3[[#This Row],[Einfuhr: Wert]]*1000/Table3[[#This Row],[Einfuhr: Gewicht]]</f>
        <v>342.60543274329063</v>
      </c>
    </row>
    <row r="60" spans="2:12" x14ac:dyDescent="0.25">
      <c r="B60">
        <f>(Table3[[#This Row],[Jahr]]-$C$2)*12+Table3[[#This Row],[Month nr]]</f>
        <v>56</v>
      </c>
      <c r="C60">
        <v>2012</v>
      </c>
      <c r="D60">
        <v>8</v>
      </c>
      <c r="E60" t="s">
        <v>17</v>
      </c>
      <c r="F60" t="str">
        <f>_xlfn.CONCAT(Table3[[#This Row],[Monat]]," ",Table3[[#This Row],[Jahr]])</f>
        <v>August 2012</v>
      </c>
      <c r="G60">
        <v>34028.800000000003</v>
      </c>
      <c r="H60">
        <v>4367</v>
      </c>
      <c r="I60">
        <v>1959.2</v>
      </c>
      <c r="J60">
        <v>411</v>
      </c>
      <c r="K60" s="8">
        <f>Table3[[#This Row],[Ausfuhr: Wert]]*1000/Table3[[#This Row],[Ausfuhr: Gewicht]]</f>
        <v>128.33247131841262</v>
      </c>
      <c r="L60" s="8">
        <f>Table3[[#This Row],[Einfuhr: Wert]]*1000/Table3[[#This Row],[Einfuhr: Gewicht]]</f>
        <v>209.77950183748467</v>
      </c>
    </row>
    <row r="61" spans="2:12" x14ac:dyDescent="0.25">
      <c r="B61">
        <f>(Table3[[#This Row],[Jahr]]-$C$2)*12+Table3[[#This Row],[Month nr]]</f>
        <v>57</v>
      </c>
      <c r="C61">
        <v>2012</v>
      </c>
      <c r="D61">
        <v>9</v>
      </c>
      <c r="E61" t="s">
        <v>18</v>
      </c>
      <c r="F61" t="str">
        <f>_xlfn.CONCAT(Table3[[#This Row],[Monat]]," ",Table3[[#This Row],[Jahr]])</f>
        <v>September 2012</v>
      </c>
      <c r="G61">
        <v>31518.6</v>
      </c>
      <c r="H61">
        <v>4313</v>
      </c>
      <c r="I61">
        <v>7583.4</v>
      </c>
      <c r="J61">
        <v>810</v>
      </c>
      <c r="K61" s="8">
        <f>Table3[[#This Row],[Ausfuhr: Wert]]*1000/Table3[[#This Row],[Ausfuhr: Gewicht]]</f>
        <v>136.8398342565977</v>
      </c>
      <c r="L61" s="8">
        <f>Table3[[#This Row],[Einfuhr: Wert]]*1000/Table3[[#This Row],[Einfuhr: Gewicht]]</f>
        <v>106.81224780441491</v>
      </c>
    </row>
    <row r="62" spans="2:12" x14ac:dyDescent="0.25">
      <c r="B62">
        <f>(Table3[[#This Row],[Jahr]]-$C$2)*12+Table3[[#This Row],[Month nr]]</f>
        <v>58</v>
      </c>
      <c r="C62">
        <v>2012</v>
      </c>
      <c r="D62">
        <v>10</v>
      </c>
      <c r="E62" t="s">
        <v>23</v>
      </c>
      <c r="F62" t="str">
        <f>_xlfn.CONCAT(Table3[[#This Row],[Monat]]," ",Table3[[#This Row],[Jahr]])</f>
        <v>Oktober 2012</v>
      </c>
      <c r="G62">
        <v>72902.2</v>
      </c>
      <c r="H62">
        <v>11166</v>
      </c>
      <c r="I62">
        <v>18987.099999999999</v>
      </c>
      <c r="J62">
        <v>2492</v>
      </c>
      <c r="K62" s="8">
        <f>Table3[[#This Row],[Ausfuhr: Wert]]*1000/Table3[[#This Row],[Ausfuhr: Gewicht]]</f>
        <v>153.16410204355972</v>
      </c>
      <c r="L62" s="8">
        <f>Table3[[#This Row],[Einfuhr: Wert]]*1000/Table3[[#This Row],[Einfuhr: Gewicht]]</f>
        <v>131.24700454519123</v>
      </c>
    </row>
    <row r="63" spans="2:12" x14ac:dyDescent="0.25">
      <c r="B63">
        <f>(Table3[[#This Row],[Jahr]]-$C$2)*12+Table3[[#This Row],[Month nr]]</f>
        <v>59</v>
      </c>
      <c r="C63">
        <v>2012</v>
      </c>
      <c r="D63">
        <v>11</v>
      </c>
      <c r="E63" t="s">
        <v>19</v>
      </c>
      <c r="F63" t="str">
        <f>_xlfn.CONCAT(Table3[[#This Row],[Monat]]," ",Table3[[#This Row],[Jahr]])</f>
        <v>November 2012</v>
      </c>
      <c r="G63">
        <v>22540.3</v>
      </c>
      <c r="H63">
        <v>4410</v>
      </c>
      <c r="I63">
        <v>4085.7</v>
      </c>
      <c r="J63">
        <v>774</v>
      </c>
      <c r="K63" s="8">
        <f>Table3[[#This Row],[Ausfuhr: Wert]]*1000/Table3[[#This Row],[Ausfuhr: Gewicht]]</f>
        <v>195.64956988150115</v>
      </c>
      <c r="L63" s="8">
        <f>Table3[[#This Row],[Einfuhr: Wert]]*1000/Table3[[#This Row],[Einfuhr: Gewicht]]</f>
        <v>189.44122182245394</v>
      </c>
    </row>
    <row r="64" spans="2:12" x14ac:dyDescent="0.25">
      <c r="B64">
        <f>(Table3[[#This Row],[Jahr]]-$C$2)*12+Table3[[#This Row],[Month nr]]</f>
        <v>60</v>
      </c>
      <c r="C64">
        <v>2012</v>
      </c>
      <c r="D64">
        <v>12</v>
      </c>
      <c r="E64" t="s">
        <v>24</v>
      </c>
      <c r="F64" t="str">
        <f>_xlfn.CONCAT(Table3[[#This Row],[Monat]]," ",Table3[[#This Row],[Jahr]])</f>
        <v>Dezember 2012</v>
      </c>
      <c r="G64">
        <v>4272.6000000000004</v>
      </c>
      <c r="H64">
        <v>731</v>
      </c>
      <c r="I64">
        <v>324.7</v>
      </c>
      <c r="J64">
        <v>238</v>
      </c>
      <c r="K64" s="8">
        <f>Table3[[#This Row],[Ausfuhr: Wert]]*1000/Table3[[#This Row],[Ausfuhr: Gewicht]]</f>
        <v>171.09020268688852</v>
      </c>
      <c r="L64" s="8">
        <f>Table3[[#This Row],[Einfuhr: Wert]]*1000/Table3[[#This Row],[Einfuhr: Gewicht]]</f>
        <v>732.98429319371735</v>
      </c>
    </row>
    <row r="65" spans="2:12" x14ac:dyDescent="0.25">
      <c r="B65">
        <f>(Table3[[#This Row],[Jahr]]-$C$2)*12+Table3[[#This Row],[Month nr]]</f>
        <v>61</v>
      </c>
      <c r="C65">
        <v>2013</v>
      </c>
      <c r="D65">
        <v>1</v>
      </c>
      <c r="E65" t="s">
        <v>13</v>
      </c>
      <c r="F65" t="str">
        <f>_xlfn.CONCAT(Table3[[#This Row],[Monat]]," ",Table3[[#This Row],[Jahr]])</f>
        <v>Januar 2013</v>
      </c>
      <c r="G65">
        <v>32546.1</v>
      </c>
      <c r="H65">
        <v>6858</v>
      </c>
      <c r="I65">
        <v>3548.1</v>
      </c>
      <c r="J65">
        <v>924</v>
      </c>
      <c r="K65" s="8">
        <f>Table3[[#This Row],[Ausfuhr: Wert]]*1000/Table3[[#This Row],[Ausfuhr: Gewicht]]</f>
        <v>210.71649137684702</v>
      </c>
      <c r="L65" s="8">
        <f>Table3[[#This Row],[Einfuhr: Wert]]*1000/Table3[[#This Row],[Einfuhr: Gewicht]]</f>
        <v>260.42107043206227</v>
      </c>
    </row>
    <row r="66" spans="2:12" x14ac:dyDescent="0.25">
      <c r="B66">
        <f>(Table3[[#This Row],[Jahr]]-$C$2)*12+Table3[[#This Row],[Month nr]]</f>
        <v>62</v>
      </c>
      <c r="C66">
        <v>2013</v>
      </c>
      <c r="D66">
        <v>2</v>
      </c>
      <c r="E66" t="s">
        <v>14</v>
      </c>
      <c r="F66" t="str">
        <f>_xlfn.CONCAT(Table3[[#This Row],[Monat]]," ",Table3[[#This Row],[Jahr]])</f>
        <v>Februar 2013</v>
      </c>
      <c r="G66">
        <v>14821.1</v>
      </c>
      <c r="H66">
        <v>3093</v>
      </c>
      <c r="I66">
        <v>1087.4000000000001</v>
      </c>
      <c r="J66">
        <v>385</v>
      </c>
      <c r="K66" s="8">
        <f>Table3[[#This Row],[Ausfuhr: Wert]]*1000/Table3[[#This Row],[Ausfuhr: Gewicht]]</f>
        <v>208.68896370714722</v>
      </c>
      <c r="L66" s="8">
        <f>Table3[[#This Row],[Einfuhr: Wert]]*1000/Table3[[#This Row],[Einfuhr: Gewicht]]</f>
        <v>354.05554533750228</v>
      </c>
    </row>
    <row r="67" spans="2:12" x14ac:dyDescent="0.25">
      <c r="B67">
        <f>(Table3[[#This Row],[Jahr]]-$C$2)*12+Table3[[#This Row],[Month nr]]</f>
        <v>63</v>
      </c>
      <c r="C67">
        <v>2013</v>
      </c>
      <c r="D67">
        <v>3</v>
      </c>
      <c r="E67" t="s">
        <v>15</v>
      </c>
      <c r="F67" t="str">
        <f>_xlfn.CONCAT(Table3[[#This Row],[Monat]]," ",Table3[[#This Row],[Jahr]])</f>
        <v>März 2013</v>
      </c>
      <c r="G67">
        <v>25283.7</v>
      </c>
      <c r="H67">
        <v>5161</v>
      </c>
      <c r="I67">
        <v>2647.4</v>
      </c>
      <c r="J67">
        <v>981</v>
      </c>
      <c r="K67" s="8">
        <f>Table3[[#This Row],[Ausfuhr: Wert]]*1000/Table3[[#This Row],[Ausfuhr: Gewicht]]</f>
        <v>204.123605326752</v>
      </c>
      <c r="L67" s="8">
        <f>Table3[[#This Row],[Einfuhr: Wert]]*1000/Table3[[#This Row],[Einfuhr: Gewicht]]</f>
        <v>370.55223993351967</v>
      </c>
    </row>
    <row r="68" spans="2:12" x14ac:dyDescent="0.25">
      <c r="B68">
        <f>(Table3[[#This Row],[Jahr]]-$C$2)*12+Table3[[#This Row],[Month nr]]</f>
        <v>64</v>
      </c>
      <c r="C68">
        <v>2013</v>
      </c>
      <c r="D68">
        <v>4</v>
      </c>
      <c r="E68" t="s">
        <v>16</v>
      </c>
      <c r="F68" t="str">
        <f>_xlfn.CONCAT(Table3[[#This Row],[Monat]]," ",Table3[[#This Row],[Jahr]])</f>
        <v>April 2013</v>
      </c>
      <c r="G68">
        <v>25544.9</v>
      </c>
      <c r="H68">
        <v>5647</v>
      </c>
      <c r="I68">
        <v>2646.6</v>
      </c>
      <c r="J68">
        <v>707</v>
      </c>
      <c r="K68" s="8">
        <f>Table3[[#This Row],[Ausfuhr: Wert]]*1000/Table3[[#This Row],[Ausfuhr: Gewicht]]</f>
        <v>221.06173835090368</v>
      </c>
      <c r="L68" s="8">
        <f>Table3[[#This Row],[Einfuhr: Wert]]*1000/Table3[[#This Row],[Einfuhr: Gewicht]]</f>
        <v>267.13519232222473</v>
      </c>
    </row>
    <row r="69" spans="2:12" x14ac:dyDescent="0.25">
      <c r="B69">
        <f>(Table3[[#This Row],[Jahr]]-$C$2)*12+Table3[[#This Row],[Month nr]]</f>
        <v>65</v>
      </c>
      <c r="C69">
        <v>2013</v>
      </c>
      <c r="D69">
        <v>5</v>
      </c>
      <c r="E69" t="s">
        <v>20</v>
      </c>
      <c r="F69" t="str">
        <f>_xlfn.CONCAT(Table3[[#This Row],[Monat]]," ",Table3[[#This Row],[Jahr]])</f>
        <v>Mai 2013</v>
      </c>
      <c r="G69">
        <v>16567</v>
      </c>
      <c r="H69">
        <v>3548</v>
      </c>
      <c r="I69">
        <v>2938.1</v>
      </c>
      <c r="J69">
        <v>931</v>
      </c>
      <c r="K69" s="8">
        <f>Table3[[#This Row],[Ausfuhr: Wert]]*1000/Table3[[#This Row],[Ausfuhr: Gewicht]]</f>
        <v>214.16068087161224</v>
      </c>
      <c r="L69" s="8">
        <f>Table3[[#This Row],[Einfuhr: Wert]]*1000/Table3[[#This Row],[Einfuhr: Gewicht]]</f>
        <v>316.8714475341207</v>
      </c>
    </row>
    <row r="70" spans="2:12" x14ac:dyDescent="0.25">
      <c r="B70">
        <f>(Table3[[#This Row],[Jahr]]-$C$2)*12+Table3[[#This Row],[Month nr]]</f>
        <v>66</v>
      </c>
      <c r="C70">
        <v>2013</v>
      </c>
      <c r="D70">
        <v>6</v>
      </c>
      <c r="E70" t="s">
        <v>21</v>
      </c>
      <c r="F70" t="str">
        <f>_xlfn.CONCAT(Table3[[#This Row],[Monat]]," ",Table3[[#This Row],[Jahr]])</f>
        <v>Juni 2013</v>
      </c>
      <c r="G70">
        <v>20735.7</v>
      </c>
      <c r="H70">
        <v>4624</v>
      </c>
      <c r="I70">
        <v>4131.8</v>
      </c>
      <c r="J70">
        <v>1252</v>
      </c>
      <c r="K70" s="8">
        <f>Table3[[#This Row],[Ausfuhr: Wert]]*1000/Table3[[#This Row],[Ausfuhr: Gewicht]]</f>
        <v>222.99705339101163</v>
      </c>
      <c r="L70" s="8">
        <f>Table3[[#This Row],[Einfuhr: Wert]]*1000/Table3[[#This Row],[Einfuhr: Gewicht]]</f>
        <v>303.01563483227648</v>
      </c>
    </row>
    <row r="71" spans="2:12" x14ac:dyDescent="0.25">
      <c r="B71">
        <f>(Table3[[#This Row],[Jahr]]-$C$2)*12+Table3[[#This Row],[Month nr]]</f>
        <v>67</v>
      </c>
      <c r="C71">
        <v>2013</v>
      </c>
      <c r="D71">
        <v>7</v>
      </c>
      <c r="E71" t="s">
        <v>22</v>
      </c>
      <c r="F71" t="str">
        <f>_xlfn.CONCAT(Table3[[#This Row],[Monat]]," ",Table3[[#This Row],[Jahr]])</f>
        <v>Juli 2013</v>
      </c>
      <c r="G71">
        <v>47008.4</v>
      </c>
      <c r="H71">
        <v>11686</v>
      </c>
      <c r="I71">
        <v>4974</v>
      </c>
      <c r="J71">
        <v>1239</v>
      </c>
      <c r="K71" s="8">
        <f>Table3[[#This Row],[Ausfuhr: Wert]]*1000/Table3[[#This Row],[Ausfuhr: Gewicht]]</f>
        <v>248.59386832991549</v>
      </c>
      <c r="L71" s="8">
        <f>Table3[[#This Row],[Einfuhr: Wert]]*1000/Table3[[#This Row],[Einfuhr: Gewicht]]</f>
        <v>249.09529553679133</v>
      </c>
    </row>
    <row r="72" spans="2:12" x14ac:dyDescent="0.25">
      <c r="B72">
        <f>(Table3[[#This Row],[Jahr]]-$C$2)*12+Table3[[#This Row],[Month nr]]</f>
        <v>68</v>
      </c>
      <c r="C72">
        <v>2013</v>
      </c>
      <c r="D72">
        <v>8</v>
      </c>
      <c r="E72" t="s">
        <v>17</v>
      </c>
      <c r="F72" t="str">
        <f>_xlfn.CONCAT(Table3[[#This Row],[Monat]]," ",Table3[[#This Row],[Jahr]])</f>
        <v>August 2013</v>
      </c>
      <c r="G72">
        <v>30117.3</v>
      </c>
      <c r="H72">
        <v>5678</v>
      </c>
      <c r="I72">
        <v>8925.1</v>
      </c>
      <c r="J72">
        <v>2303</v>
      </c>
      <c r="K72" s="8">
        <f>Table3[[#This Row],[Ausfuhr: Wert]]*1000/Table3[[#This Row],[Ausfuhr: Gewicht]]</f>
        <v>188.52951625809752</v>
      </c>
      <c r="L72" s="8">
        <f>Table3[[#This Row],[Einfuhr: Wert]]*1000/Table3[[#This Row],[Einfuhr: Gewicht]]</f>
        <v>258.0363245229745</v>
      </c>
    </row>
    <row r="73" spans="2:12" x14ac:dyDescent="0.25">
      <c r="B73">
        <f>(Table3[[#This Row],[Jahr]]-$C$2)*12+Table3[[#This Row],[Month nr]]</f>
        <v>69</v>
      </c>
      <c r="C73">
        <v>2013</v>
      </c>
      <c r="D73">
        <v>9</v>
      </c>
      <c r="E73" t="s">
        <v>18</v>
      </c>
      <c r="F73" t="str">
        <f>_xlfn.CONCAT(Table3[[#This Row],[Monat]]," ",Table3[[#This Row],[Jahr]])</f>
        <v>September 2013</v>
      </c>
      <c r="G73">
        <v>24523.5</v>
      </c>
      <c r="H73">
        <v>3413</v>
      </c>
      <c r="I73">
        <v>16886.599999999999</v>
      </c>
      <c r="J73">
        <v>2560</v>
      </c>
      <c r="K73" s="8">
        <f>Table3[[#This Row],[Ausfuhr: Wert]]*1000/Table3[[#This Row],[Ausfuhr: Gewicht]]</f>
        <v>139.17263033416927</v>
      </c>
      <c r="L73" s="8">
        <f>Table3[[#This Row],[Einfuhr: Wert]]*1000/Table3[[#This Row],[Einfuhr: Gewicht]]</f>
        <v>151.59949308919499</v>
      </c>
    </row>
    <row r="74" spans="2:12" x14ac:dyDescent="0.25">
      <c r="B74">
        <f>(Table3[[#This Row],[Jahr]]-$C$2)*12+Table3[[#This Row],[Month nr]]</f>
        <v>70</v>
      </c>
      <c r="C74">
        <v>2013</v>
      </c>
      <c r="D74">
        <v>10</v>
      </c>
      <c r="E74" t="s">
        <v>23</v>
      </c>
      <c r="F74" t="str">
        <f>_xlfn.CONCAT(Table3[[#This Row],[Monat]]," ",Table3[[#This Row],[Jahr]])</f>
        <v>Oktober 2013</v>
      </c>
      <c r="G74">
        <v>1259.4000000000001</v>
      </c>
      <c r="H74">
        <v>221</v>
      </c>
      <c r="I74">
        <v>460.2</v>
      </c>
      <c r="J74">
        <v>282</v>
      </c>
      <c r="K74" s="8">
        <f>Table3[[#This Row],[Ausfuhr: Wert]]*1000/Table3[[#This Row],[Ausfuhr: Gewicht]]</f>
        <v>175.48038748610449</v>
      </c>
      <c r="L74" s="8">
        <f>Table3[[#This Row],[Einfuhr: Wert]]*1000/Table3[[#This Row],[Einfuhr: Gewicht]]</f>
        <v>612.77705345501954</v>
      </c>
    </row>
    <row r="75" spans="2:12" x14ac:dyDescent="0.25">
      <c r="B75">
        <f>(Table3[[#This Row],[Jahr]]-$C$2)*12+Table3[[#This Row],[Month nr]]</f>
        <v>71</v>
      </c>
      <c r="C75">
        <v>2013</v>
      </c>
      <c r="D75">
        <v>11</v>
      </c>
      <c r="E75" t="s">
        <v>19</v>
      </c>
      <c r="F75" t="str">
        <f>_xlfn.CONCAT(Table3[[#This Row],[Monat]]," ",Table3[[#This Row],[Jahr]])</f>
        <v>November 2013</v>
      </c>
      <c r="G75">
        <v>24788.9</v>
      </c>
      <c r="H75">
        <v>3561</v>
      </c>
      <c r="I75">
        <v>13469</v>
      </c>
      <c r="J75">
        <v>2094</v>
      </c>
      <c r="K75" s="8">
        <f>Table3[[#This Row],[Ausfuhr: Wert]]*1000/Table3[[#This Row],[Ausfuhr: Gewicht]]</f>
        <v>143.65300598251636</v>
      </c>
      <c r="L75" s="8">
        <f>Table3[[#This Row],[Einfuhr: Wert]]*1000/Table3[[#This Row],[Einfuhr: Gewicht]]</f>
        <v>155.46811196079886</v>
      </c>
    </row>
    <row r="76" spans="2:12" x14ac:dyDescent="0.25">
      <c r="B76">
        <f>(Table3[[#This Row],[Jahr]]-$C$2)*12+Table3[[#This Row],[Month nr]]</f>
        <v>72</v>
      </c>
      <c r="C76">
        <v>2013</v>
      </c>
      <c r="D76">
        <v>12</v>
      </c>
      <c r="E76" t="s">
        <v>24</v>
      </c>
      <c r="F76" t="str">
        <f>_xlfn.CONCAT(Table3[[#This Row],[Monat]]," ",Table3[[#This Row],[Jahr]])</f>
        <v>Dezember 2013</v>
      </c>
      <c r="G76">
        <v>11782.9</v>
      </c>
      <c r="H76">
        <v>1708</v>
      </c>
      <c r="I76">
        <v>12632.9</v>
      </c>
      <c r="J76">
        <v>1919</v>
      </c>
      <c r="K76" s="8">
        <f>Table3[[#This Row],[Ausfuhr: Wert]]*1000/Table3[[#This Row],[Ausfuhr: Gewicht]]</f>
        <v>144.95582581537653</v>
      </c>
      <c r="L76" s="8">
        <f>Table3[[#This Row],[Einfuhr: Wert]]*1000/Table3[[#This Row],[Einfuhr: Gewicht]]</f>
        <v>151.90494660766728</v>
      </c>
    </row>
    <row r="77" spans="2:12" x14ac:dyDescent="0.25">
      <c r="B77">
        <f>(Table3[[#This Row],[Jahr]]-$C$2)*12+Table3[[#This Row],[Month nr]]</f>
        <v>73</v>
      </c>
      <c r="C77">
        <v>2014</v>
      </c>
      <c r="D77">
        <v>1</v>
      </c>
      <c r="E77" t="s">
        <v>13</v>
      </c>
      <c r="F77" t="str">
        <f>_xlfn.CONCAT(Table3[[#This Row],[Monat]]," ",Table3[[#This Row],[Jahr]])</f>
        <v>Januar 2014</v>
      </c>
      <c r="G77">
        <v>2721.5</v>
      </c>
      <c r="H77">
        <v>506</v>
      </c>
      <c r="I77">
        <v>2442.1999999999998</v>
      </c>
      <c r="J77">
        <v>790</v>
      </c>
      <c r="K77" s="8">
        <f>Table3[[#This Row],[Ausfuhr: Wert]]*1000/Table3[[#This Row],[Ausfuhr: Gewicht]]</f>
        <v>185.92687855961785</v>
      </c>
      <c r="L77" s="8">
        <f>Table3[[#This Row],[Einfuhr: Wert]]*1000/Table3[[#This Row],[Einfuhr: Gewicht]]</f>
        <v>323.47883056260753</v>
      </c>
    </row>
    <row r="78" spans="2:12" x14ac:dyDescent="0.25">
      <c r="B78">
        <f>(Table3[[#This Row],[Jahr]]-$C$2)*12+Table3[[#This Row],[Month nr]]</f>
        <v>74</v>
      </c>
      <c r="C78">
        <v>2014</v>
      </c>
      <c r="D78">
        <v>2</v>
      </c>
      <c r="E78" t="s">
        <v>14</v>
      </c>
      <c r="F78" t="str">
        <f>_xlfn.CONCAT(Table3[[#This Row],[Monat]]," ",Table3[[#This Row],[Jahr]])</f>
        <v>Februar 2014</v>
      </c>
      <c r="G78">
        <v>9614.5</v>
      </c>
      <c r="H78">
        <v>1387</v>
      </c>
      <c r="I78">
        <v>6607.7</v>
      </c>
      <c r="J78">
        <v>1730</v>
      </c>
      <c r="K78" s="8">
        <f>Table3[[#This Row],[Ausfuhr: Wert]]*1000/Table3[[#This Row],[Ausfuhr: Gewicht]]</f>
        <v>144.2612720370274</v>
      </c>
      <c r="L78" s="8">
        <f>Table3[[#This Row],[Einfuhr: Wert]]*1000/Table3[[#This Row],[Einfuhr: Gewicht]]</f>
        <v>261.81576040074458</v>
      </c>
    </row>
    <row r="79" spans="2:12" x14ac:dyDescent="0.25">
      <c r="B79">
        <f>(Table3[[#This Row],[Jahr]]-$C$2)*12+Table3[[#This Row],[Month nr]]</f>
        <v>75</v>
      </c>
      <c r="C79">
        <v>2014</v>
      </c>
      <c r="D79">
        <v>3</v>
      </c>
      <c r="E79" t="s">
        <v>15</v>
      </c>
      <c r="F79" t="str">
        <f>_xlfn.CONCAT(Table3[[#This Row],[Monat]]," ",Table3[[#This Row],[Jahr]])</f>
        <v>März 2014</v>
      </c>
      <c r="G79">
        <v>11631.1</v>
      </c>
      <c r="H79">
        <v>1912</v>
      </c>
      <c r="I79">
        <v>278.8</v>
      </c>
      <c r="J79">
        <v>91</v>
      </c>
      <c r="K79" s="8">
        <f>Table3[[#This Row],[Ausfuhr: Wert]]*1000/Table3[[#This Row],[Ausfuhr: Gewicht]]</f>
        <v>164.38685936841742</v>
      </c>
      <c r="L79" s="8">
        <f>Table3[[#This Row],[Einfuhr: Wert]]*1000/Table3[[#This Row],[Einfuhr: Gewicht]]</f>
        <v>326.39885222381633</v>
      </c>
    </row>
    <row r="80" spans="2:12" x14ac:dyDescent="0.25">
      <c r="B80">
        <f>(Table3[[#This Row],[Jahr]]-$C$2)*12+Table3[[#This Row],[Month nr]]</f>
        <v>76</v>
      </c>
      <c r="C80">
        <v>2014</v>
      </c>
      <c r="D80">
        <v>4</v>
      </c>
      <c r="E80" t="s">
        <v>16</v>
      </c>
      <c r="F80" t="str">
        <f>_xlfn.CONCAT(Table3[[#This Row],[Monat]]," ",Table3[[#This Row],[Jahr]])</f>
        <v>April 2014</v>
      </c>
      <c r="G80">
        <v>3501.1</v>
      </c>
      <c r="H80">
        <v>716</v>
      </c>
      <c r="I80">
        <v>1239.8</v>
      </c>
      <c r="J80">
        <v>953</v>
      </c>
      <c r="K80" s="8">
        <f>Table3[[#This Row],[Ausfuhr: Wert]]*1000/Table3[[#This Row],[Ausfuhr: Gewicht]]</f>
        <v>204.50715489417613</v>
      </c>
      <c r="L80" s="8">
        <f>Table3[[#This Row],[Einfuhr: Wert]]*1000/Table3[[#This Row],[Einfuhr: Gewicht]]</f>
        <v>768.67236651072756</v>
      </c>
    </row>
    <row r="81" spans="2:12" x14ac:dyDescent="0.25">
      <c r="B81">
        <f>(Table3[[#This Row],[Jahr]]-$C$2)*12+Table3[[#This Row],[Month nr]]</f>
        <v>77</v>
      </c>
      <c r="C81">
        <v>2014</v>
      </c>
      <c r="D81">
        <v>5</v>
      </c>
      <c r="E81" t="s">
        <v>20</v>
      </c>
      <c r="F81" t="str">
        <f>_xlfn.CONCAT(Table3[[#This Row],[Monat]]," ",Table3[[#This Row],[Jahr]])</f>
        <v>Mai 2014</v>
      </c>
      <c r="G81">
        <v>18744.099999999999</v>
      </c>
      <c r="H81">
        <v>2708</v>
      </c>
      <c r="I81">
        <v>2244.8000000000002</v>
      </c>
      <c r="J81">
        <v>1027</v>
      </c>
      <c r="K81" s="8">
        <f>Table3[[#This Row],[Ausfuhr: Wert]]*1000/Table3[[#This Row],[Ausfuhr: Gewicht]]</f>
        <v>144.4721272293682</v>
      </c>
      <c r="L81" s="8">
        <f>Table3[[#This Row],[Einfuhr: Wert]]*1000/Table3[[#This Row],[Einfuhr: Gewicht]]</f>
        <v>457.50178189593726</v>
      </c>
    </row>
    <row r="82" spans="2:12" x14ac:dyDescent="0.25">
      <c r="B82">
        <f>(Table3[[#This Row],[Jahr]]-$C$2)*12+Table3[[#This Row],[Month nr]]</f>
        <v>78</v>
      </c>
      <c r="C82">
        <v>2014</v>
      </c>
      <c r="D82">
        <v>6</v>
      </c>
      <c r="E82" t="s">
        <v>21</v>
      </c>
      <c r="F82" t="str">
        <f>_xlfn.CONCAT(Table3[[#This Row],[Monat]]," ",Table3[[#This Row],[Jahr]])</f>
        <v>Juni 2014</v>
      </c>
      <c r="G82">
        <v>20244.2</v>
      </c>
      <c r="H82">
        <v>2885</v>
      </c>
      <c r="I82">
        <v>1726.7</v>
      </c>
      <c r="J82">
        <v>822</v>
      </c>
      <c r="K82" s="8">
        <f>Table3[[#This Row],[Ausfuhr: Wert]]*1000/Table3[[#This Row],[Ausfuhr: Gewicht]]</f>
        <v>142.50995346815384</v>
      </c>
      <c r="L82" s="8">
        <f>Table3[[#This Row],[Einfuhr: Wert]]*1000/Table3[[#This Row],[Einfuhr: Gewicht]]</f>
        <v>476.05258585741586</v>
      </c>
    </row>
    <row r="83" spans="2:12" x14ac:dyDescent="0.25">
      <c r="B83">
        <f>(Table3[[#This Row],[Jahr]]-$C$2)*12+Table3[[#This Row],[Month nr]]</f>
        <v>79</v>
      </c>
      <c r="C83">
        <v>2014</v>
      </c>
      <c r="D83">
        <v>7</v>
      </c>
      <c r="E83" t="s">
        <v>22</v>
      </c>
      <c r="F83" t="str">
        <f>_xlfn.CONCAT(Table3[[#This Row],[Monat]]," ",Table3[[#This Row],[Jahr]])</f>
        <v>Juli 2014</v>
      </c>
      <c r="G83">
        <v>25003.1</v>
      </c>
      <c r="H83">
        <v>3360</v>
      </c>
      <c r="I83">
        <v>919.6</v>
      </c>
      <c r="J83">
        <v>537</v>
      </c>
      <c r="K83" s="8">
        <f>Table3[[#This Row],[Ausfuhr: Wert]]*1000/Table3[[#This Row],[Ausfuhr: Gewicht]]</f>
        <v>134.38333646627819</v>
      </c>
      <c r="L83" s="8">
        <f>Table3[[#This Row],[Einfuhr: Wert]]*1000/Table3[[#This Row],[Einfuhr: Gewicht]]</f>
        <v>583.94954327968685</v>
      </c>
    </row>
    <row r="84" spans="2:12" x14ac:dyDescent="0.25">
      <c r="B84">
        <f>(Table3[[#This Row],[Jahr]]-$C$2)*12+Table3[[#This Row],[Month nr]]</f>
        <v>80</v>
      </c>
      <c r="C84">
        <v>2014</v>
      </c>
      <c r="D84">
        <v>8</v>
      </c>
      <c r="E84" t="s">
        <v>17</v>
      </c>
      <c r="F84" t="str">
        <f>_xlfn.CONCAT(Table3[[#This Row],[Monat]]," ",Table3[[#This Row],[Jahr]])</f>
        <v>August 2014</v>
      </c>
      <c r="G84">
        <v>20785.400000000001</v>
      </c>
      <c r="H84">
        <v>2587</v>
      </c>
      <c r="I84">
        <v>284.5</v>
      </c>
      <c r="J84">
        <v>50</v>
      </c>
      <c r="K84" s="8">
        <f>Table3[[#This Row],[Ausfuhr: Wert]]*1000/Table3[[#This Row],[Ausfuhr: Gewicht]]</f>
        <v>124.46236300480143</v>
      </c>
      <c r="L84" s="8">
        <f>Table3[[#This Row],[Einfuhr: Wert]]*1000/Table3[[#This Row],[Einfuhr: Gewicht]]</f>
        <v>175.7469244288225</v>
      </c>
    </row>
    <row r="85" spans="2:12" x14ac:dyDescent="0.25">
      <c r="B85">
        <f>(Table3[[#This Row],[Jahr]]-$C$2)*12+Table3[[#This Row],[Month nr]]</f>
        <v>81</v>
      </c>
      <c r="C85">
        <v>2014</v>
      </c>
      <c r="D85">
        <v>9</v>
      </c>
      <c r="E85" t="s">
        <v>18</v>
      </c>
      <c r="F85" t="str">
        <f>_xlfn.CONCAT(Table3[[#This Row],[Monat]]," ",Table3[[#This Row],[Jahr]])</f>
        <v>September 2014</v>
      </c>
      <c r="G85">
        <v>18283.099999999999</v>
      </c>
      <c r="H85">
        <v>2165</v>
      </c>
      <c r="I85">
        <v>708.8</v>
      </c>
      <c r="J85">
        <v>530</v>
      </c>
      <c r="K85" s="8">
        <f>Table3[[#This Row],[Ausfuhr: Wert]]*1000/Table3[[#This Row],[Ausfuhr: Gewicht]]</f>
        <v>118.41536719702896</v>
      </c>
      <c r="L85" s="8">
        <f>Table3[[#This Row],[Einfuhr: Wert]]*1000/Table3[[#This Row],[Einfuhr: Gewicht]]</f>
        <v>747.74266365688493</v>
      </c>
    </row>
    <row r="86" spans="2:12" x14ac:dyDescent="0.25">
      <c r="B86">
        <f>(Table3[[#This Row],[Jahr]]-$C$2)*12+Table3[[#This Row],[Month nr]]</f>
        <v>82</v>
      </c>
      <c r="C86">
        <v>2014</v>
      </c>
      <c r="D86">
        <v>10</v>
      </c>
      <c r="E86" t="s">
        <v>23</v>
      </c>
      <c r="F86" t="str">
        <f>_xlfn.CONCAT(Table3[[#This Row],[Monat]]," ",Table3[[#This Row],[Jahr]])</f>
        <v>Oktober 2014</v>
      </c>
      <c r="G86">
        <v>10841.3</v>
      </c>
      <c r="H86">
        <v>1274</v>
      </c>
      <c r="I86">
        <v>1514.3</v>
      </c>
      <c r="J86">
        <v>1058</v>
      </c>
      <c r="K86" s="8">
        <f>Table3[[#This Row],[Ausfuhr: Wert]]*1000/Table3[[#This Row],[Ausfuhr: Gewicht]]</f>
        <v>117.51358231946354</v>
      </c>
      <c r="L86" s="8">
        <f>Table3[[#This Row],[Einfuhr: Wert]]*1000/Table3[[#This Row],[Einfuhr: Gewicht]]</f>
        <v>698.6726540315658</v>
      </c>
    </row>
    <row r="87" spans="2:12" x14ac:dyDescent="0.25">
      <c r="B87">
        <f>(Table3[[#This Row],[Jahr]]-$C$2)*12+Table3[[#This Row],[Month nr]]</f>
        <v>83</v>
      </c>
      <c r="C87">
        <v>2014</v>
      </c>
      <c r="D87">
        <v>11</v>
      </c>
      <c r="E87" t="s">
        <v>19</v>
      </c>
      <c r="F87" t="str">
        <f>_xlfn.CONCAT(Table3[[#This Row],[Monat]]," ",Table3[[#This Row],[Jahr]])</f>
        <v>November 2014</v>
      </c>
      <c r="G87">
        <v>11266.1</v>
      </c>
      <c r="H87">
        <v>1134</v>
      </c>
      <c r="I87">
        <v>404.8</v>
      </c>
      <c r="J87">
        <v>65</v>
      </c>
      <c r="K87" s="8">
        <f>Table3[[#This Row],[Ausfuhr: Wert]]*1000/Table3[[#This Row],[Ausfuhr: Gewicht]]</f>
        <v>100.65595015133897</v>
      </c>
      <c r="L87" s="8">
        <f>Table3[[#This Row],[Einfuhr: Wert]]*1000/Table3[[#This Row],[Einfuhr: Gewicht]]</f>
        <v>160.57312252964425</v>
      </c>
    </row>
    <row r="88" spans="2:12" x14ac:dyDescent="0.25">
      <c r="B88">
        <f>(Table3[[#This Row],[Jahr]]-$C$2)*12+Table3[[#This Row],[Month nr]]</f>
        <v>84</v>
      </c>
      <c r="C88">
        <v>2014</v>
      </c>
      <c r="D88">
        <v>12</v>
      </c>
      <c r="E88" t="s">
        <v>24</v>
      </c>
      <c r="F88" t="str">
        <f>_xlfn.CONCAT(Table3[[#This Row],[Monat]]," ",Table3[[#This Row],[Jahr]])</f>
        <v>Dezember 2014</v>
      </c>
      <c r="G88">
        <v>11127.8</v>
      </c>
      <c r="H88">
        <v>1043</v>
      </c>
      <c r="I88">
        <v>1057.3</v>
      </c>
      <c r="J88">
        <v>679</v>
      </c>
      <c r="K88" s="8">
        <f>Table3[[#This Row],[Ausfuhr: Wert]]*1000/Table3[[#This Row],[Ausfuhr: Gewicht]]</f>
        <v>93.729218713492344</v>
      </c>
      <c r="L88" s="8">
        <f>Table3[[#This Row],[Einfuhr: Wert]]*1000/Table3[[#This Row],[Einfuhr: Gewicht]]</f>
        <v>642.20183486238534</v>
      </c>
    </row>
    <row r="89" spans="2:12" x14ac:dyDescent="0.25">
      <c r="B89">
        <f>(Table3[[#This Row],[Jahr]]-$C$2)*12+Table3[[#This Row],[Month nr]]</f>
        <v>85</v>
      </c>
      <c r="C89">
        <v>2015</v>
      </c>
      <c r="D89">
        <v>1</v>
      </c>
      <c r="E89" t="s">
        <v>13</v>
      </c>
      <c r="F89" t="str">
        <f>_xlfn.CONCAT(Table3[[#This Row],[Monat]]," ",Table3[[#This Row],[Jahr]])</f>
        <v>Januar 2015</v>
      </c>
      <c r="G89">
        <v>7827.4</v>
      </c>
      <c r="H89">
        <v>840</v>
      </c>
      <c r="I89">
        <v>1796.6</v>
      </c>
      <c r="J89">
        <v>1432</v>
      </c>
      <c r="K89" s="8">
        <f>Table3[[#This Row],[Ausfuhr: Wert]]*1000/Table3[[#This Row],[Ausfuhr: Gewicht]]</f>
        <v>107.31532820604544</v>
      </c>
      <c r="L89" s="8">
        <f>Table3[[#This Row],[Einfuhr: Wert]]*1000/Table3[[#This Row],[Einfuhr: Gewicht]]</f>
        <v>797.06111544027613</v>
      </c>
    </row>
    <row r="90" spans="2:12" x14ac:dyDescent="0.25">
      <c r="B90">
        <f>(Table3[[#This Row],[Jahr]]-$C$2)*12+Table3[[#This Row],[Month nr]]</f>
        <v>86</v>
      </c>
      <c r="C90">
        <v>2015</v>
      </c>
      <c r="D90">
        <v>2</v>
      </c>
      <c r="E90" t="s">
        <v>14</v>
      </c>
      <c r="F90" t="str">
        <f>_xlfn.CONCAT(Table3[[#This Row],[Monat]]," ",Table3[[#This Row],[Jahr]])</f>
        <v>Februar 2015</v>
      </c>
      <c r="G90">
        <v>14249.8</v>
      </c>
      <c r="H90">
        <v>1251</v>
      </c>
      <c r="I90">
        <v>1121.5</v>
      </c>
      <c r="J90">
        <v>789</v>
      </c>
      <c r="K90" s="8">
        <f>Table3[[#This Row],[Ausfuhr: Wert]]*1000/Table3[[#This Row],[Ausfuhr: Gewicht]]</f>
        <v>87.790705834467857</v>
      </c>
      <c r="L90" s="8">
        <f>Table3[[#This Row],[Einfuhr: Wert]]*1000/Table3[[#This Row],[Einfuhr: Gewicht]]</f>
        <v>703.52206865804726</v>
      </c>
    </row>
    <row r="91" spans="2:12" x14ac:dyDescent="0.25">
      <c r="B91">
        <f>(Table3[[#This Row],[Jahr]]-$C$2)*12+Table3[[#This Row],[Month nr]]</f>
        <v>87</v>
      </c>
      <c r="C91">
        <v>2015</v>
      </c>
      <c r="D91">
        <v>3</v>
      </c>
      <c r="E91" t="s">
        <v>15</v>
      </c>
      <c r="F91" t="str">
        <f>_xlfn.CONCAT(Table3[[#This Row],[Monat]]," ",Table3[[#This Row],[Jahr]])</f>
        <v>März 2015</v>
      </c>
      <c r="G91">
        <v>15700.5</v>
      </c>
      <c r="H91">
        <v>1775</v>
      </c>
      <c r="I91">
        <v>221</v>
      </c>
      <c r="J91">
        <v>101</v>
      </c>
      <c r="K91" s="8">
        <f>Table3[[#This Row],[Ausfuhr: Wert]]*1000/Table3[[#This Row],[Ausfuhr: Gewicht]]</f>
        <v>113.05372440368141</v>
      </c>
      <c r="L91" s="8">
        <f>Table3[[#This Row],[Einfuhr: Wert]]*1000/Table3[[#This Row],[Einfuhr: Gewicht]]</f>
        <v>457.01357466063348</v>
      </c>
    </row>
    <row r="92" spans="2:12" x14ac:dyDescent="0.25">
      <c r="B92">
        <f>(Table3[[#This Row],[Jahr]]-$C$2)*12+Table3[[#This Row],[Month nr]]</f>
        <v>88</v>
      </c>
      <c r="C92">
        <v>2015</v>
      </c>
      <c r="D92">
        <v>4</v>
      </c>
      <c r="E92" t="s">
        <v>16</v>
      </c>
      <c r="F92" t="str">
        <f>_xlfn.CONCAT(Table3[[#This Row],[Monat]]," ",Table3[[#This Row],[Jahr]])</f>
        <v>April 2015</v>
      </c>
      <c r="G92">
        <v>1580.8</v>
      </c>
      <c r="H92">
        <v>327</v>
      </c>
      <c r="I92">
        <v>1893.2</v>
      </c>
      <c r="J92">
        <v>1556</v>
      </c>
      <c r="K92" s="8">
        <f>Table3[[#This Row],[Ausfuhr: Wert]]*1000/Table3[[#This Row],[Ausfuhr: Gewicht]]</f>
        <v>206.85728744939271</v>
      </c>
      <c r="L92" s="8">
        <f>Table3[[#This Row],[Einfuhr: Wert]]*1000/Table3[[#This Row],[Einfuhr: Gewicht]]</f>
        <v>821.88886541305726</v>
      </c>
    </row>
    <row r="93" spans="2:12" x14ac:dyDescent="0.25">
      <c r="B93">
        <f>(Table3[[#This Row],[Jahr]]-$C$2)*12+Table3[[#This Row],[Month nr]]</f>
        <v>89</v>
      </c>
      <c r="C93">
        <v>2015</v>
      </c>
      <c r="D93">
        <v>5</v>
      </c>
      <c r="E93" t="s">
        <v>20</v>
      </c>
      <c r="F93" t="str">
        <f>_xlfn.CONCAT(Table3[[#This Row],[Monat]]," ",Table3[[#This Row],[Jahr]])</f>
        <v>Mai 2015</v>
      </c>
      <c r="G93">
        <v>30284.400000000001</v>
      </c>
      <c r="H93">
        <v>2618</v>
      </c>
      <c r="I93">
        <v>1088.5</v>
      </c>
      <c r="J93">
        <v>254</v>
      </c>
      <c r="K93" s="8">
        <f>Table3[[#This Row],[Ausfuhr: Wert]]*1000/Table3[[#This Row],[Ausfuhr: Gewicht]]</f>
        <v>86.447147706409893</v>
      </c>
      <c r="L93" s="8">
        <f>Table3[[#This Row],[Einfuhr: Wert]]*1000/Table3[[#This Row],[Einfuhr: Gewicht]]</f>
        <v>233.34864492420763</v>
      </c>
    </row>
    <row r="94" spans="2:12" x14ac:dyDescent="0.25">
      <c r="B94">
        <f>(Table3[[#This Row],[Jahr]]-$C$2)*12+Table3[[#This Row],[Month nr]]</f>
        <v>90</v>
      </c>
      <c r="C94">
        <v>2015</v>
      </c>
      <c r="D94">
        <v>6</v>
      </c>
      <c r="E94" t="s">
        <v>21</v>
      </c>
      <c r="F94" t="str">
        <f>_xlfn.CONCAT(Table3[[#This Row],[Monat]]," ",Table3[[#This Row],[Jahr]])</f>
        <v>Juni 2015</v>
      </c>
      <c r="G94">
        <v>11776.9</v>
      </c>
      <c r="H94">
        <v>1189</v>
      </c>
      <c r="I94">
        <v>4366.7</v>
      </c>
      <c r="J94">
        <v>2338</v>
      </c>
      <c r="K94" s="8">
        <f>Table3[[#This Row],[Ausfuhr: Wert]]*1000/Table3[[#This Row],[Ausfuhr: Gewicht]]</f>
        <v>100.96035459246491</v>
      </c>
      <c r="L94" s="8">
        <f>Table3[[#This Row],[Einfuhr: Wert]]*1000/Table3[[#This Row],[Einfuhr: Gewicht]]</f>
        <v>535.41576018503679</v>
      </c>
    </row>
    <row r="95" spans="2:12" x14ac:dyDescent="0.25">
      <c r="B95">
        <f>(Table3[[#This Row],[Jahr]]-$C$2)*12+Table3[[#This Row],[Month nr]]</f>
        <v>91</v>
      </c>
      <c r="C95">
        <v>2015</v>
      </c>
      <c r="D95">
        <v>7</v>
      </c>
      <c r="E95" t="s">
        <v>22</v>
      </c>
      <c r="F95" t="str">
        <f>_xlfn.CONCAT(Table3[[#This Row],[Monat]]," ",Table3[[#This Row],[Jahr]])</f>
        <v>Juli 2015</v>
      </c>
      <c r="G95">
        <v>21947</v>
      </c>
      <c r="H95">
        <v>3864</v>
      </c>
      <c r="I95">
        <v>1238.5999999999999</v>
      </c>
      <c r="J95">
        <v>1064</v>
      </c>
      <c r="K95" s="8">
        <f>Table3[[#This Row],[Ausfuhr: Wert]]*1000/Table3[[#This Row],[Ausfuhr: Gewicht]]</f>
        <v>176.06050940903086</v>
      </c>
      <c r="L95" s="8">
        <f>Table3[[#This Row],[Einfuhr: Wert]]*1000/Table3[[#This Row],[Einfuhr: Gewicht]]</f>
        <v>859.03439367027295</v>
      </c>
    </row>
    <row r="96" spans="2:12" x14ac:dyDescent="0.25">
      <c r="B96">
        <f>(Table3[[#This Row],[Jahr]]-$C$2)*12+Table3[[#This Row],[Month nr]]</f>
        <v>92</v>
      </c>
      <c r="C96">
        <v>2015</v>
      </c>
      <c r="D96">
        <v>8</v>
      </c>
      <c r="E96" t="s">
        <v>17</v>
      </c>
      <c r="F96" t="str">
        <f>_xlfn.CONCAT(Table3[[#This Row],[Monat]]," ",Table3[[#This Row],[Jahr]])</f>
        <v>August 2015</v>
      </c>
      <c r="G96">
        <v>5966.8</v>
      </c>
      <c r="H96">
        <v>1390</v>
      </c>
      <c r="I96">
        <v>1273.4000000000001</v>
      </c>
      <c r="J96">
        <v>1402</v>
      </c>
      <c r="K96" s="8">
        <f>Table3[[#This Row],[Ausfuhr: Wert]]*1000/Table3[[#This Row],[Ausfuhr: Gewicht]]</f>
        <v>232.95568814104712</v>
      </c>
      <c r="L96" s="8">
        <f>Table3[[#This Row],[Einfuhr: Wert]]*1000/Table3[[#This Row],[Einfuhr: Gewicht]]</f>
        <v>1100.9894769907335</v>
      </c>
    </row>
    <row r="97" spans="2:12" x14ac:dyDescent="0.25">
      <c r="B97">
        <f>(Table3[[#This Row],[Jahr]]-$C$2)*12+Table3[[#This Row],[Month nr]]</f>
        <v>93</v>
      </c>
      <c r="C97">
        <v>2015</v>
      </c>
      <c r="D97">
        <v>9</v>
      </c>
      <c r="E97" t="s">
        <v>18</v>
      </c>
      <c r="F97" t="str">
        <f>_xlfn.CONCAT(Table3[[#This Row],[Monat]]," ",Table3[[#This Row],[Jahr]])</f>
        <v>September 2015</v>
      </c>
      <c r="G97">
        <v>21325</v>
      </c>
      <c r="H97">
        <v>2942</v>
      </c>
      <c r="I97">
        <v>597.9</v>
      </c>
      <c r="J97">
        <v>581</v>
      </c>
      <c r="K97" s="8">
        <f>Table3[[#This Row],[Ausfuhr: Wert]]*1000/Table3[[#This Row],[Ausfuhr: Gewicht]]</f>
        <v>137.9601406799531</v>
      </c>
      <c r="L97" s="8">
        <f>Table3[[#This Row],[Einfuhr: Wert]]*1000/Table3[[#This Row],[Einfuhr: Gewicht]]</f>
        <v>971.73440374644588</v>
      </c>
    </row>
    <row r="98" spans="2:12" x14ac:dyDescent="0.25">
      <c r="B98">
        <f>(Table3[[#This Row],[Jahr]]-$C$2)*12+Table3[[#This Row],[Month nr]]</f>
        <v>94</v>
      </c>
      <c r="C98">
        <v>2015</v>
      </c>
      <c r="D98">
        <v>10</v>
      </c>
      <c r="E98" t="s">
        <v>23</v>
      </c>
      <c r="F98" t="str">
        <f>_xlfn.CONCAT(Table3[[#This Row],[Monat]]," ",Table3[[#This Row],[Jahr]])</f>
        <v>Oktober 2015</v>
      </c>
      <c r="G98">
        <v>23358.799999999999</v>
      </c>
      <c r="H98">
        <v>4002</v>
      </c>
      <c r="I98">
        <v>1038.4000000000001</v>
      </c>
      <c r="J98">
        <v>852</v>
      </c>
      <c r="K98" s="8">
        <f>Table3[[#This Row],[Ausfuhr: Wert]]*1000/Table3[[#This Row],[Ausfuhr: Gewicht]]</f>
        <v>171.32729421031902</v>
      </c>
      <c r="L98" s="8">
        <f>Table3[[#This Row],[Einfuhr: Wert]]*1000/Table3[[#This Row],[Einfuhr: Gewicht]]</f>
        <v>820.4930662557781</v>
      </c>
    </row>
    <row r="99" spans="2:12" x14ac:dyDescent="0.25">
      <c r="B99">
        <f>(Table3[[#This Row],[Jahr]]-$C$2)*12+Table3[[#This Row],[Month nr]]</f>
        <v>95</v>
      </c>
      <c r="C99">
        <v>2015</v>
      </c>
      <c r="D99">
        <v>11</v>
      </c>
      <c r="E99" t="s">
        <v>19</v>
      </c>
      <c r="F99" t="str">
        <f>_xlfn.CONCAT(Table3[[#This Row],[Monat]]," ",Table3[[#This Row],[Jahr]])</f>
        <v>November 2015</v>
      </c>
      <c r="G99">
        <v>28735.599999999999</v>
      </c>
      <c r="H99">
        <v>3803</v>
      </c>
      <c r="I99">
        <v>996</v>
      </c>
      <c r="J99">
        <v>758</v>
      </c>
      <c r="K99" s="8">
        <f>Table3[[#This Row],[Ausfuhr: Wert]]*1000/Table3[[#This Row],[Ausfuhr: Gewicht]]</f>
        <v>132.34454822589402</v>
      </c>
      <c r="L99" s="8">
        <f>Table3[[#This Row],[Einfuhr: Wert]]*1000/Table3[[#This Row],[Einfuhr: Gewicht]]</f>
        <v>761.04417670682733</v>
      </c>
    </row>
    <row r="100" spans="2:12" x14ac:dyDescent="0.25">
      <c r="B100">
        <f>(Table3[[#This Row],[Jahr]]-$C$2)*12+Table3[[#This Row],[Month nr]]</f>
        <v>96</v>
      </c>
      <c r="C100">
        <v>2015</v>
      </c>
      <c r="D100">
        <v>12</v>
      </c>
      <c r="E100" t="s">
        <v>24</v>
      </c>
      <c r="F100" t="str">
        <f>_xlfn.CONCAT(Table3[[#This Row],[Monat]]," ",Table3[[#This Row],[Jahr]])</f>
        <v>Dezember 2015</v>
      </c>
      <c r="G100">
        <v>174</v>
      </c>
      <c r="H100">
        <v>68</v>
      </c>
      <c r="I100">
        <v>1678.7</v>
      </c>
      <c r="J100">
        <v>1482</v>
      </c>
      <c r="K100" s="8">
        <f>Table3[[#This Row],[Ausfuhr: Wert]]*1000/Table3[[#This Row],[Ausfuhr: Gewicht]]</f>
        <v>390.80459770114942</v>
      </c>
      <c r="L100" s="8">
        <f>Table3[[#This Row],[Einfuhr: Wert]]*1000/Table3[[#This Row],[Einfuhr: Gewicht]]</f>
        <v>882.82599630666584</v>
      </c>
    </row>
    <row r="101" spans="2:12" x14ac:dyDescent="0.25">
      <c r="B101">
        <f>(Table3[[#This Row],[Jahr]]-$C$2)*12+Table3[[#This Row],[Month nr]]</f>
        <v>97</v>
      </c>
      <c r="C101">
        <v>2016</v>
      </c>
      <c r="D101">
        <v>1</v>
      </c>
      <c r="E101" t="s">
        <v>13</v>
      </c>
      <c r="F101" t="str">
        <f>_xlfn.CONCAT(Table3[[#This Row],[Monat]]," ",Table3[[#This Row],[Jahr]])</f>
        <v>Januar 2016</v>
      </c>
      <c r="G101">
        <v>14936.8</v>
      </c>
      <c r="H101">
        <v>2009</v>
      </c>
      <c r="I101">
        <v>1181.8</v>
      </c>
      <c r="J101">
        <v>934</v>
      </c>
      <c r="K101" s="8">
        <f>Table3[[#This Row],[Ausfuhr: Wert]]*1000/Table3[[#This Row],[Ausfuhr: Gewicht]]</f>
        <v>134.50002677949763</v>
      </c>
      <c r="L101" s="8">
        <f>Table3[[#This Row],[Einfuhr: Wert]]*1000/Table3[[#This Row],[Einfuhr: Gewicht]]</f>
        <v>790.31985107463197</v>
      </c>
    </row>
    <row r="102" spans="2:12" x14ac:dyDescent="0.25">
      <c r="B102">
        <f>(Table3[[#This Row],[Jahr]]-$C$2)*12+Table3[[#This Row],[Month nr]]</f>
        <v>98</v>
      </c>
      <c r="C102">
        <v>2016</v>
      </c>
      <c r="D102">
        <v>2</v>
      </c>
      <c r="E102" t="s">
        <v>14</v>
      </c>
      <c r="F102" t="str">
        <f>_xlfn.CONCAT(Table3[[#This Row],[Monat]]," ",Table3[[#This Row],[Jahr]])</f>
        <v>Februar 2016</v>
      </c>
      <c r="G102">
        <v>17376.7</v>
      </c>
      <c r="H102">
        <v>2487</v>
      </c>
      <c r="I102">
        <v>982</v>
      </c>
      <c r="J102">
        <v>935</v>
      </c>
      <c r="K102" s="8">
        <f>Table3[[#This Row],[Ausfuhr: Wert]]*1000/Table3[[#This Row],[Ausfuhr: Gewicht]]</f>
        <v>143.12268727664056</v>
      </c>
      <c r="L102" s="8">
        <f>Table3[[#This Row],[Einfuhr: Wert]]*1000/Table3[[#This Row],[Einfuhr: Gewicht]]</f>
        <v>952.13849287169046</v>
      </c>
    </row>
    <row r="103" spans="2:12" x14ac:dyDescent="0.25">
      <c r="B103">
        <f>(Table3[[#This Row],[Jahr]]-$C$2)*12+Table3[[#This Row],[Month nr]]</f>
        <v>99</v>
      </c>
      <c r="C103">
        <v>2016</v>
      </c>
      <c r="D103">
        <v>3</v>
      </c>
      <c r="E103" t="s">
        <v>15</v>
      </c>
      <c r="F103" t="str">
        <f>_xlfn.CONCAT(Table3[[#This Row],[Monat]]," ",Table3[[#This Row],[Jahr]])</f>
        <v>März 2016</v>
      </c>
      <c r="G103">
        <v>3755.1</v>
      </c>
      <c r="H103">
        <v>700</v>
      </c>
      <c r="I103">
        <v>1300.3</v>
      </c>
      <c r="J103">
        <v>1116</v>
      </c>
      <c r="K103" s="8">
        <f>Table3[[#This Row],[Ausfuhr: Wert]]*1000/Table3[[#This Row],[Ausfuhr: Gewicht]]</f>
        <v>186.41314478975261</v>
      </c>
      <c r="L103" s="8">
        <f>Table3[[#This Row],[Einfuhr: Wert]]*1000/Table3[[#This Row],[Einfuhr: Gewicht]]</f>
        <v>858.26347765900175</v>
      </c>
    </row>
    <row r="104" spans="2:12" x14ac:dyDescent="0.25">
      <c r="B104">
        <f>(Table3[[#This Row],[Jahr]]-$C$2)*12+Table3[[#This Row],[Month nr]]</f>
        <v>100</v>
      </c>
      <c r="C104">
        <v>2016</v>
      </c>
      <c r="D104">
        <v>4</v>
      </c>
      <c r="E104" t="s">
        <v>16</v>
      </c>
      <c r="F104" t="str">
        <f>_xlfn.CONCAT(Table3[[#This Row],[Monat]]," ",Table3[[#This Row],[Jahr]])</f>
        <v>April 2016</v>
      </c>
      <c r="G104">
        <v>23486.1</v>
      </c>
      <c r="H104">
        <v>3770</v>
      </c>
      <c r="I104">
        <v>2800.4</v>
      </c>
      <c r="J104">
        <v>1414</v>
      </c>
      <c r="K104" s="8">
        <f>Table3[[#This Row],[Ausfuhr: Wert]]*1000/Table3[[#This Row],[Ausfuhr: Gewicht]]</f>
        <v>160.52047807000739</v>
      </c>
      <c r="L104" s="8">
        <f>Table3[[#This Row],[Einfuhr: Wert]]*1000/Table3[[#This Row],[Einfuhr: Gewicht]]</f>
        <v>504.92786744750748</v>
      </c>
    </row>
    <row r="105" spans="2:12" x14ac:dyDescent="0.25">
      <c r="B105">
        <f>(Table3[[#This Row],[Jahr]]-$C$2)*12+Table3[[#This Row],[Month nr]]</f>
        <v>101</v>
      </c>
      <c r="C105">
        <v>2016</v>
      </c>
      <c r="D105">
        <v>5</v>
      </c>
      <c r="E105" t="s">
        <v>20</v>
      </c>
      <c r="F105" t="str">
        <f>_xlfn.CONCAT(Table3[[#This Row],[Monat]]," ",Table3[[#This Row],[Jahr]])</f>
        <v>Mai 2016</v>
      </c>
      <c r="G105">
        <v>3974.3</v>
      </c>
      <c r="H105">
        <v>965</v>
      </c>
      <c r="I105">
        <v>2590.6999999999998</v>
      </c>
      <c r="J105">
        <v>1466</v>
      </c>
      <c r="K105" s="8">
        <f>Table3[[#This Row],[Ausfuhr: Wert]]*1000/Table3[[#This Row],[Ausfuhr: Gewicht]]</f>
        <v>242.81005460081019</v>
      </c>
      <c r="L105" s="8">
        <f>Table3[[#This Row],[Einfuhr: Wert]]*1000/Table3[[#This Row],[Einfuhr: Gewicht]]</f>
        <v>565.8702281236732</v>
      </c>
    </row>
    <row r="106" spans="2:12" x14ac:dyDescent="0.25">
      <c r="B106">
        <f>(Table3[[#This Row],[Jahr]]-$C$2)*12+Table3[[#This Row],[Month nr]]</f>
        <v>102</v>
      </c>
      <c r="C106">
        <v>2016</v>
      </c>
      <c r="D106">
        <v>6</v>
      </c>
      <c r="E106" t="s">
        <v>21</v>
      </c>
      <c r="F106" t="str">
        <f>_xlfn.CONCAT(Table3[[#This Row],[Monat]]," ",Table3[[#This Row],[Jahr]])</f>
        <v>Juni 2016</v>
      </c>
      <c r="G106">
        <v>9736.5</v>
      </c>
      <c r="H106">
        <v>1706</v>
      </c>
      <c r="I106">
        <v>1933.1</v>
      </c>
      <c r="J106">
        <v>1243</v>
      </c>
      <c r="K106" s="8">
        <f>Table3[[#This Row],[Ausfuhr: Wert]]*1000/Table3[[#This Row],[Ausfuhr: Gewicht]]</f>
        <v>175.21696708262724</v>
      </c>
      <c r="L106" s="8">
        <f>Table3[[#This Row],[Einfuhr: Wert]]*1000/Table3[[#This Row],[Einfuhr: Gewicht]]</f>
        <v>643.00863897366924</v>
      </c>
    </row>
    <row r="107" spans="2:12" x14ac:dyDescent="0.25">
      <c r="B107">
        <f>(Table3[[#This Row],[Jahr]]-$C$2)*12+Table3[[#This Row],[Month nr]]</f>
        <v>103</v>
      </c>
      <c r="C107">
        <v>2016</v>
      </c>
      <c r="D107">
        <v>7</v>
      </c>
      <c r="E107" t="s">
        <v>22</v>
      </c>
      <c r="F107" t="str">
        <f>_xlfn.CONCAT(Table3[[#This Row],[Monat]]," ",Table3[[#This Row],[Jahr]])</f>
        <v>Juli 2016</v>
      </c>
      <c r="G107">
        <v>19370.3</v>
      </c>
      <c r="H107">
        <v>3974</v>
      </c>
      <c r="I107">
        <v>3060.2</v>
      </c>
      <c r="J107">
        <v>1489</v>
      </c>
      <c r="K107" s="8">
        <f>Table3[[#This Row],[Ausfuhr: Wert]]*1000/Table3[[#This Row],[Ausfuhr: Gewicht]]</f>
        <v>205.15944512991538</v>
      </c>
      <c r="L107" s="8">
        <f>Table3[[#This Row],[Einfuhr: Wert]]*1000/Table3[[#This Row],[Einfuhr: Gewicht]]</f>
        <v>486.56950526109409</v>
      </c>
    </row>
    <row r="108" spans="2:12" x14ac:dyDescent="0.25">
      <c r="B108">
        <f>(Table3[[#This Row],[Jahr]]-$C$2)*12+Table3[[#This Row],[Month nr]]</f>
        <v>104</v>
      </c>
      <c r="C108">
        <v>2016</v>
      </c>
      <c r="D108">
        <v>8</v>
      </c>
      <c r="E108" t="s">
        <v>17</v>
      </c>
      <c r="F108" t="str">
        <f>_xlfn.CONCAT(Table3[[#This Row],[Monat]]," ",Table3[[#This Row],[Jahr]])</f>
        <v>August 2016</v>
      </c>
      <c r="G108">
        <v>30323.1</v>
      </c>
      <c r="H108">
        <v>5520</v>
      </c>
      <c r="I108">
        <v>1792.8</v>
      </c>
      <c r="J108">
        <v>1148</v>
      </c>
      <c r="K108" s="8">
        <f>Table3[[#This Row],[Ausfuhr: Wert]]*1000/Table3[[#This Row],[Ausfuhr: Gewicht]]</f>
        <v>182.03943528201273</v>
      </c>
      <c r="L108" s="8">
        <f>Table3[[#This Row],[Einfuhr: Wert]]*1000/Table3[[#This Row],[Einfuhr: Gewicht]]</f>
        <v>640.339134315038</v>
      </c>
    </row>
    <row r="109" spans="2:12" x14ac:dyDescent="0.25">
      <c r="B109">
        <f>(Table3[[#This Row],[Jahr]]-$C$2)*12+Table3[[#This Row],[Month nr]]</f>
        <v>105</v>
      </c>
      <c r="C109">
        <v>2016</v>
      </c>
      <c r="D109">
        <v>9</v>
      </c>
      <c r="E109" t="s">
        <v>18</v>
      </c>
      <c r="F109" t="str">
        <f>_xlfn.CONCAT(Table3[[#This Row],[Monat]]," ",Table3[[#This Row],[Jahr]])</f>
        <v>September 2016</v>
      </c>
      <c r="G109">
        <v>19588.8</v>
      </c>
      <c r="H109">
        <v>3106</v>
      </c>
      <c r="I109">
        <v>1047.4000000000001</v>
      </c>
      <c r="J109">
        <v>1104</v>
      </c>
      <c r="K109" s="8">
        <f>Table3[[#This Row],[Ausfuhr: Wert]]*1000/Table3[[#This Row],[Ausfuhr: Gewicht]]</f>
        <v>158.55999346565386</v>
      </c>
      <c r="L109" s="8">
        <f>Table3[[#This Row],[Einfuhr: Wert]]*1000/Table3[[#This Row],[Einfuhr: Gewicht]]</f>
        <v>1054.0385717013557</v>
      </c>
    </row>
    <row r="110" spans="2:12" x14ac:dyDescent="0.25">
      <c r="B110">
        <f>(Table3[[#This Row],[Jahr]]-$C$2)*12+Table3[[#This Row],[Month nr]]</f>
        <v>106</v>
      </c>
      <c r="C110">
        <v>2016</v>
      </c>
      <c r="D110">
        <v>10</v>
      </c>
      <c r="E110" t="s">
        <v>23</v>
      </c>
      <c r="F110" t="str">
        <f>_xlfn.CONCAT(Table3[[#This Row],[Monat]]," ",Table3[[#This Row],[Jahr]])</f>
        <v>Oktober 2016</v>
      </c>
      <c r="G110">
        <v>3073.4</v>
      </c>
      <c r="H110">
        <v>672</v>
      </c>
      <c r="I110">
        <v>763.7</v>
      </c>
      <c r="J110">
        <v>848</v>
      </c>
      <c r="K110" s="8">
        <f>Table3[[#This Row],[Ausfuhr: Wert]]*1000/Table3[[#This Row],[Ausfuhr: Gewicht]]</f>
        <v>218.65035465608122</v>
      </c>
      <c r="L110" s="8">
        <f>Table3[[#This Row],[Einfuhr: Wert]]*1000/Table3[[#This Row],[Einfuhr: Gewicht]]</f>
        <v>1110.3836585046483</v>
      </c>
    </row>
    <row r="111" spans="2:12" x14ac:dyDescent="0.25">
      <c r="B111">
        <f>(Table3[[#This Row],[Jahr]]-$C$2)*12+Table3[[#This Row],[Month nr]]</f>
        <v>107</v>
      </c>
      <c r="C111">
        <v>2016</v>
      </c>
      <c r="D111">
        <v>11</v>
      </c>
      <c r="E111" t="s">
        <v>19</v>
      </c>
      <c r="F111" t="str">
        <f>_xlfn.CONCAT(Table3[[#This Row],[Monat]]," ",Table3[[#This Row],[Jahr]])</f>
        <v>November 2016</v>
      </c>
      <c r="G111">
        <v>23501.1</v>
      </c>
      <c r="H111">
        <v>3949</v>
      </c>
      <c r="I111">
        <v>372.8</v>
      </c>
      <c r="J111">
        <v>270</v>
      </c>
      <c r="K111" s="8">
        <f>Table3[[#This Row],[Ausfuhr: Wert]]*1000/Table3[[#This Row],[Ausfuhr: Gewicht]]</f>
        <v>168.03468773802078</v>
      </c>
      <c r="L111" s="8">
        <f>Table3[[#This Row],[Einfuhr: Wert]]*1000/Table3[[#This Row],[Einfuhr: Gewicht]]</f>
        <v>724.24892703862656</v>
      </c>
    </row>
    <row r="112" spans="2:12" x14ac:dyDescent="0.25">
      <c r="B112">
        <f>(Table3[[#This Row],[Jahr]]-$C$2)*12+Table3[[#This Row],[Month nr]]</f>
        <v>108</v>
      </c>
      <c r="C112">
        <v>2016</v>
      </c>
      <c r="D112">
        <v>12</v>
      </c>
      <c r="E112" t="s">
        <v>24</v>
      </c>
      <c r="F112" t="str">
        <f>_xlfn.CONCAT(Table3[[#This Row],[Monat]]," ",Table3[[#This Row],[Jahr]])</f>
        <v>Dezember 2016</v>
      </c>
      <c r="G112">
        <v>24619.3</v>
      </c>
      <c r="H112">
        <v>4226</v>
      </c>
      <c r="I112">
        <v>2429.4</v>
      </c>
      <c r="J112">
        <v>2124</v>
      </c>
      <c r="K112" s="8">
        <f>Table3[[#This Row],[Ausfuhr: Wert]]*1000/Table3[[#This Row],[Ausfuhr: Gewicht]]</f>
        <v>171.65394629416758</v>
      </c>
      <c r="L112" s="8">
        <f>Table3[[#This Row],[Einfuhr: Wert]]*1000/Table3[[#This Row],[Einfuhr: Gewicht]]</f>
        <v>874.289948135342</v>
      </c>
    </row>
    <row r="113" spans="2:12" x14ac:dyDescent="0.25">
      <c r="B113">
        <f>(Table3[[#This Row],[Jahr]]-$C$2)*12+Table3[[#This Row],[Month nr]]</f>
        <v>109</v>
      </c>
      <c r="C113">
        <v>2017</v>
      </c>
      <c r="D113">
        <v>1</v>
      </c>
      <c r="E113" t="s">
        <v>13</v>
      </c>
      <c r="F113" t="str">
        <f>_xlfn.CONCAT(Table3[[#This Row],[Monat]]," ",Table3[[#This Row],[Jahr]])</f>
        <v>Januar 2017</v>
      </c>
      <c r="G113">
        <v>31041.1</v>
      </c>
      <c r="H113">
        <v>6382</v>
      </c>
      <c r="I113">
        <v>2486.6999999999998</v>
      </c>
      <c r="J113">
        <v>1410</v>
      </c>
      <c r="K113" s="8">
        <f>Table3[[#This Row],[Ausfuhr: Wert]]*1000/Table3[[#This Row],[Ausfuhr: Gewicht]]</f>
        <v>205.59838407788385</v>
      </c>
      <c r="L113" s="8">
        <f>Table3[[#This Row],[Einfuhr: Wert]]*1000/Table3[[#This Row],[Einfuhr: Gewicht]]</f>
        <v>567.0165279285801</v>
      </c>
    </row>
    <row r="114" spans="2:12" x14ac:dyDescent="0.25">
      <c r="B114">
        <f>(Table3[[#This Row],[Jahr]]-$C$2)*12+Table3[[#This Row],[Month nr]]</f>
        <v>110</v>
      </c>
      <c r="C114">
        <v>2017</v>
      </c>
      <c r="D114">
        <v>2</v>
      </c>
      <c r="E114" t="s">
        <v>14</v>
      </c>
      <c r="F114" t="str">
        <f>_xlfn.CONCAT(Table3[[#This Row],[Monat]]," ",Table3[[#This Row],[Jahr]])</f>
        <v>Februar 2017</v>
      </c>
      <c r="G114">
        <v>2433.6999999999998</v>
      </c>
      <c r="H114">
        <v>611</v>
      </c>
      <c r="I114">
        <v>839.2</v>
      </c>
      <c r="J114">
        <v>859</v>
      </c>
      <c r="K114" s="8">
        <f>Table3[[#This Row],[Ausfuhr: Wert]]*1000/Table3[[#This Row],[Ausfuhr: Gewicht]]</f>
        <v>251.05805974442208</v>
      </c>
      <c r="L114" s="8">
        <f>Table3[[#This Row],[Einfuhr: Wert]]*1000/Table3[[#This Row],[Einfuhr: Gewicht]]</f>
        <v>1023.5938989513822</v>
      </c>
    </row>
    <row r="115" spans="2:12" x14ac:dyDescent="0.25">
      <c r="B115">
        <f>(Table3[[#This Row],[Jahr]]-$C$2)*12+Table3[[#This Row],[Month nr]]</f>
        <v>111</v>
      </c>
      <c r="C115">
        <v>2017</v>
      </c>
      <c r="D115">
        <v>3</v>
      </c>
      <c r="E115" t="s">
        <v>15</v>
      </c>
      <c r="F115" t="str">
        <f>_xlfn.CONCAT(Table3[[#This Row],[Monat]]," ",Table3[[#This Row],[Jahr]])</f>
        <v>März 2017</v>
      </c>
      <c r="G115">
        <v>19308</v>
      </c>
      <c r="H115">
        <v>3851</v>
      </c>
      <c r="I115">
        <v>1461.1</v>
      </c>
      <c r="J115">
        <v>1276</v>
      </c>
      <c r="K115" s="8">
        <f>Table3[[#This Row],[Ausfuhr: Wert]]*1000/Table3[[#This Row],[Ausfuhr: Gewicht]]</f>
        <v>199.45100476486431</v>
      </c>
      <c r="L115" s="8">
        <f>Table3[[#This Row],[Einfuhr: Wert]]*1000/Table3[[#This Row],[Einfuhr: Gewicht]]</f>
        <v>873.31462596673748</v>
      </c>
    </row>
    <row r="116" spans="2:12" x14ac:dyDescent="0.25">
      <c r="B116">
        <f>(Table3[[#This Row],[Jahr]]-$C$2)*12+Table3[[#This Row],[Month nr]]</f>
        <v>112</v>
      </c>
      <c r="C116">
        <v>2017</v>
      </c>
      <c r="D116">
        <v>4</v>
      </c>
      <c r="E116" t="s">
        <v>16</v>
      </c>
      <c r="F116" t="str">
        <f>_xlfn.CONCAT(Table3[[#This Row],[Monat]]," ",Table3[[#This Row],[Jahr]])</f>
        <v>April 2017</v>
      </c>
      <c r="G116">
        <v>30345.200000000001</v>
      </c>
      <c r="H116">
        <v>6020</v>
      </c>
      <c r="I116">
        <v>1128</v>
      </c>
      <c r="J116">
        <v>1037</v>
      </c>
      <c r="K116" s="8">
        <f>Table3[[#This Row],[Ausfuhr: Wert]]*1000/Table3[[#This Row],[Ausfuhr: Gewicht]]</f>
        <v>198.38392892450864</v>
      </c>
      <c r="L116" s="8">
        <f>Table3[[#This Row],[Einfuhr: Wert]]*1000/Table3[[#This Row],[Einfuhr: Gewicht]]</f>
        <v>919.32624113475174</v>
      </c>
    </row>
    <row r="117" spans="2:12" x14ac:dyDescent="0.25">
      <c r="B117">
        <f>(Table3[[#This Row],[Jahr]]-$C$2)*12+Table3[[#This Row],[Month nr]]</f>
        <v>113</v>
      </c>
      <c r="C117">
        <v>2017</v>
      </c>
      <c r="D117">
        <v>5</v>
      </c>
      <c r="E117" t="s">
        <v>20</v>
      </c>
      <c r="F117" t="str">
        <f>_xlfn.CONCAT(Table3[[#This Row],[Monat]]," ",Table3[[#This Row],[Jahr]])</f>
        <v>Mai 2017</v>
      </c>
      <c r="G117">
        <v>9623.2000000000007</v>
      </c>
      <c r="H117">
        <v>2135</v>
      </c>
      <c r="I117">
        <v>1391.5</v>
      </c>
      <c r="J117">
        <v>1243</v>
      </c>
      <c r="K117" s="8">
        <f>Table3[[#This Row],[Ausfuhr: Wert]]*1000/Table3[[#This Row],[Ausfuhr: Gewicht]]</f>
        <v>221.85967245822593</v>
      </c>
      <c r="L117" s="8">
        <f>Table3[[#This Row],[Einfuhr: Wert]]*1000/Table3[[#This Row],[Einfuhr: Gewicht]]</f>
        <v>893.28063241106724</v>
      </c>
    </row>
    <row r="118" spans="2:12" x14ac:dyDescent="0.25">
      <c r="B118">
        <f>(Table3[[#This Row],[Jahr]]-$C$2)*12+Table3[[#This Row],[Month nr]]</f>
        <v>114</v>
      </c>
      <c r="C118">
        <v>2017</v>
      </c>
      <c r="D118">
        <v>6</v>
      </c>
      <c r="E118" t="s">
        <v>21</v>
      </c>
      <c r="F118" t="str">
        <f>_xlfn.CONCAT(Table3[[#This Row],[Monat]]," ",Table3[[#This Row],[Jahr]])</f>
        <v>Juni 2017</v>
      </c>
      <c r="G118">
        <v>18029.3</v>
      </c>
      <c r="H118">
        <v>3578</v>
      </c>
      <c r="I118">
        <v>212</v>
      </c>
      <c r="J118">
        <v>99</v>
      </c>
      <c r="K118" s="8">
        <f>Table3[[#This Row],[Ausfuhr: Wert]]*1000/Table3[[#This Row],[Ausfuhr: Gewicht]]</f>
        <v>198.45473756607302</v>
      </c>
      <c r="L118" s="8">
        <f>Table3[[#This Row],[Einfuhr: Wert]]*1000/Table3[[#This Row],[Einfuhr: Gewicht]]</f>
        <v>466.98113207547169</v>
      </c>
    </row>
    <row r="119" spans="2:12" x14ac:dyDescent="0.25">
      <c r="B119">
        <f>(Table3[[#This Row],[Jahr]]-$C$2)*12+Table3[[#This Row],[Month nr]]</f>
        <v>115</v>
      </c>
      <c r="C119">
        <v>2017</v>
      </c>
      <c r="D119">
        <v>7</v>
      </c>
      <c r="E119" t="s">
        <v>22</v>
      </c>
      <c r="F119" t="str">
        <f>_xlfn.CONCAT(Table3[[#This Row],[Monat]]," ",Table3[[#This Row],[Jahr]])</f>
        <v>Juli 2017</v>
      </c>
      <c r="G119">
        <v>33492.1</v>
      </c>
      <c r="H119">
        <v>7616</v>
      </c>
      <c r="I119">
        <v>1359.7</v>
      </c>
      <c r="J119">
        <v>995</v>
      </c>
      <c r="K119" s="8">
        <f>Table3[[#This Row],[Ausfuhr: Wert]]*1000/Table3[[#This Row],[Ausfuhr: Gewicht]]</f>
        <v>227.39690852469687</v>
      </c>
      <c r="L119" s="8">
        <f>Table3[[#This Row],[Einfuhr: Wert]]*1000/Table3[[#This Row],[Einfuhr: Gewicht]]</f>
        <v>731.77906891226007</v>
      </c>
    </row>
    <row r="120" spans="2:12" x14ac:dyDescent="0.25">
      <c r="B120">
        <f>(Table3[[#This Row],[Jahr]]-$C$2)*12+Table3[[#This Row],[Month nr]]</f>
        <v>116</v>
      </c>
      <c r="C120">
        <v>2017</v>
      </c>
      <c r="D120">
        <v>8</v>
      </c>
      <c r="E120" t="s">
        <v>17</v>
      </c>
      <c r="F120" t="str">
        <f>_xlfn.CONCAT(Table3[[#This Row],[Monat]]," ",Table3[[#This Row],[Jahr]])</f>
        <v>August 2017</v>
      </c>
      <c r="G120">
        <v>31256.400000000001</v>
      </c>
      <c r="H120">
        <v>7316</v>
      </c>
      <c r="I120">
        <v>2255</v>
      </c>
      <c r="J120">
        <v>1840</v>
      </c>
      <c r="K120" s="8">
        <f>Table3[[#This Row],[Ausfuhr: Wert]]*1000/Table3[[#This Row],[Ausfuhr: Gewicht]]</f>
        <v>234.06406367975836</v>
      </c>
      <c r="L120" s="8">
        <f>Table3[[#This Row],[Einfuhr: Wert]]*1000/Table3[[#This Row],[Einfuhr: Gewicht]]</f>
        <v>815.96452328159648</v>
      </c>
    </row>
    <row r="121" spans="2:12" x14ac:dyDescent="0.25">
      <c r="B121">
        <f>(Table3[[#This Row],[Jahr]]-$C$2)*12+Table3[[#This Row],[Month nr]]</f>
        <v>117</v>
      </c>
      <c r="C121">
        <v>2017</v>
      </c>
      <c r="D121">
        <v>9</v>
      </c>
      <c r="E121" t="s">
        <v>18</v>
      </c>
      <c r="F121" t="str">
        <f>_xlfn.CONCAT(Table3[[#This Row],[Monat]]," ",Table3[[#This Row],[Jahr]])</f>
        <v>September 2017</v>
      </c>
      <c r="G121">
        <v>66480.100000000006</v>
      </c>
      <c r="H121">
        <v>11071</v>
      </c>
      <c r="I121">
        <v>1054.4000000000001</v>
      </c>
      <c r="J121">
        <v>713</v>
      </c>
      <c r="K121" s="8">
        <f>Table3[[#This Row],[Ausfuhr: Wert]]*1000/Table3[[#This Row],[Ausfuhr: Gewicht]]</f>
        <v>166.5310371073449</v>
      </c>
      <c r="L121" s="8">
        <f>Table3[[#This Row],[Einfuhr: Wert]]*1000/Table3[[#This Row],[Einfuhr: Gewicht]]</f>
        <v>676.21396054628224</v>
      </c>
    </row>
    <row r="122" spans="2:12" x14ac:dyDescent="0.25">
      <c r="B122">
        <f>(Table3[[#This Row],[Jahr]]-$C$2)*12+Table3[[#This Row],[Month nr]]</f>
        <v>118</v>
      </c>
      <c r="C122">
        <v>2017</v>
      </c>
      <c r="D122">
        <v>10</v>
      </c>
      <c r="E122" t="s">
        <v>23</v>
      </c>
      <c r="F122" t="str">
        <f>_xlfn.CONCAT(Table3[[#This Row],[Monat]]," ",Table3[[#This Row],[Jahr]])</f>
        <v>Oktober 2017</v>
      </c>
      <c r="G122">
        <v>23792.7</v>
      </c>
      <c r="H122">
        <v>3048</v>
      </c>
      <c r="I122">
        <v>2570.4</v>
      </c>
      <c r="J122">
        <v>1152</v>
      </c>
      <c r="K122" s="8">
        <f>Table3[[#This Row],[Ausfuhr: Wert]]*1000/Table3[[#This Row],[Ausfuhr: Gewicht]]</f>
        <v>128.1065200670794</v>
      </c>
      <c r="L122" s="8">
        <f>Table3[[#This Row],[Einfuhr: Wert]]*1000/Table3[[#This Row],[Einfuhr: Gewicht]]</f>
        <v>448.17927170868347</v>
      </c>
    </row>
    <row r="123" spans="2:12" x14ac:dyDescent="0.25">
      <c r="B123">
        <f>(Table3[[#This Row],[Jahr]]-$C$2)*12+Table3[[#This Row],[Month nr]]</f>
        <v>119</v>
      </c>
      <c r="C123">
        <v>2017</v>
      </c>
      <c r="D123">
        <v>11</v>
      </c>
      <c r="E123" t="s">
        <v>19</v>
      </c>
      <c r="F123" t="str">
        <f>_xlfn.CONCAT(Table3[[#This Row],[Monat]]," ",Table3[[#This Row],[Jahr]])</f>
        <v>November 2017</v>
      </c>
      <c r="G123">
        <v>736.4</v>
      </c>
      <c r="H123">
        <v>249</v>
      </c>
      <c r="I123">
        <v>1196.5999999999999</v>
      </c>
      <c r="J123">
        <v>877</v>
      </c>
      <c r="K123" s="8">
        <f>Table3[[#This Row],[Ausfuhr: Wert]]*1000/Table3[[#This Row],[Ausfuhr: Gewicht]]</f>
        <v>338.13145029875068</v>
      </c>
      <c r="L123" s="8">
        <f>Table3[[#This Row],[Einfuhr: Wert]]*1000/Table3[[#This Row],[Einfuhr: Gewicht]]</f>
        <v>732.90991141567781</v>
      </c>
    </row>
    <row r="124" spans="2:12" x14ac:dyDescent="0.25">
      <c r="B124">
        <f>(Table3[[#This Row],[Jahr]]-$C$2)*12+Table3[[#This Row],[Month nr]]</f>
        <v>120</v>
      </c>
      <c r="C124">
        <v>2017</v>
      </c>
      <c r="D124">
        <v>12</v>
      </c>
      <c r="E124" t="s">
        <v>24</v>
      </c>
      <c r="F124" t="str">
        <f>_xlfn.CONCAT(Table3[[#This Row],[Monat]]," ",Table3[[#This Row],[Jahr]])</f>
        <v>Dezember 2017</v>
      </c>
      <c r="G124">
        <v>35420.699999999997</v>
      </c>
      <c r="H124">
        <v>4093</v>
      </c>
      <c r="I124">
        <v>2609.9</v>
      </c>
      <c r="J124">
        <v>1201</v>
      </c>
      <c r="K124" s="8">
        <f>Table3[[#This Row],[Ausfuhr: Wert]]*1000/Table3[[#This Row],[Ausfuhr: Gewicht]]</f>
        <v>115.55389927358861</v>
      </c>
      <c r="L124" s="8">
        <f>Table3[[#This Row],[Einfuhr: Wert]]*1000/Table3[[#This Row],[Einfuhr: Gewicht]]</f>
        <v>460.17088777347789</v>
      </c>
    </row>
    <row r="125" spans="2:12" x14ac:dyDescent="0.25">
      <c r="B125">
        <f>(Table3[[#This Row],[Jahr]]-$C$2)*12+Table3[[#This Row],[Month nr]]</f>
        <v>121</v>
      </c>
      <c r="C125">
        <v>2018</v>
      </c>
      <c r="D125">
        <v>1</v>
      </c>
      <c r="E125" t="s">
        <v>13</v>
      </c>
      <c r="F125" t="str">
        <f>_xlfn.CONCAT(Table3[[#This Row],[Monat]]," ",Table3[[#This Row],[Jahr]])</f>
        <v>Januar 2018</v>
      </c>
      <c r="G125">
        <v>12324.5</v>
      </c>
      <c r="H125">
        <v>1501</v>
      </c>
      <c r="I125">
        <v>1221.2</v>
      </c>
      <c r="J125">
        <v>858</v>
      </c>
      <c r="K125" s="8">
        <f>Table3[[#This Row],[Ausfuhr: Wert]]*1000/Table3[[#This Row],[Ausfuhr: Gewicht]]</f>
        <v>121.78993062598889</v>
      </c>
      <c r="L125" s="8">
        <f>Table3[[#This Row],[Einfuhr: Wert]]*1000/Table3[[#This Row],[Einfuhr: Gewicht]]</f>
        <v>702.58761873566982</v>
      </c>
    </row>
    <row r="126" spans="2:12" x14ac:dyDescent="0.25">
      <c r="B126">
        <f>(Table3[[#This Row],[Jahr]]-$C$2)*12+Table3[[#This Row],[Month nr]]</f>
        <v>122</v>
      </c>
      <c r="C126">
        <v>2018</v>
      </c>
      <c r="D126">
        <v>2</v>
      </c>
      <c r="E126" t="s">
        <v>14</v>
      </c>
      <c r="F126" t="str">
        <f>_xlfn.CONCAT(Table3[[#This Row],[Monat]]," ",Table3[[#This Row],[Jahr]])</f>
        <v>Februar 2018</v>
      </c>
      <c r="G126">
        <v>24444.400000000001</v>
      </c>
      <c r="H126">
        <v>2520</v>
      </c>
      <c r="I126">
        <v>1204</v>
      </c>
      <c r="J126">
        <v>817</v>
      </c>
      <c r="K126" s="8">
        <f>Table3[[#This Row],[Ausfuhr: Wert]]*1000/Table3[[#This Row],[Ausfuhr: Gewicht]]</f>
        <v>103.09109652926641</v>
      </c>
      <c r="L126" s="8">
        <f>Table3[[#This Row],[Einfuhr: Wert]]*1000/Table3[[#This Row],[Einfuhr: Gewicht]]</f>
        <v>678.57142857142856</v>
      </c>
    </row>
    <row r="127" spans="2:12" x14ac:dyDescent="0.25">
      <c r="B127">
        <f>(Table3[[#This Row],[Jahr]]-$C$2)*12+Table3[[#This Row],[Month nr]]</f>
        <v>123</v>
      </c>
      <c r="C127">
        <v>2018</v>
      </c>
      <c r="D127">
        <v>3</v>
      </c>
      <c r="E127" t="s">
        <v>15</v>
      </c>
      <c r="F127" t="str">
        <f>_xlfn.CONCAT(Table3[[#This Row],[Monat]]," ",Table3[[#This Row],[Jahr]])</f>
        <v>März 2018</v>
      </c>
      <c r="G127">
        <v>22370</v>
      </c>
      <c r="H127">
        <v>2687</v>
      </c>
      <c r="I127">
        <v>1553</v>
      </c>
      <c r="J127">
        <v>1037</v>
      </c>
      <c r="K127" s="8">
        <f>Table3[[#This Row],[Ausfuhr: Wert]]*1000/Table3[[#This Row],[Ausfuhr: Gewicht]]</f>
        <v>120.11622708985249</v>
      </c>
      <c r="L127" s="8">
        <f>Table3[[#This Row],[Einfuhr: Wert]]*1000/Table3[[#This Row],[Einfuhr: Gewicht]]</f>
        <v>667.73985833869926</v>
      </c>
    </row>
    <row r="128" spans="2:12" x14ac:dyDescent="0.25">
      <c r="B128">
        <f>(Table3[[#This Row],[Jahr]]-$C$2)*12+Table3[[#This Row],[Month nr]]</f>
        <v>124</v>
      </c>
      <c r="C128">
        <v>2018</v>
      </c>
      <c r="D128">
        <v>4</v>
      </c>
      <c r="E128" t="s">
        <v>16</v>
      </c>
      <c r="F128" t="str">
        <f>_xlfn.CONCAT(Table3[[#This Row],[Monat]]," ",Table3[[#This Row],[Jahr]])</f>
        <v>April 2018</v>
      </c>
      <c r="G128">
        <v>16390.3</v>
      </c>
      <c r="H128">
        <v>2282</v>
      </c>
      <c r="I128">
        <v>2246.1</v>
      </c>
      <c r="J128">
        <v>971</v>
      </c>
      <c r="K128" s="8">
        <f>Table3[[#This Row],[Ausfuhr: Wert]]*1000/Table3[[#This Row],[Ausfuhr: Gewicht]]</f>
        <v>139.22869013989981</v>
      </c>
      <c r="L128" s="8">
        <f>Table3[[#This Row],[Einfuhr: Wert]]*1000/Table3[[#This Row],[Einfuhr: Gewicht]]</f>
        <v>432.30488402119232</v>
      </c>
    </row>
    <row r="129" spans="2:12" x14ac:dyDescent="0.25">
      <c r="B129">
        <f>(Table3[[#This Row],[Jahr]]-$C$2)*12+Table3[[#This Row],[Month nr]]</f>
        <v>125</v>
      </c>
      <c r="C129">
        <v>2018</v>
      </c>
      <c r="D129">
        <v>5</v>
      </c>
      <c r="E129" t="s">
        <v>20</v>
      </c>
      <c r="F129" t="str">
        <f>_xlfn.CONCAT(Table3[[#This Row],[Monat]]," ",Table3[[#This Row],[Jahr]])</f>
        <v>Mai 2018</v>
      </c>
      <c r="G129">
        <v>2309.6</v>
      </c>
      <c r="H129">
        <v>601</v>
      </c>
      <c r="I129">
        <v>1378.1</v>
      </c>
      <c r="J129">
        <v>1014</v>
      </c>
      <c r="K129" s="8">
        <f>Table3[[#This Row],[Ausfuhr: Wert]]*1000/Table3[[#This Row],[Ausfuhr: Gewicht]]</f>
        <v>260.21821960512642</v>
      </c>
      <c r="L129" s="8">
        <f>Table3[[#This Row],[Einfuhr: Wert]]*1000/Table3[[#This Row],[Einfuhr: Gewicht]]</f>
        <v>735.79566069225746</v>
      </c>
    </row>
    <row r="130" spans="2:12" x14ac:dyDescent="0.25">
      <c r="B130">
        <f>(Table3[[#This Row],[Jahr]]-$C$2)*12+Table3[[#This Row],[Month nr]]</f>
        <v>126</v>
      </c>
      <c r="C130">
        <v>2018</v>
      </c>
      <c r="D130">
        <v>6</v>
      </c>
      <c r="E130" t="s">
        <v>21</v>
      </c>
      <c r="F130" t="str">
        <f>_xlfn.CONCAT(Table3[[#This Row],[Monat]]," ",Table3[[#This Row],[Jahr]])</f>
        <v>Juni 2018</v>
      </c>
      <c r="G130">
        <v>43412.6</v>
      </c>
      <c r="H130">
        <v>6090</v>
      </c>
      <c r="I130">
        <v>1263.5</v>
      </c>
      <c r="J130">
        <v>1011</v>
      </c>
      <c r="K130" s="8">
        <f>Table3[[#This Row],[Ausfuhr: Wert]]*1000/Table3[[#This Row],[Ausfuhr: Gewicht]]</f>
        <v>140.28185365539036</v>
      </c>
      <c r="L130" s="8">
        <f>Table3[[#This Row],[Einfuhr: Wert]]*1000/Table3[[#This Row],[Einfuhr: Gewicht]]</f>
        <v>800.15829046299962</v>
      </c>
    </row>
    <row r="131" spans="2:12" x14ac:dyDescent="0.25">
      <c r="B131">
        <f>(Table3[[#This Row],[Jahr]]-$C$2)*12+Table3[[#This Row],[Month nr]]</f>
        <v>127</v>
      </c>
      <c r="C131">
        <v>2018</v>
      </c>
      <c r="D131">
        <v>7</v>
      </c>
      <c r="E131" t="s">
        <v>22</v>
      </c>
      <c r="F131" t="str">
        <f>_xlfn.CONCAT(Table3[[#This Row],[Monat]]," ",Table3[[#This Row],[Jahr]])</f>
        <v>Juli 2018</v>
      </c>
      <c r="G131">
        <v>26296.1</v>
      </c>
      <c r="H131">
        <v>3378</v>
      </c>
      <c r="I131">
        <v>1248.5999999999999</v>
      </c>
      <c r="J131">
        <v>946</v>
      </c>
      <c r="K131" s="8">
        <f>Table3[[#This Row],[Ausfuhr: Wert]]*1000/Table3[[#This Row],[Ausfuhr: Gewicht]]</f>
        <v>128.46011385718796</v>
      </c>
      <c r="L131" s="8">
        <f>Table3[[#This Row],[Einfuhr: Wert]]*1000/Table3[[#This Row],[Einfuhr: Gewicht]]</f>
        <v>757.64856639436175</v>
      </c>
    </row>
    <row r="132" spans="2:12" x14ac:dyDescent="0.25">
      <c r="B132">
        <f>(Table3[[#This Row],[Jahr]]-$C$2)*12+Table3[[#This Row],[Month nr]]</f>
        <v>128</v>
      </c>
      <c r="C132">
        <v>2018</v>
      </c>
      <c r="D132">
        <v>8</v>
      </c>
      <c r="E132" t="s">
        <v>17</v>
      </c>
      <c r="F132" t="str">
        <f>_xlfn.CONCAT(Table3[[#This Row],[Monat]]," ",Table3[[#This Row],[Jahr]])</f>
        <v>August 2018</v>
      </c>
      <c r="G132">
        <v>36565.1</v>
      </c>
      <c r="H132">
        <v>5994</v>
      </c>
      <c r="I132">
        <v>1011.9</v>
      </c>
      <c r="J132">
        <v>913</v>
      </c>
      <c r="K132" s="8">
        <f>Table3[[#This Row],[Ausfuhr: Wert]]*1000/Table3[[#This Row],[Ausfuhr: Gewicht]]</f>
        <v>163.92680452125114</v>
      </c>
      <c r="L132" s="8">
        <f>Table3[[#This Row],[Einfuhr: Wert]]*1000/Table3[[#This Row],[Einfuhr: Gewicht]]</f>
        <v>902.26306947326816</v>
      </c>
    </row>
    <row r="133" spans="2:12" x14ac:dyDescent="0.25">
      <c r="B133">
        <f>(Table3[[#This Row],[Jahr]]-$C$2)*12+Table3[[#This Row],[Month nr]]</f>
        <v>129</v>
      </c>
      <c r="C133">
        <v>2018</v>
      </c>
      <c r="D133">
        <v>9</v>
      </c>
      <c r="E133" t="s">
        <v>18</v>
      </c>
      <c r="F133" t="str">
        <f>_xlfn.CONCAT(Table3[[#This Row],[Monat]]," ",Table3[[#This Row],[Jahr]])</f>
        <v>September 2018</v>
      </c>
      <c r="G133">
        <v>39107.199999999997</v>
      </c>
      <c r="H133">
        <v>6821</v>
      </c>
      <c r="I133">
        <v>1331.7</v>
      </c>
      <c r="J133">
        <v>894</v>
      </c>
      <c r="K133" s="8">
        <f>Table3[[#This Row],[Ausfuhr: Wert]]*1000/Table3[[#This Row],[Ausfuhr: Gewicht]]</f>
        <v>174.41800998281647</v>
      </c>
      <c r="L133" s="8">
        <f>Table3[[#This Row],[Einfuhr: Wert]]*1000/Table3[[#This Row],[Einfuhr: Gewicht]]</f>
        <v>671.32236990313129</v>
      </c>
    </row>
    <row r="134" spans="2:12" x14ac:dyDescent="0.25">
      <c r="B134">
        <f>(Table3[[#This Row],[Jahr]]-$C$2)*12+Table3[[#This Row],[Month nr]]</f>
        <v>130</v>
      </c>
      <c r="C134">
        <v>2018</v>
      </c>
      <c r="D134">
        <v>10</v>
      </c>
      <c r="E134" t="s">
        <v>23</v>
      </c>
      <c r="F134" t="str">
        <f>_xlfn.CONCAT(Table3[[#This Row],[Monat]]," ",Table3[[#This Row],[Jahr]])</f>
        <v>Oktober 2018</v>
      </c>
      <c r="G134">
        <v>6242.5</v>
      </c>
      <c r="H134">
        <v>1354</v>
      </c>
      <c r="I134">
        <v>787.1</v>
      </c>
      <c r="J134">
        <v>854</v>
      </c>
      <c r="K134" s="8">
        <f>Table3[[#This Row],[Ausfuhr: Wert]]*1000/Table3[[#This Row],[Ausfuhr: Gewicht]]</f>
        <v>216.90028033640368</v>
      </c>
      <c r="L134" s="8">
        <f>Table3[[#This Row],[Einfuhr: Wert]]*1000/Table3[[#This Row],[Einfuhr: Gewicht]]</f>
        <v>1084.9955532969127</v>
      </c>
    </row>
    <row r="135" spans="2:12" x14ac:dyDescent="0.25">
      <c r="B135">
        <f>(Table3[[#This Row],[Jahr]]-$C$2)*12+Table3[[#This Row],[Month nr]]</f>
        <v>131</v>
      </c>
      <c r="C135">
        <v>2018</v>
      </c>
      <c r="D135">
        <v>11</v>
      </c>
      <c r="E135" t="s">
        <v>19</v>
      </c>
      <c r="F135" t="str">
        <f>_xlfn.CONCAT(Table3[[#This Row],[Monat]]," ",Table3[[#This Row],[Jahr]])</f>
        <v>November 2018</v>
      </c>
      <c r="G135">
        <v>49478.7</v>
      </c>
      <c r="H135">
        <v>10541</v>
      </c>
      <c r="I135">
        <v>4220.3999999999996</v>
      </c>
      <c r="J135">
        <v>1250</v>
      </c>
      <c r="K135" s="8">
        <f>Table3[[#This Row],[Ausfuhr: Wert]]*1000/Table3[[#This Row],[Ausfuhr: Gewicht]]</f>
        <v>213.04116720932444</v>
      </c>
      <c r="L135" s="8">
        <f>Table3[[#This Row],[Einfuhr: Wert]]*1000/Table3[[#This Row],[Einfuhr: Gewicht]]</f>
        <v>296.18045682873662</v>
      </c>
    </row>
    <row r="136" spans="2:12" x14ac:dyDescent="0.25">
      <c r="B136">
        <f>(Table3[[#This Row],[Jahr]]-$C$2)*12+Table3[[#This Row],[Month nr]]</f>
        <v>132</v>
      </c>
      <c r="C136">
        <v>2018</v>
      </c>
      <c r="D136">
        <v>12</v>
      </c>
      <c r="E136" t="s">
        <v>24</v>
      </c>
      <c r="F136" t="str">
        <f>_xlfn.CONCAT(Table3[[#This Row],[Monat]]," ",Table3[[#This Row],[Jahr]])</f>
        <v>Dezember 2018</v>
      </c>
      <c r="G136">
        <v>20169.099999999999</v>
      </c>
      <c r="H136">
        <v>4383</v>
      </c>
      <c r="I136">
        <v>2504.3000000000002</v>
      </c>
      <c r="J136">
        <v>1413</v>
      </c>
      <c r="K136" s="8">
        <f>Table3[[#This Row],[Ausfuhr: Wert]]*1000/Table3[[#This Row],[Ausfuhr: Gewicht]]</f>
        <v>217.31262178282623</v>
      </c>
      <c r="L136" s="8">
        <f>Table3[[#This Row],[Einfuhr: Wert]]*1000/Table3[[#This Row],[Einfuhr: Gewicht]]</f>
        <v>564.22952521662739</v>
      </c>
    </row>
    <row r="137" spans="2:12" x14ac:dyDescent="0.25">
      <c r="B137">
        <f>(Table3[[#This Row],[Jahr]]-$C$2)*12+Table3[[#This Row],[Month nr]]</f>
        <v>133</v>
      </c>
      <c r="C137">
        <v>2019</v>
      </c>
      <c r="D137">
        <v>1</v>
      </c>
      <c r="E137" t="s">
        <v>13</v>
      </c>
      <c r="F137" t="str">
        <f>_xlfn.CONCAT(Table3[[#This Row],[Monat]]," ",Table3[[#This Row],[Jahr]])</f>
        <v>Januar 2019</v>
      </c>
      <c r="G137">
        <v>8629.7999999999993</v>
      </c>
      <c r="H137">
        <v>2384</v>
      </c>
      <c r="I137">
        <v>1663.4</v>
      </c>
      <c r="J137">
        <v>1045</v>
      </c>
      <c r="K137" s="8">
        <f>Table3[[#This Row],[Ausfuhr: Wert]]*1000/Table3[[#This Row],[Ausfuhr: Gewicht]]</f>
        <v>276.25205682634595</v>
      </c>
      <c r="L137" s="8">
        <f>Table3[[#This Row],[Einfuhr: Wert]]*1000/Table3[[#This Row],[Einfuhr: Gewicht]]</f>
        <v>628.23133341349046</v>
      </c>
    </row>
    <row r="138" spans="2:12" x14ac:dyDescent="0.25">
      <c r="B138">
        <f>(Table3[[#This Row],[Jahr]]-$C$2)*12+Table3[[#This Row],[Month nr]]</f>
        <v>134</v>
      </c>
      <c r="C138">
        <v>2019</v>
      </c>
      <c r="D138">
        <v>2</v>
      </c>
      <c r="E138" t="s">
        <v>14</v>
      </c>
      <c r="F138" t="str">
        <f>_xlfn.CONCAT(Table3[[#This Row],[Monat]]," ",Table3[[#This Row],[Jahr]])</f>
        <v>Februar 2019</v>
      </c>
      <c r="G138">
        <v>34233.199999999997</v>
      </c>
      <c r="H138">
        <v>7693</v>
      </c>
      <c r="I138">
        <v>1030.9000000000001</v>
      </c>
      <c r="J138">
        <v>909</v>
      </c>
      <c r="K138" s="8">
        <f>Table3[[#This Row],[Ausfuhr: Wert]]*1000/Table3[[#This Row],[Ausfuhr: Gewicht]]</f>
        <v>224.72336795858993</v>
      </c>
      <c r="L138" s="8">
        <f>Table3[[#This Row],[Einfuhr: Wert]]*1000/Table3[[#This Row],[Einfuhr: Gewicht]]</f>
        <v>881.7538073527985</v>
      </c>
    </row>
    <row r="139" spans="2:12" x14ac:dyDescent="0.25">
      <c r="B139">
        <f>(Table3[[#This Row],[Jahr]]-$C$2)*12+Table3[[#This Row],[Month nr]]</f>
        <v>135</v>
      </c>
      <c r="C139">
        <v>2019</v>
      </c>
      <c r="D139">
        <v>3</v>
      </c>
      <c r="E139" t="s">
        <v>15</v>
      </c>
      <c r="F139" t="str">
        <f>_xlfn.CONCAT(Table3[[#This Row],[Monat]]," ",Table3[[#This Row],[Jahr]])</f>
        <v>März 2019</v>
      </c>
      <c r="G139">
        <v>35588.199999999997</v>
      </c>
      <c r="H139">
        <v>7474</v>
      </c>
      <c r="I139">
        <v>2294.1999999999998</v>
      </c>
      <c r="J139">
        <v>1239</v>
      </c>
      <c r="K139" s="8">
        <f>Table3[[#This Row],[Ausfuhr: Wert]]*1000/Table3[[#This Row],[Ausfuhr: Gewicht]]</f>
        <v>210.01343141827911</v>
      </c>
      <c r="L139" s="8">
        <f>Table3[[#This Row],[Einfuhr: Wert]]*1000/Table3[[#This Row],[Einfuhr: Gewicht]]</f>
        <v>540.05753639612942</v>
      </c>
    </row>
    <row r="140" spans="2:12" x14ac:dyDescent="0.25">
      <c r="B140">
        <f>(Table3[[#This Row],[Jahr]]-$C$2)*12+Table3[[#This Row],[Month nr]]</f>
        <v>136</v>
      </c>
      <c r="C140">
        <v>2019</v>
      </c>
      <c r="D140">
        <v>4</v>
      </c>
      <c r="E140" t="s">
        <v>16</v>
      </c>
      <c r="F140" t="str">
        <f>_xlfn.CONCAT(Table3[[#This Row],[Monat]]," ",Table3[[#This Row],[Jahr]])</f>
        <v>April 2019</v>
      </c>
      <c r="G140">
        <v>4245.7</v>
      </c>
      <c r="H140">
        <v>1025</v>
      </c>
      <c r="I140">
        <v>79.900000000000006</v>
      </c>
      <c r="J140">
        <v>61</v>
      </c>
      <c r="K140" s="8">
        <f>Table3[[#This Row],[Ausfuhr: Wert]]*1000/Table3[[#This Row],[Ausfuhr: Gewicht]]</f>
        <v>241.42073156369975</v>
      </c>
      <c r="L140" s="8">
        <f>Table3[[#This Row],[Einfuhr: Wert]]*1000/Table3[[#This Row],[Einfuhr: Gewicht]]</f>
        <v>763.45431789737165</v>
      </c>
    </row>
    <row r="141" spans="2:12" x14ac:dyDescent="0.25">
      <c r="B141">
        <f>(Table3[[#This Row],[Jahr]]-$C$2)*12+Table3[[#This Row],[Month nr]]</f>
        <v>137</v>
      </c>
      <c r="C141">
        <v>2019</v>
      </c>
      <c r="D141">
        <v>5</v>
      </c>
      <c r="E141" t="s">
        <v>20</v>
      </c>
      <c r="F141" t="str">
        <f>_xlfn.CONCAT(Table3[[#This Row],[Monat]]," ",Table3[[#This Row],[Jahr]])</f>
        <v>Mai 2019</v>
      </c>
      <c r="G141">
        <v>103303.1</v>
      </c>
      <c r="H141">
        <v>23583</v>
      </c>
      <c r="I141">
        <v>5306.7</v>
      </c>
      <c r="J141">
        <v>2911</v>
      </c>
      <c r="K141" s="8">
        <f>Table3[[#This Row],[Ausfuhr: Wert]]*1000/Table3[[#This Row],[Ausfuhr: Gewicht]]</f>
        <v>228.28937369740112</v>
      </c>
      <c r="L141" s="8">
        <f>Table3[[#This Row],[Einfuhr: Wert]]*1000/Table3[[#This Row],[Einfuhr: Gewicht]]</f>
        <v>548.55183070458099</v>
      </c>
    </row>
    <row r="142" spans="2:12" x14ac:dyDescent="0.25">
      <c r="B142">
        <f>(Table3[[#This Row],[Jahr]]-$C$2)*12+Table3[[#This Row],[Month nr]]</f>
        <v>138</v>
      </c>
      <c r="C142">
        <v>2019</v>
      </c>
      <c r="D142">
        <v>6</v>
      </c>
      <c r="E142" t="s">
        <v>21</v>
      </c>
      <c r="F142" t="str">
        <f>_xlfn.CONCAT(Table3[[#This Row],[Monat]]," ",Table3[[#This Row],[Jahr]])</f>
        <v>Juni 2019</v>
      </c>
      <c r="G142">
        <v>29941.9</v>
      </c>
      <c r="H142">
        <v>6649</v>
      </c>
      <c r="I142">
        <v>2022.3</v>
      </c>
      <c r="J142">
        <v>1560</v>
      </c>
      <c r="K142" s="8">
        <f>Table3[[#This Row],[Ausfuhr: Wert]]*1000/Table3[[#This Row],[Ausfuhr: Gewicht]]</f>
        <v>222.06339611046727</v>
      </c>
      <c r="L142" s="8">
        <f>Table3[[#This Row],[Einfuhr: Wert]]*1000/Table3[[#This Row],[Einfuhr: Gewicht]]</f>
        <v>771.39890224002374</v>
      </c>
    </row>
    <row r="143" spans="2:12" x14ac:dyDescent="0.25">
      <c r="B143">
        <f>(Table3[[#This Row],[Jahr]]-$C$2)*12+Table3[[#This Row],[Month nr]]</f>
        <v>139</v>
      </c>
      <c r="C143">
        <v>2019</v>
      </c>
      <c r="D143">
        <v>7</v>
      </c>
      <c r="E143" t="s">
        <v>22</v>
      </c>
      <c r="F143" t="str">
        <f>_xlfn.CONCAT(Table3[[#This Row],[Monat]]," ",Table3[[#This Row],[Jahr]])</f>
        <v>Juli 2019</v>
      </c>
      <c r="G143">
        <v>67439.899999999994</v>
      </c>
      <c r="H143">
        <v>16871</v>
      </c>
      <c r="I143">
        <v>2794</v>
      </c>
      <c r="J143">
        <v>1303</v>
      </c>
      <c r="K143" s="8">
        <f>Table3[[#This Row],[Ausfuhr: Wert]]*1000/Table3[[#This Row],[Ausfuhr: Gewicht]]</f>
        <v>250.16347889009327</v>
      </c>
      <c r="L143" s="8">
        <f>Table3[[#This Row],[Einfuhr: Wert]]*1000/Table3[[#This Row],[Einfuhr: Gewicht]]</f>
        <v>466.35647816750179</v>
      </c>
    </row>
    <row r="144" spans="2:12" x14ac:dyDescent="0.25">
      <c r="B144">
        <f>(Table3[[#This Row],[Jahr]]-$C$2)*12+Table3[[#This Row],[Month nr]]</f>
        <v>140</v>
      </c>
      <c r="C144">
        <v>2019</v>
      </c>
      <c r="D144">
        <v>8</v>
      </c>
      <c r="E144" t="s">
        <v>17</v>
      </c>
      <c r="F144" t="str">
        <f>_xlfn.CONCAT(Table3[[#This Row],[Monat]]," ",Table3[[#This Row],[Jahr]])</f>
        <v>August 2019</v>
      </c>
      <c r="G144">
        <v>47373.8</v>
      </c>
      <c r="H144">
        <v>9279</v>
      </c>
      <c r="I144">
        <v>1247.4000000000001</v>
      </c>
      <c r="J144">
        <v>1008</v>
      </c>
      <c r="K144" s="8">
        <f>Table3[[#This Row],[Ausfuhr: Wert]]*1000/Table3[[#This Row],[Ausfuhr: Gewicht]]</f>
        <v>195.86775812791035</v>
      </c>
      <c r="L144" s="8">
        <f>Table3[[#This Row],[Einfuhr: Wert]]*1000/Table3[[#This Row],[Einfuhr: Gewicht]]</f>
        <v>808.08080808080797</v>
      </c>
    </row>
    <row r="145" spans="2:12" x14ac:dyDescent="0.25">
      <c r="B145">
        <f>(Table3[[#This Row],[Jahr]]-$C$2)*12+Table3[[#This Row],[Month nr]]</f>
        <v>141</v>
      </c>
      <c r="C145">
        <v>2019</v>
      </c>
      <c r="D145">
        <v>9</v>
      </c>
      <c r="E145" t="s">
        <v>18</v>
      </c>
      <c r="F145" t="str">
        <f>_xlfn.CONCAT(Table3[[#This Row],[Monat]]," ",Table3[[#This Row],[Jahr]])</f>
        <v>September 2019</v>
      </c>
      <c r="G145">
        <v>32481.599999999999</v>
      </c>
      <c r="H145">
        <v>4755</v>
      </c>
      <c r="I145">
        <v>1726.3</v>
      </c>
      <c r="J145">
        <v>967</v>
      </c>
      <c r="K145" s="8">
        <f>Table3[[#This Row],[Ausfuhr: Wert]]*1000/Table3[[#This Row],[Ausfuhr: Gewicht]]</f>
        <v>146.39057189301019</v>
      </c>
      <c r="L145" s="8">
        <f>Table3[[#This Row],[Einfuhr: Wert]]*1000/Table3[[#This Row],[Einfuhr: Gewicht]]</f>
        <v>560.15756241672943</v>
      </c>
    </row>
    <row r="146" spans="2:12" x14ac:dyDescent="0.25">
      <c r="B146">
        <f>(Table3[[#This Row],[Jahr]]-$C$2)*12+Table3[[#This Row],[Month nr]]</f>
        <v>142</v>
      </c>
      <c r="C146">
        <v>2019</v>
      </c>
      <c r="D146">
        <v>10</v>
      </c>
      <c r="E146" t="s">
        <v>23</v>
      </c>
      <c r="F146" t="str">
        <f>_xlfn.CONCAT(Table3[[#This Row],[Monat]]," ",Table3[[#This Row],[Jahr]])</f>
        <v>Oktober 2019</v>
      </c>
      <c r="G146">
        <v>2162.1</v>
      </c>
      <c r="H146">
        <v>648</v>
      </c>
      <c r="I146">
        <v>1104.4000000000001</v>
      </c>
      <c r="J146">
        <v>997</v>
      </c>
      <c r="K146" s="8">
        <f>Table3[[#This Row],[Ausfuhr: Wert]]*1000/Table3[[#This Row],[Ausfuhr: Gewicht]]</f>
        <v>299.7086166227279</v>
      </c>
      <c r="L146" s="8">
        <f>Table3[[#This Row],[Einfuhr: Wert]]*1000/Table3[[#This Row],[Einfuhr: Gewicht]]</f>
        <v>902.75262586019551</v>
      </c>
    </row>
    <row r="147" spans="2:12" x14ac:dyDescent="0.25">
      <c r="B147">
        <f>(Table3[[#This Row],[Jahr]]-$C$2)*12+Table3[[#This Row],[Month nr]]</f>
        <v>143</v>
      </c>
      <c r="C147">
        <v>2019</v>
      </c>
      <c r="D147">
        <v>11</v>
      </c>
      <c r="E147" t="s">
        <v>19</v>
      </c>
      <c r="F147" t="str">
        <f>_xlfn.CONCAT(Table3[[#This Row],[Monat]]," ",Table3[[#This Row],[Jahr]])</f>
        <v>November 2019</v>
      </c>
      <c r="G147">
        <v>47922.6</v>
      </c>
      <c r="H147">
        <v>7141</v>
      </c>
      <c r="I147">
        <v>1837.1</v>
      </c>
      <c r="J147">
        <v>613</v>
      </c>
      <c r="K147" s="8">
        <f>Table3[[#This Row],[Ausfuhr: Wert]]*1000/Table3[[#This Row],[Ausfuhr: Gewicht]]</f>
        <v>149.01111375426208</v>
      </c>
      <c r="L147" s="8">
        <f>Table3[[#This Row],[Einfuhr: Wert]]*1000/Table3[[#This Row],[Einfuhr: Gewicht]]</f>
        <v>333.67807958194982</v>
      </c>
    </row>
    <row r="148" spans="2:12" x14ac:dyDescent="0.25">
      <c r="B148">
        <f>(Table3[[#This Row],[Jahr]]-$C$2)*12+Table3[[#This Row],[Month nr]]</f>
        <v>144</v>
      </c>
      <c r="C148">
        <v>2019</v>
      </c>
      <c r="D148">
        <v>12</v>
      </c>
      <c r="E148" t="s">
        <v>24</v>
      </c>
      <c r="F148" t="str">
        <f>_xlfn.CONCAT(Table3[[#This Row],[Monat]]," ",Table3[[#This Row],[Jahr]])</f>
        <v>Dezember 2019</v>
      </c>
      <c r="G148">
        <v>1179.3</v>
      </c>
      <c r="H148">
        <v>284</v>
      </c>
      <c r="I148">
        <v>1509.5</v>
      </c>
      <c r="J148">
        <v>1329</v>
      </c>
      <c r="K148" s="8">
        <f>Table3[[#This Row],[Ausfuhr: Wert]]*1000/Table3[[#This Row],[Ausfuhr: Gewicht]]</f>
        <v>240.82082591367762</v>
      </c>
      <c r="L148" s="8">
        <f>Table3[[#This Row],[Einfuhr: Wert]]*1000/Table3[[#This Row],[Einfuhr: Gewicht]]</f>
        <v>880.42398145081154</v>
      </c>
    </row>
    <row r="149" spans="2:12" x14ac:dyDescent="0.25">
      <c r="B149">
        <f>(Table3[[#This Row],[Jahr]]-$C$2)*12+Table3[[#This Row],[Month nr]]</f>
        <v>145</v>
      </c>
      <c r="C149">
        <v>2020</v>
      </c>
      <c r="D149">
        <v>1</v>
      </c>
      <c r="E149" t="s">
        <v>13</v>
      </c>
      <c r="F149" t="str">
        <f>_xlfn.CONCAT(Table3[[#This Row],[Monat]]," ",Table3[[#This Row],[Jahr]])</f>
        <v>Januar 2020</v>
      </c>
      <c r="G149">
        <v>17300.400000000001</v>
      </c>
      <c r="H149">
        <v>2687</v>
      </c>
      <c r="I149">
        <v>1466.1</v>
      </c>
      <c r="J149">
        <v>747</v>
      </c>
      <c r="K149" s="8">
        <f>Table3[[#This Row],[Ausfuhr: Wert]]*1000/Table3[[#This Row],[Ausfuhr: Gewicht]]</f>
        <v>155.31432799241634</v>
      </c>
      <c r="L149" s="8">
        <f>Table3[[#This Row],[Einfuhr: Wert]]*1000/Table3[[#This Row],[Einfuhr: Gewicht]]</f>
        <v>509.51503990178026</v>
      </c>
    </row>
    <row r="150" spans="2:12" x14ac:dyDescent="0.25">
      <c r="B150">
        <f>(Table3[[#This Row],[Jahr]]-$C$2)*12+Table3[[#This Row],[Month nr]]</f>
        <v>146</v>
      </c>
      <c r="C150">
        <v>2020</v>
      </c>
      <c r="D150">
        <v>2</v>
      </c>
      <c r="E150" t="s">
        <v>14</v>
      </c>
      <c r="F150" t="str">
        <f>_xlfn.CONCAT(Table3[[#This Row],[Monat]]," ",Table3[[#This Row],[Jahr]])</f>
        <v>Februar 2020</v>
      </c>
      <c r="G150">
        <v>27259.8</v>
      </c>
      <c r="H150">
        <v>4641</v>
      </c>
      <c r="I150">
        <v>966.8</v>
      </c>
      <c r="J150">
        <v>804</v>
      </c>
      <c r="K150" s="8">
        <f>Table3[[#This Row],[Ausfuhr: Wert]]*1000/Table3[[#This Row],[Ausfuhr: Gewicht]]</f>
        <v>170.25069883124601</v>
      </c>
      <c r="L150" s="8">
        <f>Table3[[#This Row],[Einfuhr: Wert]]*1000/Table3[[#This Row],[Einfuhr: Gewicht]]</f>
        <v>831.60943318163015</v>
      </c>
    </row>
    <row r="151" spans="2:12" x14ac:dyDescent="0.25">
      <c r="B151">
        <f>(Table3[[#This Row],[Jahr]]-$C$2)*12+Table3[[#This Row],[Month nr]]</f>
        <v>147</v>
      </c>
      <c r="C151">
        <v>2020</v>
      </c>
      <c r="D151">
        <v>3</v>
      </c>
      <c r="E151" t="s">
        <v>15</v>
      </c>
      <c r="F151" t="str">
        <f>_xlfn.CONCAT(Table3[[#This Row],[Monat]]," ",Table3[[#This Row],[Jahr]])</f>
        <v>März 2020</v>
      </c>
      <c r="G151">
        <v>46755.3</v>
      </c>
      <c r="H151">
        <v>7643</v>
      </c>
      <c r="I151">
        <v>1182.5999999999999</v>
      </c>
      <c r="J151">
        <v>1024</v>
      </c>
      <c r="K151" s="8">
        <f>Table3[[#This Row],[Ausfuhr: Wert]]*1000/Table3[[#This Row],[Ausfuhr: Gewicht]]</f>
        <v>163.46809880377197</v>
      </c>
      <c r="L151" s="8">
        <f>Table3[[#This Row],[Einfuhr: Wert]]*1000/Table3[[#This Row],[Einfuhr: Gewicht]]</f>
        <v>865.88871976999837</v>
      </c>
    </row>
    <row r="152" spans="2:12" x14ac:dyDescent="0.25">
      <c r="B152">
        <f>(Table3[[#This Row],[Jahr]]-$C$2)*12+Table3[[#This Row],[Month nr]]</f>
        <v>148</v>
      </c>
      <c r="C152">
        <v>2020</v>
      </c>
      <c r="D152">
        <v>4</v>
      </c>
      <c r="E152" t="s">
        <v>16</v>
      </c>
      <c r="F152" t="str">
        <f>_xlfn.CONCAT(Table3[[#This Row],[Monat]]," ",Table3[[#This Row],[Jahr]])</f>
        <v>April 2020</v>
      </c>
      <c r="G152">
        <v>34763.1</v>
      </c>
      <c r="H152">
        <v>5807</v>
      </c>
      <c r="I152">
        <v>791</v>
      </c>
      <c r="J152">
        <v>674</v>
      </c>
      <c r="K152" s="8">
        <f>Table3[[#This Row],[Ausfuhr: Wert]]*1000/Table3[[#This Row],[Ausfuhr: Gewicht]]</f>
        <v>167.04494133146929</v>
      </c>
      <c r="L152" s="8">
        <f>Table3[[#This Row],[Einfuhr: Wert]]*1000/Table3[[#This Row],[Einfuhr: Gewicht]]</f>
        <v>852.08596713021495</v>
      </c>
    </row>
    <row r="153" spans="2:12" x14ac:dyDescent="0.25">
      <c r="B153">
        <f>(Table3[[#This Row],[Jahr]]-$C$2)*12+Table3[[#This Row],[Month nr]]</f>
        <v>149</v>
      </c>
      <c r="C153">
        <v>2020</v>
      </c>
      <c r="D153">
        <v>5</v>
      </c>
      <c r="E153" t="s">
        <v>20</v>
      </c>
      <c r="F153" t="str">
        <f>_xlfn.CONCAT(Table3[[#This Row],[Monat]]," ",Table3[[#This Row],[Jahr]])</f>
        <v>Mai 2020</v>
      </c>
      <c r="G153">
        <v>24618.7</v>
      </c>
      <c r="H153">
        <v>4260</v>
      </c>
      <c r="I153">
        <v>1807.6</v>
      </c>
      <c r="J153">
        <v>1644</v>
      </c>
      <c r="K153" s="8">
        <f>Table3[[#This Row],[Ausfuhr: Wert]]*1000/Table3[[#This Row],[Ausfuhr: Gewicht]]</f>
        <v>173.03919378358728</v>
      </c>
      <c r="L153" s="8">
        <f>Table3[[#This Row],[Einfuhr: Wert]]*1000/Table3[[#This Row],[Einfuhr: Gewicht]]</f>
        <v>909.49325071918565</v>
      </c>
    </row>
    <row r="154" spans="2:12" x14ac:dyDescent="0.25">
      <c r="B154">
        <f>(Table3[[#This Row],[Jahr]]-$C$2)*12+Table3[[#This Row],[Month nr]]</f>
        <v>150</v>
      </c>
      <c r="C154">
        <v>2020</v>
      </c>
      <c r="D154">
        <v>6</v>
      </c>
      <c r="E154" t="s">
        <v>21</v>
      </c>
      <c r="F154" t="str">
        <f>_xlfn.CONCAT(Table3[[#This Row],[Monat]]," ",Table3[[#This Row],[Jahr]])</f>
        <v>Juni 2020</v>
      </c>
      <c r="G154">
        <v>505.5</v>
      </c>
      <c r="H154">
        <v>351</v>
      </c>
      <c r="I154">
        <v>1869.5</v>
      </c>
      <c r="J154">
        <v>1345</v>
      </c>
      <c r="K154" s="8">
        <f>Table3[[#This Row],[Ausfuhr: Wert]]*1000/Table3[[#This Row],[Ausfuhr: Gewicht]]</f>
        <v>694.36201780415433</v>
      </c>
      <c r="L154" s="8">
        <f>Table3[[#This Row],[Einfuhr: Wert]]*1000/Table3[[#This Row],[Einfuhr: Gewicht]]</f>
        <v>719.44370152447175</v>
      </c>
    </row>
    <row r="155" spans="2:12" x14ac:dyDescent="0.25">
      <c r="B155">
        <f>(Table3[[#This Row],[Jahr]]-$C$2)*12+Table3[[#This Row],[Month nr]]</f>
        <v>151</v>
      </c>
      <c r="C155">
        <v>2020</v>
      </c>
      <c r="D155">
        <v>7</v>
      </c>
      <c r="E155" t="s">
        <v>22</v>
      </c>
      <c r="F155" t="str">
        <f>_xlfn.CONCAT(Table3[[#This Row],[Monat]]," ",Table3[[#This Row],[Jahr]])</f>
        <v>Juli 2020</v>
      </c>
      <c r="G155">
        <v>26303</v>
      </c>
      <c r="H155">
        <v>4810</v>
      </c>
      <c r="I155">
        <v>1604.4</v>
      </c>
      <c r="J155">
        <v>1158</v>
      </c>
      <c r="K155" s="8">
        <f>Table3[[#This Row],[Ausfuhr: Wert]]*1000/Table3[[#This Row],[Ausfuhr: Gewicht]]</f>
        <v>182.86887427289662</v>
      </c>
      <c r="L155" s="8">
        <f>Table3[[#This Row],[Einfuhr: Wert]]*1000/Table3[[#This Row],[Einfuhr: Gewicht]]</f>
        <v>721.76514584891549</v>
      </c>
    </row>
    <row r="156" spans="2:12" x14ac:dyDescent="0.25">
      <c r="B156">
        <f>(Table3[[#This Row],[Jahr]]-$C$2)*12+Table3[[#This Row],[Month nr]]</f>
        <v>152</v>
      </c>
      <c r="C156">
        <v>2020</v>
      </c>
      <c r="D156">
        <v>8</v>
      </c>
      <c r="E156" t="s">
        <v>17</v>
      </c>
      <c r="F156" t="str">
        <f>_xlfn.CONCAT(Table3[[#This Row],[Monat]]," ",Table3[[#This Row],[Jahr]])</f>
        <v>August 2020</v>
      </c>
      <c r="G156">
        <v>76275.899999999994</v>
      </c>
      <c r="H156">
        <v>11191</v>
      </c>
      <c r="I156">
        <v>2106.1</v>
      </c>
      <c r="J156">
        <v>1113</v>
      </c>
      <c r="K156" s="8">
        <f>Table3[[#This Row],[Ausfuhr: Wert]]*1000/Table3[[#This Row],[Ausfuhr: Gewicht]]</f>
        <v>146.71737731052667</v>
      </c>
      <c r="L156" s="8">
        <f>Table3[[#This Row],[Einfuhr: Wert]]*1000/Table3[[#This Row],[Einfuhr: Gewicht]]</f>
        <v>528.46493518826264</v>
      </c>
    </row>
    <row r="157" spans="2:12" x14ac:dyDescent="0.25">
      <c r="B157">
        <f>(Table3[[#This Row],[Jahr]]-$C$2)*12+Table3[[#This Row],[Month nr]]</f>
        <v>153</v>
      </c>
      <c r="C157">
        <v>2020</v>
      </c>
      <c r="D157">
        <v>9</v>
      </c>
      <c r="E157" t="s">
        <v>18</v>
      </c>
      <c r="F157" t="str">
        <f>_xlfn.CONCAT(Table3[[#This Row],[Monat]]," ",Table3[[#This Row],[Jahr]])</f>
        <v>September 2020</v>
      </c>
      <c r="G157">
        <v>32859.9</v>
      </c>
      <c r="H157">
        <v>3973</v>
      </c>
      <c r="I157">
        <v>1162.7</v>
      </c>
      <c r="J157">
        <v>864</v>
      </c>
      <c r="K157" s="8">
        <f>Table3[[#This Row],[Ausfuhr: Wert]]*1000/Table3[[#This Row],[Ausfuhr: Gewicht]]</f>
        <v>120.90724560939016</v>
      </c>
      <c r="L157" s="8">
        <f>Table3[[#This Row],[Einfuhr: Wert]]*1000/Table3[[#This Row],[Einfuhr: Gewicht]]</f>
        <v>743.09796164100794</v>
      </c>
    </row>
  </sheetData>
  <mergeCells count="1">
    <mergeCell ref="K3:L3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5CAC-4B4B-450D-AA8F-193C6B70D82B}">
  <sheetPr codeName="Sheet1"/>
  <dimension ref="A1:N66"/>
  <sheetViews>
    <sheetView topLeftCell="F1" workbookViewId="0">
      <selection activeCell="A2" sqref="A1:E1048576"/>
    </sheetView>
  </sheetViews>
  <sheetFormatPr defaultColWidth="4.85546875" defaultRowHeight="15" x14ac:dyDescent="0.25"/>
  <cols>
    <col min="1" max="1" width="11.42578125" bestFit="1" customWidth="1"/>
    <col min="2" max="2" width="12.140625" customWidth="1"/>
    <col min="3" max="3" width="8.7109375" customWidth="1"/>
    <col min="4" max="4" width="10.28515625" customWidth="1"/>
    <col min="5" max="5" width="18.28515625" customWidth="1"/>
    <col min="6" max="6" width="2" bestFit="1" customWidth="1"/>
    <col min="7" max="10" width="6.85546875" customWidth="1"/>
    <col min="14" max="26" width="6.85546875" customWidth="1"/>
  </cols>
  <sheetData>
    <row r="1" spans="1:8" x14ac:dyDescent="0.25">
      <c r="A1" s="11" t="s">
        <v>0</v>
      </c>
      <c r="B1" s="11"/>
      <c r="C1" s="11"/>
      <c r="D1" s="11"/>
    </row>
    <row r="2" spans="1:8" x14ac:dyDescent="0.25">
      <c r="A2" s="4"/>
      <c r="B2" s="4"/>
      <c r="C2" s="4"/>
      <c r="D2" s="1"/>
      <c r="E2" s="1"/>
      <c r="F2" s="1"/>
      <c r="G2" s="1"/>
    </row>
    <row r="3" spans="1:8" ht="15" customHeight="1" x14ac:dyDescent="0.25">
      <c r="B3" s="11" t="s">
        <v>5</v>
      </c>
      <c r="C3" s="11"/>
      <c r="D3" s="11"/>
      <c r="F3" s="3"/>
      <c r="G3" s="3"/>
      <c r="H3" s="4"/>
    </row>
    <row r="4" spans="1:8" x14ac:dyDescent="0.25">
      <c r="A4" s="1" t="s">
        <v>1</v>
      </c>
      <c r="B4" s="1" t="s">
        <v>4</v>
      </c>
      <c r="C4" s="1" t="s">
        <v>2</v>
      </c>
      <c r="D4" s="1" t="s">
        <v>3</v>
      </c>
      <c r="E4" s="1" t="s">
        <v>6</v>
      </c>
      <c r="H4" s="3"/>
    </row>
    <row r="5" spans="1:8" x14ac:dyDescent="0.25">
      <c r="A5" s="5">
        <v>42309</v>
      </c>
      <c r="B5" s="1">
        <v>110.1</v>
      </c>
      <c r="C5" s="1">
        <v>89.5</v>
      </c>
      <c r="D5" s="1">
        <v>20.6</v>
      </c>
      <c r="E5" s="1">
        <v>18.7</v>
      </c>
    </row>
    <row r="6" spans="1:8" x14ac:dyDescent="0.25">
      <c r="A6" s="5">
        <v>42339</v>
      </c>
      <c r="B6" s="1">
        <v>119.7</v>
      </c>
      <c r="C6" s="1">
        <v>100.9</v>
      </c>
      <c r="D6" s="1">
        <v>18.8</v>
      </c>
      <c r="E6" s="1">
        <v>15.7</v>
      </c>
    </row>
    <row r="7" spans="1:8" x14ac:dyDescent="0.25">
      <c r="A7" s="5">
        <v>42370</v>
      </c>
      <c r="B7" s="1">
        <v>96.9</v>
      </c>
      <c r="C7" s="1">
        <v>79.900000000000006</v>
      </c>
      <c r="D7" s="1">
        <v>17</v>
      </c>
      <c r="E7" s="1">
        <v>17.600000000000001</v>
      </c>
    </row>
    <row r="8" spans="1:8" x14ac:dyDescent="0.25">
      <c r="A8" s="5">
        <v>42401</v>
      </c>
      <c r="B8" s="1"/>
      <c r="C8" s="1"/>
      <c r="D8" s="1"/>
      <c r="E8" s="1"/>
    </row>
    <row r="9" spans="1:8" x14ac:dyDescent="0.25">
      <c r="A9" s="5">
        <v>42430</v>
      </c>
      <c r="B9" s="1">
        <v>106.6</v>
      </c>
      <c r="C9" s="1">
        <v>88.1</v>
      </c>
      <c r="D9" s="1">
        <v>18.5</v>
      </c>
      <c r="E9" s="1">
        <v>17.399999999999999</v>
      </c>
    </row>
    <row r="10" spans="1:8" x14ac:dyDescent="0.25">
      <c r="A10" s="5">
        <v>42461</v>
      </c>
      <c r="B10" s="1">
        <v>107.3</v>
      </c>
      <c r="C10" s="1">
        <v>90.6</v>
      </c>
      <c r="D10" s="1">
        <v>16.8</v>
      </c>
      <c r="E10" s="1">
        <v>15.6</v>
      </c>
    </row>
    <row r="11" spans="1:8" x14ac:dyDescent="0.25">
      <c r="A11" s="5">
        <v>42491</v>
      </c>
      <c r="B11" s="1">
        <v>107.6</v>
      </c>
      <c r="C11" s="1">
        <v>89.4</v>
      </c>
      <c r="D11" s="1">
        <v>18.2</v>
      </c>
      <c r="E11" s="1">
        <v>16.899999999999999</v>
      </c>
    </row>
    <row r="12" spans="1:8" x14ac:dyDescent="0.25">
      <c r="A12" s="5">
        <v>42522</v>
      </c>
      <c r="B12" s="1">
        <v>106.8</v>
      </c>
      <c r="C12" s="1">
        <v>87.6</v>
      </c>
      <c r="D12" s="1">
        <v>19.2</v>
      </c>
      <c r="E12" s="1">
        <v>18</v>
      </c>
    </row>
    <row r="13" spans="1:8" x14ac:dyDescent="0.25">
      <c r="A13" s="5">
        <v>42552</v>
      </c>
      <c r="B13" s="1">
        <v>94.8</v>
      </c>
      <c r="C13" s="1">
        <v>78.5</v>
      </c>
      <c r="D13" s="1">
        <v>16.3</v>
      </c>
      <c r="E13" s="1">
        <v>17.2</v>
      </c>
    </row>
    <row r="14" spans="1:8" x14ac:dyDescent="0.25">
      <c r="A14" s="5">
        <v>42583</v>
      </c>
      <c r="B14" s="1">
        <v>101.3</v>
      </c>
      <c r="C14" s="1">
        <v>85.4</v>
      </c>
      <c r="D14" s="1">
        <v>15.9</v>
      </c>
      <c r="E14" s="1">
        <v>15.7</v>
      </c>
    </row>
    <row r="15" spans="1:8" x14ac:dyDescent="0.25">
      <c r="A15" s="5">
        <v>42614</v>
      </c>
      <c r="B15" s="1">
        <v>104.8</v>
      </c>
      <c r="C15" s="1">
        <v>85.5</v>
      </c>
      <c r="D15" s="1">
        <v>19.3</v>
      </c>
      <c r="E15" s="1">
        <v>18.399999999999999</v>
      </c>
    </row>
    <row r="16" spans="1:8" x14ac:dyDescent="0.25">
      <c r="A16" s="5">
        <v>42644</v>
      </c>
      <c r="B16" s="1">
        <v>101.1</v>
      </c>
      <c r="C16" s="1">
        <v>84.6</v>
      </c>
      <c r="D16" s="1">
        <v>16.5</v>
      </c>
      <c r="E16" s="1">
        <v>16.399999999999999</v>
      </c>
    </row>
    <row r="17" spans="1:5" x14ac:dyDescent="0.25">
      <c r="A17" s="5">
        <v>42675</v>
      </c>
      <c r="B17" s="1">
        <v>113.9</v>
      </c>
      <c r="C17" s="1">
        <v>95.6</v>
      </c>
      <c r="D17" s="1">
        <v>18.3</v>
      </c>
      <c r="E17" s="1">
        <v>16.100000000000001</v>
      </c>
    </row>
    <row r="18" spans="1:5" x14ac:dyDescent="0.25">
      <c r="A18" s="5">
        <v>42705</v>
      </c>
      <c r="B18" s="1">
        <v>123.5</v>
      </c>
      <c r="C18" s="1">
        <v>104.8</v>
      </c>
      <c r="D18" s="1">
        <v>18.7</v>
      </c>
      <c r="E18" s="1">
        <v>15.2</v>
      </c>
    </row>
    <row r="19" spans="1:5" x14ac:dyDescent="0.25">
      <c r="A19" s="5">
        <v>42736</v>
      </c>
      <c r="B19" s="1">
        <v>97.6</v>
      </c>
      <c r="C19" s="1">
        <v>81.599999999999994</v>
      </c>
      <c r="D19" s="1">
        <v>16</v>
      </c>
      <c r="E19" s="1">
        <v>16.399999999999999</v>
      </c>
    </row>
    <row r="20" spans="1:5" x14ac:dyDescent="0.25">
      <c r="A20" s="5">
        <v>42767</v>
      </c>
      <c r="B20" s="1">
        <v>96.7</v>
      </c>
      <c r="C20" s="1">
        <v>82.3</v>
      </c>
      <c r="D20" s="1">
        <v>14.5</v>
      </c>
      <c r="E20" s="1">
        <v>14.9</v>
      </c>
    </row>
    <row r="21" spans="1:5" x14ac:dyDescent="0.25">
      <c r="A21" s="5">
        <v>42795</v>
      </c>
      <c r="B21" s="1">
        <v>112.1</v>
      </c>
      <c r="C21" s="1">
        <v>93</v>
      </c>
      <c r="D21" s="1">
        <v>19</v>
      </c>
      <c r="E21" s="1">
        <v>17</v>
      </c>
    </row>
    <row r="22" spans="1:5" x14ac:dyDescent="0.25">
      <c r="A22" s="5">
        <v>42826</v>
      </c>
      <c r="B22" s="1">
        <v>101.5</v>
      </c>
      <c r="C22" s="1">
        <v>86.4</v>
      </c>
      <c r="D22" s="1">
        <v>15.1</v>
      </c>
      <c r="E22" s="1">
        <v>14.9</v>
      </c>
    </row>
    <row r="23" spans="1:5" x14ac:dyDescent="0.25">
      <c r="A23" s="5">
        <v>42856</v>
      </c>
      <c r="B23" s="1">
        <v>109.1</v>
      </c>
      <c r="C23" s="1">
        <v>90.7</v>
      </c>
      <c r="D23" s="1">
        <v>18.399999999999999</v>
      </c>
      <c r="E23" s="1">
        <v>16.899999999999999</v>
      </c>
    </row>
    <row r="24" spans="1:5" x14ac:dyDescent="0.25">
      <c r="A24" s="5">
        <v>42887</v>
      </c>
      <c r="B24" s="1">
        <v>99.4</v>
      </c>
      <c r="C24" s="1">
        <v>82</v>
      </c>
      <c r="D24" s="1">
        <v>17.399999999999999</v>
      </c>
      <c r="E24" s="1">
        <v>17.5</v>
      </c>
    </row>
    <row r="25" spans="1:5" x14ac:dyDescent="0.25">
      <c r="A25" s="5">
        <v>42917</v>
      </c>
      <c r="B25" s="1">
        <v>97.9</v>
      </c>
      <c r="C25" s="1">
        <v>80.400000000000006</v>
      </c>
      <c r="D25" s="1">
        <v>17.5</v>
      </c>
      <c r="E25" s="1">
        <v>17.899999999999999</v>
      </c>
    </row>
    <row r="26" spans="1:5" x14ac:dyDescent="0.25">
      <c r="A26" s="5">
        <v>42948</v>
      </c>
      <c r="B26" s="1">
        <v>108.7</v>
      </c>
      <c r="C26" s="1">
        <v>90.6</v>
      </c>
      <c r="D26" s="1">
        <v>18.100000000000001</v>
      </c>
      <c r="E26" s="1">
        <v>16.7</v>
      </c>
    </row>
    <row r="27" spans="1:5" x14ac:dyDescent="0.25">
      <c r="A27" s="5">
        <v>42979</v>
      </c>
      <c r="B27" s="1">
        <v>110</v>
      </c>
      <c r="C27" s="1">
        <v>90.3</v>
      </c>
      <c r="D27" s="1">
        <v>19.7</v>
      </c>
      <c r="E27" s="1">
        <v>17.899999999999999</v>
      </c>
    </row>
    <row r="28" spans="1:5" x14ac:dyDescent="0.25">
      <c r="A28" s="5">
        <v>43009</v>
      </c>
      <c r="B28" s="1">
        <v>105.1</v>
      </c>
      <c r="C28" s="1">
        <v>86.4</v>
      </c>
      <c r="D28" s="1">
        <v>18.7</v>
      </c>
      <c r="E28" s="1">
        <v>17.8</v>
      </c>
    </row>
    <row r="29" spans="1:5" x14ac:dyDescent="0.25">
      <c r="A29" s="5">
        <v>43040</v>
      </c>
      <c r="B29" s="1">
        <v>119.7</v>
      </c>
      <c r="C29" s="1">
        <v>99.4</v>
      </c>
      <c r="D29" s="1">
        <v>20.3</v>
      </c>
      <c r="E29" s="1">
        <v>17</v>
      </c>
    </row>
    <row r="30" spans="1:5" x14ac:dyDescent="0.25">
      <c r="A30" s="5">
        <v>43070</v>
      </c>
      <c r="B30" s="1">
        <v>120.7</v>
      </c>
      <c r="C30" s="1">
        <v>105</v>
      </c>
      <c r="D30" s="1">
        <v>15.7</v>
      </c>
      <c r="E30" s="1">
        <v>13</v>
      </c>
    </row>
    <row r="31" spans="1:5" x14ac:dyDescent="0.25">
      <c r="A31" s="5">
        <v>43101</v>
      </c>
      <c r="B31" s="1">
        <v>108.1</v>
      </c>
      <c r="C31" s="1">
        <v>88.3</v>
      </c>
      <c r="D31" s="1">
        <v>19.8</v>
      </c>
      <c r="E31" s="1">
        <v>18.3</v>
      </c>
    </row>
    <row r="32" spans="1:5" x14ac:dyDescent="0.25">
      <c r="A32" s="5">
        <v>43132</v>
      </c>
      <c r="B32" s="1">
        <v>100.5</v>
      </c>
      <c r="C32" s="1">
        <v>82.2</v>
      </c>
      <c r="D32" s="1">
        <v>18.3</v>
      </c>
      <c r="E32" s="1">
        <v>18.2</v>
      </c>
    </row>
    <row r="33" spans="1:5" x14ac:dyDescent="0.25">
      <c r="A33" s="5">
        <v>43160</v>
      </c>
      <c r="B33" s="1">
        <v>111.1</v>
      </c>
      <c r="C33" s="1">
        <v>89.7</v>
      </c>
      <c r="D33" s="1">
        <v>21.4</v>
      </c>
      <c r="E33" s="1">
        <v>19.3</v>
      </c>
    </row>
    <row r="34" spans="1:5" x14ac:dyDescent="0.25">
      <c r="A34" s="5">
        <v>43191</v>
      </c>
      <c r="B34" s="1"/>
      <c r="C34" s="1"/>
      <c r="D34" s="1"/>
      <c r="E34" s="1"/>
    </row>
    <row r="35" spans="1:5" x14ac:dyDescent="0.25">
      <c r="A35" s="5">
        <v>43221</v>
      </c>
      <c r="B35" s="1"/>
      <c r="C35" s="1"/>
      <c r="D35" s="1"/>
      <c r="E35" s="1"/>
    </row>
    <row r="36" spans="1:5" x14ac:dyDescent="0.25">
      <c r="A36" s="5">
        <v>43252</v>
      </c>
      <c r="B36" s="1"/>
      <c r="C36" s="1"/>
      <c r="D36" s="1"/>
      <c r="E36" s="1"/>
    </row>
    <row r="37" spans="1:5" x14ac:dyDescent="0.25">
      <c r="A37" s="5">
        <v>43282</v>
      </c>
      <c r="B37" s="1">
        <v>102.8</v>
      </c>
      <c r="C37" s="1">
        <v>82.8</v>
      </c>
      <c r="D37" s="1">
        <v>20</v>
      </c>
      <c r="E37" s="1">
        <v>19.399999999999999</v>
      </c>
    </row>
    <row r="38" spans="1:5" x14ac:dyDescent="0.25">
      <c r="A38" s="5">
        <v>43313</v>
      </c>
      <c r="B38" s="1"/>
      <c r="C38" s="1"/>
      <c r="D38" s="1"/>
      <c r="E38" s="1"/>
    </row>
    <row r="39" spans="1:5" x14ac:dyDescent="0.25">
      <c r="A39" s="5">
        <v>43344</v>
      </c>
      <c r="B39" s="1">
        <v>99.8</v>
      </c>
      <c r="C39" s="1">
        <v>79.8</v>
      </c>
      <c r="D39" s="1">
        <v>20</v>
      </c>
      <c r="E39" s="1">
        <v>20</v>
      </c>
    </row>
    <row r="40" spans="1:5" x14ac:dyDescent="0.25">
      <c r="A40" s="5">
        <v>43374</v>
      </c>
      <c r="B40" s="1">
        <v>118.3</v>
      </c>
      <c r="C40" s="1">
        <v>93</v>
      </c>
      <c r="D40" s="1">
        <v>25.3</v>
      </c>
      <c r="E40" s="1">
        <v>21.4</v>
      </c>
    </row>
    <row r="41" spans="1:5" x14ac:dyDescent="0.25">
      <c r="A41" s="5">
        <v>43405</v>
      </c>
      <c r="B41" s="1">
        <v>122.3</v>
      </c>
      <c r="C41" s="1">
        <v>96.2</v>
      </c>
      <c r="D41" s="1">
        <v>26.1</v>
      </c>
      <c r="E41" s="1">
        <v>21.3</v>
      </c>
    </row>
    <row r="42" spans="1:5" x14ac:dyDescent="0.25">
      <c r="A42" s="5">
        <v>43435</v>
      </c>
      <c r="B42" s="1">
        <v>119.1</v>
      </c>
      <c r="C42" s="1">
        <v>96.1</v>
      </c>
      <c r="D42" s="1">
        <v>23.1</v>
      </c>
      <c r="E42" s="1">
        <v>19.399999999999999</v>
      </c>
    </row>
    <row r="43" spans="1:5" x14ac:dyDescent="0.25">
      <c r="A43" s="5">
        <v>43466</v>
      </c>
      <c r="B43" s="1">
        <v>115.8</v>
      </c>
      <c r="C43" s="1">
        <v>92.4</v>
      </c>
      <c r="D43" s="1">
        <v>23.4</v>
      </c>
      <c r="E43" s="1">
        <v>20.2</v>
      </c>
    </row>
    <row r="44" spans="1:5" x14ac:dyDescent="0.25">
      <c r="A44" s="5">
        <v>43497</v>
      </c>
      <c r="B44" s="1">
        <v>110.3</v>
      </c>
      <c r="C44" s="1">
        <v>86.4</v>
      </c>
      <c r="D44" s="1">
        <v>23.9</v>
      </c>
      <c r="E44" s="1">
        <v>21.7</v>
      </c>
    </row>
    <row r="45" spans="1:5" x14ac:dyDescent="0.25">
      <c r="A45" s="5">
        <v>43525</v>
      </c>
      <c r="B45" s="1">
        <v>109</v>
      </c>
      <c r="C45" s="1">
        <v>82.3</v>
      </c>
      <c r="D45" s="1">
        <v>26.7</v>
      </c>
      <c r="E45" s="1">
        <v>24.5</v>
      </c>
    </row>
    <row r="46" spans="1:5" x14ac:dyDescent="0.25">
      <c r="A46" s="5">
        <v>43556</v>
      </c>
      <c r="B46" s="1">
        <v>124.7</v>
      </c>
      <c r="C46" s="1">
        <v>98.5</v>
      </c>
      <c r="D46" s="1">
        <v>26.2</v>
      </c>
      <c r="E46" s="1">
        <v>21</v>
      </c>
    </row>
    <row r="47" spans="1:5" x14ac:dyDescent="0.25">
      <c r="A47" s="5">
        <v>43586</v>
      </c>
      <c r="B47" s="1">
        <v>116.4</v>
      </c>
      <c r="C47" s="1">
        <v>91.4</v>
      </c>
      <c r="D47" s="1">
        <v>25</v>
      </c>
      <c r="E47" s="1">
        <v>21.5</v>
      </c>
    </row>
    <row r="48" spans="1:5" x14ac:dyDescent="0.25">
      <c r="A48" s="5">
        <v>43617</v>
      </c>
      <c r="B48" s="1">
        <v>100.4</v>
      </c>
      <c r="C48" s="1">
        <v>77.900000000000006</v>
      </c>
      <c r="D48" s="1">
        <v>22.6</v>
      </c>
      <c r="E48" s="1">
        <v>22.5</v>
      </c>
    </row>
    <row r="49" spans="1:14" x14ac:dyDescent="0.25">
      <c r="A49" s="5">
        <v>43647</v>
      </c>
      <c r="B49" s="1">
        <v>111</v>
      </c>
      <c r="C49" s="1">
        <v>88.8</v>
      </c>
      <c r="D49" s="1">
        <v>22.2</v>
      </c>
      <c r="E49" s="1">
        <v>20</v>
      </c>
    </row>
    <row r="50" spans="1:14" x14ac:dyDescent="0.25">
      <c r="A50" s="5">
        <v>43678</v>
      </c>
      <c r="B50" s="1">
        <v>117.1</v>
      </c>
      <c r="C50" s="1">
        <v>94.3</v>
      </c>
      <c r="D50" s="1">
        <v>22.8</v>
      </c>
      <c r="E50" s="1">
        <v>19.399999999999999</v>
      </c>
    </row>
    <row r="51" spans="1:14" x14ac:dyDescent="0.25">
      <c r="A51" s="5">
        <v>43709</v>
      </c>
      <c r="B51" s="1">
        <v>115.8</v>
      </c>
      <c r="C51" s="1">
        <v>93.7</v>
      </c>
      <c r="D51" s="1">
        <v>22.1</v>
      </c>
      <c r="E51" s="1">
        <v>19.100000000000001</v>
      </c>
      <c r="F51" s="1"/>
      <c r="N51" s="1"/>
    </row>
    <row r="52" spans="1:14" x14ac:dyDescent="0.25">
      <c r="A52" s="5">
        <v>43739</v>
      </c>
      <c r="B52" s="1"/>
      <c r="C52" s="1"/>
      <c r="D52" s="1"/>
      <c r="E52" s="1"/>
    </row>
    <row r="53" spans="1:14" x14ac:dyDescent="0.25">
      <c r="A53" s="5">
        <v>43770</v>
      </c>
      <c r="B53" s="1">
        <v>121</v>
      </c>
      <c r="C53" s="1">
        <v>99.6</v>
      </c>
      <c r="D53" s="1">
        <v>21.3</v>
      </c>
      <c r="E53" s="1">
        <v>17.600000000000001</v>
      </c>
    </row>
    <row r="54" spans="1:14" x14ac:dyDescent="0.25">
      <c r="A54" s="5">
        <v>43800</v>
      </c>
      <c r="B54" s="1">
        <v>124.2</v>
      </c>
      <c r="C54" s="1">
        <v>104.6</v>
      </c>
      <c r="D54" s="1">
        <v>19.600000000000001</v>
      </c>
      <c r="E54" s="1">
        <v>15.8</v>
      </c>
    </row>
    <row r="55" spans="1:14" x14ac:dyDescent="0.25">
      <c r="A55" s="5">
        <v>43831</v>
      </c>
      <c r="B55" s="1">
        <v>112</v>
      </c>
      <c r="C55" s="1">
        <v>89</v>
      </c>
      <c r="D55" s="1">
        <v>23</v>
      </c>
      <c r="E55" s="1">
        <v>20.5</v>
      </c>
    </row>
    <row r="56" spans="1:14" x14ac:dyDescent="0.25">
      <c r="A56" s="5">
        <v>43862</v>
      </c>
      <c r="B56" s="1">
        <v>111.9</v>
      </c>
      <c r="C56" s="1">
        <v>89.7</v>
      </c>
      <c r="D56" s="1">
        <v>22.2</v>
      </c>
      <c r="E56" s="1">
        <v>19.899999999999999</v>
      </c>
    </row>
    <row r="57" spans="1:14" x14ac:dyDescent="0.25">
      <c r="A57" s="5">
        <v>43891</v>
      </c>
      <c r="B57" s="1">
        <v>127.6</v>
      </c>
      <c r="C57" s="1">
        <v>102.4</v>
      </c>
      <c r="D57" s="1">
        <v>25.2</v>
      </c>
      <c r="E57" s="1">
        <v>19.7</v>
      </c>
    </row>
    <row r="58" spans="1:14" x14ac:dyDescent="0.25">
      <c r="A58" s="5">
        <v>43922</v>
      </c>
      <c r="B58" s="1">
        <v>106.1</v>
      </c>
      <c r="C58" s="1">
        <v>81.8</v>
      </c>
      <c r="D58" s="1">
        <v>24.3</v>
      </c>
      <c r="E58" s="1">
        <v>22.9</v>
      </c>
    </row>
    <row r="59" spans="1:14" x14ac:dyDescent="0.25">
      <c r="A59" s="5">
        <v>43952</v>
      </c>
      <c r="B59" s="1">
        <v>106.6</v>
      </c>
      <c r="C59" s="1">
        <v>85.9</v>
      </c>
      <c r="D59" s="1">
        <v>20.8</v>
      </c>
      <c r="E59" s="1">
        <v>19.5</v>
      </c>
    </row>
    <row r="60" spans="1:14" x14ac:dyDescent="0.25">
      <c r="A60" s="5">
        <v>43983</v>
      </c>
      <c r="B60" s="1">
        <v>102.7</v>
      </c>
      <c r="C60" s="1">
        <v>81.400000000000006</v>
      </c>
      <c r="D60" s="1">
        <v>21.2</v>
      </c>
      <c r="E60" s="1">
        <v>20.7</v>
      </c>
    </row>
    <row r="61" spans="1:14" x14ac:dyDescent="0.25">
      <c r="A61" s="5">
        <v>44013</v>
      </c>
      <c r="B61" s="1">
        <v>112.2</v>
      </c>
      <c r="C61" s="1">
        <v>88.3</v>
      </c>
      <c r="D61" s="1">
        <v>23.9</v>
      </c>
      <c r="E61" s="1">
        <v>21.3</v>
      </c>
    </row>
    <row r="62" spans="1:14" x14ac:dyDescent="0.25">
      <c r="A62" s="2"/>
    </row>
    <row r="63" spans="1:14" x14ac:dyDescent="0.25">
      <c r="A63" s="2"/>
    </row>
    <row r="64" spans="1:14" x14ac:dyDescent="0.25">
      <c r="A64" s="2"/>
    </row>
    <row r="65" spans="1:1" x14ac:dyDescent="0.25">
      <c r="A65" s="2"/>
    </row>
    <row r="66" spans="1:1" x14ac:dyDescent="0.25">
      <c r="A66" s="2"/>
    </row>
  </sheetData>
  <mergeCells count="2">
    <mergeCell ref="A1:D1"/>
    <mergeCell ref="B3:D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8C09-CCB2-46B0-97CF-FF3AEFEE8CB8}">
  <sheetPr>
    <tabColor theme="1"/>
  </sheetPr>
  <dimension ref="B3:G14"/>
  <sheetViews>
    <sheetView tabSelected="1" workbookViewId="0">
      <selection activeCell="B3" sqref="B3"/>
    </sheetView>
  </sheetViews>
  <sheetFormatPr defaultRowHeight="15" x14ac:dyDescent="0.25"/>
  <sheetData>
    <row r="3" spans="2:7" x14ac:dyDescent="0.25">
      <c r="B3">
        <f>SUBTOTAL(109,[1]!Table1[Jan-01])</f>
        <v>2029221.7000000016</v>
      </c>
      <c r="C3">
        <f>SUBTOTAL(109,[1]!Table1[Jan-02])</f>
        <v>375309</v>
      </c>
      <c r="D3">
        <f>SUBTOTAL(109,[1]!Table1[Jan-03])</f>
        <v>463516</v>
      </c>
      <c r="E3">
        <f>SUBTOTAL(109,[1]!Table1[Jan-04])</f>
        <v>1663383.1999999993</v>
      </c>
      <c r="F3">
        <f>SUBTOTAL(109,[1]!Table1[Jan-05])</f>
        <v>1098321</v>
      </c>
      <c r="G3">
        <f>SUBTOTAL(109,[1]!Table1[Jan-06])</f>
        <v>1361769</v>
      </c>
    </row>
    <row r="4" spans="2:7" x14ac:dyDescent="0.25">
      <c r="B4">
        <f>SUBTOTAL(109,[1]!Table1[Feb-01])</f>
        <v>1752728.3000000033</v>
      </c>
      <c r="C4">
        <f>SUBTOTAL(109,[1]!Table1[Feb-02])</f>
        <v>330691</v>
      </c>
      <c r="D4">
        <f>SUBTOTAL(109,[1]!Table1[Feb-03])</f>
        <v>410965</v>
      </c>
      <c r="E4">
        <f>SUBTOTAL(109,[1]!Table1[Feb-04])</f>
        <v>1683908.1000000013</v>
      </c>
      <c r="F4">
        <f>SUBTOTAL(109,[1]!Table1[Feb-05])</f>
        <v>1151775</v>
      </c>
      <c r="G4">
        <f>SUBTOTAL(109,[1]!Table1[Feb-06])</f>
        <v>1426454</v>
      </c>
    </row>
    <row r="5" spans="2:7" x14ac:dyDescent="0.25">
      <c r="B5">
        <f>SUBTOTAL(109,[1]!Table1[Mär-01])</f>
        <v>1886024.2000000023</v>
      </c>
      <c r="C5">
        <f>SUBTOTAL(109,[1]!Table1[Mär-02])</f>
        <v>388840</v>
      </c>
      <c r="D5">
        <f>SUBTOTAL(109,[1]!Table1[Mär-03])</f>
        <v>485561</v>
      </c>
      <c r="E5">
        <f>SUBTOTAL(109,[1]!Table1[Mär-04])</f>
        <v>2092172.4000000006</v>
      </c>
      <c r="F5">
        <f>SUBTOTAL(109,[1]!Table1[Mär-05])</f>
        <v>1602240</v>
      </c>
      <c r="G5">
        <f>SUBTOTAL(109,[1]!Table1[Mär-06])</f>
        <v>1988127</v>
      </c>
    </row>
    <row r="6" spans="2:7" x14ac:dyDescent="0.25">
      <c r="B6">
        <f>SUBTOTAL(109,[1]!Table1[Apr-01])</f>
        <v>1672503.3000000026</v>
      </c>
      <c r="C6">
        <f>SUBTOTAL(109,[1]!Table1[Apr-02])</f>
        <v>408965</v>
      </c>
      <c r="D6">
        <f>SUBTOTAL(109,[1]!Table1[Apr-03])</f>
        <v>508562</v>
      </c>
      <c r="E6">
        <f>SUBTOTAL(109,[1]!Table1[Apr-04])</f>
        <v>2211158.400000005</v>
      </c>
      <c r="F6">
        <f>SUBTOTAL(109,[1]!Table1[Apr-05])</f>
        <v>2121376</v>
      </c>
      <c r="G6">
        <f>SUBTOTAL(109,[1]!Table1[Apr-06])</f>
        <v>2646428</v>
      </c>
    </row>
    <row r="7" spans="2:7" x14ac:dyDescent="0.25">
      <c r="B7">
        <f>SUBTOTAL(109,[1]!Table1[Mai-01])</f>
        <v>1648556.0000000065</v>
      </c>
      <c r="C7">
        <f>SUBTOTAL(109,[1]!Table1[Mai-02])</f>
        <v>436518</v>
      </c>
      <c r="D7">
        <f>SUBTOTAL(109,[1]!Table1[Mai-03])</f>
        <v>540023</v>
      </c>
      <c r="E7">
        <f>SUBTOTAL(109,[1]!Table1[Mai-04])</f>
        <v>2165600.0000000028</v>
      </c>
      <c r="F7">
        <f>SUBTOTAL(109,[1]!Table1[Mai-05])</f>
        <v>1949997</v>
      </c>
      <c r="G7">
        <f>SUBTOTAL(109,[1]!Table1[Mai-06])</f>
        <v>2420918</v>
      </c>
    </row>
    <row r="8" spans="2:7" x14ac:dyDescent="0.25">
      <c r="B8">
        <f>SUBTOTAL(109,[1]!Table1[Jun-01])</f>
        <v>1543324.2000000025</v>
      </c>
      <c r="C8">
        <f>SUBTOTAL(109,[1]!Table1[Jun-02])</f>
        <v>413094</v>
      </c>
      <c r="D8">
        <f>SUBTOTAL(109,[1]!Table1[Jun-03])</f>
        <v>515957</v>
      </c>
      <c r="E8">
        <f>SUBTOTAL(109,[1]!Table1[Jun-04])</f>
        <v>1910489.2999999984</v>
      </c>
      <c r="F8">
        <f>SUBTOTAL(109,[1]!Table1[Jun-05])</f>
        <v>1402075</v>
      </c>
      <c r="G8">
        <f>SUBTOTAL(109,[1]!Table1[Jun-06])</f>
        <v>1750342</v>
      </c>
    </row>
    <row r="9" spans="2:7" x14ac:dyDescent="0.25">
      <c r="B9">
        <f>SUBTOTAL(109,[1]!Table1[Jul-01])</f>
        <v>1651325.7000000037</v>
      </c>
      <c r="C9">
        <f>SUBTOTAL(109,[1]!Table1[Jul-02])</f>
        <v>415162</v>
      </c>
      <c r="D9">
        <f>SUBTOTAL(109,[1]!Table1[Jul-03])</f>
        <v>521594</v>
      </c>
      <c r="E9">
        <f>SUBTOTAL(109,[1]!Table1[Jul-04])</f>
        <v>1331565.6000000031</v>
      </c>
      <c r="F9">
        <f>SUBTOTAL(109,[1]!Table1[Jul-05])</f>
        <v>858645</v>
      </c>
      <c r="G9">
        <f>SUBTOTAL(109,[1]!Table1[Jul-06])</f>
        <v>1066343</v>
      </c>
    </row>
    <row r="10" spans="2:7" x14ac:dyDescent="0.25">
      <c r="B10">
        <f>SUBTOTAL(109,[1]!Table1[Aug-01])</f>
        <v>2178469.4000000008</v>
      </c>
      <c r="C10">
        <f>SUBTOTAL(109,[1]!Table1[Aug-02])</f>
        <v>406561</v>
      </c>
      <c r="D10">
        <f>SUBTOTAL(109,[1]!Table1[Aug-03])</f>
        <v>506743</v>
      </c>
      <c r="E10">
        <f>SUBTOTAL(109,[1]!Table1[Aug-04])</f>
        <v>779729.90000000119</v>
      </c>
      <c r="F10">
        <f>SUBTOTAL(109,[1]!Table1[Aug-05])</f>
        <v>575702</v>
      </c>
      <c r="G10">
        <f>SUBTOTAL(109,[1]!Table1[Aug-06])</f>
        <v>713637</v>
      </c>
    </row>
    <row r="11" spans="2:7" x14ac:dyDescent="0.25">
      <c r="B11">
        <f>SUBTOTAL(109,[1]!Table1[Sep-01])</f>
        <v>2679831.3000000003</v>
      </c>
      <c r="C11">
        <f>SUBTOTAL(109,[1]!Table1[Sep-02])</f>
        <v>437777</v>
      </c>
      <c r="D11">
        <f>SUBTOTAL(109,[1]!Table1[Sep-03])</f>
        <v>542497</v>
      </c>
      <c r="E11">
        <f>SUBTOTAL(109,[1]!Table1[Sep-04])</f>
        <v>788848.99999999988</v>
      </c>
      <c r="F11">
        <f>SUBTOTAL(109,[1]!Table1[Sep-05])</f>
        <v>548637</v>
      </c>
      <c r="G11">
        <f>SUBTOTAL(109,[1]!Table1[Sep-06])</f>
        <v>678241</v>
      </c>
    </row>
    <row r="12" spans="2:7" x14ac:dyDescent="0.25">
      <c r="B12">
        <f>SUBTOTAL(109,[1]!Table1[Okt-01])</f>
        <v>2098087.0000000028</v>
      </c>
      <c r="C12">
        <f>SUBTOTAL(109,[1]!Table1[Okt-02])</f>
        <v>318576</v>
      </c>
      <c r="D12">
        <f>SUBTOTAL(109,[1]!Table1[Okt-03])</f>
        <v>399733</v>
      </c>
      <c r="E12">
        <f>SUBTOTAL(109,[1]!Table1[Okt-04])</f>
        <v>732354.40000000014</v>
      </c>
      <c r="F12">
        <f>SUBTOTAL(109,[1]!Table1[Okt-05])</f>
        <v>505736</v>
      </c>
      <c r="G12">
        <f>SUBTOTAL(109,[1]!Table1[Okt-06])</f>
        <v>630975</v>
      </c>
    </row>
    <row r="13" spans="2:7" x14ac:dyDescent="0.25">
      <c r="B13">
        <f>SUBTOTAL(109,[1]!Table1[Nov-01])</f>
        <v>2054602.5000000014</v>
      </c>
      <c r="C13">
        <f>SUBTOTAL(109,[1]!Table1[Nov-02])</f>
        <v>336680</v>
      </c>
      <c r="D13">
        <f>SUBTOTAL(109,[1]!Table1[Nov-03])</f>
        <v>406800</v>
      </c>
      <c r="E13">
        <f>SUBTOTAL(109,[1]!Table1[Nov-04])</f>
        <v>1036669.2999999993</v>
      </c>
      <c r="F13">
        <f>SUBTOTAL(109,[1]!Table1[Nov-05])</f>
        <v>665603</v>
      </c>
      <c r="G13">
        <f>SUBTOTAL(109,[1]!Table1[Nov-06])</f>
        <v>813390</v>
      </c>
    </row>
    <row r="14" spans="2:7" x14ac:dyDescent="0.25">
      <c r="B14">
        <f>SUBTOTAL(109,[1]!Table1[Dez-01])</f>
        <v>1833499.8000000042</v>
      </c>
      <c r="C14">
        <f>SUBTOTAL(109,[1]!Table1[Dez-02])</f>
        <v>329530</v>
      </c>
      <c r="D14">
        <f>SUBTOTAL(109,[1]!Table1[Dez-03])</f>
        <v>404103</v>
      </c>
      <c r="E14">
        <f>SUBTOTAL(109,[1]!Table1[Dez-04])</f>
        <v>1550980.3000000012</v>
      </c>
      <c r="F14">
        <f>SUBTOTAL(109,[1]!Table1[Dez-05])</f>
        <v>1011080</v>
      </c>
      <c r="G14">
        <f>SUBTOTAL(109,[1]!Table1[Dez-06])</f>
        <v>1241495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Destatis Kartoffeln complete</vt:lpstr>
      <vt:lpstr>Destatis Orangen complete</vt:lpstr>
      <vt:lpstr>Destatis Erdbeeren complete</vt:lpstr>
      <vt:lpstr>Destatis Spargel complete</vt:lpstr>
      <vt:lpstr>Destatis Zitronen complete</vt:lpstr>
      <vt:lpstr>Destatis Monthly bsp Belgien</vt:lpstr>
      <vt:lpstr>Monthly Reports BMEL</vt:lpstr>
      <vt:lpstr>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2020-12-08T00:36:57Z</dcterms:created>
  <dcterms:modified xsi:type="dcterms:W3CDTF">2020-12-10T08:44:48Z</dcterms:modified>
</cp:coreProperties>
</file>