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6.xml" ContentType="application/vnd.openxmlformats-officedocument.drawing+xml"/>
  <Override PartName="/xl/comments7.xml" ContentType="application/vnd.openxmlformats-officedocument.spreadsheetml.comments+xml"/>
  <Override PartName="/xl/drawings/drawing7.xml" ContentType="application/vnd.openxmlformats-officedocument.drawing+xml"/>
  <Override PartName="/xl/comments8.xml" ContentType="application/vnd.openxmlformats-officedocument.spreadsheetml.comments+xml"/>
  <Override PartName="/xl/drawings/drawing8.xml" ContentType="application/vnd.openxmlformats-officedocument.drawing+xml"/>
  <Override PartName="/xl/comments9.xml" ContentType="application/vnd.openxmlformats-officedocument.spreadsheetml.comments+xml"/>
  <Override PartName="/xl/drawings/drawing9.xml" ContentType="application/vnd.openxmlformats-officedocument.drawing+xml"/>
  <Override PartName="/xl/comments10.xml" ContentType="application/vnd.openxmlformats-officedocument.spreadsheetml.comments+xml"/>
  <Override PartName="/xl/drawings/drawing10.xml" ContentType="application/vnd.openxmlformats-officedocument.drawing+xml"/>
  <Override PartName="/xl/comments11.xml" ContentType="application/vnd.openxmlformats-officedocument.spreadsheetml.comments+xml"/>
  <Override PartName="/xl/drawings/drawing11.xml" ContentType="application/vnd.openxmlformats-officedocument.drawing+xml"/>
  <Override PartName="/xl/comments12.xml" ContentType="application/vnd.openxmlformats-officedocument.spreadsheetml.comments+xml"/>
  <Override PartName="/xl/drawings/drawing12.xml" ContentType="application/vnd.openxmlformats-officedocument.drawing+xml"/>
  <Override PartName="/xl/comments13.xml" ContentType="application/vnd.openxmlformats-officedocument.spreadsheetml.comments+xml"/>
  <Override PartName="/xl/drawings/drawing13.xml" ContentType="application/vnd.openxmlformats-officedocument.drawing+xml"/>
  <Override PartName="/xl/comments14.xml" ContentType="application/vnd.openxmlformats-officedocument.spreadsheetml.comments+xml"/>
  <Override PartName="/xl/drawings/drawing14.xml" ContentType="application/vnd.openxmlformats-officedocument.drawing+xml"/>
  <Override PartName="/xl/comments15.xml" ContentType="application/vnd.openxmlformats-officedocument.spreadsheetml.comments+xml"/>
  <Override PartName="/xl/drawings/drawing1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GitHub\DSPHub\Documents\comet\"/>
    </mc:Choice>
  </mc:AlternateContent>
  <xr:revisionPtr revIDLastSave="0" documentId="13_ncr:1_{CAC3CDD3-AAA4-4786-B1DD-690A6618AE97}" xr6:coauthVersionLast="45" xr6:coauthVersionMax="45" xr10:uidLastSave="{00000000-0000-0000-0000-000000000000}"/>
  <bookViews>
    <workbookView xWindow="-120" yWindow="-120" windowWidth="29040" windowHeight="17640" tabRatio="898" firstSheet="13" activeTab="15" xr2:uid="{00000000-000D-0000-FFFF-FFFF00000000}"/>
  </bookViews>
  <sheets>
    <sheet name="CO Summary Sheet CPS 327" sheetId="1" r:id="rId1"/>
    <sheet name="Emissions Calcs 327 Cons Cover" sheetId="2" r:id="rId2"/>
    <sheet name="CO Summary Sheet CPS 328" sheetId="3" r:id="rId3"/>
    <sheet name="Emissions Calcs 328 ConsCropRot" sheetId="4" r:id="rId4"/>
    <sheet name="CO Summary Sheet CPS 329" sheetId="5" r:id="rId5"/>
    <sheet name="EmissionCalcs 329 No-till" sheetId="6" r:id="rId6"/>
    <sheet name="CO Summary Sheet CPS 329A" sheetId="7" r:id="rId7"/>
    <sheet name="EmissionCalcs 329A" sheetId="8" r:id="rId8"/>
    <sheet name="CO Summary Sheet CPS 329B" sheetId="9" r:id="rId9"/>
    <sheet name="EmissionCalcs 329B Mulch Till" sheetId="10" r:id="rId10"/>
    <sheet name="CO Summary Sheet CPS 330" sheetId="11" r:id="rId11"/>
    <sheet name="Emission Calcs 330 Contour Farm" sheetId="12" r:id="rId12"/>
    <sheet name="CO Summary Sheet CPS 332" sheetId="13" r:id="rId13"/>
    <sheet name="Emission Calcs 332 Ctr Bufr Str" sheetId="14" r:id="rId14"/>
    <sheet name="CO Summary Sheet CPS 340" sheetId="15" r:id="rId15"/>
    <sheet name="Emissions Calcs 340 Cover Crop" sheetId="16" r:id="rId16"/>
    <sheet name="CO Summary Sheet CPS 345" sheetId="17" r:id="rId17"/>
    <sheet name="EmissionCalcs 345 ReducedTill" sheetId="18" r:id="rId18"/>
    <sheet name="CO Summary Sheet CPS 386" sheetId="19" r:id="rId19"/>
    <sheet name="Emission Calcs 386 Field Border" sheetId="32" r:id="rId20"/>
    <sheet name="CO Summary Sheet CPS 393" sheetId="20" r:id="rId21"/>
    <sheet name="Emission Calcs 393 Filter Strip" sheetId="21" r:id="rId22"/>
    <sheet name="CO Summary Sheet CPS 412" sheetId="22" r:id="rId23"/>
    <sheet name="Emission Calcs 412 Gr WaterWay" sheetId="23" r:id="rId24"/>
    <sheet name="CO Summary Sheet CPS 585" sheetId="24" r:id="rId25"/>
    <sheet name="EmissionCalcs 585 Strip Croppin" sheetId="25" r:id="rId26"/>
    <sheet name="CO Summary Sheet CPS 601" sheetId="26" r:id="rId27"/>
    <sheet name="Emission Calcs 601 Veg. Barrier" sheetId="27" r:id="rId28"/>
    <sheet name="CO Summary Sheet CPS 603" sheetId="28" r:id="rId29"/>
    <sheet name="Emission Calcs 603 Herb Wnd Bar" sheetId="29" r:id="rId30"/>
    <sheet name="Soil Health Master" sheetId="30" r:id="rId31"/>
    <sheet name="Soil Health w Apprp% Legacy Eff" sheetId="31" r:id="rId32"/>
    <sheet name="Graphing" sheetId="33" r:id="rId33"/>
    <sheet name="Acres" sheetId="36" r:id="rId34"/>
  </sheets>
  <externalReferences>
    <externalReference r:id="rId35"/>
  </externalReferences>
  <definedNames>
    <definedName name="Distinct_Assign_Applied_Year" localSheetId="33">#REF!</definedName>
    <definedName name="Distinct_Assign_Applied_Year" localSheetId="11">#REF!</definedName>
    <definedName name="Distinct_Assign_Applied_Year" localSheetId="13">#REF!</definedName>
    <definedName name="Distinct_Assign_Applied_Year" localSheetId="19">#REF!</definedName>
    <definedName name="Distinct_Assign_Applied_Year" localSheetId="21">#REF!</definedName>
    <definedName name="Distinct_Assign_Applied_Year" localSheetId="23">#REF!</definedName>
    <definedName name="Distinct_Assign_Applied_Year" localSheetId="27">#REF!</definedName>
    <definedName name="Distinct_Assign_Applied_Year" localSheetId="29">#REF!</definedName>
    <definedName name="Distinct_Assign_Applied_Year" localSheetId="5">#REF!</definedName>
    <definedName name="Distinct_Assign_Applied_Year" localSheetId="7">#REF!</definedName>
    <definedName name="Distinct_Assign_Applied_Year" localSheetId="9">#REF!</definedName>
    <definedName name="Distinct_Assign_Applied_Year" localSheetId="17">#REF!</definedName>
    <definedName name="Distinct_Assign_Applied_Year" localSheetId="25">#REF!</definedName>
    <definedName name="Distinct_Assign_Applied_Year" localSheetId="1">#REF!</definedName>
    <definedName name="Distinct_Assign_Applied_Year" localSheetId="3">#REF!</definedName>
    <definedName name="Distinct_Assign_Applied_Year" localSheetId="15">#REF!</definedName>
    <definedName name="Distinct_Assign_Applied_Year" localSheetId="31">#REF!</definedName>
    <definedName name="Distinct_Assign_Applied_Year">#REF!</definedName>
    <definedName name="EXAMPLE" localSheetId="33">#REF!</definedName>
    <definedName name="EXAMPLE" localSheetId="19">#REF!</definedName>
    <definedName name="EXAMPLE" localSheetId="23">#REF!</definedName>
    <definedName name="EXAMPLE" localSheetId="31">#REF!</definedName>
    <definedName name="EXAMPLE">#REF!</definedName>
    <definedName name="EXTRA" localSheetId="33">#REF!</definedName>
    <definedName name="EXTRA" localSheetId="19">#REF!</definedName>
    <definedName name="EXTRA" localSheetId="23">#REF!</definedName>
    <definedName name="EXTRA" localSheetId="31">#REF!</definedName>
    <definedName name="EXTRA">#REF!</definedName>
    <definedName name="SAMPLE" localSheetId="33">#REF!</definedName>
    <definedName name="SAMPLE" localSheetId="19">#REF!</definedName>
    <definedName name="SAMPLE" localSheetId="21">#REF!</definedName>
    <definedName name="SAMPLE" localSheetId="23">#REF!</definedName>
    <definedName name="SAMPLE" localSheetId="27">#REF!</definedName>
    <definedName name="SAMPLE" localSheetId="29">#REF!</definedName>
    <definedName name="SAMPLE" localSheetId="3">#REF!</definedName>
    <definedName name="SAMPLE" localSheetId="15">#REF!</definedName>
    <definedName name="SAMPLE" localSheetId="31">#REF!</definedName>
    <definedName name="SAMP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4" i="33" l="1"/>
  <c r="P54" i="33"/>
  <c r="O54" i="33"/>
  <c r="N54" i="33"/>
  <c r="M54" i="33"/>
  <c r="L54" i="33"/>
  <c r="K54" i="33"/>
  <c r="J54" i="33"/>
  <c r="I54" i="33"/>
  <c r="H54" i="33"/>
  <c r="G54" i="33"/>
  <c r="F54" i="33"/>
  <c r="E54" i="33"/>
  <c r="D54" i="33"/>
  <c r="S18" i="36" l="1"/>
  <c r="V17" i="17" l="1"/>
  <c r="M18" i="36" s="1"/>
  <c r="V13" i="7"/>
  <c r="H14" i="36" s="1"/>
  <c r="V14" i="7"/>
  <c r="H15" i="36" s="1"/>
  <c r="V15" i="7"/>
  <c r="H16" i="36" s="1"/>
  <c r="V16" i="7"/>
  <c r="H17" i="36" s="1"/>
  <c r="V17" i="7"/>
  <c r="H18" i="36" s="1"/>
  <c r="V17" i="5"/>
  <c r="G18" i="36" s="1"/>
  <c r="V17" i="3"/>
  <c r="F18" i="36" s="1"/>
  <c r="V17" i="1"/>
  <c r="E18" i="36" s="1"/>
  <c r="V16" i="28"/>
  <c r="S17" i="36" s="1"/>
  <c r="V15" i="28"/>
  <c r="S16" i="36" s="1"/>
  <c r="H21" i="8" l="1"/>
  <c r="H25" i="8"/>
  <c r="H22" i="8"/>
  <c r="H23" i="8"/>
  <c r="H24" i="8"/>
  <c r="E5" i="14"/>
  <c r="E22" i="29" l="1"/>
  <c r="E23" i="29"/>
  <c r="E24" i="29"/>
  <c r="E25" i="29"/>
  <c r="H23" i="29"/>
  <c r="C23" i="29" s="1"/>
  <c r="H24" i="29"/>
  <c r="C24" i="29" s="1"/>
  <c r="H25" i="29"/>
  <c r="C25" i="29" s="1"/>
  <c r="E22" i="27"/>
  <c r="E23" i="27"/>
  <c r="E24" i="27"/>
  <c r="E25" i="27"/>
  <c r="V14" i="26"/>
  <c r="V15" i="26"/>
  <c r="V16" i="26"/>
  <c r="V17" i="26"/>
  <c r="E22" i="25"/>
  <c r="E23" i="25"/>
  <c r="E24" i="25"/>
  <c r="E25" i="25"/>
  <c r="V17" i="24"/>
  <c r="V16" i="24"/>
  <c r="V15" i="24"/>
  <c r="E22" i="23"/>
  <c r="E23" i="23"/>
  <c r="E24" i="23"/>
  <c r="E25" i="23"/>
  <c r="H23" i="23"/>
  <c r="C23" i="23" s="1"/>
  <c r="V14" i="22"/>
  <c r="V15" i="22"/>
  <c r="P16" i="36" s="1"/>
  <c r="V16" i="22"/>
  <c r="V17" i="22"/>
  <c r="E22" i="21"/>
  <c r="E23" i="21"/>
  <c r="E24" i="21"/>
  <c r="E25" i="21"/>
  <c r="V13" i="20"/>
  <c r="O14" i="36" s="1"/>
  <c r="V14" i="20"/>
  <c r="V15" i="20"/>
  <c r="V16" i="20"/>
  <c r="V17" i="20"/>
  <c r="E22" i="32"/>
  <c r="E23" i="32"/>
  <c r="E24" i="32"/>
  <c r="E25" i="32"/>
  <c r="V15" i="19"/>
  <c r="V16" i="19"/>
  <c r="V17" i="19"/>
  <c r="E22" i="18"/>
  <c r="E23" i="18"/>
  <c r="E24" i="18"/>
  <c r="E25" i="18"/>
  <c r="V14" i="17"/>
  <c r="V15" i="17"/>
  <c r="V16" i="17"/>
  <c r="H25" i="18"/>
  <c r="C25" i="18" s="1"/>
  <c r="E22" i="16"/>
  <c r="E23" i="16"/>
  <c r="E24" i="16"/>
  <c r="E25" i="16"/>
  <c r="V14" i="15"/>
  <c r="V15" i="15"/>
  <c r="V16" i="15"/>
  <c r="V17" i="15"/>
  <c r="E22" i="14"/>
  <c r="E23" i="14"/>
  <c r="E24" i="14"/>
  <c r="E25" i="14"/>
  <c r="V15" i="13"/>
  <c r="V16" i="13"/>
  <c r="V17" i="13"/>
  <c r="H24" i="12"/>
  <c r="C24" i="12" s="1"/>
  <c r="E22" i="12"/>
  <c r="E23" i="12"/>
  <c r="E24" i="12"/>
  <c r="E25" i="12"/>
  <c r="V15" i="11"/>
  <c r="V16" i="11"/>
  <c r="J17" i="36" s="1"/>
  <c r="V17" i="11"/>
  <c r="E22" i="10"/>
  <c r="E23" i="10"/>
  <c r="E24" i="10"/>
  <c r="E25" i="10"/>
  <c r="V14" i="9"/>
  <c r="V15" i="9"/>
  <c r="V16" i="9"/>
  <c r="V17" i="9"/>
  <c r="H23" i="27" l="1"/>
  <c r="C23" i="27" s="1"/>
  <c r="F23" i="27" s="1"/>
  <c r="C47" i="27" s="1"/>
  <c r="R16" i="36"/>
  <c r="H22" i="23"/>
  <c r="C22" i="23" s="1"/>
  <c r="P15" i="36"/>
  <c r="H24" i="21"/>
  <c r="C24" i="21" s="1"/>
  <c r="O17" i="36"/>
  <c r="F24" i="12"/>
  <c r="C48" i="12" s="1"/>
  <c r="R8" i="30" s="1"/>
  <c r="R27" i="30" s="1"/>
  <c r="H23" i="21"/>
  <c r="C23" i="21" s="1"/>
  <c r="F23" i="21" s="1"/>
  <c r="C47" i="21" s="1"/>
  <c r="Q13" i="30" s="1"/>
  <c r="Q32" i="30" s="1"/>
  <c r="O16" i="36"/>
  <c r="H24" i="14"/>
  <c r="C24" i="14" s="1"/>
  <c r="K17" i="36"/>
  <c r="H23" i="10"/>
  <c r="C23" i="10" s="1"/>
  <c r="F23" i="10" s="1"/>
  <c r="C47" i="10" s="1"/>
  <c r="Q7" i="30" s="1"/>
  <c r="Q26" i="30" s="1"/>
  <c r="I16" i="36"/>
  <c r="H23" i="12"/>
  <c r="C23" i="12" s="1"/>
  <c r="J16" i="36"/>
  <c r="H24" i="27"/>
  <c r="C24" i="27" s="1"/>
  <c r="F24" i="27" s="1"/>
  <c r="C48" i="27" s="1"/>
  <c r="R17" i="36"/>
  <c r="H24" i="10"/>
  <c r="C24" i="10" s="1"/>
  <c r="I17" i="36"/>
  <c r="Q18" i="36"/>
  <c r="H25" i="25"/>
  <c r="C25" i="25" s="1"/>
  <c r="F25" i="25" s="1"/>
  <c r="C49" i="25" s="1"/>
  <c r="H22" i="16"/>
  <c r="C22" i="16" s="1"/>
  <c r="L15" i="36"/>
  <c r="H22" i="27"/>
  <c r="C22" i="27" s="1"/>
  <c r="F22" i="27" s="1"/>
  <c r="C46" i="27" s="1"/>
  <c r="P16" i="30" s="1"/>
  <c r="P35" i="30" s="1"/>
  <c r="R15" i="36"/>
  <c r="H24" i="18"/>
  <c r="C24" i="18" s="1"/>
  <c r="F24" i="18" s="1"/>
  <c r="C48" i="18" s="1"/>
  <c r="R11" i="30" s="1"/>
  <c r="R30" i="30" s="1"/>
  <c r="M17" i="36"/>
  <c r="Q17" i="36"/>
  <c r="H24" i="25"/>
  <c r="C24" i="25" s="1"/>
  <c r="F24" i="25" s="1"/>
  <c r="C48" i="25" s="1"/>
  <c r="R15" i="30" s="1"/>
  <c r="R34" i="30" s="1"/>
  <c r="H22" i="10"/>
  <c r="C22" i="10" s="1"/>
  <c r="F22" i="10" s="1"/>
  <c r="C46" i="10" s="1"/>
  <c r="P7" i="30" s="1"/>
  <c r="P26" i="30" s="1"/>
  <c r="I15" i="36"/>
  <c r="F25" i="29"/>
  <c r="C49" i="29" s="1"/>
  <c r="H25" i="21"/>
  <c r="C25" i="21" s="1"/>
  <c r="O18" i="36"/>
  <c r="H25" i="14"/>
  <c r="C25" i="14" s="1"/>
  <c r="K18" i="36"/>
  <c r="H25" i="16"/>
  <c r="C25" i="16" s="1"/>
  <c r="L18" i="36"/>
  <c r="H25" i="32"/>
  <c r="C25" i="32" s="1"/>
  <c r="F25" i="32" s="1"/>
  <c r="C49" i="32" s="1"/>
  <c r="S12" i="30" s="1"/>
  <c r="S31" i="30" s="1"/>
  <c r="N18" i="36"/>
  <c r="H25" i="23"/>
  <c r="C25" i="23" s="1"/>
  <c r="P18" i="36"/>
  <c r="Q16" i="36"/>
  <c r="H23" i="25"/>
  <c r="C23" i="25" s="1"/>
  <c r="F23" i="25" s="1"/>
  <c r="C47" i="25" s="1"/>
  <c r="Q15" i="30" s="1"/>
  <c r="Q34" i="30" s="1"/>
  <c r="H23" i="18"/>
  <c r="C23" i="18" s="1"/>
  <c r="F23" i="18" s="1"/>
  <c r="C47" i="18" s="1"/>
  <c r="Q11" i="30" s="1"/>
  <c r="Q30" i="30" s="1"/>
  <c r="M16" i="36"/>
  <c r="H23" i="14"/>
  <c r="C23" i="14" s="1"/>
  <c r="F23" i="14" s="1"/>
  <c r="C47" i="14" s="1"/>
  <c r="K16" i="36"/>
  <c r="H25" i="12"/>
  <c r="C25" i="12" s="1"/>
  <c r="J18" i="36"/>
  <c r="H24" i="16"/>
  <c r="C24" i="16" s="1"/>
  <c r="F24" i="16" s="1"/>
  <c r="C48" i="16" s="1"/>
  <c r="L17" i="36"/>
  <c r="H24" i="32"/>
  <c r="C24" i="32" s="1"/>
  <c r="F24" i="32" s="1"/>
  <c r="C48" i="32" s="1"/>
  <c r="R12" i="30" s="1"/>
  <c r="R31" i="30" s="1"/>
  <c r="N17" i="36"/>
  <c r="H24" i="23"/>
  <c r="C24" i="23" s="1"/>
  <c r="P17" i="36"/>
  <c r="H25" i="27"/>
  <c r="C25" i="27" s="1"/>
  <c r="F25" i="27" s="1"/>
  <c r="C49" i="27" s="1"/>
  <c r="S16" i="30" s="1"/>
  <c r="S35" i="30" s="1"/>
  <c r="R18" i="36"/>
  <c r="H25" i="10"/>
  <c r="C25" i="10" s="1"/>
  <c r="I18" i="36"/>
  <c r="T18" i="36" s="1"/>
  <c r="H22" i="21"/>
  <c r="C22" i="21" s="1"/>
  <c r="F22" i="21" s="1"/>
  <c r="C46" i="21" s="1"/>
  <c r="P13" i="30" s="1"/>
  <c r="P32" i="30" s="1"/>
  <c r="O15" i="36"/>
  <c r="H22" i="18"/>
  <c r="C22" i="18" s="1"/>
  <c r="M15" i="36"/>
  <c r="H23" i="16"/>
  <c r="C23" i="16" s="1"/>
  <c r="L16" i="36"/>
  <c r="H23" i="32"/>
  <c r="C23" i="32" s="1"/>
  <c r="N16" i="36"/>
  <c r="F24" i="29"/>
  <c r="C48" i="29" s="1"/>
  <c r="R17" i="30" s="1"/>
  <c r="R36" i="30" s="1"/>
  <c r="F23" i="29"/>
  <c r="C47" i="29" s="1"/>
  <c r="F25" i="23"/>
  <c r="C49" i="23" s="1"/>
  <c r="S14" i="30" s="1"/>
  <c r="S33" i="30" s="1"/>
  <c r="F23" i="23"/>
  <c r="C47" i="23" s="1"/>
  <c r="Q14" i="30" s="1"/>
  <c r="Q33" i="30" s="1"/>
  <c r="F22" i="23"/>
  <c r="C46" i="23" s="1"/>
  <c r="P14" i="30" s="1"/>
  <c r="P33" i="30" s="1"/>
  <c r="F24" i="23"/>
  <c r="C48" i="23" s="1"/>
  <c r="R14" i="30" s="1"/>
  <c r="R33" i="30" s="1"/>
  <c r="F25" i="21"/>
  <c r="C49" i="21" s="1"/>
  <c r="S13" i="30" s="1"/>
  <c r="S32" i="30" s="1"/>
  <c r="F24" i="21"/>
  <c r="C48" i="21" s="1"/>
  <c r="R13" i="30" s="1"/>
  <c r="R32" i="30" s="1"/>
  <c r="F23" i="32"/>
  <c r="C47" i="32" s="1"/>
  <c r="Q12" i="30" s="1"/>
  <c r="Q31" i="30" s="1"/>
  <c r="F22" i="18"/>
  <c r="C46" i="18" s="1"/>
  <c r="P11" i="30" s="1"/>
  <c r="P30" i="30" s="1"/>
  <c r="F25" i="18"/>
  <c r="C49" i="18" s="1"/>
  <c r="S11" i="30" s="1"/>
  <c r="S30" i="30" s="1"/>
  <c r="F23" i="16"/>
  <c r="C47" i="16" s="1"/>
  <c r="Q10" i="30" s="1"/>
  <c r="Q29" i="30" s="1"/>
  <c r="F22" i="16"/>
  <c r="C46" i="16" s="1"/>
  <c r="P10" i="30" s="1"/>
  <c r="P29" i="30" s="1"/>
  <c r="F25" i="16"/>
  <c r="C49" i="16" s="1"/>
  <c r="S10" i="30" s="1"/>
  <c r="S29" i="30" s="1"/>
  <c r="F24" i="10"/>
  <c r="C48" i="10" s="1"/>
  <c r="R7" i="30" s="1"/>
  <c r="R26" i="30" s="1"/>
  <c r="F25" i="10"/>
  <c r="C49" i="10" s="1"/>
  <c r="S7" i="30" s="1"/>
  <c r="S26" i="30" s="1"/>
  <c r="Q17" i="30"/>
  <c r="Q36" i="30" s="1"/>
  <c r="S17" i="30"/>
  <c r="S36" i="30" s="1"/>
  <c r="R16" i="30"/>
  <c r="R35" i="30" s="1"/>
  <c r="Q16" i="30"/>
  <c r="Q35" i="30" s="1"/>
  <c r="S15" i="30"/>
  <c r="S34" i="30" s="1"/>
  <c r="R10" i="30"/>
  <c r="R29" i="30" s="1"/>
  <c r="F24" i="14"/>
  <c r="C48" i="14" s="1"/>
  <c r="F25" i="14"/>
  <c r="C49" i="14" s="1"/>
  <c r="F23" i="12"/>
  <c r="C47" i="12" s="1"/>
  <c r="Q8" i="30" s="1"/>
  <c r="Q27" i="30" s="1"/>
  <c r="F25" i="12"/>
  <c r="C49" i="12" s="1"/>
  <c r="E22" i="8"/>
  <c r="E23" i="8"/>
  <c r="E24" i="8"/>
  <c r="E25" i="8"/>
  <c r="C22" i="8"/>
  <c r="C23" i="8"/>
  <c r="C24" i="8"/>
  <c r="C25" i="8"/>
  <c r="E22" i="6"/>
  <c r="E23" i="6"/>
  <c r="E24" i="6"/>
  <c r="E25" i="6"/>
  <c r="V14" i="5"/>
  <c r="V15" i="5"/>
  <c r="V16" i="5"/>
  <c r="H25" i="6"/>
  <c r="C25" i="6" s="1"/>
  <c r="E22" i="4"/>
  <c r="E23" i="4"/>
  <c r="E24" i="4"/>
  <c r="E25" i="4"/>
  <c r="V14" i="3"/>
  <c r="V15" i="3"/>
  <c r="V16" i="3"/>
  <c r="H25" i="4"/>
  <c r="C25" i="4" s="1"/>
  <c r="E22" i="2"/>
  <c r="E23" i="2"/>
  <c r="E24" i="2"/>
  <c r="E25" i="2"/>
  <c r="V15" i="1"/>
  <c r="V16" i="1"/>
  <c r="H25" i="2"/>
  <c r="C25" i="2" s="1"/>
  <c r="H23" i="4" l="1"/>
  <c r="C23" i="4" s="1"/>
  <c r="F16" i="36"/>
  <c r="H22" i="4"/>
  <c r="C22" i="4" s="1"/>
  <c r="F22" i="4" s="1"/>
  <c r="C46" i="4" s="1"/>
  <c r="F15" i="36"/>
  <c r="H24" i="4"/>
  <c r="C24" i="4" s="1"/>
  <c r="F17" i="36"/>
  <c r="F25" i="8"/>
  <c r="C49" i="8" s="1"/>
  <c r="S6" i="30" s="1"/>
  <c r="S25" i="30" s="1"/>
  <c r="H24" i="6"/>
  <c r="C24" i="6" s="1"/>
  <c r="F24" i="6" s="1"/>
  <c r="C48" i="6" s="1"/>
  <c r="R5" i="30" s="1"/>
  <c r="R24" i="30" s="1"/>
  <c r="G17" i="36"/>
  <c r="H23" i="6"/>
  <c r="C23" i="6" s="1"/>
  <c r="F23" i="6" s="1"/>
  <c r="C47" i="6" s="1"/>
  <c r="Q5" i="30" s="1"/>
  <c r="Q24" i="30" s="1"/>
  <c r="G16" i="36"/>
  <c r="H24" i="2"/>
  <c r="C24" i="2" s="1"/>
  <c r="F24" i="2" s="1"/>
  <c r="C48" i="2" s="1"/>
  <c r="R3" i="30" s="1"/>
  <c r="E17" i="36"/>
  <c r="T17" i="36" s="1"/>
  <c r="H23" i="2"/>
  <c r="C23" i="2" s="1"/>
  <c r="F23" i="2" s="1"/>
  <c r="C47" i="2" s="1"/>
  <c r="Q3" i="30" s="1"/>
  <c r="E16" i="36"/>
  <c r="T16" i="36" s="1"/>
  <c r="H22" i="6"/>
  <c r="C22" i="6" s="1"/>
  <c r="F22" i="6" s="1"/>
  <c r="C46" i="6" s="1"/>
  <c r="P5" i="30" s="1"/>
  <c r="P24" i="30" s="1"/>
  <c r="G15" i="36"/>
  <c r="F24" i="8"/>
  <c r="C48" i="8" s="1"/>
  <c r="F22" i="8"/>
  <c r="C46" i="8" s="1"/>
  <c r="F23" i="8"/>
  <c r="C47" i="8" s="1"/>
  <c r="Q6" i="30" s="1"/>
  <c r="Q25" i="30" s="1"/>
  <c r="F25" i="6"/>
  <c r="C49" i="6" s="1"/>
  <c r="S5" i="30" s="1"/>
  <c r="S24" i="30" s="1"/>
  <c r="F25" i="4"/>
  <c r="C49" i="4" s="1"/>
  <c r="S4" i="30" s="1"/>
  <c r="S23" i="30" s="1"/>
  <c r="F24" i="4"/>
  <c r="C48" i="4" s="1"/>
  <c r="R4" i="30" s="1"/>
  <c r="R23" i="30" s="1"/>
  <c r="F23" i="4"/>
  <c r="C47" i="4" s="1"/>
  <c r="Q4" i="30" s="1"/>
  <c r="Q23" i="30" s="1"/>
  <c r="F25" i="2"/>
  <c r="C49" i="2" s="1"/>
  <c r="S3" i="30" s="1"/>
  <c r="Q9" i="30"/>
  <c r="Q28" i="30" s="1"/>
  <c r="R9" i="30"/>
  <c r="R28" i="30" s="1"/>
  <c r="S9" i="30"/>
  <c r="S28" i="30" s="1"/>
  <c r="S8" i="30"/>
  <c r="S27" i="30" s="1"/>
  <c r="R6" i="30"/>
  <c r="R25" i="30" s="1"/>
  <c r="P6" i="30"/>
  <c r="P25" i="30" s="1"/>
  <c r="P4" i="30"/>
  <c r="P23" i="30" s="1"/>
  <c r="E21" i="32"/>
  <c r="E20" i="32"/>
  <c r="E19" i="32"/>
  <c r="E18" i="32"/>
  <c r="E17" i="32"/>
  <c r="E16" i="32"/>
  <c r="E15" i="32"/>
  <c r="E14" i="32"/>
  <c r="E13" i="32"/>
  <c r="E12" i="32"/>
  <c r="E11" i="32"/>
  <c r="E10" i="32"/>
  <c r="F10" i="32" s="1"/>
  <c r="C34" i="32" s="1"/>
  <c r="E9" i="32"/>
  <c r="F9" i="32" s="1"/>
  <c r="C33" i="32" s="1"/>
  <c r="E8" i="32"/>
  <c r="F8" i="32" s="1"/>
  <c r="C32" i="32" s="1"/>
  <c r="E7" i="32"/>
  <c r="F7" i="32" s="1"/>
  <c r="C31" i="32" s="1"/>
  <c r="E6" i="32"/>
  <c r="F6" i="32" s="1"/>
  <c r="C30" i="32" s="1"/>
  <c r="E5" i="32"/>
  <c r="F5" i="32" s="1"/>
  <c r="C29" i="32" s="1"/>
  <c r="F4" i="32"/>
  <c r="C28" i="32" s="1"/>
  <c r="D31" i="32" l="1"/>
  <c r="R18" i="30"/>
  <c r="R22" i="30"/>
  <c r="R37" i="30" s="1"/>
  <c r="R40" i="31" s="1"/>
  <c r="Q18" i="30"/>
  <c r="Q22" i="30"/>
  <c r="Q37" i="30" s="1"/>
  <c r="Q40" i="31" s="1"/>
  <c r="S18" i="30"/>
  <c r="S22" i="30"/>
  <c r="S37" i="30" s="1"/>
  <c r="S40" i="31" s="1"/>
  <c r="D32" i="32"/>
  <c r="F33" i="32"/>
  <c r="E33" i="32"/>
  <c r="F34" i="32"/>
  <c r="E34" i="32"/>
  <c r="F31" i="32"/>
  <c r="E31" i="32"/>
  <c r="D33" i="32"/>
  <c r="F32" i="32"/>
  <c r="E32" i="32"/>
  <c r="D34" i="32"/>
  <c r="E21" i="29"/>
  <c r="E20" i="29"/>
  <c r="E19" i="29"/>
  <c r="E18" i="29"/>
  <c r="E17" i="29"/>
  <c r="E16" i="29"/>
  <c r="E15" i="29"/>
  <c r="E14" i="29"/>
  <c r="E13" i="29"/>
  <c r="E12" i="29"/>
  <c r="E11" i="29"/>
  <c r="E10" i="29"/>
  <c r="F10" i="29" s="1"/>
  <c r="C34" i="29" s="1"/>
  <c r="E9" i="29"/>
  <c r="F9" i="29" s="1"/>
  <c r="C33" i="29" s="1"/>
  <c r="E8" i="29"/>
  <c r="F8" i="29" s="1"/>
  <c r="C32" i="29" s="1"/>
  <c r="E7" i="29"/>
  <c r="F7" i="29" s="1"/>
  <c r="C31" i="29" s="1"/>
  <c r="E6" i="29"/>
  <c r="F6" i="29" s="1"/>
  <c r="C30" i="29" s="1"/>
  <c r="E5" i="29"/>
  <c r="F5" i="29" s="1"/>
  <c r="C29" i="29" s="1"/>
  <c r="F4" i="29"/>
  <c r="C28" i="29" s="1"/>
  <c r="V14" i="28"/>
  <c r="V13" i="28"/>
  <c r="V12" i="28"/>
  <c r="V11" i="28"/>
  <c r="V10" i="28"/>
  <c r="V9" i="28"/>
  <c r="V8" i="28"/>
  <c r="V7" i="28"/>
  <c r="V6" i="28"/>
  <c r="V5" i="28"/>
  <c r="V4" i="28"/>
  <c r="V3" i="28"/>
  <c r="H13" i="29" l="1"/>
  <c r="C13" i="29" s="1"/>
  <c r="S6" i="36"/>
  <c r="H15" i="29"/>
  <c r="C15" i="29" s="1"/>
  <c r="S8" i="36"/>
  <c r="H18" i="29"/>
  <c r="C18" i="29" s="1"/>
  <c r="F18" i="29" s="1"/>
  <c r="C42" i="29" s="1"/>
  <c r="L17" i="30" s="1"/>
  <c r="L36" i="30" s="1"/>
  <c r="S11" i="36"/>
  <c r="H22" i="29"/>
  <c r="C22" i="29" s="1"/>
  <c r="F22" i="29" s="1"/>
  <c r="C46" i="29" s="1"/>
  <c r="P17" i="30" s="1"/>
  <c r="P36" i="30" s="1"/>
  <c r="S15" i="36"/>
  <c r="H20" i="29"/>
  <c r="C20" i="29" s="1"/>
  <c r="F20" i="29" s="1"/>
  <c r="C44" i="29" s="1"/>
  <c r="N17" i="30" s="1"/>
  <c r="N36" i="30" s="1"/>
  <c r="S13" i="36"/>
  <c r="Q19" i="31"/>
  <c r="O3" i="33" s="1"/>
  <c r="O53" i="33"/>
  <c r="H11" i="29"/>
  <c r="C11" i="29" s="1"/>
  <c r="F11" i="29" s="1"/>
  <c r="C35" i="29" s="1"/>
  <c r="E17" i="30" s="1"/>
  <c r="E36" i="30" s="1"/>
  <c r="S4" i="36"/>
  <c r="H17" i="29"/>
  <c r="C17" i="29" s="1"/>
  <c r="S10" i="36"/>
  <c r="H21" i="29"/>
  <c r="C21" i="29" s="1"/>
  <c r="F21" i="29" s="1"/>
  <c r="C45" i="29" s="1"/>
  <c r="O17" i="30" s="1"/>
  <c r="O36" i="30" s="1"/>
  <c r="S14" i="36"/>
  <c r="S19" i="31"/>
  <c r="Q3" i="33" s="1"/>
  <c r="Q53" i="33"/>
  <c r="R19" i="31"/>
  <c r="P3" i="33" s="1"/>
  <c r="P53" i="33"/>
  <c r="H12" i="29"/>
  <c r="C12" i="29" s="1"/>
  <c r="F12" i="29" s="1"/>
  <c r="C36" i="29" s="1"/>
  <c r="F17" i="30" s="1"/>
  <c r="F36" i="30" s="1"/>
  <c r="S5" i="36"/>
  <c r="H14" i="29"/>
  <c r="C14" i="29" s="1"/>
  <c r="F14" i="29" s="1"/>
  <c r="C38" i="29" s="1"/>
  <c r="H17" i="30" s="1"/>
  <c r="H36" i="30" s="1"/>
  <c r="S7" i="36"/>
  <c r="H16" i="29"/>
  <c r="C16" i="29" s="1"/>
  <c r="S9" i="36"/>
  <c r="H19" i="29"/>
  <c r="C19" i="29" s="1"/>
  <c r="F19" i="29" s="1"/>
  <c r="C43" i="29" s="1"/>
  <c r="M17" i="30" s="1"/>
  <c r="M36" i="30" s="1"/>
  <c r="S12" i="36"/>
  <c r="F16" i="29"/>
  <c r="C40" i="29" s="1"/>
  <c r="J17" i="30" s="1"/>
  <c r="J36" i="30" s="1"/>
  <c r="F17" i="29"/>
  <c r="C41" i="29" s="1"/>
  <c r="K17" i="30" s="1"/>
  <c r="K36" i="30" s="1"/>
  <c r="F13" i="29"/>
  <c r="C37" i="29" s="1"/>
  <c r="G17" i="30" s="1"/>
  <c r="G36" i="30" s="1"/>
  <c r="F15" i="29"/>
  <c r="C39" i="29" s="1"/>
  <c r="I17" i="30" s="1"/>
  <c r="I36" i="30" s="1"/>
  <c r="F32" i="29"/>
  <c r="E32" i="29"/>
  <c r="D32" i="29"/>
  <c r="F34" i="29"/>
  <c r="E34" i="29"/>
  <c r="D34" i="29"/>
  <c r="F31" i="29"/>
  <c r="E31" i="29"/>
  <c r="D31" i="29"/>
  <c r="F33" i="29"/>
  <c r="E33" i="29"/>
  <c r="D33" i="29"/>
  <c r="E37" i="29"/>
  <c r="G17" i="31" s="1"/>
  <c r="G38" i="31" s="1"/>
  <c r="D37" i="29"/>
  <c r="E21" i="27"/>
  <c r="E20" i="27"/>
  <c r="E19" i="27"/>
  <c r="E18" i="27"/>
  <c r="E17" i="27"/>
  <c r="E16" i="27"/>
  <c r="E15" i="27"/>
  <c r="E14" i="27"/>
  <c r="E13" i="27"/>
  <c r="E12" i="27"/>
  <c r="E11" i="27"/>
  <c r="E10" i="27"/>
  <c r="F10" i="27" s="1"/>
  <c r="C34" i="27" s="1"/>
  <c r="E9" i="27"/>
  <c r="F9" i="27" s="1"/>
  <c r="C33" i="27" s="1"/>
  <c r="E8" i="27"/>
  <c r="F8" i="27" s="1"/>
  <c r="C32" i="27" s="1"/>
  <c r="E7" i="27"/>
  <c r="F7" i="27" s="1"/>
  <c r="C31" i="27" s="1"/>
  <c r="E6" i="27"/>
  <c r="F6" i="27" s="1"/>
  <c r="C30" i="27" s="1"/>
  <c r="E5" i="27"/>
  <c r="F5" i="27" s="1"/>
  <c r="C29" i="27" s="1"/>
  <c r="F4" i="27"/>
  <c r="C28" i="27" s="1"/>
  <c r="V13" i="26"/>
  <c r="V12" i="26"/>
  <c r="V11" i="26"/>
  <c r="V10" i="26"/>
  <c r="V9" i="26"/>
  <c r="V8" i="26"/>
  <c r="V7" i="26"/>
  <c r="V6" i="26"/>
  <c r="V5" i="26"/>
  <c r="V4" i="26"/>
  <c r="V3" i="26"/>
  <c r="H16" i="27" l="1"/>
  <c r="C16" i="27" s="1"/>
  <c r="R9" i="36"/>
  <c r="H17" i="27"/>
  <c r="C17" i="27" s="1"/>
  <c r="R10" i="36"/>
  <c r="S19" i="36"/>
  <c r="H18" i="27"/>
  <c r="C18" i="27" s="1"/>
  <c r="R11" i="36"/>
  <c r="C26" i="29"/>
  <c r="H19" i="27"/>
  <c r="C19" i="27" s="1"/>
  <c r="F19" i="27" s="1"/>
  <c r="C43" i="27" s="1"/>
  <c r="M16" i="30" s="1"/>
  <c r="M35" i="30" s="1"/>
  <c r="R12" i="36"/>
  <c r="H13" i="27"/>
  <c r="C13" i="27" s="1"/>
  <c r="F13" i="27" s="1"/>
  <c r="C37" i="27" s="1"/>
  <c r="G16" i="30" s="1"/>
  <c r="G35" i="30" s="1"/>
  <c r="R6" i="36"/>
  <c r="H11" i="27"/>
  <c r="C11" i="27" s="1"/>
  <c r="C26" i="27" s="1"/>
  <c r="R4" i="36"/>
  <c r="H12" i="27"/>
  <c r="C12" i="27" s="1"/>
  <c r="F12" i="27" s="1"/>
  <c r="C36" i="27" s="1"/>
  <c r="F16" i="30" s="1"/>
  <c r="F35" i="30" s="1"/>
  <c r="R5" i="36"/>
  <c r="H14" i="27"/>
  <c r="C14" i="27" s="1"/>
  <c r="R7" i="36"/>
  <c r="H20" i="27"/>
  <c r="C20" i="27" s="1"/>
  <c r="R13" i="36"/>
  <c r="H21" i="27"/>
  <c r="C21" i="27" s="1"/>
  <c r="F21" i="27" s="1"/>
  <c r="C45" i="27" s="1"/>
  <c r="O16" i="30" s="1"/>
  <c r="O35" i="30" s="1"/>
  <c r="R14" i="36"/>
  <c r="H15" i="27"/>
  <c r="C15" i="27" s="1"/>
  <c r="F15" i="27" s="1"/>
  <c r="C39" i="27" s="1"/>
  <c r="I16" i="30" s="1"/>
  <c r="I35" i="30" s="1"/>
  <c r="R8" i="36"/>
  <c r="F37" i="29"/>
  <c r="F48" i="29"/>
  <c r="E36" i="29"/>
  <c r="F17" i="31" s="1"/>
  <c r="F38" i="31" s="1"/>
  <c r="D47" i="29"/>
  <c r="D49" i="29"/>
  <c r="F49" i="29"/>
  <c r="F46" i="29"/>
  <c r="D46" i="29"/>
  <c r="E48" i="29"/>
  <c r="R17" i="31" s="1"/>
  <c r="R38" i="31" s="1"/>
  <c r="E46" i="29"/>
  <c r="P17" i="31" s="1"/>
  <c r="P38" i="31" s="1"/>
  <c r="F47" i="29"/>
  <c r="E49" i="29"/>
  <c r="S17" i="31" s="1"/>
  <c r="S38" i="31" s="1"/>
  <c r="D48" i="29"/>
  <c r="E47" i="29"/>
  <c r="Q17" i="31" s="1"/>
  <c r="Q38" i="31" s="1"/>
  <c r="F17" i="27"/>
  <c r="C41" i="27" s="1"/>
  <c r="K16" i="30" s="1"/>
  <c r="K35" i="30" s="1"/>
  <c r="F20" i="27"/>
  <c r="C44" i="27" s="1"/>
  <c r="N16" i="30" s="1"/>
  <c r="N35" i="30" s="1"/>
  <c r="E40" i="29"/>
  <c r="J17" i="31" s="1"/>
  <c r="J38" i="31" s="1"/>
  <c r="F38" i="29"/>
  <c r="D39" i="29"/>
  <c r="D38" i="29"/>
  <c r="E45" i="29"/>
  <c r="O17" i="31" s="1"/>
  <c r="O38" i="31" s="1"/>
  <c r="F43" i="29"/>
  <c r="E35" i="29"/>
  <c r="E17" i="31" s="1"/>
  <c r="E38" i="31" s="1"/>
  <c r="F35" i="29"/>
  <c r="D45" i="29"/>
  <c r="F40" i="29"/>
  <c r="D44" i="29"/>
  <c r="D36" i="29"/>
  <c r="D42" i="29"/>
  <c r="F41" i="29"/>
  <c r="F36" i="29"/>
  <c r="D41" i="29"/>
  <c r="E39" i="29"/>
  <c r="I17" i="31" s="1"/>
  <c r="I38" i="31" s="1"/>
  <c r="E38" i="29"/>
  <c r="H17" i="31" s="1"/>
  <c r="H38" i="31" s="1"/>
  <c r="D43" i="29"/>
  <c r="E42" i="29"/>
  <c r="L17" i="31" s="1"/>
  <c r="L38" i="31" s="1"/>
  <c r="F39" i="29"/>
  <c r="E44" i="29"/>
  <c r="N17" i="31" s="1"/>
  <c r="N38" i="31" s="1"/>
  <c r="F45" i="29"/>
  <c r="E43" i="29"/>
  <c r="M17" i="31" s="1"/>
  <c r="M38" i="31" s="1"/>
  <c r="D40" i="29"/>
  <c r="F42" i="29"/>
  <c r="E41" i="29"/>
  <c r="K17" i="31" s="1"/>
  <c r="K38" i="31" s="1"/>
  <c r="F44" i="29"/>
  <c r="D35" i="29"/>
  <c r="F16" i="27"/>
  <c r="C40" i="27" s="1"/>
  <c r="J16" i="30" s="1"/>
  <c r="J35" i="30" s="1"/>
  <c r="F14" i="27"/>
  <c r="C38" i="27" s="1"/>
  <c r="H16" i="30" s="1"/>
  <c r="H35" i="30" s="1"/>
  <c r="F18" i="27"/>
  <c r="C42" i="27" s="1"/>
  <c r="L16" i="30" s="1"/>
  <c r="L35" i="30" s="1"/>
  <c r="D32" i="27"/>
  <c r="F32" i="27"/>
  <c r="E32" i="27"/>
  <c r="F33" i="27"/>
  <c r="E33" i="27"/>
  <c r="D33" i="27"/>
  <c r="F34" i="27"/>
  <c r="D34" i="27"/>
  <c r="E34" i="27"/>
  <c r="F31" i="27"/>
  <c r="E31" i="27"/>
  <c r="D31" i="27"/>
  <c r="E21" i="25"/>
  <c r="E20" i="25"/>
  <c r="E19" i="25"/>
  <c r="E18" i="25"/>
  <c r="E17" i="25"/>
  <c r="E16" i="25"/>
  <c r="E15" i="25"/>
  <c r="E14" i="25"/>
  <c r="E13" i="25"/>
  <c r="E12" i="25"/>
  <c r="E11" i="25"/>
  <c r="E10" i="25"/>
  <c r="C10" i="25"/>
  <c r="E9" i="25"/>
  <c r="C9" i="25"/>
  <c r="E8" i="25"/>
  <c r="C8" i="25"/>
  <c r="F8" i="25" s="1"/>
  <c r="C32" i="25" s="1"/>
  <c r="E7" i="25"/>
  <c r="C7" i="25"/>
  <c r="E6" i="25"/>
  <c r="C6" i="25"/>
  <c r="E5" i="25"/>
  <c r="C5" i="25"/>
  <c r="C4" i="25"/>
  <c r="F4" i="25" s="1"/>
  <c r="C28" i="25" s="1"/>
  <c r="V14" i="24"/>
  <c r="V13" i="24"/>
  <c r="V12" i="24"/>
  <c r="V11" i="24"/>
  <c r="V10" i="24"/>
  <c r="V9" i="24"/>
  <c r="V8" i="24"/>
  <c r="V7" i="24"/>
  <c r="V6" i="24"/>
  <c r="V5" i="24"/>
  <c r="V4" i="24"/>
  <c r="V3" i="24"/>
  <c r="H16" i="25" l="1"/>
  <c r="C16" i="25" s="1"/>
  <c r="Q9" i="36"/>
  <c r="H17" i="25"/>
  <c r="C17" i="25" s="1"/>
  <c r="F17" i="25" s="1"/>
  <c r="C41" i="25" s="1"/>
  <c r="K15" i="30" s="1"/>
  <c r="K34" i="30" s="1"/>
  <c r="Q10" i="36"/>
  <c r="H13" i="25"/>
  <c r="C13" i="25" s="1"/>
  <c r="F13" i="25" s="1"/>
  <c r="C37" i="25" s="1"/>
  <c r="G15" i="30" s="1"/>
  <c r="G34" i="30" s="1"/>
  <c r="Q6" i="36"/>
  <c r="H18" i="25"/>
  <c r="C18" i="25" s="1"/>
  <c r="Q11" i="36"/>
  <c r="Q15" i="36"/>
  <c r="H22" i="25"/>
  <c r="C22" i="25" s="1"/>
  <c r="F22" i="25" s="1"/>
  <c r="C46" i="25" s="1"/>
  <c r="P15" i="30" s="1"/>
  <c r="P34" i="30" s="1"/>
  <c r="H20" i="25"/>
  <c r="C20" i="25" s="1"/>
  <c r="F20" i="25" s="1"/>
  <c r="C44" i="25" s="1"/>
  <c r="N15" i="30" s="1"/>
  <c r="N34" i="30" s="1"/>
  <c r="Q13" i="36"/>
  <c r="E37" i="27"/>
  <c r="G16" i="31" s="1"/>
  <c r="G37" i="31" s="1"/>
  <c r="H19" i="25"/>
  <c r="C19" i="25" s="1"/>
  <c r="F19" i="25" s="1"/>
  <c r="C43" i="25" s="1"/>
  <c r="M15" i="30" s="1"/>
  <c r="M34" i="30" s="1"/>
  <c r="Q12" i="36"/>
  <c r="H21" i="25"/>
  <c r="C21" i="25" s="1"/>
  <c r="F21" i="25" s="1"/>
  <c r="C45" i="25" s="1"/>
  <c r="O15" i="30" s="1"/>
  <c r="O34" i="30" s="1"/>
  <c r="Q14" i="36"/>
  <c r="D37" i="27"/>
  <c r="F37" i="27"/>
  <c r="H11" i="25"/>
  <c r="C11" i="25" s="1"/>
  <c r="C26" i="25" s="1"/>
  <c r="Q4" i="36"/>
  <c r="H12" i="25"/>
  <c r="C12" i="25" s="1"/>
  <c r="Q5" i="36"/>
  <c r="R19" i="36"/>
  <c r="H15" i="25"/>
  <c r="C15" i="25" s="1"/>
  <c r="Q8" i="36"/>
  <c r="F11" i="27"/>
  <c r="C35" i="27" s="1"/>
  <c r="E49" i="27" s="1"/>
  <c r="S16" i="31" s="1"/>
  <c r="S37" i="31" s="1"/>
  <c r="H14" i="25"/>
  <c r="C14" i="25" s="1"/>
  <c r="F14" i="25" s="1"/>
  <c r="C38" i="25" s="1"/>
  <c r="H15" i="30" s="1"/>
  <c r="H34" i="30" s="1"/>
  <c r="Q7" i="36"/>
  <c r="F6" i="25"/>
  <c r="C30" i="25" s="1"/>
  <c r="E35" i="27"/>
  <c r="E16" i="31" s="1"/>
  <c r="E37" i="31" s="1"/>
  <c r="D47" i="27"/>
  <c r="F47" i="27"/>
  <c r="F5" i="25"/>
  <c r="C29" i="25" s="1"/>
  <c r="F32" i="25" s="1"/>
  <c r="E40" i="27"/>
  <c r="J16" i="31" s="1"/>
  <c r="J37" i="31" s="1"/>
  <c r="E36" i="27"/>
  <c r="F16" i="31" s="1"/>
  <c r="F37" i="31" s="1"/>
  <c r="F41" i="27"/>
  <c r="F7" i="25"/>
  <c r="C31" i="25" s="1"/>
  <c r="F31" i="25" s="1"/>
  <c r="F36" i="27"/>
  <c r="D45" i="27"/>
  <c r="E44" i="27"/>
  <c r="N16" i="31" s="1"/>
  <c r="N37" i="31" s="1"/>
  <c r="F43" i="27"/>
  <c r="F42" i="27"/>
  <c r="D36" i="27"/>
  <c r="F9" i="25"/>
  <c r="C33" i="25" s="1"/>
  <c r="F11" i="25"/>
  <c r="C35" i="25" s="1"/>
  <c r="E15" i="30" s="1"/>
  <c r="E34" i="30" s="1"/>
  <c r="F15" i="25"/>
  <c r="C39" i="25" s="1"/>
  <c r="I15" i="30" s="1"/>
  <c r="I34" i="30" s="1"/>
  <c r="F10" i="25"/>
  <c r="C34" i="25" s="1"/>
  <c r="F37" i="25" s="1"/>
  <c r="F18" i="25"/>
  <c r="C42" i="25" s="1"/>
  <c r="L15" i="30" s="1"/>
  <c r="L34" i="30" s="1"/>
  <c r="F16" i="25"/>
  <c r="C40" i="25" s="1"/>
  <c r="J15" i="30" s="1"/>
  <c r="J34" i="30" s="1"/>
  <c r="F12" i="25"/>
  <c r="C36" i="25" s="1"/>
  <c r="D31" i="25"/>
  <c r="E21" i="23"/>
  <c r="E20" i="23"/>
  <c r="E19" i="23"/>
  <c r="E18" i="23"/>
  <c r="E17" i="23"/>
  <c r="E16" i="23"/>
  <c r="E15" i="23"/>
  <c r="E14" i="23"/>
  <c r="E13" i="23"/>
  <c r="E12" i="23"/>
  <c r="E11" i="23"/>
  <c r="E10" i="23"/>
  <c r="F10" i="23" s="1"/>
  <c r="C34" i="23" s="1"/>
  <c r="E9" i="23"/>
  <c r="F9" i="23" s="1"/>
  <c r="C33" i="23" s="1"/>
  <c r="E8" i="23"/>
  <c r="F8" i="23" s="1"/>
  <c r="C32" i="23" s="1"/>
  <c r="E7" i="23"/>
  <c r="F7" i="23" s="1"/>
  <c r="C31" i="23" s="1"/>
  <c r="E6" i="23"/>
  <c r="F6" i="23" s="1"/>
  <c r="C30" i="23" s="1"/>
  <c r="E5" i="23"/>
  <c r="F5" i="23" s="1"/>
  <c r="C29" i="23" s="1"/>
  <c r="F4" i="23"/>
  <c r="C28" i="23" s="1"/>
  <c r="V13" i="22"/>
  <c r="V12" i="22"/>
  <c r="V11" i="22"/>
  <c r="V10" i="22"/>
  <c r="V9" i="22"/>
  <c r="V8" i="22"/>
  <c r="V7" i="22"/>
  <c r="V6" i="22"/>
  <c r="V5" i="22"/>
  <c r="V4" i="22"/>
  <c r="V3" i="22"/>
  <c r="H16" i="23" l="1"/>
  <c r="C16" i="23" s="1"/>
  <c r="P9" i="36"/>
  <c r="H17" i="23"/>
  <c r="C17" i="23" s="1"/>
  <c r="P10" i="36"/>
  <c r="H20" i="23"/>
  <c r="C20" i="23" s="1"/>
  <c r="P13" i="36"/>
  <c r="F49" i="27"/>
  <c r="E45" i="27"/>
  <c r="O16" i="31" s="1"/>
  <c r="O37" i="31" s="1"/>
  <c r="D44" i="27"/>
  <c r="H21" i="23"/>
  <c r="C21" i="23" s="1"/>
  <c r="P14" i="36"/>
  <c r="D38" i="27"/>
  <c r="E46" i="27"/>
  <c r="P16" i="31" s="1"/>
  <c r="P37" i="31" s="1"/>
  <c r="F48" i="27"/>
  <c r="D49" i="27"/>
  <c r="D41" i="27"/>
  <c r="Q19" i="36"/>
  <c r="H18" i="23"/>
  <c r="C18" i="23" s="1"/>
  <c r="P11" i="36"/>
  <c r="F46" i="27"/>
  <c r="D48" i="27"/>
  <c r="E16" i="30"/>
  <c r="E35" i="30" s="1"/>
  <c r="D35" i="27"/>
  <c r="E47" i="27"/>
  <c r="Q16" i="31" s="1"/>
  <c r="Q37" i="31" s="1"/>
  <c r="E39" i="27"/>
  <c r="I16" i="31" s="1"/>
  <c r="I37" i="31" s="1"/>
  <c r="D42" i="27"/>
  <c r="E38" i="27"/>
  <c r="H16" i="31" s="1"/>
  <c r="H37" i="31" s="1"/>
  <c r="H14" i="23"/>
  <c r="C14" i="23" s="1"/>
  <c r="C26" i="23" s="1"/>
  <c r="P7" i="36"/>
  <c r="H19" i="23"/>
  <c r="C19" i="23" s="1"/>
  <c r="F19" i="23" s="1"/>
  <c r="C43" i="23" s="1"/>
  <c r="M14" i="30" s="1"/>
  <c r="M33" i="30" s="1"/>
  <c r="P12" i="36"/>
  <c r="D40" i="27"/>
  <c r="F38" i="27"/>
  <c r="H11" i="23"/>
  <c r="C11" i="23" s="1"/>
  <c r="P4" i="36"/>
  <c r="H12" i="23"/>
  <c r="C12" i="23" s="1"/>
  <c r="P5" i="36"/>
  <c r="F45" i="27"/>
  <c r="D43" i="27"/>
  <c r="F35" i="27"/>
  <c r="H15" i="23"/>
  <c r="C15" i="23" s="1"/>
  <c r="P8" i="36"/>
  <c r="F40" i="27"/>
  <c r="E42" i="27"/>
  <c r="L16" i="31" s="1"/>
  <c r="L37" i="31" s="1"/>
  <c r="E41" i="27"/>
  <c r="K16" i="31" s="1"/>
  <c r="K37" i="31" s="1"/>
  <c r="E43" i="27"/>
  <c r="M16" i="31" s="1"/>
  <c r="M37" i="31" s="1"/>
  <c r="F44" i="27"/>
  <c r="E48" i="27"/>
  <c r="R16" i="31" s="1"/>
  <c r="R37" i="31" s="1"/>
  <c r="H13" i="23"/>
  <c r="C13" i="23" s="1"/>
  <c r="P6" i="36"/>
  <c r="D39" i="27"/>
  <c r="F39" i="27"/>
  <c r="D46" i="27"/>
  <c r="E49" i="25"/>
  <c r="E33" i="25"/>
  <c r="F49" i="25"/>
  <c r="E32" i="25"/>
  <c r="F33" i="25"/>
  <c r="D32" i="25"/>
  <c r="E31" i="25"/>
  <c r="E47" i="25"/>
  <c r="D35" i="25"/>
  <c r="E15" i="31" s="1"/>
  <c r="E36" i="31" s="1"/>
  <c r="D47" i="25"/>
  <c r="Q15" i="31" s="1"/>
  <c r="Q36" i="31" s="1"/>
  <c r="F47" i="25"/>
  <c r="E46" i="25"/>
  <c r="F46" i="25"/>
  <c r="D46" i="25"/>
  <c r="P15" i="31" s="1"/>
  <c r="P36" i="31" s="1"/>
  <c r="D49" i="25"/>
  <c r="S15" i="31" s="1"/>
  <c r="S36" i="31" s="1"/>
  <c r="F34" i="25"/>
  <c r="E48" i="25"/>
  <c r="D48" i="25"/>
  <c r="R15" i="31" s="1"/>
  <c r="R36" i="31" s="1"/>
  <c r="F48" i="25"/>
  <c r="D33" i="25"/>
  <c r="F13" i="23"/>
  <c r="C37" i="23" s="1"/>
  <c r="G14" i="30" s="1"/>
  <c r="G33" i="30" s="1"/>
  <c r="F20" i="23"/>
  <c r="C44" i="23" s="1"/>
  <c r="N14" i="30" s="1"/>
  <c r="N33" i="30" s="1"/>
  <c r="F16" i="23"/>
  <c r="C40" i="23" s="1"/>
  <c r="J14" i="30" s="1"/>
  <c r="J33" i="30" s="1"/>
  <c r="F35" i="25"/>
  <c r="E44" i="25"/>
  <c r="D43" i="25"/>
  <c r="M15" i="31" s="1"/>
  <c r="M36" i="31" s="1"/>
  <c r="F36" i="25"/>
  <c r="F15" i="30"/>
  <c r="F34" i="30" s="1"/>
  <c r="F17" i="23"/>
  <c r="C41" i="23" s="1"/>
  <c r="K14" i="30" s="1"/>
  <c r="K33" i="30" s="1"/>
  <c r="F41" i="25"/>
  <c r="F35" i="23"/>
  <c r="D39" i="25"/>
  <c r="I15" i="31" s="1"/>
  <c r="I36" i="31" s="1"/>
  <c r="D37" i="25"/>
  <c r="G15" i="31" s="1"/>
  <c r="G36" i="31" s="1"/>
  <c r="D34" i="25"/>
  <c r="F38" i="25"/>
  <c r="E37" i="25"/>
  <c r="E34" i="25"/>
  <c r="E38" i="25"/>
  <c r="E35" i="25"/>
  <c r="F21" i="23"/>
  <c r="C45" i="23" s="1"/>
  <c r="O14" i="30" s="1"/>
  <c r="O33" i="30" s="1"/>
  <c r="F15" i="23"/>
  <c r="C39" i="23" s="1"/>
  <c r="I14" i="30" s="1"/>
  <c r="I33" i="30" s="1"/>
  <c r="F14" i="23"/>
  <c r="C38" i="23" s="1"/>
  <c r="H14" i="30" s="1"/>
  <c r="H33" i="30" s="1"/>
  <c r="F18" i="23"/>
  <c r="C42" i="23" s="1"/>
  <c r="L14" i="30" s="1"/>
  <c r="L33" i="30" s="1"/>
  <c r="F12" i="23"/>
  <c r="C36" i="23" s="1"/>
  <c r="F14" i="30" s="1"/>
  <c r="F33" i="30" s="1"/>
  <c r="F11" i="23"/>
  <c r="C35" i="23" s="1"/>
  <c r="E14" i="30" s="1"/>
  <c r="E33" i="30" s="1"/>
  <c r="F40" i="25"/>
  <c r="D44" i="25"/>
  <c r="N15" i="31" s="1"/>
  <c r="N36" i="31" s="1"/>
  <c r="D38" i="25"/>
  <c r="H15" i="31" s="1"/>
  <c r="H36" i="31" s="1"/>
  <c r="E41" i="25"/>
  <c r="F43" i="25"/>
  <c r="E45" i="25"/>
  <c r="E36" i="25"/>
  <c r="F42" i="25"/>
  <c r="E42" i="25"/>
  <c r="D41" i="25"/>
  <c r="K15" i="31" s="1"/>
  <c r="K36" i="31" s="1"/>
  <c r="D40" i="25"/>
  <c r="J15" i="31" s="1"/>
  <c r="J36" i="31" s="1"/>
  <c r="E39" i="25"/>
  <c r="F45" i="25"/>
  <c r="E43" i="25"/>
  <c r="D36" i="25"/>
  <c r="F15" i="31" s="1"/>
  <c r="F36" i="31" s="1"/>
  <c r="E40" i="25"/>
  <c r="F39" i="25"/>
  <c r="F44" i="25"/>
  <c r="D45" i="25"/>
  <c r="O15" i="31" s="1"/>
  <c r="O36" i="31" s="1"/>
  <c r="D42" i="25"/>
  <c r="L15" i="31" s="1"/>
  <c r="L36" i="31" s="1"/>
  <c r="F31" i="23"/>
  <c r="E31" i="23"/>
  <c r="D31" i="23"/>
  <c r="F34" i="23"/>
  <c r="D34" i="23"/>
  <c r="E34" i="23"/>
  <c r="F32" i="23"/>
  <c r="D32" i="23"/>
  <c r="E32" i="23"/>
  <c r="F33" i="23"/>
  <c r="E33" i="23"/>
  <c r="D33" i="23"/>
  <c r="E21" i="21"/>
  <c r="E20" i="21"/>
  <c r="E19" i="21"/>
  <c r="E18" i="21"/>
  <c r="E17" i="21"/>
  <c r="E16" i="21"/>
  <c r="E15" i="21"/>
  <c r="E14" i="21"/>
  <c r="E13" i="21"/>
  <c r="E12" i="21"/>
  <c r="E11" i="21"/>
  <c r="E10" i="21"/>
  <c r="F10" i="21" s="1"/>
  <c r="C34" i="21" s="1"/>
  <c r="E9" i="21"/>
  <c r="F9" i="21" s="1"/>
  <c r="C33" i="21" s="1"/>
  <c r="E8" i="21"/>
  <c r="F8" i="21" s="1"/>
  <c r="C32" i="21" s="1"/>
  <c r="E7" i="21"/>
  <c r="F7" i="21" s="1"/>
  <c r="C31" i="21" s="1"/>
  <c r="E6" i="21"/>
  <c r="F6" i="21" s="1"/>
  <c r="C30" i="21" s="1"/>
  <c r="E5" i="21"/>
  <c r="F5" i="21" s="1"/>
  <c r="C29" i="21" s="1"/>
  <c r="F4" i="21"/>
  <c r="C28" i="21" s="1"/>
  <c r="H21" i="21"/>
  <c r="C21" i="21" s="1"/>
  <c r="V12" i="20"/>
  <c r="V11" i="20"/>
  <c r="V10" i="20"/>
  <c r="V9" i="20"/>
  <c r="V8" i="20"/>
  <c r="V7" i="20"/>
  <c r="V6" i="20"/>
  <c r="V5" i="20"/>
  <c r="V4" i="20"/>
  <c r="V3" i="20"/>
  <c r="H14" i="21" l="1"/>
  <c r="C14" i="21" s="1"/>
  <c r="O7" i="36"/>
  <c r="H15" i="21"/>
  <c r="C15" i="21" s="1"/>
  <c r="O8" i="36"/>
  <c r="H19" i="21"/>
  <c r="C19" i="21" s="1"/>
  <c r="O12" i="36"/>
  <c r="H17" i="21"/>
  <c r="C17" i="21" s="1"/>
  <c r="O10" i="36"/>
  <c r="H16" i="21"/>
  <c r="C16" i="21" s="1"/>
  <c r="F16" i="21" s="1"/>
  <c r="C40" i="21" s="1"/>
  <c r="J13" i="30" s="1"/>
  <c r="J32" i="30" s="1"/>
  <c r="O9" i="36"/>
  <c r="H20" i="21"/>
  <c r="C20" i="21" s="1"/>
  <c r="F20" i="21" s="1"/>
  <c r="C44" i="21" s="1"/>
  <c r="N13" i="30" s="1"/>
  <c r="N32" i="30" s="1"/>
  <c r="O13" i="36"/>
  <c r="P19" i="36"/>
  <c r="H18" i="21"/>
  <c r="C18" i="21" s="1"/>
  <c r="F18" i="21" s="1"/>
  <c r="C42" i="21" s="1"/>
  <c r="L13" i="30" s="1"/>
  <c r="L32" i="30" s="1"/>
  <c r="O11" i="36"/>
  <c r="H11" i="21"/>
  <c r="C11" i="21" s="1"/>
  <c r="C26" i="21" s="1"/>
  <c r="O4" i="36"/>
  <c r="H13" i="21"/>
  <c r="C13" i="21" s="1"/>
  <c r="O6" i="36"/>
  <c r="H12" i="21"/>
  <c r="C12" i="21" s="1"/>
  <c r="O5" i="36"/>
  <c r="F37" i="23"/>
  <c r="F46" i="23"/>
  <c r="D37" i="23"/>
  <c r="E37" i="23"/>
  <c r="G14" i="31" s="1"/>
  <c r="G35" i="31" s="1"/>
  <c r="E49" i="23"/>
  <c r="S14" i="31" s="1"/>
  <c r="S35" i="31" s="1"/>
  <c r="E47" i="23"/>
  <c r="Q14" i="31" s="1"/>
  <c r="Q35" i="31" s="1"/>
  <c r="F49" i="23"/>
  <c r="F47" i="23"/>
  <c r="D48" i="23"/>
  <c r="F48" i="23"/>
  <c r="D47" i="23"/>
  <c r="D49" i="23"/>
  <c r="E46" i="23"/>
  <c r="P14" i="31" s="1"/>
  <c r="P35" i="31" s="1"/>
  <c r="E48" i="23"/>
  <c r="R14" i="31" s="1"/>
  <c r="R35" i="31" s="1"/>
  <c r="D46" i="23"/>
  <c r="F31" i="21"/>
  <c r="F12" i="21"/>
  <c r="C36" i="21" s="1"/>
  <c r="F13" i="30" s="1"/>
  <c r="F32" i="30" s="1"/>
  <c r="E36" i="23"/>
  <c r="F14" i="31" s="1"/>
  <c r="F35" i="31" s="1"/>
  <c r="D36" i="23"/>
  <c r="E42" i="23"/>
  <c r="L14" i="31" s="1"/>
  <c r="L35" i="31" s="1"/>
  <c r="E45" i="23"/>
  <c r="O14" i="31" s="1"/>
  <c r="O35" i="31" s="1"/>
  <c r="F42" i="23"/>
  <c r="F36" i="23"/>
  <c r="F45" i="23"/>
  <c r="F38" i="23"/>
  <c r="E34" i="21"/>
  <c r="D41" i="23"/>
  <c r="E38" i="23"/>
  <c r="H14" i="31" s="1"/>
  <c r="H35" i="31" s="1"/>
  <c r="E41" i="23"/>
  <c r="K14" i="31" s="1"/>
  <c r="K35" i="31" s="1"/>
  <c r="D45" i="23"/>
  <c r="D42" i="23"/>
  <c r="D43" i="23"/>
  <c r="D39" i="23"/>
  <c r="D35" i="23"/>
  <c r="E44" i="23"/>
  <c r="N14" i="31" s="1"/>
  <c r="N35" i="31" s="1"/>
  <c r="E40" i="23"/>
  <c r="J14" i="31" s="1"/>
  <c r="J35" i="31" s="1"/>
  <c r="D38" i="23"/>
  <c r="F43" i="23"/>
  <c r="F40" i="23"/>
  <c r="F41" i="23"/>
  <c r="E43" i="23"/>
  <c r="M14" i="31" s="1"/>
  <c r="M35" i="31" s="1"/>
  <c r="E39" i="23"/>
  <c r="I14" i="31" s="1"/>
  <c r="I35" i="31" s="1"/>
  <c r="E35" i="23"/>
  <c r="E14" i="31" s="1"/>
  <c r="E35" i="31" s="1"/>
  <c r="D44" i="23"/>
  <c r="D40" i="23"/>
  <c r="F39" i="23"/>
  <c r="F44" i="23"/>
  <c r="D31" i="21"/>
  <c r="F15" i="21"/>
  <c r="C39" i="21" s="1"/>
  <c r="I13" i="30" s="1"/>
  <c r="I32" i="30" s="1"/>
  <c r="F21" i="21"/>
  <c r="C45" i="21" s="1"/>
  <c r="O13" i="30" s="1"/>
  <c r="O32" i="30" s="1"/>
  <c r="F17" i="21"/>
  <c r="C41" i="21" s="1"/>
  <c r="K13" i="30" s="1"/>
  <c r="K32" i="30" s="1"/>
  <c r="F13" i="21"/>
  <c r="C37" i="21" s="1"/>
  <c r="G13" i="30" s="1"/>
  <c r="G32" i="30" s="1"/>
  <c r="F19" i="21"/>
  <c r="C43" i="21" s="1"/>
  <c r="M13" i="30" s="1"/>
  <c r="M32" i="30" s="1"/>
  <c r="E32" i="21"/>
  <c r="F33" i="21"/>
  <c r="D33" i="21"/>
  <c r="F34" i="21"/>
  <c r="E31" i="21"/>
  <c r="E33" i="21"/>
  <c r="F32" i="21"/>
  <c r="F14" i="21"/>
  <c r="C38" i="21" s="1"/>
  <c r="H13" i="30" s="1"/>
  <c r="H32" i="30" s="1"/>
  <c r="D32" i="21"/>
  <c r="D34" i="21"/>
  <c r="V14" i="19"/>
  <c r="V13" i="19"/>
  <c r="V12" i="19"/>
  <c r="V11" i="19"/>
  <c r="V10" i="19"/>
  <c r="V9" i="19"/>
  <c r="V8" i="19"/>
  <c r="V7" i="19"/>
  <c r="V6" i="19"/>
  <c r="V5" i="19"/>
  <c r="V4" i="19"/>
  <c r="V3" i="19"/>
  <c r="H16" i="32" l="1"/>
  <c r="C16" i="32" s="1"/>
  <c r="F16" i="32" s="1"/>
  <c r="C40" i="32" s="1"/>
  <c r="J12" i="30" s="1"/>
  <c r="J31" i="30" s="1"/>
  <c r="N9" i="36"/>
  <c r="H17" i="32"/>
  <c r="C17" i="32" s="1"/>
  <c r="F17" i="32" s="1"/>
  <c r="C41" i="32" s="1"/>
  <c r="K12" i="30" s="1"/>
  <c r="K31" i="30" s="1"/>
  <c r="N10" i="36"/>
  <c r="H18" i="32"/>
  <c r="N11" i="36"/>
  <c r="H19" i="32"/>
  <c r="C19" i="32" s="1"/>
  <c r="F19" i="32" s="1"/>
  <c r="C43" i="32" s="1"/>
  <c r="M12" i="30" s="1"/>
  <c r="M31" i="30" s="1"/>
  <c r="N12" i="36"/>
  <c r="F11" i="21"/>
  <c r="C35" i="21" s="1"/>
  <c r="E13" i="30" s="1"/>
  <c r="E32" i="30" s="1"/>
  <c r="H20" i="32"/>
  <c r="C20" i="32" s="1"/>
  <c r="F20" i="32" s="1"/>
  <c r="C44" i="32" s="1"/>
  <c r="N12" i="30" s="1"/>
  <c r="N31" i="30" s="1"/>
  <c r="N13" i="36"/>
  <c r="H11" i="32"/>
  <c r="C11" i="32" s="1"/>
  <c r="N4" i="36"/>
  <c r="H22" i="32"/>
  <c r="C22" i="32" s="1"/>
  <c r="F22" i="32" s="1"/>
  <c r="C46" i="32" s="1"/>
  <c r="P12" i="30" s="1"/>
  <c r="P31" i="30" s="1"/>
  <c r="N15" i="36"/>
  <c r="H21" i="32"/>
  <c r="C21" i="32" s="1"/>
  <c r="F21" i="32" s="1"/>
  <c r="C45" i="32" s="1"/>
  <c r="O12" i="30" s="1"/>
  <c r="O31" i="30" s="1"/>
  <c r="N14" i="36"/>
  <c r="H12" i="32"/>
  <c r="C12" i="32" s="1"/>
  <c r="F12" i="32" s="1"/>
  <c r="C36" i="32" s="1"/>
  <c r="F12" i="30" s="1"/>
  <c r="F31" i="30" s="1"/>
  <c r="N5" i="36"/>
  <c r="H13" i="32"/>
  <c r="C13" i="32" s="1"/>
  <c r="F13" i="32" s="1"/>
  <c r="C37" i="32" s="1"/>
  <c r="G12" i="30" s="1"/>
  <c r="G31" i="30" s="1"/>
  <c r="N6" i="36"/>
  <c r="H14" i="32"/>
  <c r="N7" i="36"/>
  <c r="H15" i="32"/>
  <c r="C15" i="32" s="1"/>
  <c r="F15" i="32" s="1"/>
  <c r="C39" i="32" s="1"/>
  <c r="I12" i="30" s="1"/>
  <c r="I31" i="30" s="1"/>
  <c r="N8" i="36"/>
  <c r="O19" i="36"/>
  <c r="D36" i="21"/>
  <c r="E36" i="21"/>
  <c r="F13" i="31" s="1"/>
  <c r="F34" i="31" s="1"/>
  <c r="F46" i="21"/>
  <c r="F36" i="21"/>
  <c r="F48" i="21"/>
  <c r="E48" i="21"/>
  <c r="R13" i="31" s="1"/>
  <c r="R34" i="31" s="1"/>
  <c r="D39" i="21"/>
  <c r="D37" i="21"/>
  <c r="F41" i="21"/>
  <c r="E35" i="21"/>
  <c r="E13" i="31" s="1"/>
  <c r="E34" i="31" s="1"/>
  <c r="E37" i="21"/>
  <c r="G13" i="31" s="1"/>
  <c r="G34" i="31" s="1"/>
  <c r="C14" i="32"/>
  <c r="F14" i="32" s="1"/>
  <c r="C38" i="32" s="1"/>
  <c r="H12" i="30" s="1"/>
  <c r="H31" i="30" s="1"/>
  <c r="C18" i="32"/>
  <c r="F18" i="32" s="1"/>
  <c r="C42" i="32" s="1"/>
  <c r="L12" i="30" s="1"/>
  <c r="L31" i="30" s="1"/>
  <c r="F36" i="32"/>
  <c r="D36" i="32"/>
  <c r="E36" i="32"/>
  <c r="F12" i="31" s="1"/>
  <c r="F33" i="31" s="1"/>
  <c r="E37" i="32"/>
  <c r="G12" i="31" s="1"/>
  <c r="G33" i="31" s="1"/>
  <c r="D37" i="32"/>
  <c r="F37" i="32"/>
  <c r="F40" i="21"/>
  <c r="F37" i="21"/>
  <c r="E39" i="21"/>
  <c r="I13" i="31" s="1"/>
  <c r="I34" i="31" s="1"/>
  <c r="D35" i="21"/>
  <c r="F44" i="21"/>
  <c r="F39" i="21"/>
  <c r="F35" i="21"/>
  <c r="D44" i="21"/>
  <c r="D38" i="21"/>
  <c r="F38" i="21"/>
  <c r="E38" i="21"/>
  <c r="H13" i="31" s="1"/>
  <c r="H34" i="31" s="1"/>
  <c r="D41" i="21"/>
  <c r="D42" i="21"/>
  <c r="E44" i="21"/>
  <c r="N13" i="31" s="1"/>
  <c r="N34" i="31" s="1"/>
  <c r="E21" i="18"/>
  <c r="E20" i="18"/>
  <c r="E19" i="18"/>
  <c r="E18" i="18"/>
  <c r="E17" i="18"/>
  <c r="E16" i="18"/>
  <c r="E15" i="18"/>
  <c r="E14" i="18"/>
  <c r="E13" i="18"/>
  <c r="E12" i="18"/>
  <c r="E11" i="18"/>
  <c r="E10" i="18"/>
  <c r="F10" i="18" s="1"/>
  <c r="C34" i="18" s="1"/>
  <c r="E9" i="18"/>
  <c r="F9" i="18" s="1"/>
  <c r="C33" i="18" s="1"/>
  <c r="E8" i="18"/>
  <c r="F8" i="18" s="1"/>
  <c r="C32" i="18" s="1"/>
  <c r="E7" i="18"/>
  <c r="F7" i="18" s="1"/>
  <c r="C31" i="18" s="1"/>
  <c r="E6" i="18"/>
  <c r="F6" i="18" s="1"/>
  <c r="C30" i="18" s="1"/>
  <c r="E5" i="18"/>
  <c r="F5" i="18" s="1"/>
  <c r="C29" i="18" s="1"/>
  <c r="F4" i="18"/>
  <c r="C28" i="18" s="1"/>
  <c r="V13" i="17"/>
  <c r="V12" i="17"/>
  <c r="V11" i="17"/>
  <c r="V10" i="17"/>
  <c r="V9" i="17"/>
  <c r="V8" i="17"/>
  <c r="V7" i="17"/>
  <c r="V6" i="17"/>
  <c r="V5" i="17"/>
  <c r="V4" i="17"/>
  <c r="V3" i="17"/>
  <c r="N19" i="36" l="1"/>
  <c r="H15" i="18"/>
  <c r="C15" i="18" s="1"/>
  <c r="F15" i="18" s="1"/>
  <c r="C39" i="18" s="1"/>
  <c r="I11" i="30" s="1"/>
  <c r="I30" i="30" s="1"/>
  <c r="M8" i="36"/>
  <c r="H18" i="18"/>
  <c r="C18" i="18" s="1"/>
  <c r="M11" i="36"/>
  <c r="D45" i="21"/>
  <c r="D49" i="21"/>
  <c r="H11" i="18"/>
  <c r="C11" i="18" s="1"/>
  <c r="C26" i="18" s="1"/>
  <c r="M4" i="36"/>
  <c r="H13" i="18"/>
  <c r="C13" i="18" s="1"/>
  <c r="F13" i="18" s="1"/>
  <c r="C37" i="18" s="1"/>
  <c r="G11" i="30" s="1"/>
  <c r="G30" i="30" s="1"/>
  <c r="M6" i="36"/>
  <c r="H17" i="18"/>
  <c r="C17" i="18" s="1"/>
  <c r="M10" i="36"/>
  <c r="F45" i="21"/>
  <c r="D47" i="21"/>
  <c r="F42" i="21"/>
  <c r="E42" i="21"/>
  <c r="L13" i="31" s="1"/>
  <c r="L34" i="31" s="1"/>
  <c r="D46" i="21"/>
  <c r="E43" i="21"/>
  <c r="M13" i="31" s="1"/>
  <c r="M34" i="31" s="1"/>
  <c r="H12" i="18"/>
  <c r="C12" i="18" s="1"/>
  <c r="M5" i="36"/>
  <c r="H14" i="18"/>
  <c r="C14" i="18" s="1"/>
  <c r="M7" i="36"/>
  <c r="E46" i="21"/>
  <c r="P13" i="31" s="1"/>
  <c r="P34" i="31" s="1"/>
  <c r="H19" i="18"/>
  <c r="C19" i="18" s="1"/>
  <c r="F19" i="18" s="1"/>
  <c r="C43" i="18" s="1"/>
  <c r="M11" i="30" s="1"/>
  <c r="M30" i="30" s="1"/>
  <c r="M12" i="36"/>
  <c r="F47" i="21"/>
  <c r="H16" i="18"/>
  <c r="C16" i="18" s="1"/>
  <c r="F16" i="18" s="1"/>
  <c r="C40" i="18" s="1"/>
  <c r="J11" i="30" s="1"/>
  <c r="J30" i="30" s="1"/>
  <c r="M9" i="36"/>
  <c r="E45" i="21"/>
  <c r="O13" i="31" s="1"/>
  <c r="O34" i="31" s="1"/>
  <c r="H21" i="18"/>
  <c r="C21" i="18" s="1"/>
  <c r="F21" i="18" s="1"/>
  <c r="C45" i="18" s="1"/>
  <c r="O11" i="30" s="1"/>
  <c r="O30" i="30" s="1"/>
  <c r="M14" i="36"/>
  <c r="E49" i="21"/>
  <c r="S13" i="31" s="1"/>
  <c r="S34" i="31" s="1"/>
  <c r="E40" i="21"/>
  <c r="J13" i="31" s="1"/>
  <c r="J34" i="31" s="1"/>
  <c r="D48" i="21"/>
  <c r="E47" i="21"/>
  <c r="Q13" i="31" s="1"/>
  <c r="Q34" i="31" s="1"/>
  <c r="H20" i="18"/>
  <c r="C20" i="18" s="1"/>
  <c r="M13" i="36"/>
  <c r="D40" i="21"/>
  <c r="E41" i="21"/>
  <c r="K13" i="31" s="1"/>
  <c r="K34" i="31" s="1"/>
  <c r="F43" i="21"/>
  <c r="D43" i="21"/>
  <c r="F49" i="21"/>
  <c r="F17" i="18"/>
  <c r="C41" i="18" s="1"/>
  <c r="K11" i="30" s="1"/>
  <c r="K30" i="30" s="1"/>
  <c r="F18" i="18"/>
  <c r="C42" i="18" s="1"/>
  <c r="L11" i="30" s="1"/>
  <c r="L30" i="30" s="1"/>
  <c r="F14" i="18"/>
  <c r="C38" i="18" s="1"/>
  <c r="H11" i="30" s="1"/>
  <c r="H30" i="30" s="1"/>
  <c r="F11" i="32"/>
  <c r="C35" i="32" s="1"/>
  <c r="D44" i="32" s="1"/>
  <c r="C26" i="32"/>
  <c r="F12" i="18"/>
  <c r="C36" i="18" s="1"/>
  <c r="F11" i="30" s="1"/>
  <c r="F30" i="30" s="1"/>
  <c r="F20" i="18"/>
  <c r="C44" i="18" s="1"/>
  <c r="N11" i="30" s="1"/>
  <c r="N30" i="30" s="1"/>
  <c r="F31" i="18"/>
  <c r="E31" i="18"/>
  <c r="D31" i="18"/>
  <c r="F34" i="18"/>
  <c r="E34" i="18"/>
  <c r="D34" i="18"/>
  <c r="F32" i="18"/>
  <c r="E32" i="18"/>
  <c r="D32" i="18"/>
  <c r="F33" i="18"/>
  <c r="E33" i="18"/>
  <c r="D33" i="18"/>
  <c r="M19" i="36" l="1"/>
  <c r="F11" i="18"/>
  <c r="C35" i="18" s="1"/>
  <c r="F44" i="32"/>
  <c r="E39" i="32"/>
  <c r="I12" i="31" s="1"/>
  <c r="I33" i="31" s="1"/>
  <c r="E41" i="32"/>
  <c r="K12" i="31" s="1"/>
  <c r="K33" i="31" s="1"/>
  <c r="D41" i="32"/>
  <c r="F45" i="32"/>
  <c r="E40" i="32"/>
  <c r="J12" i="31" s="1"/>
  <c r="J33" i="31" s="1"/>
  <c r="E45" i="32"/>
  <c r="O12" i="31" s="1"/>
  <c r="O33" i="31" s="1"/>
  <c r="F43" i="32"/>
  <c r="E38" i="32"/>
  <c r="H12" i="31" s="1"/>
  <c r="H33" i="31" s="1"/>
  <c r="D35" i="32"/>
  <c r="F35" i="32" s="1"/>
  <c r="E42" i="32"/>
  <c r="L12" i="31" s="1"/>
  <c r="L33" i="31" s="1"/>
  <c r="F48" i="18"/>
  <c r="E47" i="18"/>
  <c r="Q11" i="31" s="1"/>
  <c r="Q32" i="31" s="1"/>
  <c r="E46" i="18"/>
  <c r="P11" i="31" s="1"/>
  <c r="P32" i="31" s="1"/>
  <c r="E43" i="32"/>
  <c r="M12" i="31" s="1"/>
  <c r="M33" i="31" s="1"/>
  <c r="F39" i="32"/>
  <c r="D38" i="32"/>
  <c r="F41" i="32"/>
  <c r="F40" i="32"/>
  <c r="F38" i="32"/>
  <c r="E44" i="32"/>
  <c r="N12" i="31" s="1"/>
  <c r="N33" i="31" s="1"/>
  <c r="E12" i="30"/>
  <c r="E31" i="30" s="1"/>
  <c r="F46" i="32"/>
  <c r="D48" i="32"/>
  <c r="E46" i="32"/>
  <c r="P12" i="31" s="1"/>
  <c r="P33" i="31" s="1"/>
  <c r="E48" i="32"/>
  <c r="R12" i="31" s="1"/>
  <c r="R33" i="31" s="1"/>
  <c r="F49" i="32"/>
  <c r="D46" i="32"/>
  <c r="E47" i="32"/>
  <c r="Q12" i="31" s="1"/>
  <c r="Q33" i="31" s="1"/>
  <c r="D49" i="32"/>
  <c r="D47" i="32"/>
  <c r="F47" i="32"/>
  <c r="E49" i="32"/>
  <c r="S12" i="31" s="1"/>
  <c r="S33" i="31" s="1"/>
  <c r="F48" i="32"/>
  <c r="D42" i="32"/>
  <c r="D40" i="32"/>
  <c r="D39" i="32"/>
  <c r="D45" i="32"/>
  <c r="F42" i="32"/>
  <c r="D43" i="32"/>
  <c r="E35" i="32"/>
  <c r="E12" i="31" s="1"/>
  <c r="E33" i="31" s="1"/>
  <c r="E48" i="18"/>
  <c r="R11" i="31" s="1"/>
  <c r="R32" i="31" s="1"/>
  <c r="E49" i="18"/>
  <c r="S11" i="31" s="1"/>
  <c r="S32" i="31" s="1"/>
  <c r="D49" i="18"/>
  <c r="D47" i="18"/>
  <c r="D46" i="18"/>
  <c r="F46" i="18"/>
  <c r="F49" i="18"/>
  <c r="D48" i="18"/>
  <c r="F47" i="18"/>
  <c r="D43" i="18"/>
  <c r="D36" i="18"/>
  <c r="E36" i="18"/>
  <c r="F11" i="31" s="1"/>
  <c r="F32" i="31" s="1"/>
  <c r="F36" i="18"/>
  <c r="D45" i="18"/>
  <c r="E38" i="18"/>
  <c r="H11" i="31" s="1"/>
  <c r="H32" i="31" s="1"/>
  <c r="F38" i="18"/>
  <c r="D37" i="18"/>
  <c r="E37" i="18"/>
  <c r="G11" i="31" s="1"/>
  <c r="G32" i="31" s="1"/>
  <c r="F37" i="18"/>
  <c r="F40" i="18"/>
  <c r="E11" i="30"/>
  <c r="E30" i="30" s="1"/>
  <c r="D39" i="18"/>
  <c r="D40" i="18"/>
  <c r="D41" i="18"/>
  <c r="D42" i="18"/>
  <c r="E43" i="18"/>
  <c r="M11" i="31" s="1"/>
  <c r="M32" i="31" s="1"/>
  <c r="E39" i="18"/>
  <c r="I11" i="31" s="1"/>
  <c r="I32" i="31" s="1"/>
  <c r="E45" i="18"/>
  <c r="O11" i="31" s="1"/>
  <c r="O32" i="31" s="1"/>
  <c r="E41" i="18"/>
  <c r="K11" i="31" s="1"/>
  <c r="K32" i="31" s="1"/>
  <c r="E35" i="18"/>
  <c r="E11" i="31" s="1"/>
  <c r="E32" i="31" s="1"/>
  <c r="F45" i="18"/>
  <c r="F39" i="18"/>
  <c r="F42" i="18"/>
  <c r="E42" i="18"/>
  <c r="L11" i="31" s="1"/>
  <c r="L32" i="31" s="1"/>
  <c r="F43" i="18"/>
  <c r="F41" i="18"/>
  <c r="D38" i="18"/>
  <c r="E40" i="18"/>
  <c r="J11" i="31" s="1"/>
  <c r="J32" i="31" s="1"/>
  <c r="F35" i="18"/>
  <c r="E44" i="18"/>
  <c r="N11" i="31" s="1"/>
  <c r="N32" i="31" s="1"/>
  <c r="D35" i="18"/>
  <c r="D44" i="18"/>
  <c r="F44" i="18"/>
  <c r="E21" i="16" l="1"/>
  <c r="E20" i="16"/>
  <c r="E19" i="16"/>
  <c r="E18" i="16"/>
  <c r="E17" i="16"/>
  <c r="E16" i="16"/>
  <c r="E15" i="16"/>
  <c r="E14" i="16"/>
  <c r="E13" i="16"/>
  <c r="E12" i="16"/>
  <c r="E11" i="16"/>
  <c r="C10" i="16"/>
  <c r="E10" i="16"/>
  <c r="E9" i="16"/>
  <c r="C9" i="16"/>
  <c r="F9" i="16" s="1"/>
  <c r="C33" i="16" s="1"/>
  <c r="E8" i="16"/>
  <c r="C8" i="16"/>
  <c r="C7" i="16"/>
  <c r="E7" i="16"/>
  <c r="C6" i="16"/>
  <c r="E6" i="16"/>
  <c r="E5" i="16"/>
  <c r="C5" i="16"/>
  <c r="C4" i="16"/>
  <c r="F4" i="16" s="1"/>
  <c r="C28" i="16" s="1"/>
  <c r="V13" i="15"/>
  <c r="V12" i="15"/>
  <c r="V11" i="15"/>
  <c r="V10" i="15"/>
  <c r="V9" i="15"/>
  <c r="V8" i="15"/>
  <c r="V7" i="15"/>
  <c r="V6" i="15"/>
  <c r="V5" i="15"/>
  <c r="V4" i="15"/>
  <c r="V3" i="15"/>
  <c r="H16" i="16" l="1"/>
  <c r="C16" i="16" s="1"/>
  <c r="L9" i="36"/>
  <c r="H19" i="16"/>
  <c r="C19" i="16" s="1"/>
  <c r="L12" i="36"/>
  <c r="H14" i="16"/>
  <c r="C14" i="16" s="1"/>
  <c r="F14" i="16" s="1"/>
  <c r="C38" i="16" s="1"/>
  <c r="H10" i="30" s="1"/>
  <c r="H29" i="30" s="1"/>
  <c r="L7" i="36"/>
  <c r="H17" i="16"/>
  <c r="C17" i="16" s="1"/>
  <c r="L10" i="36"/>
  <c r="H20" i="16"/>
  <c r="C20" i="16" s="1"/>
  <c r="F20" i="16" s="1"/>
  <c r="C44" i="16" s="1"/>
  <c r="N10" i="30" s="1"/>
  <c r="N29" i="30" s="1"/>
  <c r="L13" i="36"/>
  <c r="H21" i="16"/>
  <c r="C21" i="16" s="1"/>
  <c r="L14" i="36"/>
  <c r="H15" i="16"/>
  <c r="C15" i="16" s="1"/>
  <c r="F15" i="16" s="1"/>
  <c r="C39" i="16" s="1"/>
  <c r="I10" i="30" s="1"/>
  <c r="I29" i="30" s="1"/>
  <c r="L8" i="36"/>
  <c r="H18" i="16"/>
  <c r="C18" i="16" s="1"/>
  <c r="F18" i="16" s="1"/>
  <c r="C42" i="16" s="1"/>
  <c r="L10" i="30" s="1"/>
  <c r="L29" i="30" s="1"/>
  <c r="L11" i="36"/>
  <c r="H11" i="16"/>
  <c r="C11" i="16" s="1"/>
  <c r="L4" i="36"/>
  <c r="H12" i="16"/>
  <c r="C12" i="16" s="1"/>
  <c r="F12" i="16" s="1"/>
  <c r="C36" i="16" s="1"/>
  <c r="F10" i="30" s="1"/>
  <c r="F29" i="30" s="1"/>
  <c r="L5" i="36"/>
  <c r="H13" i="16"/>
  <c r="C13" i="16" s="1"/>
  <c r="L6" i="36"/>
  <c r="F5" i="16"/>
  <c r="C29" i="16" s="1"/>
  <c r="F11" i="16"/>
  <c r="C35" i="16" s="1"/>
  <c r="E10" i="30" s="1"/>
  <c r="E29" i="30" s="1"/>
  <c r="F19" i="16"/>
  <c r="C43" i="16" s="1"/>
  <c r="M10" i="30" s="1"/>
  <c r="M29" i="30" s="1"/>
  <c r="F6" i="16"/>
  <c r="C30" i="16" s="1"/>
  <c r="E33" i="16" s="1"/>
  <c r="F10" i="16"/>
  <c r="C34" i="16" s="1"/>
  <c r="F21" i="16"/>
  <c r="C45" i="16" s="1"/>
  <c r="O10" i="30" s="1"/>
  <c r="O29" i="30" s="1"/>
  <c r="F7" i="16"/>
  <c r="C31" i="16" s="1"/>
  <c r="F17" i="16"/>
  <c r="C41" i="16" s="1"/>
  <c r="K10" i="30" s="1"/>
  <c r="K29" i="30" s="1"/>
  <c r="F13" i="16"/>
  <c r="C37" i="16" s="1"/>
  <c r="G10" i="30" s="1"/>
  <c r="G29" i="30" s="1"/>
  <c r="F8" i="16"/>
  <c r="C32" i="16" s="1"/>
  <c r="F16" i="16"/>
  <c r="C40" i="16" s="1"/>
  <c r="J10" i="30" s="1"/>
  <c r="J29" i="30" s="1"/>
  <c r="C10" i="14"/>
  <c r="C8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C9" i="14"/>
  <c r="E8" i="14"/>
  <c r="E7" i="14"/>
  <c r="F7" i="14" s="1"/>
  <c r="C31" i="14" s="1"/>
  <c r="E6" i="14"/>
  <c r="F6" i="14" s="1"/>
  <c r="C30" i="14" s="1"/>
  <c r="F5" i="14"/>
  <c r="C29" i="14" s="1"/>
  <c r="F4" i="14"/>
  <c r="C28" i="14" s="1"/>
  <c r="V14" i="13"/>
  <c r="V13" i="13"/>
  <c r="V12" i="13"/>
  <c r="V11" i="13"/>
  <c r="V10" i="13"/>
  <c r="V9" i="13"/>
  <c r="V8" i="13"/>
  <c r="V7" i="13"/>
  <c r="V6" i="13"/>
  <c r="V5" i="13"/>
  <c r="V4" i="13"/>
  <c r="V3" i="13"/>
  <c r="H22" i="14" l="1"/>
  <c r="C22" i="14" s="1"/>
  <c r="F22" i="14" s="1"/>
  <c r="C46" i="14" s="1"/>
  <c r="P9" i="30" s="1"/>
  <c r="P28" i="30" s="1"/>
  <c r="K15" i="36"/>
  <c r="C26" i="16"/>
  <c r="H19" i="14"/>
  <c r="C19" i="14" s="1"/>
  <c r="K12" i="36"/>
  <c r="H20" i="14"/>
  <c r="C20" i="14" s="1"/>
  <c r="K13" i="36"/>
  <c r="H21" i="14"/>
  <c r="C21" i="14" s="1"/>
  <c r="K14" i="36"/>
  <c r="H12" i="14"/>
  <c r="C12" i="14" s="1"/>
  <c r="F12" i="14" s="1"/>
  <c r="C36" i="14" s="1"/>
  <c r="F9" i="30" s="1"/>
  <c r="F28" i="30" s="1"/>
  <c r="K5" i="36"/>
  <c r="H14" i="14"/>
  <c r="C14" i="14" s="1"/>
  <c r="F14" i="14" s="1"/>
  <c r="C38" i="14" s="1"/>
  <c r="H9" i="30" s="1"/>
  <c r="H28" i="30" s="1"/>
  <c r="K7" i="36"/>
  <c r="H18" i="14"/>
  <c r="C18" i="14" s="1"/>
  <c r="F18" i="14" s="1"/>
  <c r="C42" i="14" s="1"/>
  <c r="L9" i="30" s="1"/>
  <c r="L28" i="30" s="1"/>
  <c r="K11" i="36"/>
  <c r="H11" i="14"/>
  <c r="C11" i="14" s="1"/>
  <c r="F11" i="14" s="1"/>
  <c r="C35" i="14" s="1"/>
  <c r="E9" i="30" s="1"/>
  <c r="E28" i="30" s="1"/>
  <c r="K4" i="36"/>
  <c r="H13" i="14"/>
  <c r="C13" i="14" s="1"/>
  <c r="K6" i="36"/>
  <c r="H15" i="14"/>
  <c r="C15" i="14" s="1"/>
  <c r="F15" i="14" s="1"/>
  <c r="C39" i="14" s="1"/>
  <c r="I9" i="30" s="1"/>
  <c r="I28" i="30" s="1"/>
  <c r="K8" i="36"/>
  <c r="L19" i="36"/>
  <c r="D33" i="16"/>
  <c r="F33" i="16"/>
  <c r="H16" i="14"/>
  <c r="C16" i="14" s="1"/>
  <c r="K9" i="36"/>
  <c r="H17" i="14"/>
  <c r="C17" i="14" s="1"/>
  <c r="K10" i="36"/>
  <c r="E46" i="16"/>
  <c r="F46" i="16"/>
  <c r="E49" i="16"/>
  <c r="D49" i="16"/>
  <c r="S10" i="31" s="1"/>
  <c r="S31" i="31" s="1"/>
  <c r="F49" i="16"/>
  <c r="E47" i="16"/>
  <c r="F47" i="16"/>
  <c r="D47" i="16"/>
  <c r="Q10" i="31" s="1"/>
  <c r="Q31" i="31" s="1"/>
  <c r="F34" i="16"/>
  <c r="D48" i="16"/>
  <c r="R10" i="31" s="1"/>
  <c r="R31" i="31" s="1"/>
  <c r="E48" i="16"/>
  <c r="F48" i="16"/>
  <c r="D46" i="16"/>
  <c r="P10" i="31" s="1"/>
  <c r="P31" i="31" s="1"/>
  <c r="F16" i="14"/>
  <c r="C40" i="14" s="1"/>
  <c r="J9" i="30" s="1"/>
  <c r="J28" i="30" s="1"/>
  <c r="F19" i="14"/>
  <c r="C43" i="14" s="1"/>
  <c r="M9" i="30" s="1"/>
  <c r="M28" i="30" s="1"/>
  <c r="D34" i="16"/>
  <c r="D35" i="16"/>
  <c r="E10" i="31" s="1"/>
  <c r="E31" i="31" s="1"/>
  <c r="E34" i="16"/>
  <c r="D38" i="16"/>
  <c r="H10" i="31" s="1"/>
  <c r="H31" i="31" s="1"/>
  <c r="E36" i="16"/>
  <c r="F20" i="14"/>
  <c r="C44" i="14" s="1"/>
  <c r="N9" i="30" s="1"/>
  <c r="N28" i="30" s="1"/>
  <c r="F8" i="14"/>
  <c r="C32" i="14" s="1"/>
  <c r="F13" i="14"/>
  <c r="C37" i="14" s="1"/>
  <c r="G9" i="30" s="1"/>
  <c r="G28" i="30" s="1"/>
  <c r="F21" i="14"/>
  <c r="C45" i="14" s="1"/>
  <c r="O9" i="30" s="1"/>
  <c r="O28" i="30" s="1"/>
  <c r="F10" i="14"/>
  <c r="C34" i="14" s="1"/>
  <c r="D34" i="14" s="1"/>
  <c r="D40" i="16"/>
  <c r="J10" i="31" s="1"/>
  <c r="J31" i="31" s="1"/>
  <c r="D45" i="16"/>
  <c r="O10" i="31" s="1"/>
  <c r="O31" i="31" s="1"/>
  <c r="D42" i="16"/>
  <c r="L10" i="31" s="1"/>
  <c r="L31" i="31" s="1"/>
  <c r="E41" i="16"/>
  <c r="D41" i="16"/>
  <c r="K10" i="31" s="1"/>
  <c r="K31" i="31" s="1"/>
  <c r="D36" i="16"/>
  <c r="F10" i="31" s="1"/>
  <c r="F31" i="31" s="1"/>
  <c r="D37" i="16"/>
  <c r="G10" i="31" s="1"/>
  <c r="G31" i="31" s="1"/>
  <c r="D43" i="16"/>
  <c r="M10" i="31" s="1"/>
  <c r="M31" i="31" s="1"/>
  <c r="D44" i="16"/>
  <c r="N10" i="31" s="1"/>
  <c r="N31" i="31" s="1"/>
  <c r="D39" i="16"/>
  <c r="I10" i="31" s="1"/>
  <c r="I31" i="31" s="1"/>
  <c r="F36" i="16"/>
  <c r="F32" i="16"/>
  <c r="F37" i="16"/>
  <c r="F45" i="16"/>
  <c r="F38" i="16"/>
  <c r="F43" i="16"/>
  <c r="F40" i="16"/>
  <c r="E44" i="16"/>
  <c r="E37" i="16"/>
  <c r="D32" i="16"/>
  <c r="F35" i="16"/>
  <c r="F42" i="16"/>
  <c r="F39" i="16"/>
  <c r="E39" i="16"/>
  <c r="E45" i="16"/>
  <c r="E32" i="16"/>
  <c r="E42" i="16"/>
  <c r="E43" i="16"/>
  <c r="E38" i="16"/>
  <c r="E40" i="16"/>
  <c r="F44" i="16"/>
  <c r="F41" i="16"/>
  <c r="E35" i="16"/>
  <c r="F17" i="14"/>
  <c r="C41" i="14" s="1"/>
  <c r="K9" i="30" s="1"/>
  <c r="K28" i="30" s="1"/>
  <c r="F9" i="14"/>
  <c r="C33" i="14" s="1"/>
  <c r="F36" i="14"/>
  <c r="E31" i="14"/>
  <c r="D31" i="14"/>
  <c r="E21" i="12"/>
  <c r="E20" i="12"/>
  <c r="E19" i="12"/>
  <c r="E18" i="12"/>
  <c r="E17" i="12"/>
  <c r="E16" i="12"/>
  <c r="E15" i="12"/>
  <c r="E14" i="12"/>
  <c r="E13" i="12"/>
  <c r="E12" i="12"/>
  <c r="E11" i="12"/>
  <c r="E10" i="12"/>
  <c r="F10" i="12" s="1"/>
  <c r="C34" i="12" s="1"/>
  <c r="E9" i="12"/>
  <c r="F9" i="12" s="1"/>
  <c r="C33" i="12" s="1"/>
  <c r="E8" i="12"/>
  <c r="F8" i="12" s="1"/>
  <c r="C32" i="12" s="1"/>
  <c r="E7" i="12"/>
  <c r="F7" i="12" s="1"/>
  <c r="C31" i="12" s="1"/>
  <c r="E6" i="12"/>
  <c r="F6" i="12" s="1"/>
  <c r="C30" i="12" s="1"/>
  <c r="E5" i="12"/>
  <c r="F5" i="12" s="1"/>
  <c r="C29" i="12" s="1"/>
  <c r="F4" i="12"/>
  <c r="C28" i="12" s="1"/>
  <c r="V14" i="11"/>
  <c r="V13" i="11"/>
  <c r="V12" i="11"/>
  <c r="V11" i="11"/>
  <c r="V10" i="11"/>
  <c r="V9" i="11"/>
  <c r="V8" i="11"/>
  <c r="V7" i="11"/>
  <c r="V6" i="11"/>
  <c r="V5" i="11"/>
  <c r="V4" i="11"/>
  <c r="V3" i="11"/>
  <c r="C26" i="14" l="1"/>
  <c r="K19" i="36"/>
  <c r="H17" i="12"/>
  <c r="C17" i="12" s="1"/>
  <c r="J10" i="36"/>
  <c r="H19" i="12"/>
  <c r="C19" i="12" s="1"/>
  <c r="J12" i="36"/>
  <c r="H14" i="12"/>
  <c r="C14" i="12" s="1"/>
  <c r="F14" i="12" s="1"/>
  <c r="C38" i="12" s="1"/>
  <c r="H8" i="30" s="1"/>
  <c r="H27" i="30" s="1"/>
  <c r="J7" i="36"/>
  <c r="H13" i="12"/>
  <c r="C13" i="12" s="1"/>
  <c r="F13" i="12" s="1"/>
  <c r="C37" i="12" s="1"/>
  <c r="G8" i="30" s="1"/>
  <c r="G27" i="30" s="1"/>
  <c r="J6" i="36"/>
  <c r="H15" i="12"/>
  <c r="C15" i="12" s="1"/>
  <c r="F15" i="12" s="1"/>
  <c r="C39" i="12" s="1"/>
  <c r="I8" i="30" s="1"/>
  <c r="I27" i="30" s="1"/>
  <c r="J8" i="36"/>
  <c r="H20" i="12"/>
  <c r="C20" i="12" s="1"/>
  <c r="F20" i="12" s="1"/>
  <c r="C44" i="12" s="1"/>
  <c r="N8" i="30" s="1"/>
  <c r="N27" i="30" s="1"/>
  <c r="J13" i="36"/>
  <c r="H21" i="12"/>
  <c r="C21" i="12" s="1"/>
  <c r="F21" i="12" s="1"/>
  <c r="C45" i="12" s="1"/>
  <c r="O8" i="30" s="1"/>
  <c r="O27" i="30" s="1"/>
  <c r="J14" i="36"/>
  <c r="H11" i="12"/>
  <c r="C11" i="12" s="1"/>
  <c r="J4" i="36"/>
  <c r="H12" i="12"/>
  <c r="C12" i="12" s="1"/>
  <c r="C26" i="12" s="1"/>
  <c r="J5" i="36"/>
  <c r="H16" i="12"/>
  <c r="C16" i="12" s="1"/>
  <c r="J9" i="36"/>
  <c r="H18" i="12"/>
  <c r="C18" i="12" s="1"/>
  <c r="J11" i="36"/>
  <c r="H22" i="12"/>
  <c r="C22" i="12" s="1"/>
  <c r="F22" i="12" s="1"/>
  <c r="C46" i="12" s="1"/>
  <c r="P8" i="30" s="1"/>
  <c r="P27" i="30" s="1"/>
  <c r="J15" i="36"/>
  <c r="F34" i="14"/>
  <c r="E47" i="14"/>
  <c r="Q9" i="31" s="1"/>
  <c r="Q30" i="31" s="1"/>
  <c r="D49" i="14"/>
  <c r="F49" i="14"/>
  <c r="E49" i="14"/>
  <c r="S9" i="31" s="1"/>
  <c r="S30" i="31" s="1"/>
  <c r="F47" i="14"/>
  <c r="E46" i="14"/>
  <c r="P9" i="31" s="1"/>
  <c r="P30" i="31" s="1"/>
  <c r="E36" i="14"/>
  <c r="F9" i="31" s="1"/>
  <c r="F30" i="31" s="1"/>
  <c r="D32" i="14"/>
  <c r="E48" i="14"/>
  <c r="R9" i="31" s="1"/>
  <c r="R30" i="31" s="1"/>
  <c r="D46" i="14"/>
  <c r="D47" i="14"/>
  <c r="E32" i="14"/>
  <c r="D48" i="14"/>
  <c r="F46" i="14"/>
  <c r="F32" i="14"/>
  <c r="F48" i="14"/>
  <c r="F17" i="12"/>
  <c r="C41" i="12" s="1"/>
  <c r="K8" i="30" s="1"/>
  <c r="K27" i="30" s="1"/>
  <c r="F18" i="12"/>
  <c r="C42" i="12" s="1"/>
  <c r="L8" i="30" s="1"/>
  <c r="L27" i="30" s="1"/>
  <c r="F35" i="14"/>
  <c r="E35" i="14"/>
  <c r="E9" i="31" s="1"/>
  <c r="E30" i="31" s="1"/>
  <c r="D35" i="14"/>
  <c r="D39" i="14"/>
  <c r="E34" i="14"/>
  <c r="F16" i="12"/>
  <c r="C40" i="12" s="1"/>
  <c r="J8" i="30" s="1"/>
  <c r="J27" i="30" s="1"/>
  <c r="F42" i="14"/>
  <c r="F45" i="14"/>
  <c r="F39" i="14"/>
  <c r="E40" i="14"/>
  <c r="J9" i="31" s="1"/>
  <c r="J30" i="31" s="1"/>
  <c r="D41" i="14"/>
  <c r="E33" i="14"/>
  <c r="D37" i="14"/>
  <c r="D38" i="14"/>
  <c r="F38" i="14"/>
  <c r="F43" i="14"/>
  <c r="E42" i="14"/>
  <c r="L9" i="31" s="1"/>
  <c r="L30" i="31" s="1"/>
  <c r="D42" i="14"/>
  <c r="D44" i="14"/>
  <c r="F40" i="14"/>
  <c r="E41" i="14"/>
  <c r="K9" i="31" s="1"/>
  <c r="K30" i="31" s="1"/>
  <c r="E37" i="14"/>
  <c r="G9" i="31" s="1"/>
  <c r="G30" i="31" s="1"/>
  <c r="E43" i="14"/>
  <c r="M9" i="31" s="1"/>
  <c r="M30" i="31" s="1"/>
  <c r="E39" i="14"/>
  <c r="I9" i="31" s="1"/>
  <c r="I30" i="31" s="1"/>
  <c r="D45" i="14"/>
  <c r="E44" i="14"/>
  <c r="N9" i="31" s="1"/>
  <c r="N30" i="31" s="1"/>
  <c r="F33" i="14"/>
  <c r="F37" i="14"/>
  <c r="D36" i="14"/>
  <c r="D43" i="14"/>
  <c r="E38" i="14"/>
  <c r="H9" i="31" s="1"/>
  <c r="H30" i="31" s="1"/>
  <c r="E45" i="14"/>
  <c r="O9" i="31" s="1"/>
  <c r="O30" i="31" s="1"/>
  <c r="F44" i="14"/>
  <c r="D40" i="14"/>
  <c r="D33" i="14"/>
  <c r="F41" i="14"/>
  <c r="F11" i="12"/>
  <c r="C35" i="12" s="1"/>
  <c r="E8" i="30" s="1"/>
  <c r="E27" i="30" s="1"/>
  <c r="F12" i="12"/>
  <c r="C36" i="12" s="1"/>
  <c r="F8" i="30" s="1"/>
  <c r="F27" i="30" s="1"/>
  <c r="F19" i="12"/>
  <c r="C43" i="12" s="1"/>
  <c r="M8" i="30" s="1"/>
  <c r="M27" i="30" s="1"/>
  <c r="F32" i="12"/>
  <c r="E32" i="12"/>
  <c r="D32" i="12"/>
  <c r="F34" i="12"/>
  <c r="E34" i="12"/>
  <c r="D34" i="12"/>
  <c r="F31" i="12"/>
  <c r="E31" i="12"/>
  <c r="D31" i="12"/>
  <c r="F33" i="12"/>
  <c r="E33" i="12"/>
  <c r="D33" i="12"/>
  <c r="E21" i="10"/>
  <c r="E20" i="10"/>
  <c r="E19" i="10"/>
  <c r="E18" i="10"/>
  <c r="E17" i="10"/>
  <c r="E16" i="10"/>
  <c r="E15" i="10"/>
  <c r="E14" i="10"/>
  <c r="E13" i="10"/>
  <c r="E12" i="10"/>
  <c r="E11" i="10"/>
  <c r="E10" i="10"/>
  <c r="C10" i="10"/>
  <c r="F10" i="10" s="1"/>
  <c r="C34" i="10" s="1"/>
  <c r="E9" i="10"/>
  <c r="C9" i="10"/>
  <c r="E8" i="10"/>
  <c r="C8" i="10"/>
  <c r="E7" i="10"/>
  <c r="C7" i="10"/>
  <c r="E6" i="10"/>
  <c r="C6" i="10"/>
  <c r="F6" i="10" s="1"/>
  <c r="C30" i="10" s="1"/>
  <c r="E5" i="10"/>
  <c r="C5" i="10"/>
  <c r="C4" i="10"/>
  <c r="F4" i="10" s="1"/>
  <c r="C28" i="10" s="1"/>
  <c r="V13" i="9"/>
  <c r="V12" i="9"/>
  <c r="V11" i="9"/>
  <c r="V10" i="9"/>
  <c r="V9" i="9"/>
  <c r="V8" i="9"/>
  <c r="V7" i="9"/>
  <c r="V6" i="9"/>
  <c r="V5" i="9"/>
  <c r="V4" i="9"/>
  <c r="V3" i="9"/>
  <c r="H20" i="10" l="1"/>
  <c r="C20" i="10" s="1"/>
  <c r="I13" i="36"/>
  <c r="H13" i="10"/>
  <c r="C13" i="10" s="1"/>
  <c r="F13" i="10" s="1"/>
  <c r="C37" i="10" s="1"/>
  <c r="G7" i="30" s="1"/>
  <c r="G26" i="30" s="1"/>
  <c r="I6" i="36"/>
  <c r="H12" i="10"/>
  <c r="C12" i="10" s="1"/>
  <c r="I5" i="36"/>
  <c r="H11" i="10"/>
  <c r="C11" i="10" s="1"/>
  <c r="I4" i="36"/>
  <c r="H16" i="10"/>
  <c r="C16" i="10" s="1"/>
  <c r="F16" i="10" s="1"/>
  <c r="C40" i="10" s="1"/>
  <c r="J7" i="30" s="1"/>
  <c r="J26" i="30" s="1"/>
  <c r="I9" i="36"/>
  <c r="J19" i="36"/>
  <c r="H15" i="10"/>
  <c r="C15" i="10" s="1"/>
  <c r="F15" i="10" s="1"/>
  <c r="C39" i="10" s="1"/>
  <c r="I7" i="30" s="1"/>
  <c r="I26" i="30" s="1"/>
  <c r="I8" i="36"/>
  <c r="H21" i="10"/>
  <c r="C21" i="10" s="1"/>
  <c r="F21" i="10" s="1"/>
  <c r="C45" i="10" s="1"/>
  <c r="O7" i="30" s="1"/>
  <c r="O26" i="30" s="1"/>
  <c r="I14" i="36"/>
  <c r="H14" i="10"/>
  <c r="C14" i="10" s="1"/>
  <c r="F14" i="10" s="1"/>
  <c r="C38" i="10" s="1"/>
  <c r="H7" i="30" s="1"/>
  <c r="H26" i="30" s="1"/>
  <c r="I7" i="36"/>
  <c r="H18" i="10"/>
  <c r="C18" i="10" s="1"/>
  <c r="I11" i="36"/>
  <c r="H17" i="10"/>
  <c r="C17" i="10" s="1"/>
  <c r="F17" i="10" s="1"/>
  <c r="C41" i="10" s="1"/>
  <c r="K7" i="30" s="1"/>
  <c r="K26" i="30" s="1"/>
  <c r="I10" i="36"/>
  <c r="H19" i="10"/>
  <c r="C19" i="10" s="1"/>
  <c r="F19" i="10" s="1"/>
  <c r="C43" i="10" s="1"/>
  <c r="M7" i="30" s="1"/>
  <c r="M26" i="30" s="1"/>
  <c r="I12" i="36"/>
  <c r="F49" i="12"/>
  <c r="D49" i="12"/>
  <c r="D46" i="12"/>
  <c r="E47" i="12"/>
  <c r="Q8" i="31" s="1"/>
  <c r="Q29" i="31" s="1"/>
  <c r="F46" i="12"/>
  <c r="F47" i="12"/>
  <c r="E46" i="12"/>
  <c r="P8" i="31" s="1"/>
  <c r="P29" i="31" s="1"/>
  <c r="D47" i="12"/>
  <c r="F48" i="12"/>
  <c r="D48" i="12"/>
  <c r="E49" i="12"/>
  <c r="S8" i="31" s="1"/>
  <c r="S29" i="31" s="1"/>
  <c r="E48" i="12"/>
  <c r="R8" i="31" s="1"/>
  <c r="R29" i="31" s="1"/>
  <c r="F36" i="12"/>
  <c r="F11" i="10"/>
  <c r="C35" i="10" s="1"/>
  <c r="E7" i="30" s="1"/>
  <c r="E26" i="30" s="1"/>
  <c r="F8" i="10"/>
  <c r="C32" i="10" s="1"/>
  <c r="D38" i="12"/>
  <c r="F5" i="10"/>
  <c r="C29" i="10" s="1"/>
  <c r="F7" i="10"/>
  <c r="C31" i="10" s="1"/>
  <c r="D31" i="10" s="1"/>
  <c r="F9" i="10"/>
  <c r="C33" i="10" s="1"/>
  <c r="E33" i="10" s="1"/>
  <c r="F18" i="10"/>
  <c r="C42" i="10" s="1"/>
  <c r="L7" i="30" s="1"/>
  <c r="L26" i="30" s="1"/>
  <c r="D37" i="12"/>
  <c r="E40" i="12"/>
  <c r="J8" i="31" s="1"/>
  <c r="J29" i="31" s="1"/>
  <c r="F12" i="10"/>
  <c r="C36" i="10" s="1"/>
  <c r="F7" i="30" s="1"/>
  <c r="F26" i="30" s="1"/>
  <c r="D36" i="12"/>
  <c r="E36" i="12"/>
  <c r="F8" i="31" s="1"/>
  <c r="F29" i="31" s="1"/>
  <c r="F43" i="12"/>
  <c r="D40" i="12"/>
  <c r="D45" i="12"/>
  <c r="E39" i="12"/>
  <c r="I8" i="31" s="1"/>
  <c r="I29" i="31" s="1"/>
  <c r="D44" i="12"/>
  <c r="F44" i="12"/>
  <c r="F42" i="12"/>
  <c r="F39" i="12"/>
  <c r="F38" i="12"/>
  <c r="E35" i="12"/>
  <c r="E8" i="31" s="1"/>
  <c r="E29" i="31" s="1"/>
  <c r="F45" i="12"/>
  <c r="D42" i="12"/>
  <c r="E41" i="12"/>
  <c r="K8" i="31" s="1"/>
  <c r="K29" i="31" s="1"/>
  <c r="E44" i="12"/>
  <c r="N8" i="31" s="1"/>
  <c r="N29" i="31" s="1"/>
  <c r="F40" i="12"/>
  <c r="E45" i="12"/>
  <c r="O8" i="31" s="1"/>
  <c r="O29" i="31" s="1"/>
  <c r="F41" i="12"/>
  <c r="D39" i="12"/>
  <c r="F37" i="12"/>
  <c r="E37" i="12"/>
  <c r="G8" i="31" s="1"/>
  <c r="G29" i="31" s="1"/>
  <c r="F35" i="12"/>
  <c r="E43" i="12"/>
  <c r="M8" i="31" s="1"/>
  <c r="M29" i="31" s="1"/>
  <c r="D43" i="12"/>
  <c r="E42" i="12"/>
  <c r="L8" i="31" s="1"/>
  <c r="L29" i="31" s="1"/>
  <c r="D41" i="12"/>
  <c r="E38" i="12"/>
  <c r="H8" i="31" s="1"/>
  <c r="H29" i="31" s="1"/>
  <c r="D35" i="12"/>
  <c r="F20" i="10"/>
  <c r="C44" i="10" s="1"/>
  <c r="D34" i="10"/>
  <c r="E31" i="10"/>
  <c r="E21" i="8"/>
  <c r="E20" i="8"/>
  <c r="E19" i="8"/>
  <c r="E18" i="8"/>
  <c r="E17" i="8"/>
  <c r="E16" i="8"/>
  <c r="E15" i="8"/>
  <c r="E14" i="8"/>
  <c r="E13" i="8"/>
  <c r="E12" i="8"/>
  <c r="E11" i="8"/>
  <c r="E10" i="8"/>
  <c r="C10" i="8"/>
  <c r="E9" i="8"/>
  <c r="C9" i="8"/>
  <c r="E8" i="8"/>
  <c r="C8" i="8"/>
  <c r="E7" i="8"/>
  <c r="C7" i="8"/>
  <c r="E6" i="8"/>
  <c r="C6" i="8"/>
  <c r="E5" i="8"/>
  <c r="C5" i="8"/>
  <c r="C4" i="8"/>
  <c r="F4" i="8" s="1"/>
  <c r="C28" i="8" s="1"/>
  <c r="C21" i="8"/>
  <c r="F21" i="8" s="1"/>
  <c r="C45" i="8" s="1"/>
  <c r="O6" i="30" s="1"/>
  <c r="O25" i="30" s="1"/>
  <c r="V12" i="7"/>
  <c r="V11" i="7"/>
  <c r="V10" i="7"/>
  <c r="V9" i="7"/>
  <c r="V8" i="7"/>
  <c r="V7" i="7"/>
  <c r="V6" i="7"/>
  <c r="V5" i="7"/>
  <c r="V4" i="7"/>
  <c r="V3" i="7"/>
  <c r="H18" i="8" l="1"/>
  <c r="C18" i="8" s="1"/>
  <c r="F18" i="8" s="1"/>
  <c r="C42" i="8" s="1"/>
  <c r="L6" i="30" s="1"/>
  <c r="L25" i="30" s="1"/>
  <c r="H11" i="36"/>
  <c r="H19" i="8"/>
  <c r="C19" i="8" s="1"/>
  <c r="H12" i="36"/>
  <c r="I19" i="36"/>
  <c r="C26" i="10"/>
  <c r="H16" i="8"/>
  <c r="C16" i="8" s="1"/>
  <c r="H9" i="36"/>
  <c r="H17" i="8"/>
  <c r="C17" i="8" s="1"/>
  <c r="F17" i="8" s="1"/>
  <c r="C41" i="8" s="1"/>
  <c r="K6" i="30" s="1"/>
  <c r="K25" i="30" s="1"/>
  <c r="H10" i="36"/>
  <c r="H20" i="8"/>
  <c r="C20" i="8" s="1"/>
  <c r="F20" i="8" s="1"/>
  <c r="C44" i="8" s="1"/>
  <c r="N6" i="30" s="1"/>
  <c r="N25" i="30" s="1"/>
  <c r="H13" i="36"/>
  <c r="D32" i="10"/>
  <c r="H11" i="8"/>
  <c r="C11" i="8" s="1"/>
  <c r="F11" i="8" s="1"/>
  <c r="C35" i="8" s="1"/>
  <c r="E6" i="30" s="1"/>
  <c r="E25" i="30" s="1"/>
  <c r="H4" i="36"/>
  <c r="H19" i="36" s="1"/>
  <c r="H13" i="8"/>
  <c r="C13" i="8" s="1"/>
  <c r="F13" i="8" s="1"/>
  <c r="C37" i="8" s="1"/>
  <c r="G6" i="30" s="1"/>
  <c r="G25" i="30" s="1"/>
  <c r="H6" i="36"/>
  <c r="H14" i="8"/>
  <c r="C14" i="8" s="1"/>
  <c r="F14" i="8" s="1"/>
  <c r="C38" i="8" s="1"/>
  <c r="H6" i="30" s="1"/>
  <c r="H25" i="30" s="1"/>
  <c r="H7" i="36"/>
  <c r="D33" i="10"/>
  <c r="H12" i="8"/>
  <c r="C12" i="8" s="1"/>
  <c r="F12" i="8" s="1"/>
  <c r="C36" i="8" s="1"/>
  <c r="F6" i="30" s="1"/>
  <c r="F25" i="30" s="1"/>
  <c r="H5" i="36"/>
  <c r="H15" i="8"/>
  <c r="C15" i="8" s="1"/>
  <c r="H8" i="36"/>
  <c r="E35" i="10"/>
  <c r="F35" i="10"/>
  <c r="F31" i="10"/>
  <c r="D47" i="10"/>
  <c r="Q7" i="31" s="1"/>
  <c r="Q28" i="31" s="1"/>
  <c r="F8" i="8"/>
  <c r="C32" i="8" s="1"/>
  <c r="F32" i="8" s="1"/>
  <c r="E49" i="10"/>
  <c r="F49" i="10"/>
  <c r="D49" i="10"/>
  <c r="S7" i="31" s="1"/>
  <c r="S28" i="31" s="1"/>
  <c r="D38" i="10"/>
  <c r="H7" i="31" s="1"/>
  <c r="H28" i="31" s="1"/>
  <c r="F32" i="10"/>
  <c r="E38" i="10"/>
  <c r="D37" i="10"/>
  <c r="G7" i="31" s="1"/>
  <c r="G28" i="31" s="1"/>
  <c r="E32" i="10"/>
  <c r="E48" i="10"/>
  <c r="D48" i="10"/>
  <c r="R7" i="31" s="1"/>
  <c r="R28" i="31" s="1"/>
  <c r="F48" i="10"/>
  <c r="E47" i="10"/>
  <c r="D35" i="10"/>
  <c r="E7" i="31" s="1"/>
  <c r="E28" i="31" s="1"/>
  <c r="E34" i="10"/>
  <c r="D46" i="10"/>
  <c r="P7" i="31" s="1"/>
  <c r="P28" i="31" s="1"/>
  <c r="F46" i="10"/>
  <c r="E46" i="10"/>
  <c r="F47" i="10"/>
  <c r="D39" i="10"/>
  <c r="I7" i="31" s="1"/>
  <c r="I28" i="31" s="1"/>
  <c r="F43" i="10"/>
  <c r="F33" i="10"/>
  <c r="F38" i="10"/>
  <c r="F45" i="10"/>
  <c r="F7" i="8"/>
  <c r="C31" i="8" s="1"/>
  <c r="F31" i="8" s="1"/>
  <c r="E37" i="10"/>
  <c r="E36" i="10"/>
  <c r="F6" i="8"/>
  <c r="C30" i="8" s="1"/>
  <c r="F10" i="8"/>
  <c r="C34" i="8" s="1"/>
  <c r="E44" i="10"/>
  <c r="N7" i="30"/>
  <c r="N26" i="30" s="1"/>
  <c r="E41" i="10"/>
  <c r="D40" i="10"/>
  <c r="J7" i="31" s="1"/>
  <c r="J28" i="31" s="1"/>
  <c r="E39" i="10"/>
  <c r="F42" i="10"/>
  <c r="E43" i="10"/>
  <c r="F36" i="10"/>
  <c r="F41" i="10"/>
  <c r="F39" i="10"/>
  <c r="F37" i="10"/>
  <c r="D45" i="10"/>
  <c r="O7" i="31" s="1"/>
  <c r="O28" i="31" s="1"/>
  <c r="D42" i="10"/>
  <c r="L7" i="31" s="1"/>
  <c r="L28" i="31" s="1"/>
  <c r="D41" i="10"/>
  <c r="K7" i="31" s="1"/>
  <c r="K28" i="31" s="1"/>
  <c r="E40" i="10"/>
  <c r="D43" i="10"/>
  <c r="M7" i="31" s="1"/>
  <c r="M28" i="31" s="1"/>
  <c r="F40" i="10"/>
  <c r="F34" i="10"/>
  <c r="E45" i="10"/>
  <c r="E42" i="10"/>
  <c r="D36" i="10"/>
  <c r="F7" i="31" s="1"/>
  <c r="F28" i="31" s="1"/>
  <c r="F16" i="8"/>
  <c r="C40" i="8" s="1"/>
  <c r="J6" i="30" s="1"/>
  <c r="J25" i="30" s="1"/>
  <c r="F5" i="8"/>
  <c r="C29" i="8" s="1"/>
  <c r="F9" i="8"/>
  <c r="C33" i="8" s="1"/>
  <c r="D44" i="10"/>
  <c r="N7" i="31" s="1"/>
  <c r="N28" i="31" s="1"/>
  <c r="F44" i="10"/>
  <c r="F15" i="8"/>
  <c r="C39" i="8" s="1"/>
  <c r="I6" i="30" s="1"/>
  <c r="I25" i="30" s="1"/>
  <c r="F19" i="8"/>
  <c r="C43" i="8" s="1"/>
  <c r="D31" i="8"/>
  <c r="E21" i="6"/>
  <c r="E20" i="6"/>
  <c r="E19" i="6"/>
  <c r="E18" i="6"/>
  <c r="E17" i="6"/>
  <c r="E16" i="6"/>
  <c r="E15" i="6"/>
  <c r="E14" i="6"/>
  <c r="E13" i="6"/>
  <c r="E12" i="6"/>
  <c r="E11" i="6"/>
  <c r="E10" i="6"/>
  <c r="F10" i="6" s="1"/>
  <c r="C34" i="6" s="1"/>
  <c r="E9" i="6"/>
  <c r="F9" i="6" s="1"/>
  <c r="C33" i="6" s="1"/>
  <c r="E8" i="6"/>
  <c r="F8" i="6" s="1"/>
  <c r="C32" i="6" s="1"/>
  <c r="E7" i="6"/>
  <c r="F7" i="6" s="1"/>
  <c r="C31" i="6" s="1"/>
  <c r="E6" i="6"/>
  <c r="F6" i="6" s="1"/>
  <c r="C30" i="6" s="1"/>
  <c r="E5" i="6"/>
  <c r="F5" i="6" s="1"/>
  <c r="C29" i="6" s="1"/>
  <c r="F4" i="6"/>
  <c r="C28" i="6" s="1"/>
  <c r="V13" i="5"/>
  <c r="V12" i="5"/>
  <c r="V11" i="5"/>
  <c r="V10" i="5"/>
  <c r="V9" i="5"/>
  <c r="V8" i="5"/>
  <c r="V7" i="5"/>
  <c r="V6" i="5"/>
  <c r="V5" i="5"/>
  <c r="V4" i="5"/>
  <c r="V3" i="5"/>
  <c r="C26" i="8" l="1"/>
  <c r="H20" i="6"/>
  <c r="C20" i="6" s="1"/>
  <c r="F20" i="6" s="1"/>
  <c r="C44" i="6" s="1"/>
  <c r="N5" i="30" s="1"/>
  <c r="N24" i="30" s="1"/>
  <c r="G13" i="36"/>
  <c r="H18" i="6"/>
  <c r="C18" i="6" s="1"/>
  <c r="G11" i="36"/>
  <c r="H11" i="6"/>
  <c r="C11" i="6" s="1"/>
  <c r="G4" i="36"/>
  <c r="H14" i="6"/>
  <c r="C14" i="6" s="1"/>
  <c r="G7" i="36"/>
  <c r="H21" i="6"/>
  <c r="C21" i="6" s="1"/>
  <c r="G14" i="36"/>
  <c r="H13" i="6"/>
  <c r="C13" i="6" s="1"/>
  <c r="F13" i="6" s="1"/>
  <c r="C37" i="6" s="1"/>
  <c r="G5" i="30" s="1"/>
  <c r="G24" i="30" s="1"/>
  <c r="G6" i="36"/>
  <c r="H19" i="6"/>
  <c r="C19" i="6" s="1"/>
  <c r="F19" i="6" s="1"/>
  <c r="C43" i="6" s="1"/>
  <c r="M5" i="30" s="1"/>
  <c r="M24" i="30" s="1"/>
  <c r="G12" i="36"/>
  <c r="H12" i="6"/>
  <c r="C12" i="6" s="1"/>
  <c r="F12" i="6" s="1"/>
  <c r="C36" i="6" s="1"/>
  <c r="F5" i="30" s="1"/>
  <c r="F24" i="30" s="1"/>
  <c r="G5" i="36"/>
  <c r="H15" i="6"/>
  <c r="C15" i="6" s="1"/>
  <c r="G8" i="36"/>
  <c r="H16" i="6"/>
  <c r="C16" i="6" s="1"/>
  <c r="G9" i="36"/>
  <c r="H17" i="6"/>
  <c r="C17" i="6" s="1"/>
  <c r="F17" i="6" s="1"/>
  <c r="C41" i="6" s="1"/>
  <c r="K5" i="30" s="1"/>
  <c r="K24" i="30" s="1"/>
  <c r="G10" i="36"/>
  <c r="F16" i="6"/>
  <c r="C40" i="6" s="1"/>
  <c r="J5" i="30" s="1"/>
  <c r="J24" i="30" s="1"/>
  <c r="E31" i="8"/>
  <c r="E49" i="8"/>
  <c r="E34" i="8"/>
  <c r="D32" i="8"/>
  <c r="F46" i="8"/>
  <c r="D46" i="8"/>
  <c r="P6" i="31" s="1"/>
  <c r="P27" i="31" s="1"/>
  <c r="E46" i="8"/>
  <c r="F47" i="8"/>
  <c r="D47" i="8"/>
  <c r="Q6" i="31" s="1"/>
  <c r="Q27" i="31" s="1"/>
  <c r="E47" i="8"/>
  <c r="E32" i="8"/>
  <c r="F37" i="8"/>
  <c r="F49" i="8"/>
  <c r="D49" i="8"/>
  <c r="S6" i="31" s="1"/>
  <c r="S27" i="31" s="1"/>
  <c r="F48" i="8"/>
  <c r="D48" i="8"/>
  <c r="R6" i="31" s="1"/>
  <c r="R27" i="31" s="1"/>
  <c r="E48" i="8"/>
  <c r="E31" i="6"/>
  <c r="F36" i="8"/>
  <c r="F44" i="8"/>
  <c r="E38" i="8"/>
  <c r="F21" i="6"/>
  <c r="C45" i="6" s="1"/>
  <c r="O5" i="30" s="1"/>
  <c r="O24" i="30" s="1"/>
  <c r="D35" i="8"/>
  <c r="E6" i="31" s="1"/>
  <c r="E27" i="31" s="1"/>
  <c r="F42" i="8"/>
  <c r="D43" i="8"/>
  <c r="M6" i="31" s="1"/>
  <c r="M27" i="31" s="1"/>
  <c r="M6" i="30"/>
  <c r="M25" i="30" s="1"/>
  <c r="F41" i="8"/>
  <c r="D40" i="8"/>
  <c r="J6" i="31" s="1"/>
  <c r="J27" i="31" s="1"/>
  <c r="D37" i="8"/>
  <c r="G6" i="31" s="1"/>
  <c r="G27" i="31" s="1"/>
  <c r="E35" i="8"/>
  <c r="D42" i="8"/>
  <c r="L6" i="31" s="1"/>
  <c r="L27" i="31" s="1"/>
  <c r="F33" i="8"/>
  <c r="F45" i="8"/>
  <c r="F38" i="8"/>
  <c r="D39" i="8"/>
  <c r="I6" i="31" s="1"/>
  <c r="I27" i="31" s="1"/>
  <c r="F34" i="8"/>
  <c r="D44" i="8"/>
  <c r="N6" i="31" s="1"/>
  <c r="N27" i="31" s="1"/>
  <c r="D41" i="8"/>
  <c r="K6" i="31" s="1"/>
  <c r="K27" i="31" s="1"/>
  <c r="E40" i="8"/>
  <c r="E37" i="8"/>
  <c r="D33" i="8"/>
  <c r="E36" i="8"/>
  <c r="E33" i="8"/>
  <c r="D45" i="8"/>
  <c r="O6" i="31" s="1"/>
  <c r="O27" i="31" s="1"/>
  <c r="D38" i="8"/>
  <c r="H6" i="31" s="1"/>
  <c r="H27" i="31" s="1"/>
  <c r="E39" i="8"/>
  <c r="D34" i="8"/>
  <c r="E44" i="8"/>
  <c r="E41" i="8"/>
  <c r="F40" i="8"/>
  <c r="F35" i="8"/>
  <c r="E42" i="8"/>
  <c r="D36" i="8"/>
  <c r="F6" i="31" s="1"/>
  <c r="F27" i="31" s="1"/>
  <c r="E45" i="8"/>
  <c r="F39" i="8"/>
  <c r="F18" i="6"/>
  <c r="C42" i="6" s="1"/>
  <c r="L5" i="30" s="1"/>
  <c r="L24" i="30" s="1"/>
  <c r="F15" i="6"/>
  <c r="C39" i="6" s="1"/>
  <c r="I5" i="30" s="1"/>
  <c r="I24" i="30" s="1"/>
  <c r="F43" i="8"/>
  <c r="F14" i="6"/>
  <c r="C38" i="6" s="1"/>
  <c r="H5" i="30" s="1"/>
  <c r="H24" i="30" s="1"/>
  <c r="F11" i="6"/>
  <c r="C35" i="6" s="1"/>
  <c r="E5" i="30" s="1"/>
  <c r="E24" i="30" s="1"/>
  <c r="E43" i="8"/>
  <c r="D34" i="6"/>
  <c r="E34" i="6"/>
  <c r="F34" i="6"/>
  <c r="D32" i="6"/>
  <c r="F32" i="6"/>
  <c r="D33" i="6"/>
  <c r="E33" i="6"/>
  <c r="D31" i="6"/>
  <c r="F31" i="6"/>
  <c r="F33" i="6"/>
  <c r="E32" i="6"/>
  <c r="E21" i="4"/>
  <c r="E20" i="4"/>
  <c r="E19" i="4"/>
  <c r="E18" i="4"/>
  <c r="E17" i="4"/>
  <c r="E16" i="4"/>
  <c r="E15" i="4"/>
  <c r="E14" i="4"/>
  <c r="E13" i="4"/>
  <c r="E12" i="4"/>
  <c r="E11" i="4"/>
  <c r="C10" i="4"/>
  <c r="E10" i="4"/>
  <c r="C9" i="4"/>
  <c r="E9" i="4"/>
  <c r="E8" i="4"/>
  <c r="C8" i="4"/>
  <c r="E7" i="4"/>
  <c r="C7" i="4"/>
  <c r="C6" i="4"/>
  <c r="E6" i="4"/>
  <c r="C5" i="4"/>
  <c r="E5" i="4"/>
  <c r="C4" i="4"/>
  <c r="F4" i="4" s="1"/>
  <c r="C28" i="4" s="1"/>
  <c r="V13" i="3"/>
  <c r="V12" i="3"/>
  <c r="V11" i="3"/>
  <c r="V10" i="3"/>
  <c r="V9" i="3"/>
  <c r="V8" i="3"/>
  <c r="V7" i="3"/>
  <c r="V6" i="3"/>
  <c r="V5" i="3"/>
  <c r="V4" i="3"/>
  <c r="V3" i="3"/>
  <c r="H21" i="4" l="1"/>
  <c r="C21" i="4" s="1"/>
  <c r="F14" i="36"/>
  <c r="H20" i="4"/>
  <c r="C20" i="4" s="1"/>
  <c r="F13" i="36"/>
  <c r="D36" i="6"/>
  <c r="F5" i="31" s="1"/>
  <c r="F26" i="31" s="1"/>
  <c r="H14" i="4"/>
  <c r="C14" i="4" s="1"/>
  <c r="F7" i="36"/>
  <c r="H16" i="4"/>
  <c r="C16" i="4" s="1"/>
  <c r="F9" i="36"/>
  <c r="F36" i="6"/>
  <c r="H15" i="4"/>
  <c r="C15" i="4" s="1"/>
  <c r="F15" i="4" s="1"/>
  <c r="C39" i="4" s="1"/>
  <c r="I4" i="30" s="1"/>
  <c r="I23" i="30" s="1"/>
  <c r="F8" i="36"/>
  <c r="H17" i="4"/>
  <c r="C17" i="4" s="1"/>
  <c r="F10" i="36"/>
  <c r="C26" i="6"/>
  <c r="H13" i="4"/>
  <c r="C13" i="4" s="1"/>
  <c r="F13" i="4" s="1"/>
  <c r="C37" i="4" s="1"/>
  <c r="G4" i="30" s="1"/>
  <c r="G23" i="30" s="1"/>
  <c r="F6" i="36"/>
  <c r="E36" i="6"/>
  <c r="H18" i="4"/>
  <c r="C18" i="4" s="1"/>
  <c r="F11" i="36"/>
  <c r="H11" i="4"/>
  <c r="C11" i="4" s="1"/>
  <c r="F4" i="36"/>
  <c r="H12" i="4"/>
  <c r="C12" i="4" s="1"/>
  <c r="F5" i="36"/>
  <c r="H19" i="4"/>
  <c r="C19" i="4" s="1"/>
  <c r="F19" i="4" s="1"/>
  <c r="C43" i="4" s="1"/>
  <c r="M4" i="30" s="1"/>
  <c r="M23" i="30" s="1"/>
  <c r="F12" i="36"/>
  <c r="G19" i="36"/>
  <c r="F48" i="6"/>
  <c r="E37" i="6"/>
  <c r="D48" i="6"/>
  <c r="R5" i="31" s="1"/>
  <c r="R26" i="31" s="1"/>
  <c r="F37" i="6"/>
  <c r="E47" i="6"/>
  <c r="F47" i="6"/>
  <c r="E49" i="6"/>
  <c r="D37" i="6"/>
  <c r="G5" i="31" s="1"/>
  <c r="G26" i="31" s="1"/>
  <c r="D47" i="6"/>
  <c r="Q5" i="31" s="1"/>
  <c r="Q26" i="31" s="1"/>
  <c r="F46" i="6"/>
  <c r="F49" i="6"/>
  <c r="D46" i="6"/>
  <c r="P5" i="31" s="1"/>
  <c r="P26" i="31" s="1"/>
  <c r="D49" i="6"/>
  <c r="S5" i="31" s="1"/>
  <c r="S26" i="31" s="1"/>
  <c r="E46" i="6"/>
  <c r="E48" i="6"/>
  <c r="E43" i="6"/>
  <c r="E39" i="6"/>
  <c r="F39" i="6"/>
  <c r="F35" i="6"/>
  <c r="F17" i="4"/>
  <c r="C41" i="4" s="1"/>
  <c r="K4" i="30" s="1"/>
  <c r="K23" i="30" s="1"/>
  <c r="D42" i="6"/>
  <c r="L5" i="31" s="1"/>
  <c r="L26" i="31" s="1"/>
  <c r="D44" i="6"/>
  <c r="N5" i="31" s="1"/>
  <c r="N26" i="31" s="1"/>
  <c r="D41" i="6"/>
  <c r="K5" i="31" s="1"/>
  <c r="K26" i="31" s="1"/>
  <c r="F8" i="4"/>
  <c r="C32" i="4" s="1"/>
  <c r="F10" i="4"/>
  <c r="C34" i="4" s="1"/>
  <c r="F11" i="4"/>
  <c r="C35" i="4" s="1"/>
  <c r="E4" i="30" s="1"/>
  <c r="E23" i="30" s="1"/>
  <c r="F12" i="4"/>
  <c r="C36" i="4" s="1"/>
  <c r="F4" i="30" s="1"/>
  <c r="F23" i="30" s="1"/>
  <c r="F16" i="4"/>
  <c r="C40" i="4" s="1"/>
  <c r="J4" i="30" s="1"/>
  <c r="J23" i="30" s="1"/>
  <c r="F20" i="4"/>
  <c r="C44" i="4" s="1"/>
  <c r="N4" i="30" s="1"/>
  <c r="N23" i="30" s="1"/>
  <c r="F6" i="4"/>
  <c r="C30" i="4" s="1"/>
  <c r="F9" i="4"/>
  <c r="C33" i="4" s="1"/>
  <c r="F14" i="4"/>
  <c r="C38" i="4" s="1"/>
  <c r="H4" i="30" s="1"/>
  <c r="H23" i="30" s="1"/>
  <c r="F18" i="4"/>
  <c r="C42" i="4" s="1"/>
  <c r="L4" i="30" s="1"/>
  <c r="L23" i="30" s="1"/>
  <c r="F5" i="4"/>
  <c r="C29" i="4" s="1"/>
  <c r="F21" i="4"/>
  <c r="C45" i="4" s="1"/>
  <c r="O4" i="30" s="1"/>
  <c r="O23" i="30" s="1"/>
  <c r="E38" i="6"/>
  <c r="E35" i="6"/>
  <c r="D39" i="6"/>
  <c r="I5" i="31" s="1"/>
  <c r="I26" i="31" s="1"/>
  <c r="E40" i="6"/>
  <c r="F40" i="6"/>
  <c r="F38" i="6"/>
  <c r="D35" i="6"/>
  <c r="E5" i="31" s="1"/>
  <c r="E26" i="31" s="1"/>
  <c r="D43" i="6"/>
  <c r="M5" i="31" s="1"/>
  <c r="M26" i="31" s="1"/>
  <c r="D38" i="6"/>
  <c r="H5" i="31" s="1"/>
  <c r="H26" i="31" s="1"/>
  <c r="D40" i="6"/>
  <c r="J5" i="31" s="1"/>
  <c r="J26" i="31" s="1"/>
  <c r="D45" i="6"/>
  <c r="O5" i="31" s="1"/>
  <c r="O26" i="31" s="1"/>
  <c r="F43" i="6"/>
  <c r="E42" i="6"/>
  <c r="F42" i="6"/>
  <c r="F45" i="6"/>
  <c r="E44" i="6"/>
  <c r="F44" i="6"/>
  <c r="F41" i="6"/>
  <c r="E41" i="6"/>
  <c r="E45" i="6"/>
  <c r="F7" i="4"/>
  <c r="C31" i="4" s="1"/>
  <c r="V14" i="1"/>
  <c r="E21" i="2"/>
  <c r="E20" i="2"/>
  <c r="E19" i="2"/>
  <c r="E18" i="2"/>
  <c r="E17" i="2"/>
  <c r="E16" i="2"/>
  <c r="E15" i="2"/>
  <c r="E14" i="2"/>
  <c r="E13" i="2"/>
  <c r="E12" i="2"/>
  <c r="E11" i="2"/>
  <c r="E10" i="2"/>
  <c r="C10" i="2"/>
  <c r="E9" i="2"/>
  <c r="C9" i="2"/>
  <c r="E8" i="2"/>
  <c r="C8" i="2"/>
  <c r="E7" i="2"/>
  <c r="C7" i="2"/>
  <c r="F7" i="2" s="1"/>
  <c r="C31" i="2" s="1"/>
  <c r="E6" i="2"/>
  <c r="C6" i="2"/>
  <c r="E5" i="2"/>
  <c r="C5" i="2"/>
  <c r="C4" i="2"/>
  <c r="F4" i="2" s="1"/>
  <c r="C28" i="2" s="1"/>
  <c r="C26" i="4" l="1"/>
  <c r="F6" i="2"/>
  <c r="C30" i="2" s="1"/>
  <c r="F19" i="36"/>
  <c r="H22" i="2"/>
  <c r="C22" i="2" s="1"/>
  <c r="F22" i="2" s="1"/>
  <c r="C46" i="2" s="1"/>
  <c r="P3" i="30" s="1"/>
  <c r="E15" i="36"/>
  <c r="T15" i="36" s="1"/>
  <c r="P39" i="30"/>
  <c r="F8" i="2"/>
  <c r="C32" i="2" s="1"/>
  <c r="P22" i="30"/>
  <c r="P37" i="30" s="1"/>
  <c r="P40" i="31" s="1"/>
  <c r="P18" i="30"/>
  <c r="F47" i="4"/>
  <c r="D47" i="4"/>
  <c r="E47" i="4"/>
  <c r="Q4" i="31" s="1"/>
  <c r="Q25" i="31" s="1"/>
  <c r="E48" i="4"/>
  <c r="R4" i="31" s="1"/>
  <c r="R25" i="31" s="1"/>
  <c r="F48" i="4"/>
  <c r="D48" i="4"/>
  <c r="F46" i="4"/>
  <c r="D46" i="4"/>
  <c r="E46" i="4"/>
  <c r="P4" i="31" s="1"/>
  <c r="P25" i="31" s="1"/>
  <c r="E49" i="4"/>
  <c r="S4" i="31" s="1"/>
  <c r="S25" i="31" s="1"/>
  <c r="D49" i="4"/>
  <c r="F49" i="4"/>
  <c r="F10" i="2"/>
  <c r="C34" i="2" s="1"/>
  <c r="F5" i="2"/>
  <c r="C29" i="2" s="1"/>
  <c r="F9" i="2"/>
  <c r="C33" i="2" s="1"/>
  <c r="F33" i="2" s="1"/>
  <c r="E33" i="4"/>
  <c r="F33" i="4"/>
  <c r="D33" i="4"/>
  <c r="E32" i="4"/>
  <c r="F32" i="4"/>
  <c r="D32" i="4"/>
  <c r="D36" i="4"/>
  <c r="E38" i="4"/>
  <c r="H4" i="31" s="1"/>
  <c r="H25" i="31" s="1"/>
  <c r="E35" i="4"/>
  <c r="E4" i="31" s="1"/>
  <c r="E25" i="31" s="1"/>
  <c r="E39" i="4"/>
  <c r="I4" i="31" s="1"/>
  <c r="I25" i="31" s="1"/>
  <c r="E43" i="4"/>
  <c r="M4" i="31" s="1"/>
  <c r="M25" i="31" s="1"/>
  <c r="D43" i="4"/>
  <c r="E44" i="4"/>
  <c r="N4" i="31" s="1"/>
  <c r="N25" i="31" s="1"/>
  <c r="F41" i="4"/>
  <c r="D45" i="4"/>
  <c r="F43" i="4"/>
  <c r="F44" i="4"/>
  <c r="D35" i="4"/>
  <c r="F35" i="4"/>
  <c r="D40" i="4"/>
  <c r="F39" i="4"/>
  <c r="F36" i="4"/>
  <c r="E42" i="4"/>
  <c r="L4" i="31" s="1"/>
  <c r="L25" i="31" s="1"/>
  <c r="F45" i="4"/>
  <c r="D39" i="4"/>
  <c r="D37" i="4"/>
  <c r="F34" i="4"/>
  <c r="E40" i="4"/>
  <c r="J4" i="31" s="1"/>
  <c r="J25" i="31" s="1"/>
  <c r="D41" i="4"/>
  <c r="F38" i="4"/>
  <c r="F42" i="4"/>
  <c r="E34" i="4"/>
  <c r="E45" i="4"/>
  <c r="O4" i="31" s="1"/>
  <c r="O25" i="31" s="1"/>
  <c r="F37" i="4"/>
  <c r="D44" i="4"/>
  <c r="E37" i="4"/>
  <c r="G4" i="31" s="1"/>
  <c r="G25" i="31" s="1"/>
  <c r="D34" i="4"/>
  <c r="F40" i="4"/>
  <c r="E41" i="4"/>
  <c r="K4" i="31" s="1"/>
  <c r="K25" i="31" s="1"/>
  <c r="D38" i="4"/>
  <c r="E36" i="4"/>
  <c r="F4" i="31" s="1"/>
  <c r="F25" i="31" s="1"/>
  <c r="D42" i="4"/>
  <c r="D31" i="2"/>
  <c r="F31" i="2"/>
  <c r="E31" i="2"/>
  <c r="E32" i="2"/>
  <c r="V4" i="1"/>
  <c r="P19" i="31" l="1"/>
  <c r="N3" i="33" s="1"/>
  <c r="N53" i="33"/>
  <c r="E33" i="2"/>
  <c r="F32" i="2"/>
  <c r="H12" i="2"/>
  <c r="C12" i="2" s="1"/>
  <c r="F12" i="2" s="1"/>
  <c r="C36" i="2" s="1"/>
  <c r="F3" i="30" s="1"/>
  <c r="F22" i="30" s="1"/>
  <c r="E5" i="36"/>
  <c r="T5" i="36" s="1"/>
  <c r="D34" i="2"/>
  <c r="E34" i="2"/>
  <c r="D32" i="2"/>
  <c r="F34" i="2"/>
  <c r="D33" i="2"/>
  <c r="E36" i="2"/>
  <c r="F36" i="2"/>
  <c r="F3" i="31" s="1"/>
  <c r="F24" i="31" s="1"/>
  <c r="F37" i="30"/>
  <c r="F40" i="31" s="1"/>
  <c r="F18" i="30"/>
  <c r="D36" i="2"/>
  <c r="V3" i="1"/>
  <c r="V7" i="1"/>
  <c r="V11" i="1"/>
  <c r="V6" i="1"/>
  <c r="V10" i="1"/>
  <c r="V5" i="1"/>
  <c r="V13" i="1"/>
  <c r="V9" i="1"/>
  <c r="V12" i="1"/>
  <c r="V8" i="1"/>
  <c r="F19" i="31" l="1"/>
  <c r="D3" i="33" s="1"/>
  <c r="D53" i="33"/>
  <c r="H16" i="2"/>
  <c r="C16" i="2" s="1"/>
  <c r="F16" i="2" s="1"/>
  <c r="C40" i="2" s="1"/>
  <c r="J3" i="30" s="1"/>
  <c r="J22" i="30" s="1"/>
  <c r="E9" i="36"/>
  <c r="T9" i="36" s="1"/>
  <c r="H20" i="2"/>
  <c r="C20" i="2" s="1"/>
  <c r="F20" i="2" s="1"/>
  <c r="C44" i="2" s="1"/>
  <c r="N3" i="30" s="1"/>
  <c r="N22" i="30" s="1"/>
  <c r="E13" i="36"/>
  <c r="T13" i="36" s="1"/>
  <c r="H17" i="2"/>
  <c r="C17" i="2" s="1"/>
  <c r="F17" i="2" s="1"/>
  <c r="C41" i="2" s="1"/>
  <c r="K3" i="30" s="1"/>
  <c r="K22" i="30" s="1"/>
  <c r="E10" i="36"/>
  <c r="T10" i="36" s="1"/>
  <c r="H21" i="2"/>
  <c r="C21" i="2" s="1"/>
  <c r="F21" i="2" s="1"/>
  <c r="C45" i="2" s="1"/>
  <c r="O3" i="30" s="1"/>
  <c r="O22" i="30" s="1"/>
  <c r="O37" i="30" s="1"/>
  <c r="E14" i="36"/>
  <c r="T14" i="36" s="1"/>
  <c r="H14" i="2"/>
  <c r="C14" i="2" s="1"/>
  <c r="F14" i="2" s="1"/>
  <c r="C38" i="2" s="1"/>
  <c r="H3" i="30" s="1"/>
  <c r="H22" i="30" s="1"/>
  <c r="E7" i="36"/>
  <c r="T7" i="36" s="1"/>
  <c r="H13" i="2"/>
  <c r="C13" i="2" s="1"/>
  <c r="F13" i="2" s="1"/>
  <c r="C37" i="2" s="1"/>
  <c r="G3" i="30" s="1"/>
  <c r="G22" i="30" s="1"/>
  <c r="E6" i="36"/>
  <c r="T6" i="36" s="1"/>
  <c r="H18" i="2"/>
  <c r="C18" i="2" s="1"/>
  <c r="F18" i="2" s="1"/>
  <c r="C42" i="2" s="1"/>
  <c r="L3" i="30" s="1"/>
  <c r="L22" i="30" s="1"/>
  <c r="E11" i="36"/>
  <c r="T11" i="36" s="1"/>
  <c r="H19" i="2"/>
  <c r="C19" i="2" s="1"/>
  <c r="F19" i="2" s="1"/>
  <c r="C43" i="2" s="1"/>
  <c r="M3" i="30" s="1"/>
  <c r="M22" i="30" s="1"/>
  <c r="E12" i="36"/>
  <c r="T12" i="36" s="1"/>
  <c r="H15" i="2"/>
  <c r="C15" i="2" s="1"/>
  <c r="F15" i="2" s="1"/>
  <c r="C39" i="2" s="1"/>
  <c r="I3" i="30" s="1"/>
  <c r="I22" i="30" s="1"/>
  <c r="E8" i="36"/>
  <c r="T8" i="36" s="1"/>
  <c r="H11" i="2"/>
  <c r="C11" i="2" s="1"/>
  <c r="E4" i="36"/>
  <c r="F11" i="2"/>
  <c r="C35" i="2" s="1"/>
  <c r="F39" i="31"/>
  <c r="F41" i="31" s="1"/>
  <c r="F18" i="31"/>
  <c r="F20" i="31" s="1"/>
  <c r="E37" i="2" l="1"/>
  <c r="G3" i="31" s="1"/>
  <c r="G24" i="31" s="1"/>
  <c r="F37" i="2"/>
  <c r="T4" i="36"/>
  <c r="E19" i="36"/>
  <c r="D37" i="2"/>
  <c r="C26" i="2"/>
  <c r="P19" i="30" s="1"/>
  <c r="E3" i="30"/>
  <c r="E22" i="30" s="1"/>
  <c r="E37" i="30" s="1"/>
  <c r="E40" i="31" s="1"/>
  <c r="F47" i="2"/>
  <c r="D47" i="2"/>
  <c r="E48" i="2"/>
  <c r="R3" i="31" s="1"/>
  <c r="F48" i="2"/>
  <c r="D49" i="2"/>
  <c r="D48" i="2"/>
  <c r="E47" i="2"/>
  <c r="Q3" i="31" s="1"/>
  <c r="E46" i="2"/>
  <c r="P3" i="31" s="1"/>
  <c r="F49" i="2"/>
  <c r="E49" i="2"/>
  <c r="S3" i="31" s="1"/>
  <c r="D46" i="2"/>
  <c r="F46" i="2"/>
  <c r="F42" i="2"/>
  <c r="D39" i="2"/>
  <c r="D43" i="2"/>
  <c r="E43" i="2"/>
  <c r="M3" i="31" s="1"/>
  <c r="M24" i="31" s="1"/>
  <c r="E39" i="2"/>
  <c r="I3" i="31" s="1"/>
  <c r="I24" i="31" s="1"/>
  <c r="F38" i="2"/>
  <c r="E38" i="2"/>
  <c r="H3" i="31" s="1"/>
  <c r="H24" i="31" s="1"/>
  <c r="E44" i="2"/>
  <c r="N3" i="31" s="1"/>
  <c r="N24" i="31" s="1"/>
  <c r="F35" i="2"/>
  <c r="F44" i="2"/>
  <c r="E35" i="2"/>
  <c r="E3" i="31" s="1"/>
  <c r="E24" i="31" s="1"/>
  <c r="F43" i="2"/>
  <c r="F40" i="2"/>
  <c r="D41" i="2"/>
  <c r="D35" i="2"/>
  <c r="E45" i="2"/>
  <c r="O3" i="31" s="1"/>
  <c r="O24" i="31" s="1"/>
  <c r="E42" i="2"/>
  <c r="L3" i="31" s="1"/>
  <c r="L24" i="31" s="1"/>
  <c r="F41" i="2"/>
  <c r="F45" i="2"/>
  <c r="D44" i="2"/>
  <c r="D45" i="2"/>
  <c r="E40" i="2"/>
  <c r="J3" i="31" s="1"/>
  <c r="J24" i="31" s="1"/>
  <c r="F39" i="2"/>
  <c r="D38" i="2"/>
  <c r="D42" i="2"/>
  <c r="E41" i="2"/>
  <c r="K3" i="31" s="1"/>
  <c r="K24" i="31" s="1"/>
  <c r="D40" i="2"/>
  <c r="J37" i="30"/>
  <c r="J40" i="31" s="1"/>
  <c r="J18" i="30"/>
  <c r="M37" i="30"/>
  <c r="M40" i="31" s="1"/>
  <c r="M18" i="30"/>
  <c r="N37" i="30"/>
  <c r="N40" i="31" s="1"/>
  <c r="N18" i="30"/>
  <c r="H37" i="30"/>
  <c r="H40" i="31" s="1"/>
  <c r="H18" i="30"/>
  <c r="E18" i="30"/>
  <c r="E19" i="31" s="1"/>
  <c r="L37" i="30"/>
  <c r="L40" i="31" s="1"/>
  <c r="L18" i="30"/>
  <c r="I37" i="30"/>
  <c r="I40" i="31" s="1"/>
  <c r="I18" i="30"/>
  <c r="O40" i="31"/>
  <c r="O18" i="30"/>
  <c r="G37" i="30"/>
  <c r="G40" i="31" s="1"/>
  <c r="G18" i="30"/>
  <c r="K37" i="30"/>
  <c r="K40" i="31" s="1"/>
  <c r="K18" i="30"/>
  <c r="I19" i="31" l="1"/>
  <c r="G3" i="33" s="1"/>
  <c r="G53" i="33"/>
  <c r="O19" i="31"/>
  <c r="M3" i="33" s="1"/>
  <c r="M53" i="33"/>
  <c r="L19" i="31"/>
  <c r="J3" i="33" s="1"/>
  <c r="J53" i="33"/>
  <c r="N19" i="31"/>
  <c r="L3" i="33" s="1"/>
  <c r="L53" i="33"/>
  <c r="H19" i="31"/>
  <c r="F3" i="33" s="1"/>
  <c r="F53" i="33"/>
  <c r="M19" i="31"/>
  <c r="K3" i="33" s="1"/>
  <c r="K53" i="33"/>
  <c r="J19" i="31"/>
  <c r="H3" i="33" s="1"/>
  <c r="H53" i="33"/>
  <c r="G19" i="31"/>
  <c r="E3" i="33" s="1"/>
  <c r="E53" i="33"/>
  <c r="K19" i="31"/>
  <c r="I3" i="33" s="1"/>
  <c r="I53" i="33"/>
  <c r="Q24" i="31"/>
  <c r="Q39" i="31" s="1"/>
  <c r="Q18" i="31"/>
  <c r="Q20" i="31" s="1"/>
  <c r="R24" i="31"/>
  <c r="R39" i="31" s="1"/>
  <c r="R18" i="31"/>
  <c r="R20" i="31" s="1"/>
  <c r="S24" i="31"/>
  <c r="S39" i="31" s="1"/>
  <c r="S18" i="31"/>
  <c r="S20" i="31" s="1"/>
  <c r="P24" i="31"/>
  <c r="P39" i="31" s="1"/>
  <c r="P18" i="31"/>
  <c r="P20" i="31" s="1"/>
  <c r="O39" i="31"/>
  <c r="O41" i="31" s="1"/>
  <c r="O18" i="31"/>
  <c r="O20" i="31" s="1"/>
  <c r="H39" i="31"/>
  <c r="H41" i="31" s="1"/>
  <c r="H18" i="31"/>
  <c r="H20" i="31" s="1"/>
  <c r="I39" i="31"/>
  <c r="I41" i="31" s="1"/>
  <c r="I18" i="31"/>
  <c r="I20" i="31" s="1"/>
  <c r="M39" i="31"/>
  <c r="M41" i="31" s="1"/>
  <c r="M18" i="31"/>
  <c r="L39" i="31"/>
  <c r="L41" i="31" s="1"/>
  <c r="L18" i="31"/>
  <c r="J39" i="31"/>
  <c r="J41" i="31" s="1"/>
  <c r="J18" i="31"/>
  <c r="G39" i="31"/>
  <c r="G41" i="31" s="1"/>
  <c r="G18" i="31"/>
  <c r="E39" i="31"/>
  <c r="E41" i="31" s="1"/>
  <c r="E18" i="31"/>
  <c r="E20" i="31" s="1"/>
  <c r="N39" i="31"/>
  <c r="N41" i="31" s="1"/>
  <c r="N18" i="31"/>
  <c r="N20" i="31" s="1"/>
  <c r="K39" i="31"/>
  <c r="K41" i="31" s="1"/>
  <c r="K18" i="31"/>
  <c r="K20" i="31" s="1"/>
  <c r="G20" i="31" l="1"/>
  <c r="J20" i="31"/>
  <c r="M20" i="31"/>
  <c r="L20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Chambers, Adam - NRCS, Portland, OR</author>
  </authors>
  <commentList>
    <comment ref="E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Chambers, Adam - NRCS, Portland, OR:</t>
        </r>
        <r>
          <rPr>
            <sz val="9"/>
            <color indexed="81"/>
            <rFont val="Tahoma"/>
            <family val="2"/>
          </rPr>
          <t xml:space="preserve">
COMET-Planner Emission Factor - see posting to right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Chambers, Adam - NRCS, Portland, OR</author>
  </authors>
  <commentList>
    <comment ref="E4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Chambers, Adam - NRCS, Portland, OR:</t>
        </r>
        <r>
          <rPr>
            <sz val="9"/>
            <color indexed="81"/>
            <rFont val="Tahoma"/>
            <family val="2"/>
          </rPr>
          <t xml:space="preserve">
COMET-Planner, see screen shot to right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Chambers, Adam - NRCS, Portland, OR</author>
  </authors>
  <commentList>
    <comment ref="E4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Chambers, Adam - NRCS, Portland, OR:</t>
        </r>
        <r>
          <rPr>
            <sz val="9"/>
            <color indexed="81"/>
            <rFont val="Tahoma"/>
            <family val="2"/>
          </rPr>
          <t xml:space="preserve">
COMET-Planner, see screen shot to right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Chambers, Adam - NRCS, Portland, OR</author>
  </authors>
  <commentList>
    <comment ref="E4" authorId="0" shapeId="0" xr:uid="{00000000-0006-0000-1700-000001000000}">
      <text>
        <r>
          <rPr>
            <b/>
            <sz val="9"/>
            <color indexed="81"/>
            <rFont val="Tahoma"/>
            <family val="2"/>
          </rPr>
          <t>Chambers, Adam - NRCS, Portland, OR:</t>
        </r>
        <r>
          <rPr>
            <sz val="9"/>
            <color indexed="81"/>
            <rFont val="Tahoma"/>
            <family val="2"/>
          </rPr>
          <t xml:space="preserve">
COMET-Planner, see screen shot to right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Chambers, Adam - NRCS, Portland, OR</author>
  </authors>
  <commentList>
    <comment ref="E4" authorId="0" shapeId="0" xr:uid="{00000000-0006-0000-1900-000001000000}">
      <text>
        <r>
          <rPr>
            <b/>
            <sz val="9"/>
            <color indexed="81"/>
            <rFont val="Tahoma"/>
            <family val="2"/>
          </rPr>
          <t>Chambers, Adam - NRCS, Portland, OR:</t>
        </r>
        <r>
          <rPr>
            <sz val="9"/>
            <color indexed="81"/>
            <rFont val="Tahoma"/>
            <family val="2"/>
          </rPr>
          <t xml:space="preserve">
COMET-Planner Value, see screen shot to right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Chambers, Adam - NRCS, Portland, OR</author>
  </authors>
  <commentList>
    <comment ref="E4" authorId="0" shapeId="0" xr:uid="{00000000-0006-0000-1B00-000001000000}">
      <text>
        <r>
          <rPr>
            <b/>
            <sz val="9"/>
            <color indexed="81"/>
            <rFont val="Tahoma"/>
            <family val="2"/>
          </rPr>
          <t>Chambers, Adam - NRCS, Portland, OR:</t>
        </r>
        <r>
          <rPr>
            <sz val="9"/>
            <color indexed="81"/>
            <rFont val="Tahoma"/>
            <family val="2"/>
          </rPr>
          <t xml:space="preserve">
COMET-Planner, see screen shot to right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Chambers, Adam - NRCS, Portland, OR</author>
  </authors>
  <commentList>
    <comment ref="E4" authorId="0" shapeId="0" xr:uid="{00000000-0006-0000-1D00-000001000000}">
      <text>
        <r>
          <rPr>
            <b/>
            <sz val="9"/>
            <color indexed="81"/>
            <rFont val="Tahoma"/>
            <family val="2"/>
          </rPr>
          <t>Chambers, Adam - NRCS, Portland, OR:</t>
        </r>
        <r>
          <rPr>
            <sz val="9"/>
            <color indexed="81"/>
            <rFont val="Tahoma"/>
            <family val="2"/>
          </rPr>
          <t xml:space="preserve">
COMET-Planner, see screen shot to right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Chambers, Adam - NRCS, Portland, OR</author>
  </authors>
  <commentList>
    <comment ref="E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Chambers, Adam - NRCS, Portland, OR:</t>
        </r>
        <r>
          <rPr>
            <sz val="9"/>
            <color indexed="81"/>
            <rFont val="Tahoma"/>
            <family val="2"/>
          </rPr>
          <t xml:space="preserve">
COMET-Planner factor, see screen shot to right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Chambers, Adam - NRCS, Portland, OR</author>
  </authors>
  <commentList>
    <comment ref="E4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Chambers, Adam - NRCS, Portland, OR:</t>
        </r>
        <r>
          <rPr>
            <sz val="9"/>
            <color indexed="81"/>
            <rFont val="Tahoma"/>
            <family val="2"/>
          </rPr>
          <t xml:space="preserve">
Emission factor from COMET-Planner - see right side of this spreadsheet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Chambers, Adam - NRCS, Portland, OR</author>
  </authors>
  <commentList>
    <comment ref="E4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Chambers, Adam - NRCS, Portland, OR:</t>
        </r>
        <r>
          <rPr>
            <sz val="9"/>
            <color indexed="81"/>
            <rFont val="Tahoma"/>
            <family val="2"/>
          </rPr>
          <t xml:space="preserve">
COMET-Planner emission factor, see screen shot to right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Chambers, Adam - NRCS, Portland, OR</author>
  </authors>
  <commentList>
    <comment ref="E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Chambers, Adam - NRCS, Portland, OR:</t>
        </r>
        <r>
          <rPr>
            <sz val="9"/>
            <color indexed="81"/>
            <rFont val="Tahoma"/>
            <family val="2"/>
          </rPr>
          <t xml:space="preserve">
COMET-Planner Value, see screen shot to right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Chambers, Adam - NRCS, Portland, OR</author>
  </authors>
  <commentList>
    <comment ref="E4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Chambers, Adam - NRCS, Portland, OR:</t>
        </r>
        <r>
          <rPr>
            <sz val="9"/>
            <color indexed="81"/>
            <rFont val="Tahoma"/>
            <family val="2"/>
          </rPr>
          <t xml:space="preserve">
Estimated factor, need more lit support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Chambers, Adam - NRCS, Portland, OR</author>
  </authors>
  <commentList>
    <comment ref="E4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Chambers, Adam - NRCS, Portland, OR:</t>
        </r>
        <r>
          <rPr>
            <sz val="9"/>
            <color indexed="81"/>
            <rFont val="Tahoma"/>
            <family val="2"/>
          </rPr>
          <t xml:space="preserve">
COMET-Planner factor, see screen shot to right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Chambers, Adam - NRCS, Portland, OR</author>
  </authors>
  <commentList>
    <comment ref="E4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Chambers, Adam - NRCS, Portland, OR:</t>
        </r>
        <r>
          <rPr>
            <sz val="9"/>
            <color indexed="81"/>
            <rFont val="Tahoma"/>
            <family val="2"/>
          </rPr>
          <t xml:space="preserve">
COMET-Planner, see screen shot to right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Chambers, Adam - NRCS, Portland, OR</author>
  </authors>
  <commentList>
    <comment ref="E4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Chambers, Adam - NRCS, Portland, OR:</t>
        </r>
        <r>
          <rPr>
            <sz val="9"/>
            <color indexed="81"/>
            <rFont val="Tahoma"/>
            <family val="2"/>
          </rPr>
          <t xml:space="preserve">
COMET-Planner Emission Factor, screen shot to right.</t>
        </r>
      </text>
    </comment>
  </commentList>
</comments>
</file>

<file path=xl/sharedStrings.xml><?xml version="1.0" encoding="utf-8"?>
<sst xmlns="http://schemas.openxmlformats.org/spreadsheetml/2006/main" count="1264" uniqueCount="93">
  <si>
    <t>Year</t>
  </si>
  <si>
    <t>ACEP</t>
  </si>
  <si>
    <t>AMA</t>
  </si>
  <si>
    <t>AWEP</t>
  </si>
  <si>
    <t>BCAP</t>
  </si>
  <si>
    <t>CBWI</t>
  </si>
  <si>
    <t>CStwP</t>
  </si>
  <si>
    <t>CTA-GENRL</t>
  </si>
  <si>
    <t>CTA-GLC</t>
  </si>
  <si>
    <t>EQIP</t>
  </si>
  <si>
    <t>EWP</t>
  </si>
  <si>
    <t>FRPP</t>
  </si>
  <si>
    <t>GRP</t>
  </si>
  <si>
    <t>RCD</t>
  </si>
  <si>
    <t>WF-03</t>
  </si>
  <si>
    <t>WF-08</t>
  </si>
  <si>
    <t>WFPO-RECOV</t>
  </si>
  <si>
    <t>WHIP</t>
  </si>
  <si>
    <t>TOTAL Applied</t>
  </si>
  <si>
    <t>Data Source:</t>
  </si>
  <si>
    <t>NPAD</t>
  </si>
  <si>
    <t>CRP</t>
  </si>
  <si>
    <t>REAP</t>
  </si>
  <si>
    <t>WRP</t>
  </si>
  <si>
    <t>Programs (Units for CPS 327 are Acres)</t>
  </si>
  <si>
    <t>Updated REAP Data</t>
  </si>
  <si>
    <t>Applied Year</t>
  </si>
  <si>
    <t>Prac Amount</t>
  </si>
  <si>
    <t>practice_units</t>
  </si>
  <si>
    <t>Emission Reduction TCO2e/ac</t>
  </si>
  <si>
    <t>TCO2e/yr Reduced by This NRCS Practice</t>
  </si>
  <si>
    <t>Payment</t>
  </si>
  <si>
    <t>ac</t>
  </si>
  <si>
    <t>Annual Emissions Reduction (tonnes)</t>
  </si>
  <si>
    <t>Emissions Reduction plus 50% Conservation Legacy Effect (tonnes)</t>
  </si>
  <si>
    <t>Emissions Reduction plus 75% Conservation Legacy Effect (tonnes)</t>
  </si>
  <si>
    <t>Emissions Reduction plus 100% Conservation Legacy Effect (tonnes)</t>
  </si>
  <si>
    <t>Programs (Units for CPS 328 are Acres)</t>
  </si>
  <si>
    <t>Programs (Units for CPS 329 are Acres)</t>
  </si>
  <si>
    <t>Programs (Units for CPS 329A are Acres)</t>
  </si>
  <si>
    <t>Programs (Units for CPS 329B are Acres)</t>
  </si>
  <si>
    <t>Programs (Units for CPS 330 are Acres)</t>
  </si>
  <si>
    <t>Programs (Units for CPS 332 are Acres)</t>
  </si>
  <si>
    <t>Programs (Units for CPS 340 are Acres)</t>
  </si>
  <si>
    <t>Programs (Units for CPS 345 are Acres)</t>
  </si>
  <si>
    <t>Programs (Units for CPS 386 are Acres)</t>
  </si>
  <si>
    <t>Programs (Units for CPS 393 are Acres)</t>
  </si>
  <si>
    <t>Programs (Units for CPS 412 are Acres)</t>
  </si>
  <si>
    <t>Programs (Units for CPS 585 are Acres)</t>
  </si>
  <si>
    <t>Programs (Units for CPS 601 are Linear Feet)</t>
  </si>
  <si>
    <t>Programs (Units for CPS 603 are Linear Feet)</t>
  </si>
  <si>
    <t>Climate Change Mitigation Building Block</t>
  </si>
  <si>
    <t xml:space="preserve">Conservation Practice Standard </t>
  </si>
  <si>
    <t>Soil Health</t>
  </si>
  <si>
    <t>Conservation Cover (ac)</t>
  </si>
  <si>
    <t>Conservation Crop Rotation (ac)</t>
  </si>
  <si>
    <t>Residue and Tillage Management, No Till (ac)</t>
  </si>
  <si>
    <t>329A</t>
  </si>
  <si>
    <t>Strip Till (ac)</t>
  </si>
  <si>
    <t>329B</t>
  </si>
  <si>
    <t>Mulch Till (ac)</t>
  </si>
  <si>
    <t>Contour Farming (ac)</t>
  </si>
  <si>
    <t>Contour Buffer Strips (ac)</t>
  </si>
  <si>
    <t>Cover Crop (ac)</t>
  </si>
  <si>
    <t>Residue and Tillage Management, Reduced Till (ac)</t>
  </si>
  <si>
    <t>Field Boarder (ac)</t>
  </si>
  <si>
    <t>Filter Strips (ac)</t>
  </si>
  <si>
    <t>Grassed Waterways (ac)</t>
  </si>
  <si>
    <t>Stripcropping (ac)</t>
  </si>
  <si>
    <t>Vegetative Barriers (ft)</t>
  </si>
  <si>
    <t>Herbaceous Wind Barriers (ft)</t>
  </si>
  <si>
    <t>Total</t>
  </si>
  <si>
    <t>Direct Carbon Benefits to Soil by Year (Thousand Metric Tonnes C stored in Healthy Soils per year)</t>
  </si>
  <si>
    <t>Total w/o Legacy Effect</t>
  </si>
  <si>
    <t>Difference in multiples</t>
  </si>
  <si>
    <t>Emissions Reduction plus 10% Conservation Legacy Effect (tonnes)</t>
  </si>
  <si>
    <t>Direct Benefits by Year (Metric Tons CO2e)</t>
  </si>
  <si>
    <t>Direct Carbon Benefits to Soil by Year (Metric Tonnes C stored in Healthy Soils per year)</t>
  </si>
  <si>
    <r>
      <t xml:space="preserve">Direct Benefits </t>
    </r>
    <r>
      <rPr>
        <b/>
        <u/>
        <sz val="11"/>
        <color rgb="FFFF0000"/>
        <rFont val="Calibri"/>
        <family val="2"/>
        <scheme val="minor"/>
      </rPr>
      <t>PLUS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APPROPRIATE</t>
    </r>
    <r>
      <rPr>
        <sz val="11"/>
        <color theme="1"/>
        <rFont val="Calibri"/>
        <family val="2"/>
        <scheme val="minor"/>
      </rPr>
      <t xml:space="preserve"> percent Conservation Legacy Effect by Year (Metric Tonnes CO2e)</t>
    </r>
  </si>
  <si>
    <t>Total with Appropriate Legacy Effect</t>
  </si>
  <si>
    <t>Total Acres (2004-2014)</t>
  </si>
  <si>
    <t>No Longer Used</t>
  </si>
  <si>
    <t>NRCS-Colorado Atmospheric Benefits (cropland)</t>
  </si>
  <si>
    <t>NRCS-California Atmospheric Benefits (cropland)</t>
  </si>
  <si>
    <t>NRCS-Colorado Atmospheric Benefits (graze/pasture)</t>
  </si>
  <si>
    <t>NRCS-California Atmospheric Benefits (graze/pasture)</t>
  </si>
  <si>
    <t>Total Acres</t>
  </si>
  <si>
    <t>Acres Per Year</t>
  </si>
  <si>
    <t>Total Acreage</t>
  </si>
  <si>
    <t>SUM</t>
  </si>
  <si>
    <t xml:space="preserve">Soil Health and Climate Mitigation </t>
  </si>
  <si>
    <t>Climate Change Mitigation Benefits</t>
  </si>
  <si>
    <t>NRCS-Colorado Atmospheric Benefits (grazing/pasture lands)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</si>
</sst>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3" formatCode="_(* #,##0.00_);_(* \(#,##0.00\);_(* &quot;-&quot;??_);_(@_)"/>
    <numFmt numFmtId="164" formatCode="_(* #,##0_);_(* \(#,##0\);_(* &quot;-&quot;??_);_(@_)"/>
    <numFmt numFmtId="165" formatCode="dd\-mmm\-yy"/>
    <numFmt numFmtId="166" formatCode="&quot;$&quot;#,##0.00;\(&quot;$&quot;#,##0.00\)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1"/>
      <color rgb="FF000000"/>
      <name val="Calibri"/>
      <family val="2"/>
      <scheme val="minor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b/>
      <u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7.7"/>
      <color theme="1"/>
      <name val="Arial"/>
      <family val="2"/>
    </font>
    <font>
      <sz val="11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22"/>
      </right>
      <top style="thin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rgb="FF000000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rgb="FFC0C0C0"/>
      </left>
      <right style="double">
        <color rgb="FFC0C0C0"/>
      </right>
      <top/>
      <bottom style="double">
        <color rgb="FFC0C0C0"/>
      </bottom>
      <diagonal/>
    </border>
    <border>
      <left style="double">
        <color rgb="FFC0C0C0"/>
      </left>
      <right style="double">
        <color rgb="FFC0C0C0"/>
      </right>
      <top/>
      <bottom/>
      <diagonal/>
    </border>
    <border>
      <left/>
      <right style="double">
        <color rgb="FFC0C0C0"/>
      </right>
      <top/>
      <bottom style="double">
        <color rgb="FFC0C0C0"/>
      </bottom>
      <diagonal/>
    </border>
    <border>
      <left style="double">
        <color rgb="FFC0C0C0"/>
      </left>
      <right style="double">
        <color rgb="FFC0C0C0"/>
      </right>
      <top style="double">
        <color indexed="64"/>
      </top>
      <bottom/>
      <diagonal/>
    </border>
    <border>
      <left/>
      <right style="double">
        <color rgb="FFC0C0C0"/>
      </right>
      <top/>
      <bottom/>
      <diagonal/>
    </border>
    <border>
      <left/>
      <right/>
      <top style="double">
        <color indexed="64"/>
      </top>
      <bottom/>
      <diagonal/>
    </border>
    <border>
      <left style="double">
        <color rgb="FFC0C0C0"/>
      </left>
      <right/>
      <top/>
      <bottom style="double">
        <color rgb="FFC0C0C0"/>
      </bottom>
      <diagonal/>
    </border>
  </borders>
  <cellStyleXfs count="20">
    <xf numFmtId="0" fontId="0" fillId="0" borderId="0"/>
    <xf numFmtId="0" fontId="4" fillId="0" borderId="0"/>
    <xf numFmtId="0" fontId="5" fillId="0" borderId="0"/>
    <xf numFmtId="43" fontId="8" fillId="0" borderId="0" applyFont="0" applyFill="0" applyBorder="0" applyAlignment="0" applyProtection="0"/>
    <xf numFmtId="0" fontId="9" fillId="3" borderId="0" applyNumberFormat="0" applyBorder="0" applyAlignment="0" applyProtection="0"/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0" fillId="0" borderId="0"/>
  </cellStyleXfs>
  <cellXfs count="102">
    <xf numFmtId="0" fontId="0" fillId="0" borderId="0" xfId="0"/>
    <xf numFmtId="0" fontId="2" fillId="0" borderId="0" xfId="0" applyFont="1" applyFill="1" applyBorder="1" applyAlignment="1">
      <alignment horizontal="left" indent="1"/>
    </xf>
    <xf numFmtId="0" fontId="1" fillId="0" borderId="0" xfId="0" applyFont="1"/>
    <xf numFmtId="0" fontId="0" fillId="0" borderId="0" xfId="0" applyAlignment="1">
      <alignment horizontal="right"/>
    </xf>
    <xf numFmtId="1" fontId="6" fillId="0" borderId="1" xfId="2" applyNumberFormat="1" applyFont="1" applyFill="1" applyBorder="1" applyAlignment="1">
      <alignment horizontal="right" wrapText="1"/>
    </xf>
    <xf numFmtId="1" fontId="0" fillId="0" borderId="0" xfId="0" applyNumberForma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3" fontId="7" fillId="0" borderId="0" xfId="0" applyNumberFormat="1" applyFont="1" applyFill="1" applyBorder="1"/>
    <xf numFmtId="164" fontId="0" fillId="2" borderId="0" xfId="3" applyNumberFormat="1" applyFont="1" applyFill="1" applyAlignment="1">
      <alignment horizontal="right"/>
    </xf>
    <xf numFmtId="0" fontId="11" fillId="4" borderId="2" xfId="5" applyFont="1" applyFill="1" applyBorder="1" applyAlignment="1">
      <alignment horizontal="center"/>
    </xf>
    <xf numFmtId="0" fontId="11" fillId="0" borderId="1" xfId="5" applyFont="1" applyFill="1" applyBorder="1" applyAlignment="1">
      <alignment wrapText="1"/>
    </xf>
    <xf numFmtId="0" fontId="11" fillId="0" borderId="1" xfId="5" applyFont="1" applyFill="1" applyBorder="1" applyAlignment="1">
      <alignment horizontal="right" wrapText="1"/>
    </xf>
    <xf numFmtId="165" fontId="11" fillId="0" borderId="1" xfId="5" applyNumberFormat="1" applyFont="1" applyFill="1" applyBorder="1" applyAlignment="1">
      <alignment horizontal="right" wrapText="1"/>
    </xf>
    <xf numFmtId="0" fontId="11" fillId="4" borderId="2" xfId="6" applyFont="1" applyFill="1" applyBorder="1" applyAlignment="1">
      <alignment horizontal="right"/>
    </xf>
    <xf numFmtId="0" fontId="6" fillId="4" borderId="2" xfId="7" applyFont="1" applyFill="1" applyBorder="1" applyAlignment="1">
      <alignment horizontal="center"/>
    </xf>
    <xf numFmtId="0" fontId="11" fillId="0" borderId="1" xfId="6" applyFont="1" applyFill="1" applyBorder="1" applyAlignment="1">
      <alignment horizontal="right" wrapText="1"/>
    </xf>
    <xf numFmtId="2" fontId="11" fillId="0" borderId="1" xfId="6" applyNumberFormat="1" applyFont="1" applyFill="1" applyBorder="1" applyAlignment="1">
      <alignment horizontal="right" wrapText="1"/>
    </xf>
    <xf numFmtId="0" fontId="11" fillId="0" borderId="1" xfId="6" applyFont="1" applyFill="1" applyBorder="1" applyAlignment="1">
      <alignment wrapText="1"/>
    </xf>
    <xf numFmtId="2" fontId="11" fillId="0" borderId="1" xfId="5" applyNumberFormat="1" applyFont="1" applyFill="1" applyBorder="1" applyAlignment="1">
      <alignment wrapText="1"/>
    </xf>
    <xf numFmtId="1" fontId="11" fillId="0" borderId="1" xfId="5" applyNumberFormat="1" applyFont="1" applyFill="1" applyBorder="1" applyAlignment="1">
      <alignment wrapText="1"/>
    </xf>
    <xf numFmtId="0" fontId="6" fillId="0" borderId="1" xfId="7" applyFont="1" applyFill="1" applyBorder="1" applyAlignment="1">
      <alignment horizontal="right" wrapText="1"/>
    </xf>
    <xf numFmtId="0" fontId="0" fillId="0" borderId="0" xfId="0" applyFill="1"/>
    <xf numFmtId="0" fontId="11" fillId="4" borderId="2" xfId="6" applyFont="1" applyFill="1" applyBorder="1" applyAlignment="1">
      <alignment horizontal="center" wrapText="1"/>
    </xf>
    <xf numFmtId="166" fontId="11" fillId="0" borderId="1" xfId="8" applyNumberFormat="1" applyFont="1" applyFill="1" applyBorder="1" applyAlignment="1">
      <alignment horizontal="right" wrapText="1"/>
    </xf>
    <xf numFmtId="7" fontId="0" fillId="0" borderId="0" xfId="0" applyNumberFormat="1"/>
    <xf numFmtId="1" fontId="6" fillId="0" borderId="1" xfId="7" applyNumberFormat="1" applyFont="1" applyFill="1" applyBorder="1" applyAlignment="1">
      <alignment horizontal="right" wrapText="1"/>
    </xf>
    <xf numFmtId="164" fontId="0" fillId="2" borderId="0" xfId="3" applyNumberFormat="1" applyFont="1" applyFill="1"/>
    <xf numFmtId="0" fontId="6" fillId="4" borderId="2" xfId="9" applyFont="1" applyFill="1" applyBorder="1" applyAlignment="1">
      <alignment horizontal="center"/>
    </xf>
    <xf numFmtId="0" fontId="6" fillId="4" borderId="2" xfId="10" applyFont="1" applyFill="1" applyBorder="1" applyAlignment="1">
      <alignment horizontal="center"/>
    </xf>
    <xf numFmtId="0" fontId="11" fillId="0" borderId="1" xfId="11" applyFont="1" applyFill="1" applyBorder="1" applyAlignment="1">
      <alignment horizontal="right" wrapText="1"/>
    </xf>
    <xf numFmtId="0" fontId="6" fillId="0" borderId="1" xfId="10" applyFont="1" applyFill="1" applyBorder="1" applyAlignment="1">
      <alignment horizontal="right" wrapText="1"/>
    </xf>
    <xf numFmtId="0" fontId="0" fillId="5" borderId="0" xfId="0" applyFill="1"/>
    <xf numFmtId="164" fontId="0" fillId="5" borderId="0" xfId="3" applyNumberFormat="1" applyFont="1" applyFill="1"/>
    <xf numFmtId="2" fontId="11" fillId="0" borderId="1" xfId="5" applyNumberFormat="1" applyFont="1" applyFill="1" applyBorder="1" applyAlignment="1">
      <alignment horizontal="right" wrapText="1"/>
    </xf>
    <xf numFmtId="2" fontId="0" fillId="0" borderId="0" xfId="0" applyNumberFormat="1"/>
    <xf numFmtId="0" fontId="6" fillId="4" borderId="2" xfId="12" applyFont="1" applyFill="1" applyBorder="1" applyAlignment="1">
      <alignment horizontal="center"/>
    </xf>
    <xf numFmtId="0" fontId="6" fillId="0" borderId="1" xfId="12" applyFont="1" applyFill="1" applyBorder="1" applyAlignment="1">
      <alignment horizontal="right" wrapText="1"/>
    </xf>
    <xf numFmtId="0" fontId="6" fillId="4" borderId="2" xfId="13" applyFont="1" applyFill="1" applyBorder="1" applyAlignment="1">
      <alignment horizontal="center"/>
    </xf>
    <xf numFmtId="0" fontId="6" fillId="0" borderId="1" xfId="13" applyFont="1" applyFill="1" applyBorder="1" applyAlignment="1">
      <alignment horizontal="right" wrapText="1"/>
    </xf>
    <xf numFmtId="0" fontId="6" fillId="4" borderId="2" xfId="14" applyFont="1" applyFill="1" applyBorder="1" applyAlignment="1">
      <alignment horizontal="center"/>
    </xf>
    <xf numFmtId="0" fontId="6" fillId="0" borderId="1" xfId="14" applyFont="1" applyFill="1" applyBorder="1" applyAlignment="1">
      <alignment horizontal="right" wrapText="1"/>
    </xf>
    <xf numFmtId="0" fontId="6" fillId="4" borderId="2" xfId="15" applyFont="1" applyFill="1" applyBorder="1" applyAlignment="1">
      <alignment horizontal="center"/>
    </xf>
    <xf numFmtId="0" fontId="6" fillId="0" borderId="1" xfId="15" applyFont="1" applyFill="1" applyBorder="1" applyAlignment="1">
      <alignment horizontal="right" wrapText="1"/>
    </xf>
    <xf numFmtId="0" fontId="6" fillId="4" borderId="2" xfId="16" applyFont="1" applyFill="1" applyBorder="1" applyAlignment="1">
      <alignment horizontal="center"/>
    </xf>
    <xf numFmtId="0" fontId="11" fillId="5" borderId="1" xfId="5" applyFont="1" applyFill="1" applyBorder="1" applyAlignment="1">
      <alignment horizontal="right" wrapText="1"/>
    </xf>
    <xf numFmtId="0" fontId="6" fillId="5" borderId="1" xfId="17" applyFont="1" applyFill="1" applyBorder="1" applyAlignment="1">
      <alignment horizontal="right" wrapText="1"/>
    </xf>
    <xf numFmtId="0" fontId="0" fillId="5" borderId="0" xfId="0" applyFill="1" applyAlignment="1">
      <alignment horizontal="right"/>
    </xf>
    <xf numFmtId="0" fontId="6" fillId="4" borderId="2" xfId="18" applyFont="1" applyFill="1" applyBorder="1" applyAlignment="1">
      <alignment horizontal="center"/>
    </xf>
    <xf numFmtId="0" fontId="6" fillId="0" borderId="1" xfId="18" applyFont="1" applyFill="1" applyBorder="1" applyAlignment="1">
      <alignment horizontal="right" wrapText="1"/>
    </xf>
    <xf numFmtId="0" fontId="14" fillId="6" borderId="5" xfId="0" applyFont="1" applyFill="1" applyBorder="1" applyAlignment="1">
      <alignment vertical="center"/>
    </xf>
    <xf numFmtId="0" fontId="16" fillId="0" borderId="10" xfId="0" applyFont="1" applyBorder="1" applyAlignment="1">
      <alignment horizontal="right" vertical="center" wrapText="1"/>
    </xf>
    <xf numFmtId="0" fontId="16" fillId="0" borderId="10" xfId="0" applyFont="1" applyBorder="1" applyAlignment="1">
      <alignment vertical="center" wrapText="1"/>
    </xf>
    <xf numFmtId="0" fontId="1" fillId="7" borderId="0" xfId="0" applyFont="1" applyFill="1"/>
    <xf numFmtId="0" fontId="16" fillId="0" borderId="12" xfId="0" applyFont="1" applyFill="1" applyBorder="1" applyAlignment="1">
      <alignment vertical="center" wrapText="1"/>
    </xf>
    <xf numFmtId="0" fontId="15" fillId="0" borderId="12" xfId="0" applyFont="1" applyFill="1" applyBorder="1" applyAlignment="1">
      <alignment horizontal="center" vertical="center" wrapText="1"/>
    </xf>
    <xf numFmtId="164" fontId="1" fillId="0" borderId="0" xfId="3" applyNumberFormat="1" applyFont="1" applyAlignment="1">
      <alignment horizontal="center" vertical="center"/>
    </xf>
    <xf numFmtId="164" fontId="0" fillId="0" borderId="0" xfId="3" applyNumberFormat="1" applyFont="1"/>
    <xf numFmtId="0" fontId="16" fillId="0" borderId="0" xfId="0" applyFont="1" applyFill="1" applyBorder="1" applyAlignment="1">
      <alignment vertical="center" wrapText="1"/>
    </xf>
    <xf numFmtId="3" fontId="19" fillId="0" borderId="0" xfId="0" applyNumberFormat="1" applyFont="1" applyFill="1" applyBorder="1"/>
    <xf numFmtId="0" fontId="5" fillId="0" borderId="0" xfId="10"/>
    <xf numFmtId="43" fontId="0" fillId="0" borderId="0" xfId="3" applyFont="1"/>
    <xf numFmtId="43" fontId="0" fillId="0" borderId="0" xfId="3" applyFont="1" applyAlignment="1">
      <alignment horizontal="right"/>
    </xf>
    <xf numFmtId="43" fontId="1" fillId="0" borderId="0" xfId="3" applyFont="1" applyAlignment="1">
      <alignment horizontal="center" vertical="center"/>
    </xf>
    <xf numFmtId="43" fontId="1" fillId="0" borderId="0" xfId="3" applyFont="1" applyFill="1" applyAlignment="1">
      <alignment horizontal="center" vertical="center"/>
    </xf>
    <xf numFmtId="164" fontId="1" fillId="0" borderId="0" xfId="3" applyNumberFormat="1" applyFont="1" applyFill="1" applyAlignment="1">
      <alignment horizontal="center" vertical="center"/>
    </xf>
    <xf numFmtId="1" fontId="11" fillId="0" borderId="0" xfId="5" applyNumberFormat="1" applyFont="1" applyFill="1" applyBorder="1" applyAlignment="1">
      <alignment wrapText="1"/>
    </xf>
    <xf numFmtId="0" fontId="6" fillId="0" borderId="0" xfId="7" applyFont="1" applyFill="1" applyBorder="1" applyAlignment="1">
      <alignment horizontal="right" wrapText="1"/>
    </xf>
    <xf numFmtId="0" fontId="11" fillId="0" borderId="0" xfId="5" applyFont="1" applyFill="1" applyBorder="1" applyAlignment="1">
      <alignment horizontal="right" wrapText="1"/>
    </xf>
    <xf numFmtId="166" fontId="11" fillId="0" borderId="0" xfId="8" applyNumberFormat="1" applyFont="1" applyFill="1" applyBorder="1" applyAlignment="1">
      <alignment horizontal="right" wrapText="1"/>
    </xf>
    <xf numFmtId="0" fontId="0" fillId="8" borderId="0" xfId="0" applyFill="1"/>
    <xf numFmtId="0" fontId="6" fillId="0" borderId="0" xfId="12" applyFont="1" applyFill="1" applyBorder="1" applyAlignment="1">
      <alignment horizontal="right" wrapText="1"/>
    </xf>
    <xf numFmtId="0" fontId="21" fillId="0" borderId="1" xfId="19" applyFont="1" applyFill="1" applyBorder="1" applyAlignment="1">
      <alignment horizontal="right" wrapText="1"/>
    </xf>
    <xf numFmtId="0" fontId="6" fillId="0" borderId="0" xfId="13" applyFont="1" applyFill="1" applyBorder="1" applyAlignment="1">
      <alignment horizontal="right" wrapText="1"/>
    </xf>
    <xf numFmtId="0" fontId="6" fillId="0" borderId="0" xfId="14" applyFont="1" applyFill="1" applyBorder="1" applyAlignment="1">
      <alignment horizontal="right" wrapText="1"/>
    </xf>
    <xf numFmtId="0" fontId="6" fillId="0" borderId="0" xfId="15" applyFont="1" applyFill="1" applyBorder="1" applyAlignment="1">
      <alignment horizontal="right" wrapText="1"/>
    </xf>
    <xf numFmtId="0" fontId="6" fillId="5" borderId="0" xfId="17" applyFont="1" applyFill="1" applyBorder="1" applyAlignment="1">
      <alignment horizontal="right" wrapText="1"/>
    </xf>
    <xf numFmtId="0" fontId="6" fillId="0" borderId="0" xfId="18" applyFont="1" applyFill="1" applyBorder="1" applyAlignment="1">
      <alignment horizontal="right" wrapText="1"/>
    </xf>
    <xf numFmtId="3" fontId="22" fillId="0" borderId="0" xfId="0" applyNumberFormat="1" applyFont="1"/>
    <xf numFmtId="0" fontId="22" fillId="0" borderId="0" xfId="0" applyFont="1"/>
    <xf numFmtId="43" fontId="0" fillId="0" borderId="0" xfId="0" applyNumberFormat="1"/>
    <xf numFmtId="0" fontId="23" fillId="0" borderId="1" xfId="19" applyFont="1" applyBorder="1" applyAlignment="1">
      <alignment horizontal="right" wrapText="1"/>
    </xf>
    <xf numFmtId="0" fontId="14" fillId="6" borderId="13" xfId="0" applyFont="1" applyFill="1" applyBorder="1" applyAlignment="1">
      <alignment vertical="center"/>
    </xf>
    <xf numFmtId="0" fontId="14" fillId="6" borderId="0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16" fillId="0" borderId="12" xfId="0" applyFont="1" applyFill="1" applyBorder="1" applyAlignment="1">
      <alignment horizontal="center" vertical="center" wrapText="1"/>
    </xf>
    <xf numFmtId="0" fontId="14" fillId="6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textRotation="90"/>
    </xf>
    <xf numFmtId="0" fontId="9" fillId="3" borderId="3" xfId="4" applyBorder="1" applyAlignment="1">
      <alignment horizontal="center" wrapText="1"/>
    </xf>
    <xf numFmtId="0" fontId="9" fillId="3" borderId="4" xfId="4" applyBorder="1" applyAlignment="1">
      <alignment horizontal="center" wrapText="1"/>
    </xf>
    <xf numFmtId="0" fontId="0" fillId="0" borderId="0" xfId="0" applyAlignment="1">
      <alignment horizontal="center"/>
    </xf>
    <xf numFmtId="0" fontId="14" fillId="6" borderId="7" xfId="0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4" fillId="6" borderId="7" xfId="0" applyFont="1" applyFill="1" applyBorder="1" applyAlignment="1">
      <alignment horizontal="center" vertical="center" wrapText="1"/>
    </xf>
    <xf numFmtId="0" fontId="14" fillId="6" borderId="6" xfId="0" applyFont="1" applyFill="1" applyBorder="1" applyAlignment="1">
      <alignment horizontal="center" vertical="center" wrapText="1"/>
    </xf>
  </cellXfs>
  <cellStyles count="20">
    <cellStyle name="Bad" xfId="4" builtinId="27"/>
    <cellStyle name="Comma" xfId="3" builtinId="3"/>
    <cellStyle name="Normal" xfId="0" builtinId="0"/>
    <cellStyle name="Normal 2" xfId="1" xr:uid="{00000000-0005-0000-0000-000003000000}"/>
    <cellStyle name="Normal_Emission Calcs 390 Riparian Her" xfId="15" xr:uid="{00000000-0005-0000-0000-000004000000}"/>
    <cellStyle name="Normal_Emission Calcs 528 Presc Grazin" xfId="14" xr:uid="{00000000-0005-0000-0000-000005000000}"/>
    <cellStyle name="Normal_Emission Calcs 601 Veg. Barrier" xfId="18" xr:uid="{00000000-0005-0000-0000-000006000000}"/>
    <cellStyle name="Normal_EmissionCalcs 329 No-till" xfId="10" xr:uid="{00000000-0005-0000-0000-000007000000}"/>
    <cellStyle name="Normal_EmissionCalcs 329A" xfId="12" xr:uid="{00000000-0005-0000-0000-000008000000}"/>
    <cellStyle name="Normal_EmissionCalcs 329B Mulch Till" xfId="13" xr:uid="{00000000-0005-0000-0000-000009000000}"/>
    <cellStyle name="Normal_EmissionCalcs 345 ReducedTill" xfId="17" xr:uid="{00000000-0005-0000-0000-00000A000000}"/>
    <cellStyle name="Normal_Emissions Calcs 327 Cons Cover" xfId="7" xr:uid="{00000000-0005-0000-0000-00000B000000}"/>
    <cellStyle name="Normal_Emissions Calcs 328 ConsCropRot" xfId="9" xr:uid="{00000000-0005-0000-0000-00000C000000}"/>
    <cellStyle name="Normal_Emissions Calcs 340 Cover Crop" xfId="16" xr:uid="{00000000-0005-0000-0000-00000D000000}"/>
    <cellStyle name="Normal_Emissions Calculations 590  (2" xfId="2" xr:uid="{00000000-0005-0000-0000-00000E000000}"/>
    <cellStyle name="Normal_Sheet1" xfId="19" xr:uid="{A154BE99-C93F-410B-A304-02CDC4F43D5D}"/>
    <cellStyle name="Normal_Sheet1 2" xfId="5" xr:uid="{00000000-0005-0000-0000-00000F000000}"/>
    <cellStyle name="Normal_Sheet2 2" xfId="6" xr:uid="{00000000-0005-0000-0000-000010000000}"/>
    <cellStyle name="Normal_Sheet4" xfId="8" xr:uid="{00000000-0005-0000-0000-000011000000}"/>
    <cellStyle name="Normal_Sheet5" xfId="11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Colorado Soil Health Climate Change Mitigation 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(Metric Tonnes CO2e)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'Soil Health w Apprp% Legacy Eff'!$D$18</c:f>
              <c:strCache>
                <c:ptCount val="1"/>
                <c:pt idx="0">
                  <c:v>Total with Appropriate Legacy Effect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'Soil Health w Apprp% Legacy Eff'!$E$2:$S$2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'Soil Health w Apprp% Legacy Eff'!$E$18:$S$18</c:f>
              <c:numCache>
                <c:formatCode>_(* #,##0.00_);_(* \(#,##0.00\);_(* "-"??_);_(@_)</c:formatCode>
                <c:ptCount val="15"/>
                <c:pt idx="0">
                  <c:v>8685.9711900000002</c:v>
                </c:pt>
                <c:pt idx="1">
                  <c:v>23975.688735151518</c:v>
                </c:pt>
                <c:pt idx="2">
                  <c:v>16565.631556873279</c:v>
                </c:pt>
                <c:pt idx="3">
                  <c:v>25837.555752884302</c:v>
                </c:pt>
                <c:pt idx="4">
                  <c:v>44911.295953763634</c:v>
                </c:pt>
                <c:pt idx="5">
                  <c:v>42123.655891955226</c:v>
                </c:pt>
                <c:pt idx="6">
                  <c:v>56819.877375196287</c:v>
                </c:pt>
                <c:pt idx="7">
                  <c:v>153083.17573089577</c:v>
                </c:pt>
                <c:pt idx="8">
                  <c:v>208718.24732297973</c:v>
                </c:pt>
                <c:pt idx="9">
                  <c:v>177354.9335002111</c:v>
                </c:pt>
                <c:pt idx="10">
                  <c:v>210869.71449263059</c:v>
                </c:pt>
                <c:pt idx="11">
                  <c:v>289828.9889847897</c:v>
                </c:pt>
                <c:pt idx="12">
                  <c:v>442549.1882597236</c:v>
                </c:pt>
                <c:pt idx="13">
                  <c:v>422050.20829522359</c:v>
                </c:pt>
                <c:pt idx="14">
                  <c:v>462752.96951322356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3-4D75-9B7B-08C9950494F0}"/>
            </c:ext>
          </c:extLst>
        </c:ser>
        <c:ser>
          <c:idx val="1"/>
          <c:order val="1"/>
          <c:tx>
            <c:strRef>
              <c:f>'Soil Health w Apprp% Legacy Eff'!$D$19</c:f>
              <c:strCache>
                <c:ptCount val="1"/>
                <c:pt idx="0">
                  <c:v>Total w/o Legacy Effect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'Soil Health w Apprp% Legacy Eff'!$E$2:$S$2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'Soil Health w Apprp% Legacy Eff'!$E$19:$S$19</c:f>
              <c:numCache>
                <c:formatCode>_(* #,##0.00_);_(* \(#,##0.00\);_(* "-"??_);_(@_)</c:formatCode>
                <c:ptCount val="15"/>
                <c:pt idx="0">
                  <c:v>8685.9711900000002</c:v>
                </c:pt>
                <c:pt idx="1">
                  <c:v>23975.688735151518</c:v>
                </c:pt>
                <c:pt idx="2">
                  <c:v>16565.631556873279</c:v>
                </c:pt>
                <c:pt idx="3">
                  <c:v>20025.930097884298</c:v>
                </c:pt>
                <c:pt idx="4">
                  <c:v>22813.314877400004</c:v>
                </c:pt>
                <c:pt idx="5">
                  <c:v>10661.571442936636</c:v>
                </c:pt>
                <c:pt idx="6">
                  <c:v>12459.034320264462</c:v>
                </c:pt>
                <c:pt idx="7">
                  <c:v>94394.432366663939</c:v>
                </c:pt>
                <c:pt idx="8">
                  <c:v>143248.74680154544</c:v>
                </c:pt>
                <c:pt idx="9">
                  <c:v>104714.22861857851</c:v>
                </c:pt>
                <c:pt idx="10">
                  <c:v>73209.155895999997</c:v>
                </c:pt>
                <c:pt idx="11">
                  <c:v>51812.145731999997</c:v>
                </c:pt>
                <c:pt idx="12">
                  <c:v>130211.14705299999</c:v>
                </c:pt>
                <c:pt idx="13">
                  <c:v>59788.957449000001</c:v>
                </c:pt>
                <c:pt idx="14">
                  <c:v>65287.057227999998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43-4D75-9B7B-08C995049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984184"/>
        <c:axId val="306607440"/>
      </c:barChart>
      <c:catAx>
        <c:axId val="30598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07440"/>
        <c:crosses val="autoZero"/>
        <c:auto val="1"/>
        <c:lblAlgn val="ctr"/>
        <c:lblOffset val="100"/>
        <c:noMultiLvlLbl val="0"/>
      </c:catAx>
      <c:valAx>
        <c:axId val="3066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8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Acres Under NRCS Soil Health Conservation Practices in Colorado</a:t>
            </a:r>
          </a:p>
          <a:p>
            <a:pPr>
              <a:defRPr b="1"/>
            </a:pPr>
            <a:r>
              <a:rPr lang="en-US" b="1"/>
              <a:t> (Units = acres)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Acres!$E$3</c:f>
              <c:strCache>
                <c:ptCount val="1"/>
                <c:pt idx="0">
                  <c:v>Conservation Cover (ac)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Acres!$C$4:$C$18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Acres!$E$4:$E$18</c:f>
              <c:numCache>
                <c:formatCode>_(* #,##0.00_);_(* \(#,##0.00\);_(* "-"??_);_(@_)</c:formatCode>
                <c:ptCount val="15"/>
                <c:pt idx="0">
                  <c:v>0</c:v>
                </c:pt>
                <c:pt idx="1">
                  <c:v>254.7</c:v>
                </c:pt>
                <c:pt idx="2">
                  <c:v>179.2</c:v>
                </c:pt>
                <c:pt idx="3">
                  <c:v>0</c:v>
                </c:pt>
                <c:pt idx="4">
                  <c:v>96.6</c:v>
                </c:pt>
                <c:pt idx="5">
                  <c:v>0</c:v>
                </c:pt>
                <c:pt idx="6">
                  <c:v>108.4</c:v>
                </c:pt>
                <c:pt idx="7">
                  <c:v>35711.4</c:v>
                </c:pt>
                <c:pt idx="8">
                  <c:v>73012</c:v>
                </c:pt>
                <c:pt idx="9">
                  <c:v>69295.899999999994</c:v>
                </c:pt>
                <c:pt idx="10">
                  <c:v>9685.7000000000007</c:v>
                </c:pt>
                <c:pt idx="11">
                  <c:v>9586.7999999999993</c:v>
                </c:pt>
                <c:pt idx="12">
                  <c:v>13502.9</c:v>
                </c:pt>
                <c:pt idx="13">
                  <c:v>11212</c:v>
                </c:pt>
                <c:pt idx="14">
                  <c:v>23170.9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5B-4DF4-B5CB-E41F7A2AC806}"/>
            </c:ext>
          </c:extLst>
        </c:ser>
        <c:ser>
          <c:idx val="3"/>
          <c:order val="2"/>
          <c:tx>
            <c:strRef>
              <c:f>Acres!$G$3</c:f>
              <c:strCache>
                <c:ptCount val="1"/>
                <c:pt idx="0">
                  <c:v>Residue and Tillage Management, No Till (ac)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Acres!$C$4:$C$18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Acres!$G$4:$G$18</c:f>
              <c:numCache>
                <c:formatCode>_(* #,##0.00_);_(* \(#,##0.00\);_(* "-"??_);_(@_)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9931.5</c:v>
                </c:pt>
                <c:pt idx="3">
                  <c:v>17700.2</c:v>
                </c:pt>
                <c:pt idx="4">
                  <c:v>42004.800000000003</c:v>
                </c:pt>
                <c:pt idx="5">
                  <c:v>21618</c:v>
                </c:pt>
                <c:pt idx="6">
                  <c:v>41226.5</c:v>
                </c:pt>
                <c:pt idx="7">
                  <c:v>105023.6</c:v>
                </c:pt>
                <c:pt idx="8">
                  <c:v>132301.79999999999</c:v>
                </c:pt>
                <c:pt idx="9">
                  <c:v>75108.100000000006</c:v>
                </c:pt>
                <c:pt idx="10">
                  <c:v>92768.9</c:v>
                </c:pt>
                <c:pt idx="11">
                  <c:v>64659.4</c:v>
                </c:pt>
                <c:pt idx="12">
                  <c:v>116699.9</c:v>
                </c:pt>
                <c:pt idx="13">
                  <c:v>33838.699999999997</c:v>
                </c:pt>
                <c:pt idx="14">
                  <c:v>48261.7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5B-4DF4-B5CB-E41F7A2AC806}"/>
            </c:ext>
          </c:extLst>
        </c:ser>
        <c:ser>
          <c:idx val="4"/>
          <c:order val="3"/>
          <c:tx>
            <c:strRef>
              <c:f>Acres!$H$3</c:f>
              <c:strCache>
                <c:ptCount val="1"/>
                <c:pt idx="0">
                  <c:v>Strip Till (ac)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Acres!$C$4:$C$18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Acres!$H$4:$H$18</c:f>
              <c:numCache>
                <c:formatCode>_(* #,##0.00_);_(* \(#,##0.00\);_(* "-"??_);_(@_)</c:formatCode>
                <c:ptCount val="15"/>
                <c:pt idx="0">
                  <c:v>9412.9</c:v>
                </c:pt>
                <c:pt idx="1">
                  <c:v>22048.799999999999</c:v>
                </c:pt>
                <c:pt idx="2">
                  <c:v>27034</c:v>
                </c:pt>
                <c:pt idx="3">
                  <c:v>20864.2</c:v>
                </c:pt>
                <c:pt idx="4">
                  <c:v>13342.4</c:v>
                </c:pt>
                <c:pt idx="5">
                  <c:v>3393.2</c:v>
                </c:pt>
                <c:pt idx="6">
                  <c:v>409.4</c:v>
                </c:pt>
                <c:pt idx="7">
                  <c:v>320</c:v>
                </c:pt>
                <c:pt idx="8">
                  <c:v>0</c:v>
                </c:pt>
                <c:pt idx="9">
                  <c:v>1476</c:v>
                </c:pt>
                <c:pt idx="10">
                  <c:v>0</c:v>
                </c:pt>
                <c:pt idx="11">
                  <c:v>225</c:v>
                </c:pt>
                <c:pt idx="12">
                  <c:v>3476</c:v>
                </c:pt>
                <c:pt idx="13">
                  <c:v>0</c:v>
                </c:pt>
                <c:pt idx="14">
                  <c:v>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5B-4DF4-B5CB-E41F7A2AC806}"/>
            </c:ext>
          </c:extLst>
        </c:ser>
        <c:ser>
          <c:idx val="5"/>
          <c:order val="4"/>
          <c:tx>
            <c:strRef>
              <c:f>Acres!$I$3</c:f>
              <c:strCache>
                <c:ptCount val="1"/>
                <c:pt idx="0">
                  <c:v>Mulch Till (ac)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Acres!$C$4:$C$18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Acres!$I$4:$I$18</c:f>
              <c:numCache>
                <c:formatCode>_(* #,##0.00_);_(* \(#,##0.00\);_(* "-"??_);_(@_)</c:formatCode>
                <c:ptCount val="15"/>
                <c:pt idx="0">
                  <c:v>13606.3</c:v>
                </c:pt>
                <c:pt idx="1">
                  <c:v>32377.200000000001</c:v>
                </c:pt>
                <c:pt idx="2">
                  <c:v>36897.699999999997</c:v>
                </c:pt>
                <c:pt idx="3">
                  <c:v>16220</c:v>
                </c:pt>
                <c:pt idx="4">
                  <c:v>5884.5</c:v>
                </c:pt>
                <c:pt idx="5">
                  <c:v>929.3</c:v>
                </c:pt>
                <c:pt idx="6">
                  <c:v>0</c:v>
                </c:pt>
                <c:pt idx="7">
                  <c:v>419.2</c:v>
                </c:pt>
                <c:pt idx="8">
                  <c:v>1919</c:v>
                </c:pt>
                <c:pt idx="9">
                  <c:v>2498</c:v>
                </c:pt>
                <c:pt idx="10">
                  <c:v>323</c:v>
                </c:pt>
                <c:pt idx="11">
                  <c:v>0</c:v>
                </c:pt>
                <c:pt idx="12">
                  <c:v>14629</c:v>
                </c:pt>
                <c:pt idx="13">
                  <c:v>462</c:v>
                </c:pt>
                <c:pt idx="14">
                  <c:v>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5B-4DF4-B5CB-E41F7A2AC806}"/>
            </c:ext>
          </c:extLst>
        </c:ser>
        <c:ser>
          <c:idx val="6"/>
          <c:order val="5"/>
          <c:tx>
            <c:strRef>
              <c:f>Acres!$J$3</c:f>
              <c:strCache>
                <c:ptCount val="1"/>
                <c:pt idx="0">
                  <c:v>Contour Farming (ac)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Acres!$C$4:$C$18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Acres!$J$4:$J$18</c:f>
              <c:numCache>
                <c:formatCode>_(* #,##0.00_);_(* \(#,##0.00\);_(* "-"??_);_(@_)</c:formatCode>
                <c:ptCount val="15"/>
                <c:pt idx="0">
                  <c:v>0</c:v>
                </c:pt>
                <c:pt idx="1">
                  <c:v>556.5</c:v>
                </c:pt>
                <c:pt idx="2">
                  <c:v>0</c:v>
                </c:pt>
                <c:pt idx="3">
                  <c:v>873.2</c:v>
                </c:pt>
                <c:pt idx="4">
                  <c:v>1042.4000000000001</c:v>
                </c:pt>
                <c:pt idx="5">
                  <c:v>169.2</c:v>
                </c:pt>
                <c:pt idx="6">
                  <c:v>169.2</c:v>
                </c:pt>
                <c:pt idx="7">
                  <c:v>331</c:v>
                </c:pt>
                <c:pt idx="8">
                  <c:v>0</c:v>
                </c:pt>
                <c:pt idx="9">
                  <c:v>2.6</c:v>
                </c:pt>
                <c:pt idx="10">
                  <c:v>2.6</c:v>
                </c:pt>
                <c:pt idx="11">
                  <c:v>2.6</c:v>
                </c:pt>
                <c:pt idx="12">
                  <c:v>300</c:v>
                </c:pt>
                <c:pt idx="13">
                  <c:v>303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5B-4DF4-B5CB-E41F7A2AC806}"/>
            </c:ext>
          </c:extLst>
        </c:ser>
        <c:ser>
          <c:idx val="7"/>
          <c:order val="6"/>
          <c:tx>
            <c:strRef>
              <c:f>Acres!$K$3</c:f>
              <c:strCache>
                <c:ptCount val="1"/>
                <c:pt idx="0">
                  <c:v>Contour Buffer Strips (ac)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Acres!$C$4:$C$18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Acres!$K$4:$K$18</c:f>
              <c:numCache>
                <c:formatCode>_(* #,##0.00_);_(* \(#,##0.00\);_(* "-"??_);_(@_)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5B-4DF4-B5CB-E41F7A2AC806}"/>
            </c:ext>
          </c:extLst>
        </c:ser>
        <c:ser>
          <c:idx val="8"/>
          <c:order val="7"/>
          <c:tx>
            <c:strRef>
              <c:f>Acres!$L$3</c:f>
              <c:strCache>
                <c:ptCount val="1"/>
                <c:pt idx="0">
                  <c:v>Cover Crop (ac)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Acres!$C$4:$C$18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Acres!$L$4:$L$18</c:f>
              <c:numCache>
                <c:formatCode>_(* #,##0.00_);_(* \(#,##0.00\);_(* "-"??_);_(@_)</c:formatCode>
                <c:ptCount val="15"/>
                <c:pt idx="0">
                  <c:v>174.5</c:v>
                </c:pt>
                <c:pt idx="1">
                  <c:v>703.8</c:v>
                </c:pt>
                <c:pt idx="2">
                  <c:v>16606.400000000001</c:v>
                </c:pt>
                <c:pt idx="3">
                  <c:v>2724.1</c:v>
                </c:pt>
                <c:pt idx="4">
                  <c:v>1111.45</c:v>
                </c:pt>
                <c:pt idx="5">
                  <c:v>303.2</c:v>
                </c:pt>
                <c:pt idx="6">
                  <c:v>1042.2</c:v>
                </c:pt>
                <c:pt idx="7">
                  <c:v>8176.6</c:v>
                </c:pt>
                <c:pt idx="8">
                  <c:v>10236.200000000001</c:v>
                </c:pt>
                <c:pt idx="9">
                  <c:v>6634.04</c:v>
                </c:pt>
                <c:pt idx="10">
                  <c:v>9626.9</c:v>
                </c:pt>
                <c:pt idx="11">
                  <c:v>9554.4000000000015</c:v>
                </c:pt>
                <c:pt idx="12">
                  <c:v>16499.800000000003</c:v>
                </c:pt>
                <c:pt idx="13">
                  <c:v>12339.4</c:v>
                </c:pt>
                <c:pt idx="14">
                  <c:v>7714.8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25B-4DF4-B5CB-E41F7A2AC806}"/>
            </c:ext>
          </c:extLst>
        </c:ser>
        <c:ser>
          <c:idx val="9"/>
          <c:order val="8"/>
          <c:tx>
            <c:strRef>
              <c:f>Acres!$M$3</c:f>
              <c:strCache>
                <c:ptCount val="1"/>
                <c:pt idx="0">
                  <c:v>Residue and Tillage Management, Reduced Till (ac)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Acres!$C$4:$C$18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Acres!$M$4:$M$18</c:f>
              <c:numCache>
                <c:formatCode>_(* #,##0.00_);_(* \(#,##0.00\);_(* "-"??_);_(@_)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1051.5999999999999</c:v>
                </c:pt>
                <c:pt idx="4">
                  <c:v>311.26</c:v>
                </c:pt>
                <c:pt idx="5">
                  <c:v>1256.3</c:v>
                </c:pt>
                <c:pt idx="6">
                  <c:v>4993.3</c:v>
                </c:pt>
                <c:pt idx="7">
                  <c:v>31997.200000000001</c:v>
                </c:pt>
                <c:pt idx="8">
                  <c:v>59635.8</c:v>
                </c:pt>
                <c:pt idx="9">
                  <c:v>50205.2</c:v>
                </c:pt>
                <c:pt idx="10">
                  <c:v>48170.400000000001</c:v>
                </c:pt>
                <c:pt idx="11">
                  <c:v>35344.800000000003</c:v>
                </c:pt>
                <c:pt idx="12">
                  <c:v>193682.7</c:v>
                </c:pt>
                <c:pt idx="13">
                  <c:v>101306.1</c:v>
                </c:pt>
                <c:pt idx="14">
                  <c:v>117512.2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25B-4DF4-B5CB-E41F7A2AC806}"/>
            </c:ext>
          </c:extLst>
        </c:ser>
        <c:ser>
          <c:idx val="10"/>
          <c:order val="9"/>
          <c:tx>
            <c:strRef>
              <c:f>Acres!$N$3</c:f>
              <c:strCache>
                <c:ptCount val="1"/>
                <c:pt idx="0">
                  <c:v>Field Boarder (ac)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Acres!$C$4:$C$18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Acres!$N$4:$N$18</c:f>
              <c:numCache>
                <c:formatCode>_(* #,##0.00_);_(* \(#,##0.00\);_(* "-"??_);_(@_)</c:formatCode>
                <c:ptCount val="15"/>
                <c:pt idx="0">
                  <c:v>0</c:v>
                </c:pt>
                <c:pt idx="1">
                  <c:v>2.2000000000000002</c:v>
                </c:pt>
                <c:pt idx="2">
                  <c:v>37.1</c:v>
                </c:pt>
                <c:pt idx="3">
                  <c:v>10.199999999999999</c:v>
                </c:pt>
                <c:pt idx="4">
                  <c:v>0</c:v>
                </c:pt>
                <c:pt idx="5">
                  <c:v>0.4</c:v>
                </c:pt>
                <c:pt idx="6">
                  <c:v>7.8</c:v>
                </c:pt>
                <c:pt idx="7">
                  <c:v>10167.700000000001</c:v>
                </c:pt>
                <c:pt idx="8">
                  <c:v>22608.3</c:v>
                </c:pt>
                <c:pt idx="9">
                  <c:v>312</c:v>
                </c:pt>
                <c:pt idx="10">
                  <c:v>72</c:v>
                </c:pt>
                <c:pt idx="11">
                  <c:v>4</c:v>
                </c:pt>
                <c:pt idx="12">
                  <c:v>0</c:v>
                </c:pt>
                <c:pt idx="13">
                  <c:v>3.7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25B-4DF4-B5CB-E41F7A2AC806}"/>
            </c:ext>
          </c:extLst>
        </c:ser>
        <c:ser>
          <c:idx val="11"/>
          <c:order val="10"/>
          <c:tx>
            <c:strRef>
              <c:f>Acres!$O$3</c:f>
              <c:strCache>
                <c:ptCount val="1"/>
                <c:pt idx="0">
                  <c:v>Filter Strips (ac)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Acres!$C$4:$C$18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Acres!$O$4:$O$18</c:f>
              <c:numCache>
                <c:formatCode>_(* #,##0.00_);_(* \(#,##0.00\);_(* "-"??_);_(@_)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17</c:v>
                </c:pt>
                <c:pt idx="3">
                  <c:v>30.5</c:v>
                </c:pt>
                <c:pt idx="4">
                  <c:v>14</c:v>
                </c:pt>
                <c:pt idx="5">
                  <c:v>67.400000000000006</c:v>
                </c:pt>
                <c:pt idx="6">
                  <c:v>4.2</c:v>
                </c:pt>
                <c:pt idx="7">
                  <c:v>324.89999999999998</c:v>
                </c:pt>
                <c:pt idx="8">
                  <c:v>0</c:v>
                </c:pt>
                <c:pt idx="9">
                  <c:v>1</c:v>
                </c:pt>
                <c:pt idx="10">
                  <c:v>6.3000000000000007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25B-4DF4-B5CB-E41F7A2AC806}"/>
            </c:ext>
          </c:extLst>
        </c:ser>
        <c:ser>
          <c:idx val="12"/>
          <c:order val="11"/>
          <c:tx>
            <c:strRef>
              <c:f>Acres!$P$3</c:f>
              <c:strCache>
                <c:ptCount val="1"/>
                <c:pt idx="0">
                  <c:v>Grassed Waterways (ac)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Acres!$C$4:$C$18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Acres!$P$4:$P$18</c:f>
              <c:numCache>
                <c:formatCode>_(* #,##0.00_);_(* \(#,##0.00\);_(* "-"??_);_(@_)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17.7</c:v>
                </c:pt>
                <c:pt idx="4">
                  <c:v>19</c:v>
                </c:pt>
                <c:pt idx="5">
                  <c:v>20.5</c:v>
                </c:pt>
                <c:pt idx="6">
                  <c:v>35</c:v>
                </c:pt>
                <c:pt idx="7">
                  <c:v>11</c:v>
                </c:pt>
                <c:pt idx="8">
                  <c:v>62.5</c:v>
                </c:pt>
                <c:pt idx="9">
                  <c:v>11</c:v>
                </c:pt>
                <c:pt idx="10">
                  <c:v>15.5</c:v>
                </c:pt>
                <c:pt idx="11">
                  <c:v>0</c:v>
                </c:pt>
                <c:pt idx="12">
                  <c:v>11.100000000000001</c:v>
                </c:pt>
                <c:pt idx="13">
                  <c:v>25.2</c:v>
                </c:pt>
                <c:pt idx="14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25B-4DF4-B5CB-E41F7A2AC806}"/>
            </c:ext>
          </c:extLst>
        </c:ser>
        <c:ser>
          <c:idx val="13"/>
          <c:order val="12"/>
          <c:tx>
            <c:strRef>
              <c:f>Acres!$Q$3</c:f>
              <c:strCache>
                <c:ptCount val="1"/>
                <c:pt idx="0">
                  <c:v>Stripcropping (ac)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Acres!$C$4:$C$18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Acres!$Q$4:$Q$18</c:f>
              <c:numCache>
                <c:formatCode>_(* #,##0.00_);_(* \(#,##0.00\);_(* "-"??_);_(@_)</c:formatCode>
                <c:ptCount val="15"/>
                <c:pt idx="0">
                  <c:v>0</c:v>
                </c:pt>
                <c:pt idx="1">
                  <c:v>590.9</c:v>
                </c:pt>
                <c:pt idx="2">
                  <c:v>323.10000000000002</c:v>
                </c:pt>
                <c:pt idx="3">
                  <c:v>475</c:v>
                </c:pt>
                <c:pt idx="4">
                  <c:v>1908.8</c:v>
                </c:pt>
                <c:pt idx="5">
                  <c:v>0</c:v>
                </c:pt>
                <c:pt idx="6">
                  <c:v>1946.4</c:v>
                </c:pt>
                <c:pt idx="7">
                  <c:v>6075.1</c:v>
                </c:pt>
                <c:pt idx="8">
                  <c:v>1843</c:v>
                </c:pt>
                <c:pt idx="9">
                  <c:v>3048</c:v>
                </c:pt>
                <c:pt idx="10">
                  <c:v>210.8</c:v>
                </c:pt>
                <c:pt idx="11">
                  <c:v>2086</c:v>
                </c:pt>
                <c:pt idx="12">
                  <c:v>0</c:v>
                </c:pt>
                <c:pt idx="13">
                  <c:v>812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25B-4DF4-B5CB-E41F7A2AC806}"/>
            </c:ext>
          </c:extLst>
        </c:ser>
        <c:ser>
          <c:idx val="14"/>
          <c:order val="13"/>
          <c:tx>
            <c:strRef>
              <c:f>Acres!$R$3</c:f>
              <c:strCache>
                <c:ptCount val="1"/>
                <c:pt idx="0">
                  <c:v>Vegetative Barriers (ft)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Acres!$C$4:$C$18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Acres!$R$4:$R$18</c:f>
              <c:numCache>
                <c:formatCode>_(* #,##0.00_);_(* \(#,##0.00\);_(* "-"??_);_(@_)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25B-4DF4-B5CB-E41F7A2AC806}"/>
            </c:ext>
          </c:extLst>
        </c:ser>
        <c:ser>
          <c:idx val="15"/>
          <c:order val="14"/>
          <c:tx>
            <c:strRef>
              <c:f>Acres!$S$3</c:f>
              <c:strCache>
                <c:ptCount val="1"/>
                <c:pt idx="0">
                  <c:v>Herbaceous Wind Barriers (ft)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Acres!$C$4:$C$18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Acres!$S$4:$S$18</c:f>
              <c:numCache>
                <c:formatCode>_(* #,##0.00_);_(* \(#,##0.00\);_(* "-"??_);_(@_)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25B-4DF4-B5CB-E41F7A2AC806}"/>
            </c:ext>
          </c:extLst>
        </c:ser>
        <c:ser>
          <c:idx val="16"/>
          <c:order val="15"/>
          <c:tx>
            <c:strRef>
              <c:f>Acres!$T$3</c:f>
              <c:strCache>
                <c:ptCount val="1"/>
                <c:pt idx="0">
                  <c:v>SUM</c:v>
                </c:pt>
              </c:strCache>
            </c:strRef>
          </c:tx>
          <c:spPr>
            <a:ln w="762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Acres!$C$4:$C$18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Acres!$T$4:$T$18</c:f>
              <c:numCache>
                <c:formatCode>_(* #,##0.00_);_(* \(#,##0.00\);_(* "-"??_);_(@_)</c:formatCode>
                <c:ptCount val="15"/>
                <c:pt idx="0">
                  <c:v>46123.3</c:v>
                </c:pt>
                <c:pt idx="1">
                  <c:v>123243.99999999999</c:v>
                </c:pt>
                <c:pt idx="2">
                  <c:v>113559.90000000002</c:v>
                </c:pt>
                <c:pt idx="3">
                  <c:v>105263</c:v>
                </c:pt>
                <c:pt idx="4">
                  <c:v>111077.85999999999</c:v>
                </c:pt>
                <c:pt idx="5">
                  <c:v>49907.25</c:v>
                </c:pt>
                <c:pt idx="6">
                  <c:v>63279.05</c:v>
                </c:pt>
                <c:pt idx="7">
                  <c:v>424286.9</c:v>
                </c:pt>
                <c:pt idx="8">
                  <c:v>643570.80000000005</c:v>
                </c:pt>
                <c:pt idx="9">
                  <c:v>451383.24</c:v>
                </c:pt>
                <c:pt idx="10">
                  <c:v>345305.5</c:v>
                </c:pt>
                <c:pt idx="11">
                  <c:v>247266</c:v>
                </c:pt>
                <c:pt idx="12">
                  <c:v>689296.5</c:v>
                </c:pt>
                <c:pt idx="13">
                  <c:v>319477.90000000002</c:v>
                </c:pt>
                <c:pt idx="14">
                  <c:v>348902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25B-4DF4-B5CB-E41F7A2AC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60288"/>
        <c:axId val="5414629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Acres!$D$3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Acres!$C$4:$C$18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2004</c:v>
                      </c:pt>
                      <c:pt idx="1">
                        <c:v>2005</c:v>
                      </c:pt>
                      <c:pt idx="2">
                        <c:v>2006</c:v>
                      </c:pt>
                      <c:pt idx="3">
                        <c:v>2007</c:v>
                      </c:pt>
                      <c:pt idx="4">
                        <c:v>2008</c:v>
                      </c:pt>
                      <c:pt idx="5">
                        <c:v>2009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2015</c:v>
                      </c:pt>
                      <c:pt idx="12">
                        <c:v>2016</c:v>
                      </c:pt>
                      <c:pt idx="13">
                        <c:v>2017</c:v>
                      </c:pt>
                      <c:pt idx="14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Acres!$D$4:$D$18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325B-4DF4-B5CB-E41F7A2AC806}"/>
                  </c:ext>
                </c:extLst>
              </c15:ser>
            </c15:filteredLineSeries>
          </c:ext>
        </c:extLst>
      </c:lineChart>
      <c:catAx>
        <c:axId val="54146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62912"/>
        <c:crosses val="autoZero"/>
        <c:auto val="1"/>
        <c:lblAlgn val="ctr"/>
        <c:lblOffset val="100"/>
        <c:noMultiLvlLbl val="0"/>
      </c:catAx>
      <c:valAx>
        <c:axId val="5414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6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Acres Under NRCS Cover Crop (CPS</a:t>
            </a:r>
            <a:r>
              <a:rPr lang="en-US" b="1" baseline="0"/>
              <a:t> 340)</a:t>
            </a:r>
            <a:r>
              <a:rPr lang="en-US" b="1"/>
              <a:t> Conservation Practices in Colorado</a:t>
            </a:r>
          </a:p>
          <a:p>
            <a:pPr>
              <a:defRPr b="1"/>
            </a:pPr>
            <a:r>
              <a:rPr lang="en-US" b="1"/>
              <a:t> (Units = acres)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3"/>
          <c:tx>
            <c:strRef>
              <c:f>Acres!$L$3</c:f>
              <c:strCache>
                <c:ptCount val="1"/>
                <c:pt idx="0">
                  <c:v>Cover Crop (ac)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Acres!$C$4:$C$18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Acres!$L$4:$L$18</c:f>
              <c:numCache>
                <c:formatCode>_(* #,##0.00_);_(* \(#,##0.00\);_(* "-"??_);_(@_)</c:formatCode>
                <c:ptCount val="15"/>
                <c:pt idx="0">
                  <c:v>174.5</c:v>
                </c:pt>
                <c:pt idx="1">
                  <c:v>703.8</c:v>
                </c:pt>
                <c:pt idx="2">
                  <c:v>16606.400000000001</c:v>
                </c:pt>
                <c:pt idx="3">
                  <c:v>2724.1</c:v>
                </c:pt>
                <c:pt idx="4">
                  <c:v>1111.45</c:v>
                </c:pt>
                <c:pt idx="5">
                  <c:v>303.2</c:v>
                </c:pt>
                <c:pt idx="6">
                  <c:v>1042.2</c:v>
                </c:pt>
                <c:pt idx="7">
                  <c:v>8176.6</c:v>
                </c:pt>
                <c:pt idx="8">
                  <c:v>10236.200000000001</c:v>
                </c:pt>
                <c:pt idx="9">
                  <c:v>6634.04</c:v>
                </c:pt>
                <c:pt idx="10">
                  <c:v>9626.9</c:v>
                </c:pt>
                <c:pt idx="11">
                  <c:v>9554.4000000000015</c:v>
                </c:pt>
                <c:pt idx="12">
                  <c:v>16499.800000000003</c:v>
                </c:pt>
                <c:pt idx="13">
                  <c:v>12339.4</c:v>
                </c:pt>
                <c:pt idx="14">
                  <c:v>7714.8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F-4A2D-86E2-1B0ED3B74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60288"/>
        <c:axId val="5414629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Acres!$D$3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Acres!$C$4:$C$18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2004</c:v>
                      </c:pt>
                      <c:pt idx="1">
                        <c:v>2005</c:v>
                      </c:pt>
                      <c:pt idx="2">
                        <c:v>2006</c:v>
                      </c:pt>
                      <c:pt idx="3">
                        <c:v>2007</c:v>
                      </c:pt>
                      <c:pt idx="4">
                        <c:v>2008</c:v>
                      </c:pt>
                      <c:pt idx="5">
                        <c:v>2009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2015</c:v>
                      </c:pt>
                      <c:pt idx="12">
                        <c:v>2016</c:v>
                      </c:pt>
                      <c:pt idx="13">
                        <c:v>2017</c:v>
                      </c:pt>
                      <c:pt idx="14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Acres!$D$4:$D$18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DDF-4A2D-86E2-1B0ED3B740FA}"/>
                  </c:ext>
                </c:extLst>
              </c15:ser>
            </c15:filteredLineSeries>
            <c15:filteredLineSeries>
              <c15:ser>
                <c:idx val="6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Acres!$J$3</c15:sqref>
                        </c15:formulaRef>
                      </c:ext>
                    </c:extLst>
                    <c:strCache>
                      <c:ptCount val="1"/>
                      <c:pt idx="0">
                        <c:v>Contour Farming (ac)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Acres!$C$4:$C$18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2004</c:v>
                      </c:pt>
                      <c:pt idx="1">
                        <c:v>2005</c:v>
                      </c:pt>
                      <c:pt idx="2">
                        <c:v>2006</c:v>
                      </c:pt>
                      <c:pt idx="3">
                        <c:v>2007</c:v>
                      </c:pt>
                      <c:pt idx="4">
                        <c:v>2008</c:v>
                      </c:pt>
                      <c:pt idx="5">
                        <c:v>2009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2015</c:v>
                      </c:pt>
                      <c:pt idx="12">
                        <c:v>2016</c:v>
                      </c:pt>
                      <c:pt idx="13">
                        <c:v>2017</c:v>
                      </c:pt>
                      <c:pt idx="14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Acres!$J$4:$J$18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0</c:v>
                      </c:pt>
                      <c:pt idx="1">
                        <c:v>556.5</c:v>
                      </c:pt>
                      <c:pt idx="2">
                        <c:v>0</c:v>
                      </c:pt>
                      <c:pt idx="3">
                        <c:v>873.2</c:v>
                      </c:pt>
                      <c:pt idx="4">
                        <c:v>1042.4000000000001</c:v>
                      </c:pt>
                      <c:pt idx="5">
                        <c:v>169.2</c:v>
                      </c:pt>
                      <c:pt idx="6">
                        <c:v>169.2</c:v>
                      </c:pt>
                      <c:pt idx="7">
                        <c:v>331</c:v>
                      </c:pt>
                      <c:pt idx="8">
                        <c:v>0</c:v>
                      </c:pt>
                      <c:pt idx="9">
                        <c:v>2.6</c:v>
                      </c:pt>
                      <c:pt idx="10">
                        <c:v>2.6</c:v>
                      </c:pt>
                      <c:pt idx="11">
                        <c:v>2.6</c:v>
                      </c:pt>
                      <c:pt idx="12">
                        <c:v>300</c:v>
                      </c:pt>
                      <c:pt idx="13">
                        <c:v>303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DDF-4A2D-86E2-1B0ED3B740FA}"/>
                  </c:ext>
                </c:extLst>
              </c15:ser>
            </c15:filteredLineSeries>
            <c15:filteredLineSeries>
              <c15:ser>
                <c:idx val="7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Acres!$K$3</c15:sqref>
                        </c15:formulaRef>
                      </c:ext>
                    </c:extLst>
                    <c:strCache>
                      <c:ptCount val="1"/>
                      <c:pt idx="0">
                        <c:v>Contour Buffer Strips (ac)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Acres!$C$4:$C$18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2004</c:v>
                      </c:pt>
                      <c:pt idx="1">
                        <c:v>2005</c:v>
                      </c:pt>
                      <c:pt idx="2">
                        <c:v>2006</c:v>
                      </c:pt>
                      <c:pt idx="3">
                        <c:v>2007</c:v>
                      </c:pt>
                      <c:pt idx="4">
                        <c:v>2008</c:v>
                      </c:pt>
                      <c:pt idx="5">
                        <c:v>2009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2015</c:v>
                      </c:pt>
                      <c:pt idx="12">
                        <c:v>2016</c:v>
                      </c:pt>
                      <c:pt idx="13">
                        <c:v>2017</c:v>
                      </c:pt>
                      <c:pt idx="14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Acres!$K$4:$K$18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DDF-4A2D-86E2-1B0ED3B740FA}"/>
                  </c:ext>
                </c:extLst>
              </c15:ser>
            </c15:filteredLineSeries>
          </c:ext>
        </c:extLst>
      </c:lineChart>
      <c:catAx>
        <c:axId val="54146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62912"/>
        <c:crosses val="autoZero"/>
        <c:auto val="1"/>
        <c:lblAlgn val="ctr"/>
        <c:lblOffset val="100"/>
        <c:noMultiLvlLbl val="0"/>
      </c:catAx>
      <c:valAx>
        <c:axId val="5414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6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515979126052499"/>
          <c:y val="0.96917786646532189"/>
          <c:w val="0.1038011927091939"/>
          <c:h val="3.0822133534678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Soil Health Carbon Benefits</a:t>
            </a:r>
          </a:p>
          <a:p>
            <a:pPr>
              <a:defRPr/>
            </a:pPr>
            <a:r>
              <a:rPr lang="en-US"/>
              <a:t>(Units</a:t>
            </a:r>
            <a:r>
              <a:rPr lang="en-US" baseline="0"/>
              <a:t> of Thousand Metric Tonnes per year)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'Soil Health w Apprp% Legacy Eff'!$D$39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'Soil Health w Apprp% Legacy Eff'!$E$23:$S$23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'Soil Health w Apprp% Legacy Eff'!$E$39:$S$39</c:f>
              <c:numCache>
                <c:formatCode>_(* #,##0_);_(* \(#,##0\);_(* "-"??_);_(@_)</c:formatCode>
                <c:ptCount val="15"/>
                <c:pt idx="0">
                  <c:v>2368.9012336363635</c:v>
                </c:pt>
                <c:pt idx="1">
                  <c:v>6538.8242004958665</c:v>
                </c:pt>
                <c:pt idx="2">
                  <c:v>4517.8995155108942</c:v>
                </c:pt>
                <c:pt idx="3">
                  <c:v>7046.6061144229898</c:v>
                </c:pt>
                <c:pt idx="4">
                  <c:v>12248.535260117351</c:v>
                </c:pt>
                <c:pt idx="5">
                  <c:v>11488.269788715061</c:v>
                </c:pt>
                <c:pt idx="6">
                  <c:v>15496.330193235348</c:v>
                </c:pt>
                <c:pt idx="7">
                  <c:v>41749.957017517008</c:v>
                </c:pt>
                <c:pt idx="8">
                  <c:v>56923.158360812668</c:v>
                </c:pt>
                <c:pt idx="9">
                  <c:v>48369.527318239401</c:v>
                </c:pt>
                <c:pt idx="10">
                  <c:v>57509.922134353787</c:v>
                </c:pt>
                <c:pt idx="11">
                  <c:v>79044.269723124467</c:v>
                </c:pt>
                <c:pt idx="12">
                  <c:v>120695.23316174274</c:v>
                </c:pt>
                <c:pt idx="13">
                  <c:v>115104.60226233372</c:v>
                </c:pt>
                <c:pt idx="14">
                  <c:v>126205.35532178824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D-4B32-BD1F-688F6B78670A}"/>
            </c:ext>
          </c:extLst>
        </c:ser>
        <c:ser>
          <c:idx val="1"/>
          <c:order val="1"/>
          <c:tx>
            <c:strRef>
              <c:f>'Soil Health w Apprp% Legacy Eff'!$D$40</c:f>
              <c:strCache>
                <c:ptCount val="1"/>
                <c:pt idx="0">
                  <c:v>Total w/o Legacy Effect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'Soil Health w Apprp% Legacy Eff'!$E$23:$S$23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'Soil Health w Apprp% Legacy Eff'!$E$40:$S$40</c:f>
              <c:numCache>
                <c:formatCode>_(* #,##0_);_(* \(#,##0\);_(* "-"??_);_(@_)</c:formatCode>
                <c:ptCount val="15"/>
                <c:pt idx="0">
                  <c:v>2368.9012336363635</c:v>
                </c:pt>
                <c:pt idx="1">
                  <c:v>6538.8242004958665</c:v>
                </c:pt>
                <c:pt idx="2">
                  <c:v>4517.8995155108942</c:v>
                </c:pt>
                <c:pt idx="3">
                  <c:v>5461.6172994229928</c:v>
                </c:pt>
                <c:pt idx="4">
                  <c:v>6221.8131483818197</c:v>
                </c:pt>
                <c:pt idx="5">
                  <c:v>2907.701302619083</c:v>
                </c:pt>
                <c:pt idx="6">
                  <c:v>3397.9184509812176</c:v>
                </c:pt>
                <c:pt idx="7">
                  <c:v>25743.936099999257</c:v>
                </c:pt>
                <c:pt idx="8">
                  <c:v>39067.840036785121</c:v>
                </c:pt>
                <c:pt idx="9">
                  <c:v>28558.425986885053</c:v>
                </c:pt>
                <c:pt idx="10">
                  <c:v>19966.133426181816</c:v>
                </c:pt>
                <c:pt idx="11">
                  <c:v>14130.58519963636</c:v>
                </c:pt>
                <c:pt idx="12">
                  <c:v>35512.131014454542</c:v>
                </c:pt>
                <c:pt idx="13">
                  <c:v>16306.079304272725</c:v>
                </c:pt>
                <c:pt idx="14">
                  <c:v>17805.561062181816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4D-4B32-BD1F-688F6B786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608224"/>
        <c:axId val="306608616"/>
      </c:barChart>
      <c:catAx>
        <c:axId val="30660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08616"/>
        <c:crosses val="autoZero"/>
        <c:auto val="1"/>
        <c:lblAlgn val="ctr"/>
        <c:lblOffset val="100"/>
        <c:noMultiLvlLbl val="0"/>
      </c:catAx>
      <c:valAx>
        <c:axId val="30660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0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Soil Health and Climate Solutions</a:t>
            </a:r>
          </a:p>
          <a:p>
            <a:pPr>
              <a:defRPr/>
            </a:pPr>
            <a:r>
              <a:rPr lang="en-US"/>
              <a:t>Direct Atmospheric Carbon Sequestration Benefits of NRCS Conservation Practices in Colorado </a:t>
            </a:r>
          </a:p>
          <a:p>
            <a:pPr>
              <a:defRPr/>
            </a:pPr>
            <a:r>
              <a:rPr lang="en-US"/>
              <a:t>(Units = metric tons CO2e)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Graphing!$C$3</c:f>
              <c:strCache>
                <c:ptCount val="1"/>
                <c:pt idx="0">
                  <c:v>NRCS-Colorado Atmospheric Benefits (cropland)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Graphing!$D$2:$Q$2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Graphing!$D$3:$Q$3</c:f>
              <c:numCache>
                <c:formatCode>_(* #,##0.00_);_(* \(#,##0.00\);_(* "-"??_);_(@_)</c:formatCode>
                <c:ptCount val="14"/>
                <c:pt idx="0">
                  <c:v>23975.688735151518</c:v>
                </c:pt>
                <c:pt idx="1">
                  <c:v>16565.631556873279</c:v>
                </c:pt>
                <c:pt idx="2">
                  <c:v>20025.930097884298</c:v>
                </c:pt>
                <c:pt idx="3">
                  <c:v>22813.314877400004</c:v>
                </c:pt>
                <c:pt idx="4">
                  <c:v>10661.571442936636</c:v>
                </c:pt>
                <c:pt idx="5">
                  <c:v>12459.034320264462</c:v>
                </c:pt>
                <c:pt idx="6">
                  <c:v>94394.432366663939</c:v>
                </c:pt>
                <c:pt idx="7">
                  <c:v>143248.74680154544</c:v>
                </c:pt>
                <c:pt idx="8">
                  <c:v>104714.22861857851</c:v>
                </c:pt>
                <c:pt idx="9">
                  <c:v>73209.155895999997</c:v>
                </c:pt>
                <c:pt idx="10">
                  <c:v>51812.145731999997</c:v>
                </c:pt>
                <c:pt idx="11">
                  <c:v>130211.14705299999</c:v>
                </c:pt>
                <c:pt idx="12">
                  <c:v>59788.957449000001</c:v>
                </c:pt>
                <c:pt idx="13">
                  <c:v>65287.057227999998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3-4083-8FBA-AB29E7C85A83}"/>
            </c:ext>
          </c:extLst>
        </c:ser>
        <c:ser>
          <c:idx val="2"/>
          <c:order val="2"/>
          <c:tx>
            <c:strRef>
              <c:f>Graphing!$C$5</c:f>
              <c:strCache>
                <c:ptCount val="1"/>
                <c:pt idx="0">
                  <c:v>NRCS-Colorado Atmospheric Benefits (graze/pasture)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Graphing!$D$2:$Q$2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Graphing!$D$5:$Q$5</c:f>
              <c:numCache>
                <c:formatCode>General</c:formatCode>
                <c:ptCount val="14"/>
                <c:pt idx="0">
                  <c:v>450.55840000000006</c:v>
                </c:pt>
                <c:pt idx="1">
                  <c:v>2882.7815300000002</c:v>
                </c:pt>
                <c:pt idx="2">
                  <c:v>4524.2171400000007</c:v>
                </c:pt>
                <c:pt idx="3">
                  <c:v>3710.36348</c:v>
                </c:pt>
                <c:pt idx="4">
                  <c:v>2623.6863199999998</c:v>
                </c:pt>
                <c:pt idx="5">
                  <c:v>2694.0658699999999</c:v>
                </c:pt>
                <c:pt idx="6">
                  <c:v>21920.950840000001</c:v>
                </c:pt>
                <c:pt idx="7">
                  <c:v>23779.794419999998</c:v>
                </c:pt>
                <c:pt idx="8">
                  <c:v>15897.527789999998</c:v>
                </c:pt>
                <c:pt idx="9">
                  <c:v>9291.3971099999999</c:v>
                </c:pt>
                <c:pt idx="10">
                  <c:v>14599.91296</c:v>
                </c:pt>
                <c:pt idx="11">
                  <c:v>9558.5754000000015</c:v>
                </c:pt>
                <c:pt idx="12">
                  <c:v>9861.0001699999993</c:v>
                </c:pt>
                <c:pt idx="13">
                  <c:v>5603.9407999999994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3-4F29-8E49-7F821C6BDF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29785840"/>
        <c:axId val="6297861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Graphing!$C$4</c15:sqref>
                        </c15:formulaRef>
                      </c:ext>
                    </c:extLst>
                    <c:strCache>
                      <c:ptCount val="1"/>
                      <c:pt idx="0">
                        <c:v>NRCS-California Atmospheric Benefits (cropland)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numFmt formatCode="#,##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Graphing!$D$2:$Q$2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Graphing!$J$4:$Q$4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"/>
                      <c:pt idx="0">
                        <c:v>34420.805685308878</c:v>
                      </c:pt>
                      <c:pt idx="1">
                        <c:v>53480.521667906331</c:v>
                      </c:pt>
                      <c:pt idx="2">
                        <c:v>34031.970661248852</c:v>
                      </c:pt>
                      <c:pt idx="3">
                        <c:v>43797.244643296595</c:v>
                      </c:pt>
                      <c:pt idx="4">
                        <c:v>26510.069399999997</c:v>
                      </c:pt>
                      <c:pt idx="5">
                        <c:v>23285.947967217631</c:v>
                      </c:pt>
                      <c:pt idx="6">
                        <c:v>12833.119437465566</c:v>
                      </c:pt>
                      <c:pt idx="7">
                        <c:v>2522.9148986225891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D63-4083-8FBA-AB29E7C85A8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Graphing!$C$6</c15:sqref>
                        </c15:formulaRef>
                      </c:ext>
                    </c:extLst>
                    <c:strCache>
                      <c:ptCount val="1"/>
                      <c:pt idx="0">
                        <c:v>NRCS-California Atmospheric Benefits (graze/pasture)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numFmt formatCode="#,##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Graphing!$D$2:$Q$2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Graphing!$J$6:$Q$6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15736.156499999999</c:v>
                      </c:pt>
                      <c:pt idx="1">
                        <c:v>17104.5599</c:v>
                      </c:pt>
                      <c:pt idx="2">
                        <c:v>13736.587100000002</c:v>
                      </c:pt>
                      <c:pt idx="3">
                        <c:v>10034.366199999999</c:v>
                      </c:pt>
                      <c:pt idx="4">
                        <c:v>5151.777399999999</c:v>
                      </c:pt>
                      <c:pt idx="5">
                        <c:v>6897.2577999999994</c:v>
                      </c:pt>
                      <c:pt idx="6">
                        <c:v>7375.2436999999991</c:v>
                      </c:pt>
                      <c:pt idx="7">
                        <c:v>8190.8330000000005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BD3-4F29-8E49-7F821C6BDF3F}"/>
                  </c:ext>
                </c:extLst>
              </c15:ser>
            </c15:filteredBarSeries>
          </c:ext>
        </c:extLst>
      </c:barChart>
      <c:catAx>
        <c:axId val="62978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86168"/>
        <c:crosses val="autoZero"/>
        <c:auto val="1"/>
        <c:lblAlgn val="ctr"/>
        <c:lblOffset val="100"/>
        <c:noMultiLvlLbl val="0"/>
      </c:catAx>
      <c:valAx>
        <c:axId val="62978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8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Soil Health and Climate Solutions</a:t>
            </a:r>
          </a:p>
          <a:p>
            <a:pPr>
              <a:defRPr/>
            </a:pPr>
            <a:r>
              <a:rPr lang="en-US"/>
              <a:t>Direct Atmospheric Carbon Sequestration Benefits of NRCS Conservation Practices in Colorado </a:t>
            </a:r>
          </a:p>
          <a:p>
            <a:pPr>
              <a:defRPr/>
            </a:pPr>
            <a:r>
              <a:rPr lang="en-US"/>
              <a:t>(Units = metric tons CO2e)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Graphing!$C$53</c:f>
              <c:strCache>
                <c:ptCount val="1"/>
                <c:pt idx="0">
                  <c:v>NRCS-Colorado Atmospheric Benefits (cropland)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Graphing!$D$52:$Q$52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Graphing!$D$53:$Q$53</c:f>
              <c:numCache>
                <c:formatCode>_(* #,##0.00_);_(* \(#,##0.00\);_(* "-"??_);_(@_)</c:formatCode>
                <c:ptCount val="14"/>
                <c:pt idx="0">
                  <c:v>23975.688735151518</c:v>
                </c:pt>
                <c:pt idx="1">
                  <c:v>16565.631556873279</c:v>
                </c:pt>
                <c:pt idx="2">
                  <c:v>20025.930097884298</c:v>
                </c:pt>
                <c:pt idx="3">
                  <c:v>22813.314877400004</c:v>
                </c:pt>
                <c:pt idx="4">
                  <c:v>10661.571442936636</c:v>
                </c:pt>
                <c:pt idx="5">
                  <c:v>12459.034320264462</c:v>
                </c:pt>
                <c:pt idx="6">
                  <c:v>94394.432366663939</c:v>
                </c:pt>
                <c:pt idx="7">
                  <c:v>143248.74680154544</c:v>
                </c:pt>
                <c:pt idx="8">
                  <c:v>104714.22861857851</c:v>
                </c:pt>
                <c:pt idx="9">
                  <c:v>73209.155895999997</c:v>
                </c:pt>
                <c:pt idx="10">
                  <c:v>51812.145731999997</c:v>
                </c:pt>
                <c:pt idx="11">
                  <c:v>130211.14705299999</c:v>
                </c:pt>
                <c:pt idx="12">
                  <c:v>59788.957449000001</c:v>
                </c:pt>
                <c:pt idx="13">
                  <c:v>65287.057227999998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3-4DDC-A60B-2EE922F000CB}"/>
            </c:ext>
          </c:extLst>
        </c:ser>
        <c:ser>
          <c:idx val="1"/>
          <c:order val="1"/>
          <c:tx>
            <c:strRef>
              <c:f>Graphing!$C$54</c:f>
              <c:strCache>
                <c:ptCount val="1"/>
                <c:pt idx="0">
                  <c:v>NRCS-Colorado Atmospheric Benefits (grazing/pasture lands)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Graphing!$D$52:$Q$52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Graphing!$D$54:$Q$54</c:f>
              <c:numCache>
                <c:formatCode>0.00</c:formatCode>
                <c:ptCount val="14"/>
                <c:pt idx="0">
                  <c:v>450.55840000000006</c:v>
                </c:pt>
                <c:pt idx="1">
                  <c:v>2882.7815300000002</c:v>
                </c:pt>
                <c:pt idx="2">
                  <c:v>4524.2171400000007</c:v>
                </c:pt>
                <c:pt idx="3">
                  <c:v>3710.36348</c:v>
                </c:pt>
                <c:pt idx="4">
                  <c:v>2623.6863199999998</c:v>
                </c:pt>
                <c:pt idx="5">
                  <c:v>2694.0658699999999</c:v>
                </c:pt>
                <c:pt idx="6">
                  <c:v>21920.950840000001</c:v>
                </c:pt>
                <c:pt idx="7">
                  <c:v>23779.794419999998</c:v>
                </c:pt>
                <c:pt idx="8">
                  <c:v>15897.527789999998</c:v>
                </c:pt>
                <c:pt idx="9">
                  <c:v>9291.3971099999999</c:v>
                </c:pt>
                <c:pt idx="10">
                  <c:v>14599.91296</c:v>
                </c:pt>
                <c:pt idx="11">
                  <c:v>9558.5754000000015</c:v>
                </c:pt>
                <c:pt idx="12">
                  <c:v>9861.0001699999993</c:v>
                </c:pt>
                <c:pt idx="13">
                  <c:v>5603.9407999999994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D43-4DDC-A60B-2EE922F000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29785840"/>
        <c:axId val="629786168"/>
        <c:extLst/>
      </c:barChart>
      <c:catAx>
        <c:axId val="62978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86168"/>
        <c:crosses val="autoZero"/>
        <c:auto val="1"/>
        <c:lblAlgn val="ctr"/>
        <c:lblOffset val="100"/>
        <c:noMultiLvlLbl val="0"/>
      </c:catAx>
      <c:valAx>
        <c:axId val="62978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8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Soil Health and Climate Solutions</a:t>
            </a:r>
          </a:p>
          <a:p>
            <a:pPr>
              <a:defRPr/>
            </a:pPr>
            <a:r>
              <a:rPr lang="en-US"/>
              <a:t>Direct Atmospheric Carbon Sequestration Benefits of NRCS Conservation Practices in Colorado </a:t>
            </a:r>
          </a:p>
          <a:p>
            <a:pPr>
              <a:defRPr/>
            </a:pPr>
            <a:r>
              <a:rPr lang="en-US"/>
              <a:t>(Units = metric tons CO2e)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Graphing!$C$53</c:f>
              <c:strCache>
                <c:ptCount val="1"/>
                <c:pt idx="0">
                  <c:v>NRCS-Colorado Atmospheric Benefits (cropland)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Graphing!$D$52:$Q$52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Graphing!$D$53:$Q$53</c:f>
              <c:numCache>
                <c:formatCode>_(* #,##0.00_);_(* \(#,##0.00\);_(* "-"??_);_(@_)</c:formatCode>
                <c:ptCount val="14"/>
                <c:pt idx="0">
                  <c:v>23975.688735151518</c:v>
                </c:pt>
                <c:pt idx="1">
                  <c:v>16565.631556873279</c:v>
                </c:pt>
                <c:pt idx="2">
                  <c:v>20025.930097884298</c:v>
                </c:pt>
                <c:pt idx="3">
                  <c:v>22813.314877400004</c:v>
                </c:pt>
                <c:pt idx="4">
                  <c:v>10661.571442936636</c:v>
                </c:pt>
                <c:pt idx="5">
                  <c:v>12459.034320264462</c:v>
                </c:pt>
                <c:pt idx="6">
                  <c:v>94394.432366663939</c:v>
                </c:pt>
                <c:pt idx="7">
                  <c:v>143248.74680154544</c:v>
                </c:pt>
                <c:pt idx="8">
                  <c:v>104714.22861857851</c:v>
                </c:pt>
                <c:pt idx="9">
                  <c:v>73209.155895999997</c:v>
                </c:pt>
                <c:pt idx="10">
                  <c:v>51812.145731999997</c:v>
                </c:pt>
                <c:pt idx="11">
                  <c:v>130211.14705299999</c:v>
                </c:pt>
                <c:pt idx="12">
                  <c:v>59788.957449000001</c:v>
                </c:pt>
                <c:pt idx="13">
                  <c:v>65287.057227999998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9-492F-A6B2-A368795B71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29785840"/>
        <c:axId val="629786168"/>
        <c:extLst/>
      </c:barChart>
      <c:catAx>
        <c:axId val="62978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86168"/>
        <c:crosses val="autoZero"/>
        <c:auto val="1"/>
        <c:lblAlgn val="ctr"/>
        <c:lblOffset val="100"/>
        <c:noMultiLvlLbl val="0"/>
      </c:catAx>
      <c:valAx>
        <c:axId val="62978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8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Soil Health and Climate Solutions</a:t>
            </a:r>
          </a:p>
          <a:p>
            <a:pPr>
              <a:defRPr/>
            </a:pPr>
            <a:r>
              <a:rPr lang="en-US"/>
              <a:t>Direct Atmospheric Carbon Sequestration Benefits of NRCS Conservation Practices in Colorado </a:t>
            </a:r>
          </a:p>
          <a:p>
            <a:pPr>
              <a:defRPr/>
            </a:pPr>
            <a:r>
              <a:rPr lang="en-US"/>
              <a:t>(Units = metric tons CO2e)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Graphing!$C$54</c:f>
              <c:strCache>
                <c:ptCount val="1"/>
                <c:pt idx="0">
                  <c:v>NRCS-Colorado Atmospheric Benefits (grazing/pasture lands)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Graphing!$D$52:$Q$52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Graphing!$D$54:$Q$54</c:f>
              <c:numCache>
                <c:formatCode>0.00</c:formatCode>
                <c:ptCount val="14"/>
                <c:pt idx="0">
                  <c:v>450.55840000000006</c:v>
                </c:pt>
                <c:pt idx="1">
                  <c:v>2882.7815300000002</c:v>
                </c:pt>
                <c:pt idx="2">
                  <c:v>4524.2171400000007</c:v>
                </c:pt>
                <c:pt idx="3">
                  <c:v>3710.36348</c:v>
                </c:pt>
                <c:pt idx="4">
                  <c:v>2623.6863199999998</c:v>
                </c:pt>
                <c:pt idx="5">
                  <c:v>2694.0658699999999</c:v>
                </c:pt>
                <c:pt idx="6">
                  <c:v>21920.950840000001</c:v>
                </c:pt>
                <c:pt idx="7">
                  <c:v>23779.794419999998</c:v>
                </c:pt>
                <c:pt idx="8">
                  <c:v>15897.527789999998</c:v>
                </c:pt>
                <c:pt idx="9">
                  <c:v>9291.3971099999999</c:v>
                </c:pt>
                <c:pt idx="10">
                  <c:v>14599.91296</c:v>
                </c:pt>
                <c:pt idx="11">
                  <c:v>9558.5754000000015</c:v>
                </c:pt>
                <c:pt idx="12">
                  <c:v>9861.0001699999993</c:v>
                </c:pt>
                <c:pt idx="13">
                  <c:v>5603.9407999999994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F07-4E80-81F7-EF83CD0926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29785840"/>
        <c:axId val="629786168"/>
        <c:extLst/>
      </c:barChart>
      <c:catAx>
        <c:axId val="62978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86168"/>
        <c:crosses val="autoZero"/>
        <c:auto val="1"/>
        <c:lblAlgn val="ctr"/>
        <c:lblOffset val="100"/>
        <c:noMultiLvlLbl val="0"/>
      </c:catAx>
      <c:valAx>
        <c:axId val="62978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8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Soil Health and Climate Solutions</a:t>
            </a:r>
          </a:p>
          <a:p>
            <a:pPr>
              <a:defRPr/>
            </a:pPr>
            <a:r>
              <a:rPr lang="en-US"/>
              <a:t>Direct Atmospheric Carbon Sequestration Benefits of NRCS Conservation Practices in Colorado </a:t>
            </a:r>
          </a:p>
          <a:p>
            <a:pPr>
              <a:defRPr/>
            </a:pPr>
            <a:r>
              <a:rPr lang="en-US"/>
              <a:t>(Units = metric tons CO2e)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Graphing!$C$53</c:f>
              <c:strCache>
                <c:ptCount val="1"/>
                <c:pt idx="0">
                  <c:v>NRCS-Colorado Atmospheric Benefits (cropland)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Graphing!$D$52:$Q$52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Graphing!$D$53:$Q$53</c:f>
              <c:numCache>
                <c:formatCode>_(* #,##0.00_);_(* \(#,##0.00\);_(* "-"??_);_(@_)</c:formatCode>
                <c:ptCount val="14"/>
                <c:pt idx="0">
                  <c:v>23975.688735151518</c:v>
                </c:pt>
                <c:pt idx="1">
                  <c:v>16565.631556873279</c:v>
                </c:pt>
                <c:pt idx="2">
                  <c:v>20025.930097884298</c:v>
                </c:pt>
                <c:pt idx="3">
                  <c:v>22813.314877400004</c:v>
                </c:pt>
                <c:pt idx="4">
                  <c:v>10661.571442936636</c:v>
                </c:pt>
                <c:pt idx="5">
                  <c:v>12459.034320264462</c:v>
                </c:pt>
                <c:pt idx="6">
                  <c:v>94394.432366663939</c:v>
                </c:pt>
                <c:pt idx="7">
                  <c:v>143248.74680154544</c:v>
                </c:pt>
                <c:pt idx="8">
                  <c:v>104714.22861857851</c:v>
                </c:pt>
                <c:pt idx="9">
                  <c:v>73209.155895999997</c:v>
                </c:pt>
                <c:pt idx="10">
                  <c:v>51812.145731999997</c:v>
                </c:pt>
                <c:pt idx="11">
                  <c:v>130211.14705299999</c:v>
                </c:pt>
                <c:pt idx="12">
                  <c:v>59788.957449000001</c:v>
                </c:pt>
                <c:pt idx="13">
                  <c:v>65287.057227999998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6-4255-8CBB-106206B956FB}"/>
            </c:ext>
          </c:extLst>
        </c:ser>
        <c:ser>
          <c:idx val="1"/>
          <c:order val="1"/>
          <c:tx>
            <c:strRef>
              <c:f>Graphing!$C$54</c:f>
              <c:strCache>
                <c:ptCount val="1"/>
                <c:pt idx="0">
                  <c:v>NRCS-Colorado Atmospheric Benefits (grazing/pasture lands)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Graphing!$D$52:$Q$52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Graphing!$D$54:$Q$54</c:f>
              <c:numCache>
                <c:formatCode>0.00</c:formatCode>
                <c:ptCount val="14"/>
                <c:pt idx="0">
                  <c:v>450.55840000000006</c:v>
                </c:pt>
                <c:pt idx="1">
                  <c:v>2882.7815300000002</c:v>
                </c:pt>
                <c:pt idx="2">
                  <c:v>4524.2171400000007</c:v>
                </c:pt>
                <c:pt idx="3">
                  <c:v>3710.36348</c:v>
                </c:pt>
                <c:pt idx="4">
                  <c:v>2623.6863199999998</c:v>
                </c:pt>
                <c:pt idx="5">
                  <c:v>2694.0658699999999</c:v>
                </c:pt>
                <c:pt idx="6">
                  <c:v>21920.950840000001</c:v>
                </c:pt>
                <c:pt idx="7">
                  <c:v>23779.794419999998</c:v>
                </c:pt>
                <c:pt idx="8">
                  <c:v>15897.527789999998</c:v>
                </c:pt>
                <c:pt idx="9">
                  <c:v>9291.3971099999999</c:v>
                </c:pt>
                <c:pt idx="10">
                  <c:v>14599.91296</c:v>
                </c:pt>
                <c:pt idx="11">
                  <c:v>9558.5754000000015</c:v>
                </c:pt>
                <c:pt idx="12">
                  <c:v>9861.0001699999993</c:v>
                </c:pt>
                <c:pt idx="13">
                  <c:v>5603.9407999999994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2B06-4255-8CBB-106206B956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629785840"/>
        <c:axId val="629786168"/>
        <c:extLst/>
      </c:barChart>
      <c:catAx>
        <c:axId val="62978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86168"/>
        <c:crosses val="autoZero"/>
        <c:auto val="1"/>
        <c:lblAlgn val="ctr"/>
        <c:lblOffset val="100"/>
        <c:noMultiLvlLbl val="0"/>
      </c:catAx>
      <c:valAx>
        <c:axId val="62978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8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Colorado Soil Health Climate Change Mitigation 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(Metric Tonnes CO2e)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Acres!$D$19</c:f>
              <c:strCache>
                <c:ptCount val="1"/>
                <c:pt idx="0">
                  <c:v>Total Acreage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Acres!$E$2:$S$2</c:f>
              <c:strCache>
                <c:ptCount val="15"/>
                <c:pt idx="0">
                  <c:v>327</c:v>
                </c:pt>
                <c:pt idx="1">
                  <c:v>328</c:v>
                </c:pt>
                <c:pt idx="2">
                  <c:v>329</c:v>
                </c:pt>
                <c:pt idx="3">
                  <c:v>329A</c:v>
                </c:pt>
                <c:pt idx="4">
                  <c:v>329B</c:v>
                </c:pt>
                <c:pt idx="5">
                  <c:v>330</c:v>
                </c:pt>
                <c:pt idx="6">
                  <c:v>332</c:v>
                </c:pt>
                <c:pt idx="7">
                  <c:v>340</c:v>
                </c:pt>
                <c:pt idx="8">
                  <c:v>345</c:v>
                </c:pt>
                <c:pt idx="9">
                  <c:v>386</c:v>
                </c:pt>
                <c:pt idx="10">
                  <c:v>393</c:v>
                </c:pt>
                <c:pt idx="11">
                  <c:v>412</c:v>
                </c:pt>
                <c:pt idx="12">
                  <c:v>585</c:v>
                </c:pt>
                <c:pt idx="13">
                  <c:v>601</c:v>
                </c:pt>
                <c:pt idx="14">
                  <c:v>603</c:v>
                </c:pt>
              </c:strCache>
            </c:strRef>
          </c:cat>
          <c:val>
            <c:numRef>
              <c:f>Acres!$E$19:$S$19</c:f>
              <c:numCache>
                <c:formatCode>_(* #,##0.00_);_(* \(#,##0.00\);_(* "-"??_);_(@_)</c:formatCode>
                <c:ptCount val="15"/>
                <c:pt idx="0">
                  <c:v>245816.5</c:v>
                </c:pt>
                <c:pt idx="1">
                  <c:v>1999574.7499999998</c:v>
                </c:pt>
                <c:pt idx="2">
                  <c:v>801143.1</c:v>
                </c:pt>
                <c:pt idx="3">
                  <c:v>102467.89999999998</c:v>
                </c:pt>
                <c:pt idx="4">
                  <c:v>127025.2</c:v>
                </c:pt>
                <c:pt idx="5">
                  <c:v>3752.2999999999997</c:v>
                </c:pt>
                <c:pt idx="6">
                  <c:v>0</c:v>
                </c:pt>
                <c:pt idx="7">
                  <c:v>103447.79000000001</c:v>
                </c:pt>
                <c:pt idx="8">
                  <c:v>645466.86</c:v>
                </c:pt>
                <c:pt idx="9">
                  <c:v>33225.399999999994</c:v>
                </c:pt>
                <c:pt idx="10">
                  <c:v>466.3</c:v>
                </c:pt>
                <c:pt idx="11">
                  <c:v>237.99999999999997</c:v>
                </c:pt>
                <c:pt idx="12">
                  <c:v>19319.100000000002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C-4F39-8A00-388134D20EFC}"/>
            </c:ext>
          </c:extLst>
        </c:ser>
        <c:ser>
          <c:idx val="1"/>
          <c:order val="1"/>
          <c:tx>
            <c:strRef>
              <c:f>Acres!$D$20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Acres!$E$2:$S$2</c:f>
              <c:strCache>
                <c:ptCount val="15"/>
                <c:pt idx="0">
                  <c:v>327</c:v>
                </c:pt>
                <c:pt idx="1">
                  <c:v>328</c:v>
                </c:pt>
                <c:pt idx="2">
                  <c:v>329</c:v>
                </c:pt>
                <c:pt idx="3">
                  <c:v>329A</c:v>
                </c:pt>
                <c:pt idx="4">
                  <c:v>329B</c:v>
                </c:pt>
                <c:pt idx="5">
                  <c:v>330</c:v>
                </c:pt>
                <c:pt idx="6">
                  <c:v>332</c:v>
                </c:pt>
                <c:pt idx="7">
                  <c:v>340</c:v>
                </c:pt>
                <c:pt idx="8">
                  <c:v>345</c:v>
                </c:pt>
                <c:pt idx="9">
                  <c:v>386</c:v>
                </c:pt>
                <c:pt idx="10">
                  <c:v>393</c:v>
                </c:pt>
                <c:pt idx="11">
                  <c:v>412</c:v>
                </c:pt>
                <c:pt idx="12">
                  <c:v>585</c:v>
                </c:pt>
                <c:pt idx="13">
                  <c:v>601</c:v>
                </c:pt>
                <c:pt idx="14">
                  <c:v>603</c:v>
                </c:pt>
              </c:strCache>
            </c:strRef>
          </c:cat>
          <c:val>
            <c:numRef>
              <c:f>Acres!$E$20:$S$20</c:f>
              <c:numCache>
                <c:formatCode>_(* #,##0.00_);_(* \(#,##0.00\);_(* "-"??_);_(@_)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1-F65C-4F39-8A00-388134D20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984184"/>
        <c:axId val="306607440"/>
      </c:barChart>
      <c:catAx>
        <c:axId val="30598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07440"/>
        <c:crosses val="autoZero"/>
        <c:auto val="1"/>
        <c:lblAlgn val="ctr"/>
        <c:lblOffset val="100"/>
        <c:noMultiLvlLbl val="0"/>
      </c:catAx>
      <c:valAx>
        <c:axId val="3066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8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Acres Under NRCS Soil Health Conservation Practices in Colorado</a:t>
            </a:r>
          </a:p>
          <a:p>
            <a:pPr>
              <a:defRPr b="1"/>
            </a:pPr>
            <a:r>
              <a:rPr lang="en-US" b="1"/>
              <a:t> (Units = acres)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3"/>
          <c:tx>
            <c:strRef>
              <c:f>Acres!$L$3</c:f>
              <c:strCache>
                <c:ptCount val="1"/>
                <c:pt idx="0">
                  <c:v>Cover Crop (ac)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Acres!$C$4:$C$18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Acres!$L$4:$L$18</c:f>
              <c:numCache>
                <c:formatCode>_(* #,##0.00_);_(* \(#,##0.00\);_(* "-"??_);_(@_)</c:formatCode>
                <c:ptCount val="15"/>
                <c:pt idx="0">
                  <c:v>174.5</c:v>
                </c:pt>
                <c:pt idx="1">
                  <c:v>703.8</c:v>
                </c:pt>
                <c:pt idx="2">
                  <c:v>16606.400000000001</c:v>
                </c:pt>
                <c:pt idx="3">
                  <c:v>2724.1</c:v>
                </c:pt>
                <c:pt idx="4">
                  <c:v>1111.45</c:v>
                </c:pt>
                <c:pt idx="5">
                  <c:v>303.2</c:v>
                </c:pt>
                <c:pt idx="6">
                  <c:v>1042.2</c:v>
                </c:pt>
                <c:pt idx="7">
                  <c:v>8176.6</c:v>
                </c:pt>
                <c:pt idx="8">
                  <c:v>10236.200000000001</c:v>
                </c:pt>
                <c:pt idx="9">
                  <c:v>6634.04</c:v>
                </c:pt>
                <c:pt idx="10">
                  <c:v>9626.9</c:v>
                </c:pt>
                <c:pt idx="11">
                  <c:v>9554.4000000000015</c:v>
                </c:pt>
                <c:pt idx="12">
                  <c:v>16499.800000000003</c:v>
                </c:pt>
                <c:pt idx="13">
                  <c:v>12339.4</c:v>
                </c:pt>
                <c:pt idx="14">
                  <c:v>7714.8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39-427C-A649-9DA7E0D8FAAF}"/>
            </c:ext>
          </c:extLst>
        </c:ser>
        <c:ser>
          <c:idx val="16"/>
          <c:order val="4"/>
          <c:tx>
            <c:strRef>
              <c:f>Acres!$T$3</c:f>
              <c:strCache>
                <c:ptCount val="1"/>
                <c:pt idx="0">
                  <c:v>SUM</c:v>
                </c:pt>
              </c:strCache>
            </c:strRef>
          </c:tx>
          <c:spPr>
            <a:ln w="762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Acres!$C$4:$C$18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Acres!$T$4:$T$18</c:f>
              <c:numCache>
                <c:formatCode>_(* #,##0.00_);_(* \(#,##0.00\);_(* "-"??_);_(@_)</c:formatCode>
                <c:ptCount val="15"/>
                <c:pt idx="0">
                  <c:v>46123.3</c:v>
                </c:pt>
                <c:pt idx="1">
                  <c:v>123243.99999999999</c:v>
                </c:pt>
                <c:pt idx="2">
                  <c:v>113559.90000000002</c:v>
                </c:pt>
                <c:pt idx="3">
                  <c:v>105263</c:v>
                </c:pt>
                <c:pt idx="4">
                  <c:v>111077.85999999999</c:v>
                </c:pt>
                <c:pt idx="5">
                  <c:v>49907.25</c:v>
                </c:pt>
                <c:pt idx="6">
                  <c:v>63279.05</c:v>
                </c:pt>
                <c:pt idx="7">
                  <c:v>424286.9</c:v>
                </c:pt>
                <c:pt idx="8">
                  <c:v>643570.80000000005</c:v>
                </c:pt>
                <c:pt idx="9">
                  <c:v>451383.24</c:v>
                </c:pt>
                <c:pt idx="10">
                  <c:v>345305.5</c:v>
                </c:pt>
                <c:pt idx="11">
                  <c:v>247266</c:v>
                </c:pt>
                <c:pt idx="12">
                  <c:v>689296.5</c:v>
                </c:pt>
                <c:pt idx="13">
                  <c:v>319477.90000000002</c:v>
                </c:pt>
                <c:pt idx="14">
                  <c:v>348902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939-427C-A649-9DA7E0D8F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60288"/>
        <c:axId val="5414629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Acres!$D$3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Acres!$C$4:$C$18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2004</c:v>
                      </c:pt>
                      <c:pt idx="1">
                        <c:v>2005</c:v>
                      </c:pt>
                      <c:pt idx="2">
                        <c:v>2006</c:v>
                      </c:pt>
                      <c:pt idx="3">
                        <c:v>2007</c:v>
                      </c:pt>
                      <c:pt idx="4">
                        <c:v>2008</c:v>
                      </c:pt>
                      <c:pt idx="5">
                        <c:v>2009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2015</c:v>
                      </c:pt>
                      <c:pt idx="12">
                        <c:v>2016</c:v>
                      </c:pt>
                      <c:pt idx="13">
                        <c:v>2017</c:v>
                      </c:pt>
                      <c:pt idx="14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Acres!$D$4:$D$18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939-427C-A649-9DA7E0D8FAAF}"/>
                  </c:ext>
                </c:extLst>
              </c15:ser>
            </c15:filteredLineSeries>
            <c15:filteredLineSeries>
              <c15:ser>
                <c:idx val="6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Acres!$J$3</c15:sqref>
                        </c15:formulaRef>
                      </c:ext>
                    </c:extLst>
                    <c:strCache>
                      <c:ptCount val="1"/>
                      <c:pt idx="0">
                        <c:v>Contour Farming (ac)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Acres!$C$4:$C$18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2004</c:v>
                      </c:pt>
                      <c:pt idx="1">
                        <c:v>2005</c:v>
                      </c:pt>
                      <c:pt idx="2">
                        <c:v>2006</c:v>
                      </c:pt>
                      <c:pt idx="3">
                        <c:v>2007</c:v>
                      </c:pt>
                      <c:pt idx="4">
                        <c:v>2008</c:v>
                      </c:pt>
                      <c:pt idx="5">
                        <c:v>2009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2015</c:v>
                      </c:pt>
                      <c:pt idx="12">
                        <c:v>2016</c:v>
                      </c:pt>
                      <c:pt idx="13">
                        <c:v>2017</c:v>
                      </c:pt>
                      <c:pt idx="14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Acres!$J$4:$J$18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0</c:v>
                      </c:pt>
                      <c:pt idx="1">
                        <c:v>556.5</c:v>
                      </c:pt>
                      <c:pt idx="2">
                        <c:v>0</c:v>
                      </c:pt>
                      <c:pt idx="3">
                        <c:v>873.2</c:v>
                      </c:pt>
                      <c:pt idx="4">
                        <c:v>1042.4000000000001</c:v>
                      </c:pt>
                      <c:pt idx="5">
                        <c:v>169.2</c:v>
                      </c:pt>
                      <c:pt idx="6">
                        <c:v>169.2</c:v>
                      </c:pt>
                      <c:pt idx="7">
                        <c:v>331</c:v>
                      </c:pt>
                      <c:pt idx="8">
                        <c:v>0</c:v>
                      </c:pt>
                      <c:pt idx="9">
                        <c:v>2.6</c:v>
                      </c:pt>
                      <c:pt idx="10">
                        <c:v>2.6</c:v>
                      </c:pt>
                      <c:pt idx="11">
                        <c:v>2.6</c:v>
                      </c:pt>
                      <c:pt idx="12">
                        <c:v>300</c:v>
                      </c:pt>
                      <c:pt idx="13">
                        <c:v>303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939-427C-A649-9DA7E0D8FAAF}"/>
                  </c:ext>
                </c:extLst>
              </c15:ser>
            </c15:filteredLineSeries>
            <c15:filteredLineSeries>
              <c15:ser>
                <c:idx val="7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Acres!$K$3</c15:sqref>
                        </c15:formulaRef>
                      </c:ext>
                    </c:extLst>
                    <c:strCache>
                      <c:ptCount val="1"/>
                      <c:pt idx="0">
                        <c:v>Contour Buffer Strips (ac)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Acres!$C$4:$C$18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2004</c:v>
                      </c:pt>
                      <c:pt idx="1">
                        <c:v>2005</c:v>
                      </c:pt>
                      <c:pt idx="2">
                        <c:v>2006</c:v>
                      </c:pt>
                      <c:pt idx="3">
                        <c:v>2007</c:v>
                      </c:pt>
                      <c:pt idx="4">
                        <c:v>2008</c:v>
                      </c:pt>
                      <c:pt idx="5">
                        <c:v>2009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2015</c:v>
                      </c:pt>
                      <c:pt idx="12">
                        <c:v>2016</c:v>
                      </c:pt>
                      <c:pt idx="13">
                        <c:v>2017</c:v>
                      </c:pt>
                      <c:pt idx="14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Acres!$K$4:$K$18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939-427C-A649-9DA7E0D8FAAF}"/>
                  </c:ext>
                </c:extLst>
              </c15:ser>
            </c15:filteredLineSeries>
          </c:ext>
        </c:extLst>
      </c:lineChart>
      <c:catAx>
        <c:axId val="54146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62912"/>
        <c:crosses val="autoZero"/>
        <c:auto val="1"/>
        <c:lblAlgn val="ctr"/>
        <c:lblOffset val="100"/>
        <c:noMultiLvlLbl val="0"/>
      </c:catAx>
      <c:valAx>
        <c:axId val="5414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6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515979126052499"/>
          <c:y val="0.96917786646532189"/>
          <c:w val="0.1038011927091939"/>
          <c:h val="3.0822133534678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178594</xdr:colOff>
      <xdr:row>1</xdr:row>
      <xdr:rowOff>95250</xdr:rowOff>
    </xdr:from>
    <xdr:to>
      <xdr:col>24</xdr:col>
      <xdr:colOff>164115</xdr:colOff>
      <xdr:row>45</xdr:row>
      <xdr:rowOff>66327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80419" y="285750"/>
          <a:ext cx="7907146" cy="91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333375</xdr:colOff>
      <xdr:row>4</xdr:row>
      <xdr:rowOff>142875</xdr:rowOff>
    </xdr:from>
    <xdr:to>
      <xdr:col>14</xdr:col>
      <xdr:colOff>589895</xdr:colOff>
      <xdr:row>31</xdr:row>
      <xdr:rowOff>107211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49025" y="904875"/>
          <a:ext cx="5238095" cy="59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133350</xdr:colOff>
      <xdr:row>2</xdr:row>
      <xdr:rowOff>180975</xdr:rowOff>
    </xdr:from>
    <xdr:to>
      <xdr:col>16</xdr:col>
      <xdr:colOff>200025</xdr:colOff>
      <xdr:row>36</xdr:row>
      <xdr:rowOff>65345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0" y="561975"/>
          <a:ext cx="6267450" cy="717099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285750</xdr:colOff>
      <xdr:row>3</xdr:row>
      <xdr:rowOff>152400</xdr:rowOff>
    </xdr:from>
    <xdr:to>
      <xdr:col>15</xdr:col>
      <xdr:colOff>276225</xdr:colOff>
      <xdr:row>38</xdr:row>
      <xdr:rowOff>1344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49100" y="723900"/>
          <a:ext cx="6238875" cy="732289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76200</xdr:colOff>
      <xdr:row>3</xdr:row>
      <xdr:rowOff>66675</xdr:rowOff>
    </xdr:from>
    <xdr:to>
      <xdr:col>18</xdr:col>
      <xdr:colOff>170643</xdr:colOff>
      <xdr:row>40</xdr:row>
      <xdr:rowOff>18074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49125" y="638175"/>
          <a:ext cx="6457143" cy="780952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409575</xdr:colOff>
      <xdr:row>4</xdr:row>
      <xdr:rowOff>57150</xdr:rowOff>
    </xdr:from>
    <xdr:to>
      <xdr:col>14</xdr:col>
      <xdr:colOff>545461</xdr:colOff>
      <xdr:row>31</xdr:row>
      <xdr:rowOff>31009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25225" y="819150"/>
          <a:ext cx="5114286" cy="592380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23359</xdr:colOff>
      <xdr:row>3</xdr:row>
      <xdr:rowOff>286657</xdr:rowOff>
    </xdr:from>
    <xdr:to>
      <xdr:col>27</xdr:col>
      <xdr:colOff>271690</xdr:colOff>
      <xdr:row>16</xdr:row>
      <xdr:rowOff>88899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362629</xdr:colOff>
      <xdr:row>23</xdr:row>
      <xdr:rowOff>40822</xdr:rowOff>
    </xdr:from>
    <xdr:to>
      <xdr:col>26</xdr:col>
      <xdr:colOff>351064</xdr:colOff>
      <xdr:row>34</xdr:row>
      <xdr:rowOff>168729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1060449</xdr:colOff>
      <xdr:row>14</xdr:row>
      <xdr:rowOff>130175</xdr:rowOff>
    </xdr:from>
    <xdr:to>
      <xdr:col>21</xdr:col>
      <xdr:colOff>63500</xdr:colOff>
      <xdr:row>48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FAC70B-77F5-46C5-9535-B5F9BA0DE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60</xdr:row>
      <xdr:rowOff>0</xdr:rowOff>
    </xdr:from>
    <xdr:to>
      <xdr:col>19</xdr:col>
      <xdr:colOff>222251</xdr:colOff>
      <xdr:row>93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0B7E1A-1AE6-4400-B495-37FA39AA3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98</xdr:row>
      <xdr:rowOff>0</xdr:rowOff>
    </xdr:from>
    <xdr:to>
      <xdr:col>19</xdr:col>
      <xdr:colOff>222251</xdr:colOff>
      <xdr:row>131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7B17BC-DF37-40B0-89C4-3F3CA44FB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135</xdr:row>
      <xdr:rowOff>0</xdr:rowOff>
    </xdr:from>
    <xdr:to>
      <xdr:col>19</xdr:col>
      <xdr:colOff>222251</xdr:colOff>
      <xdr:row>168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39C9AD-B4C3-4375-8729-8B3530E33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172</xdr:row>
      <xdr:rowOff>0</xdr:rowOff>
    </xdr:from>
    <xdr:to>
      <xdr:col>19</xdr:col>
      <xdr:colOff>222251</xdr:colOff>
      <xdr:row>205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39E092E-97B6-442D-AA10-78E32A2BB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23359</xdr:colOff>
      <xdr:row>4</xdr:row>
      <xdr:rowOff>286657</xdr:rowOff>
    </xdr:from>
    <xdr:to>
      <xdr:col>27</xdr:col>
      <xdr:colOff>271690</xdr:colOff>
      <xdr:row>17</xdr:row>
      <xdr:rowOff>88899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ADF3FA-8143-4A9E-BD1F-3992B4C9E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54429</xdr:colOff>
      <xdr:row>18</xdr:row>
      <xdr:rowOff>697138</xdr:rowOff>
    </xdr:from>
    <xdr:to>
      <xdr:col>20</xdr:col>
      <xdr:colOff>312964</xdr:colOff>
      <xdr:row>52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F46C61-937F-43CB-9266-4323BB398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55</xdr:row>
      <xdr:rowOff>0</xdr:rowOff>
    </xdr:from>
    <xdr:to>
      <xdr:col>19</xdr:col>
      <xdr:colOff>71211</xdr:colOff>
      <xdr:row>88</xdr:row>
      <xdr:rowOff>129722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2AA325-E327-4923-AADF-36706A4CC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23</xdr:row>
      <xdr:rowOff>0</xdr:rowOff>
    </xdr:from>
    <xdr:to>
      <xdr:col>51</xdr:col>
      <xdr:colOff>316139</xdr:colOff>
      <xdr:row>56</xdr:row>
      <xdr:rowOff>136071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D95ACC-7461-4779-993C-9CE5530DF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24</xdr:col>
      <xdr:colOff>437333</xdr:colOff>
      <xdr:row>37</xdr:row>
      <xdr:rowOff>84756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31350" y="190500"/>
          <a:ext cx="6533333" cy="77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24</xdr:col>
      <xdr:colOff>141867</xdr:colOff>
      <xdr:row>45</xdr:row>
      <xdr:rowOff>122661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9525" y="190500"/>
          <a:ext cx="8066667" cy="93142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0</xdr:row>
      <xdr:rowOff>70633</xdr:rowOff>
    </xdr:from>
    <xdr:to>
      <xdr:col>23</xdr:col>
      <xdr:colOff>145042</xdr:colOff>
      <xdr:row>37</xdr:row>
      <xdr:rowOff>75036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68550" y="70633"/>
          <a:ext cx="6809367" cy="786252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1221650</xdr:colOff>
      <xdr:row>2</xdr:row>
      <xdr:rowOff>161926</xdr:rowOff>
    </xdr:from>
    <xdr:to>
      <xdr:col>19</xdr:col>
      <xdr:colOff>189487</xdr:colOff>
      <xdr:row>45</xdr:row>
      <xdr:rowOff>76201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85000" y="542926"/>
          <a:ext cx="7654637" cy="8915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514350</xdr:colOff>
      <xdr:row>2</xdr:row>
      <xdr:rowOff>180975</xdr:rowOff>
    </xdr:from>
    <xdr:to>
      <xdr:col>15</xdr:col>
      <xdr:colOff>256406</xdr:colOff>
      <xdr:row>31</xdr:row>
      <xdr:rowOff>84945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25250" y="561975"/>
          <a:ext cx="6152381" cy="623809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457200</xdr:colOff>
      <xdr:row>3</xdr:row>
      <xdr:rowOff>85725</xdr:rowOff>
    </xdr:from>
    <xdr:to>
      <xdr:col>18</xdr:col>
      <xdr:colOff>608648</xdr:colOff>
      <xdr:row>44</xdr:row>
      <xdr:rowOff>84648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96700" y="657225"/>
          <a:ext cx="7619048" cy="861904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142874</xdr:colOff>
      <xdr:row>5</xdr:row>
      <xdr:rowOff>95250</xdr:rowOff>
    </xdr:from>
    <xdr:to>
      <xdr:col>16</xdr:col>
      <xdr:colOff>602237</xdr:colOff>
      <xdr:row>43</xdr:row>
      <xdr:rowOff>69455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06174" y="1047750"/>
          <a:ext cx="6885563" cy="801965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142875</xdr:colOff>
      <xdr:row>2</xdr:row>
      <xdr:rowOff>76200</xdr:rowOff>
    </xdr:from>
    <xdr:to>
      <xdr:col>16</xdr:col>
      <xdr:colOff>209550</xdr:colOff>
      <xdr:row>35</xdr:row>
      <xdr:rowOff>151070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58525" y="457200"/>
          <a:ext cx="6267450" cy="71709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am.chambers\Desktop\Documents\States\Colorado\State%20Inventory\2004%20thru%202018%20numbers\Historic%20Master_Spreadsheet_for_GrazingandPastureBB_AC2020_Final_ColoradoE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 512"/>
      <sheetName val="Emission Calcs 512 Forage and B"/>
      <sheetName val="CO 528"/>
      <sheetName val="Emission Calcs 528 Presc Grazin"/>
      <sheetName val="CO 528A"/>
      <sheetName val="Emission Calcs 528A Presc Gr"/>
      <sheetName val="CO 550"/>
      <sheetName val="Emission Calcs 550 Range Planti"/>
      <sheetName val="Grazing and Pasture Mastr LgcyE"/>
      <sheetName val="Grazing and Pasture Master"/>
      <sheetName val="Graph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7">
          <cell r="F7">
            <v>450.55840000000006</v>
          </cell>
          <cell r="G7">
            <v>2882.7815300000002</v>
          </cell>
          <cell r="H7">
            <v>4524.2171400000007</v>
          </cell>
          <cell r="I7">
            <v>3710.36348</v>
          </cell>
          <cell r="J7">
            <v>2623.6863199999998</v>
          </cell>
          <cell r="K7">
            <v>2694.0658699999999</v>
          </cell>
          <cell r="L7">
            <v>21920.950840000001</v>
          </cell>
          <cell r="M7">
            <v>23779.794419999998</v>
          </cell>
          <cell r="N7">
            <v>15897.527789999998</v>
          </cell>
          <cell r="O7">
            <v>9291.3971099999999</v>
          </cell>
          <cell r="P7">
            <v>14599.91296</v>
          </cell>
          <cell r="Q7">
            <v>9558.5754000000015</v>
          </cell>
          <cell r="R7">
            <v>9861.0001699999993</v>
          </cell>
          <cell r="S7">
            <v>5603.9407999999994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4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1"/>
  <sheetViews>
    <sheetView workbookViewId="0">
      <selection activeCell="V3" sqref="V3:V17"/>
    </sheetView>
  </sheetViews>
  <sheetFormatPr defaultRowHeight="15" x14ac:dyDescent="0.25"/>
  <cols>
    <col min="1" max="1" width="5" customWidth="1"/>
    <col min="2" max="2" width="12" bestFit="1" customWidth="1"/>
    <col min="3" max="4" width="9.28515625" bestFit="1" customWidth="1"/>
    <col min="5" max="5" width="9.5703125" bestFit="1" customWidth="1"/>
    <col min="6" max="7" width="9.28515625" bestFit="1" customWidth="1"/>
    <col min="8" max="8" width="13.28515625" bestFit="1" customWidth="1"/>
    <col min="9" max="9" width="9.28515625" bestFit="1" customWidth="1"/>
    <col min="10" max="10" width="11.7109375" customWidth="1"/>
    <col min="11" max="11" width="10.5703125" bestFit="1" customWidth="1"/>
    <col min="12" max="12" width="12.140625" bestFit="1" customWidth="1"/>
    <col min="13" max="18" width="9.28515625" bestFit="1" customWidth="1"/>
    <col min="19" max="19" width="13.42578125" bestFit="1" customWidth="1"/>
    <col min="20" max="20" width="9.5703125" bestFit="1" customWidth="1"/>
    <col min="21" max="21" width="12.42578125" bestFit="1" customWidth="1"/>
    <col min="22" max="22" width="14.140625" bestFit="1" customWidth="1"/>
    <col min="23" max="23" width="15.7109375" customWidth="1"/>
    <col min="24" max="24" width="27.42578125" customWidth="1"/>
  </cols>
  <sheetData>
    <row r="1" spans="1:24" x14ac:dyDescent="0.25">
      <c r="B1" s="88" t="s">
        <v>24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</row>
    <row r="2" spans="1:24" s="3" customFormat="1" x14ac:dyDescent="0.25">
      <c r="A2" s="89" t="s">
        <v>0</v>
      </c>
      <c r="B2" s="6"/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21</v>
      </c>
      <c r="I2" s="7" t="s">
        <v>6</v>
      </c>
      <c r="J2" s="7" t="s">
        <v>7</v>
      </c>
      <c r="K2" s="7" t="s">
        <v>8</v>
      </c>
      <c r="L2" s="7" t="s">
        <v>9</v>
      </c>
      <c r="M2" s="7" t="s">
        <v>10</v>
      </c>
      <c r="N2" s="7" t="s">
        <v>11</v>
      </c>
      <c r="O2" s="7" t="s">
        <v>12</v>
      </c>
      <c r="P2" s="7" t="s">
        <v>13</v>
      </c>
      <c r="Q2" s="7" t="s">
        <v>14</v>
      </c>
      <c r="R2" s="7" t="s">
        <v>15</v>
      </c>
      <c r="S2" s="7" t="s">
        <v>16</v>
      </c>
      <c r="T2" s="7" t="s">
        <v>17</v>
      </c>
      <c r="U2" s="7" t="s">
        <v>23</v>
      </c>
      <c r="V2" s="7" t="s">
        <v>18</v>
      </c>
      <c r="W2" s="7"/>
      <c r="X2" s="7"/>
    </row>
    <row r="3" spans="1:24" x14ac:dyDescent="0.25">
      <c r="A3" s="89"/>
      <c r="B3" s="1">
        <v>2004</v>
      </c>
      <c r="C3" s="3"/>
      <c r="D3" s="3"/>
      <c r="E3" s="3"/>
      <c r="F3" s="3"/>
      <c r="G3" s="3"/>
      <c r="H3" s="59"/>
      <c r="I3" s="3"/>
      <c r="J3" s="59"/>
      <c r="K3" s="3"/>
      <c r="L3" s="81"/>
      <c r="M3" s="3"/>
      <c r="N3" s="3"/>
      <c r="O3" s="3"/>
      <c r="P3" s="3"/>
      <c r="Q3" s="3"/>
      <c r="R3" s="59"/>
      <c r="S3" s="3"/>
      <c r="T3" s="3"/>
      <c r="U3" s="3"/>
      <c r="V3" s="5">
        <f t="shared" ref="V3:V16" si="0">SUM(C3:U3)</f>
        <v>0</v>
      </c>
      <c r="W3" s="4"/>
    </row>
    <row r="4" spans="1:24" x14ac:dyDescent="0.25">
      <c r="A4" s="89"/>
      <c r="B4" s="1">
        <v>2005</v>
      </c>
      <c r="C4" s="3"/>
      <c r="D4" s="3"/>
      <c r="E4" s="3"/>
      <c r="F4" s="3"/>
      <c r="G4" s="3"/>
      <c r="H4" s="59"/>
      <c r="I4" s="3"/>
      <c r="J4" s="59"/>
      <c r="K4" s="59"/>
      <c r="L4" s="3">
        <v>254.7</v>
      </c>
      <c r="M4" s="3"/>
      <c r="N4" s="3"/>
      <c r="O4" s="3"/>
      <c r="P4" s="3"/>
      <c r="Q4" s="3"/>
      <c r="R4" s="59"/>
      <c r="S4" s="3"/>
      <c r="T4" s="3"/>
      <c r="U4" s="3"/>
      <c r="V4" s="5">
        <f t="shared" si="0"/>
        <v>254.7</v>
      </c>
      <c r="W4" s="4"/>
    </row>
    <row r="5" spans="1:24" x14ac:dyDescent="0.25">
      <c r="A5" s="89"/>
      <c r="B5" s="1">
        <v>2006</v>
      </c>
      <c r="C5" s="3"/>
      <c r="D5" s="3"/>
      <c r="E5" s="3"/>
      <c r="F5" s="3"/>
      <c r="G5" s="3"/>
      <c r="H5" s="59"/>
      <c r="I5" s="3"/>
      <c r="J5" s="59"/>
      <c r="K5" s="59"/>
      <c r="L5" s="81">
        <v>179.2</v>
      </c>
      <c r="M5" s="3"/>
      <c r="N5" s="3"/>
      <c r="O5" s="3"/>
      <c r="P5" s="3"/>
      <c r="Q5" s="3"/>
      <c r="R5" s="3"/>
      <c r="S5" s="3"/>
      <c r="T5" s="3"/>
      <c r="U5" s="3"/>
      <c r="V5" s="5">
        <f t="shared" si="0"/>
        <v>179.2</v>
      </c>
      <c r="W5" s="4"/>
    </row>
    <row r="6" spans="1:24" x14ac:dyDescent="0.25">
      <c r="A6" s="89"/>
      <c r="B6" s="1">
        <v>2007</v>
      </c>
      <c r="C6" s="3"/>
      <c r="D6" s="3"/>
      <c r="E6" s="3"/>
      <c r="F6" s="3"/>
      <c r="G6" s="3"/>
      <c r="H6" s="59"/>
      <c r="I6" s="3"/>
      <c r="J6" s="5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5">
        <f t="shared" si="0"/>
        <v>0</v>
      </c>
      <c r="W6" s="4"/>
    </row>
    <row r="7" spans="1:24" x14ac:dyDescent="0.25">
      <c r="A7" s="89"/>
      <c r="B7" s="1">
        <v>2008</v>
      </c>
      <c r="C7" s="3"/>
      <c r="D7" s="3"/>
      <c r="E7" s="3"/>
      <c r="F7" s="3"/>
      <c r="G7" s="3"/>
      <c r="H7" s="59"/>
      <c r="I7" s="3"/>
      <c r="J7" s="59"/>
      <c r="K7" s="3"/>
      <c r="L7" s="3">
        <v>96.6</v>
      </c>
      <c r="M7" s="3"/>
      <c r="N7" s="3"/>
      <c r="O7" s="3"/>
      <c r="P7" s="3"/>
      <c r="Q7" s="3"/>
      <c r="R7" s="3"/>
      <c r="S7" s="3"/>
      <c r="T7" s="3"/>
      <c r="U7" s="3"/>
      <c r="V7" s="5">
        <f t="shared" si="0"/>
        <v>96.6</v>
      </c>
      <c r="W7" s="4"/>
    </row>
    <row r="8" spans="1:24" x14ac:dyDescent="0.25">
      <c r="A8" s="89"/>
      <c r="B8" s="1">
        <v>2009</v>
      </c>
      <c r="C8" s="3"/>
      <c r="D8" s="3"/>
      <c r="E8" s="3"/>
      <c r="F8" s="3"/>
      <c r="G8" s="3"/>
      <c r="H8" s="59"/>
      <c r="I8" s="3"/>
      <c r="J8" s="59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5">
        <f t="shared" si="0"/>
        <v>0</v>
      </c>
      <c r="W8" s="4"/>
    </row>
    <row r="9" spans="1:24" x14ac:dyDescent="0.25">
      <c r="A9" s="89"/>
      <c r="B9" s="1">
        <v>2010</v>
      </c>
      <c r="C9" s="3"/>
      <c r="D9" s="3"/>
      <c r="E9" s="3"/>
      <c r="F9" s="3"/>
      <c r="G9" s="3"/>
      <c r="H9" s="59"/>
      <c r="I9" s="3"/>
      <c r="J9" s="59"/>
      <c r="K9" s="3"/>
      <c r="L9" s="3">
        <v>108.4</v>
      </c>
      <c r="M9" s="3"/>
      <c r="N9" s="3"/>
      <c r="O9" s="3"/>
      <c r="P9" s="3"/>
      <c r="Q9" s="3"/>
      <c r="R9" s="3"/>
      <c r="S9" s="3"/>
      <c r="T9" s="3"/>
      <c r="U9" s="3"/>
      <c r="V9" s="5">
        <f t="shared" si="0"/>
        <v>108.4</v>
      </c>
      <c r="W9" s="4"/>
    </row>
    <row r="10" spans="1:24" x14ac:dyDescent="0.25">
      <c r="A10" s="89"/>
      <c r="B10" s="1">
        <v>2011</v>
      </c>
      <c r="C10" s="3"/>
      <c r="D10" s="3"/>
      <c r="E10" s="3"/>
      <c r="F10" s="3"/>
      <c r="G10" s="3"/>
      <c r="H10" s="59"/>
      <c r="I10" s="3"/>
      <c r="J10" s="78">
        <v>35705</v>
      </c>
      <c r="K10" s="3"/>
      <c r="L10" s="3">
        <v>6.4</v>
      </c>
      <c r="M10" s="3"/>
      <c r="N10" s="3"/>
      <c r="O10" s="3"/>
      <c r="P10" s="3"/>
      <c r="Q10" s="3"/>
      <c r="R10" s="3"/>
      <c r="S10" s="3"/>
      <c r="T10" s="3"/>
      <c r="U10" s="3"/>
      <c r="V10" s="5">
        <f t="shared" si="0"/>
        <v>35711.4</v>
      </c>
      <c r="W10" s="4"/>
    </row>
    <row r="11" spans="1:24" x14ac:dyDescent="0.25">
      <c r="A11" s="89"/>
      <c r="B11" s="1">
        <v>2012</v>
      </c>
      <c r="C11" s="3"/>
      <c r="D11" s="3"/>
      <c r="E11" s="3"/>
      <c r="F11" s="3"/>
      <c r="G11" s="3"/>
      <c r="H11" s="59"/>
      <c r="I11" s="3"/>
      <c r="J11" s="78">
        <v>72773</v>
      </c>
      <c r="K11" s="3"/>
      <c r="L11" s="3">
        <v>239</v>
      </c>
      <c r="M11" s="3"/>
      <c r="N11" s="3"/>
      <c r="O11" s="3"/>
      <c r="P11" s="3"/>
      <c r="Q11" s="3"/>
      <c r="R11" s="3"/>
      <c r="S11" s="3"/>
      <c r="T11" s="3"/>
      <c r="U11" s="3"/>
      <c r="V11" s="5">
        <f t="shared" si="0"/>
        <v>73012</v>
      </c>
      <c r="W11" s="4"/>
    </row>
    <row r="12" spans="1:24" x14ac:dyDescent="0.25">
      <c r="A12" s="89"/>
      <c r="B12" s="1">
        <v>2013</v>
      </c>
      <c r="C12" s="3"/>
      <c r="D12" s="3"/>
      <c r="E12" s="3"/>
      <c r="F12" s="3"/>
      <c r="G12" s="3"/>
      <c r="H12" s="59"/>
      <c r="I12" s="3"/>
      <c r="J12" s="78">
        <v>69287</v>
      </c>
      <c r="K12" s="3"/>
      <c r="L12" s="3">
        <v>8.9</v>
      </c>
      <c r="M12" s="3"/>
      <c r="N12" s="3"/>
      <c r="O12" s="3"/>
      <c r="P12" s="3"/>
      <c r="Q12" s="3"/>
      <c r="R12" s="3"/>
      <c r="S12" s="3"/>
      <c r="T12" s="3"/>
      <c r="U12" s="3"/>
      <c r="V12" s="5">
        <f t="shared" si="0"/>
        <v>69295.899999999994</v>
      </c>
      <c r="W12" s="4"/>
    </row>
    <row r="13" spans="1:24" x14ac:dyDescent="0.25">
      <c r="A13" s="89"/>
      <c r="B13" s="1">
        <v>2014</v>
      </c>
      <c r="C13" s="3"/>
      <c r="D13" s="3"/>
      <c r="E13" s="3"/>
      <c r="F13" s="3"/>
      <c r="G13" s="3"/>
      <c r="H13" s="3"/>
      <c r="I13" s="3"/>
      <c r="J13" s="78">
        <v>9057</v>
      </c>
      <c r="K13" s="3"/>
      <c r="L13" s="3">
        <v>628.70000000000005</v>
      </c>
      <c r="M13" s="3"/>
      <c r="N13" s="3"/>
      <c r="O13" s="3"/>
      <c r="P13" s="3"/>
      <c r="Q13" s="3"/>
      <c r="R13" s="3"/>
      <c r="S13" s="3"/>
      <c r="T13" s="3"/>
      <c r="U13" s="3"/>
      <c r="V13" s="5">
        <f t="shared" si="0"/>
        <v>9685.7000000000007</v>
      </c>
      <c r="W13" s="4"/>
    </row>
    <row r="14" spans="1:24" x14ac:dyDescent="0.25">
      <c r="B14" s="1">
        <v>2015</v>
      </c>
      <c r="C14" s="3"/>
      <c r="D14" s="3"/>
      <c r="E14" s="3"/>
      <c r="F14" s="3"/>
      <c r="G14" s="3"/>
      <c r="H14" s="3"/>
      <c r="I14" s="3"/>
      <c r="J14" s="78">
        <v>9455</v>
      </c>
      <c r="K14" s="3"/>
      <c r="L14" s="3">
        <v>131.79999999999998</v>
      </c>
      <c r="M14" s="3"/>
      <c r="N14" s="3"/>
      <c r="O14" s="3"/>
      <c r="P14" s="3"/>
      <c r="Q14" s="3"/>
      <c r="R14" s="3"/>
      <c r="S14" s="3"/>
      <c r="T14" s="3"/>
      <c r="U14" s="3"/>
      <c r="V14" s="5">
        <f t="shared" si="0"/>
        <v>9586.7999999999993</v>
      </c>
    </row>
    <row r="15" spans="1:24" x14ac:dyDescent="0.25">
      <c r="B15" s="1">
        <v>2016</v>
      </c>
      <c r="C15" s="3"/>
      <c r="D15" s="3"/>
      <c r="E15" s="3"/>
      <c r="F15" s="3"/>
      <c r="G15" s="3"/>
      <c r="H15" s="3"/>
      <c r="I15" s="3"/>
      <c r="J15" s="78">
        <v>13291</v>
      </c>
      <c r="K15" s="3"/>
      <c r="L15" s="3">
        <v>211.90000000000006</v>
      </c>
      <c r="M15" s="3"/>
      <c r="N15" s="3"/>
      <c r="O15" s="3"/>
      <c r="P15" s="3"/>
      <c r="Q15" s="3"/>
      <c r="R15" s="3"/>
      <c r="S15" s="3"/>
      <c r="T15" s="3"/>
      <c r="U15" s="3"/>
      <c r="V15" s="5">
        <f t="shared" si="0"/>
        <v>13502.9</v>
      </c>
    </row>
    <row r="16" spans="1:24" x14ac:dyDescent="0.25">
      <c r="B16" s="1">
        <v>2017</v>
      </c>
      <c r="C16" s="3"/>
      <c r="D16" s="3"/>
      <c r="E16" s="3"/>
      <c r="F16" s="3"/>
      <c r="G16" s="3"/>
      <c r="H16" s="3"/>
      <c r="I16" s="3"/>
      <c r="J16" s="78">
        <v>10798</v>
      </c>
      <c r="K16" s="3"/>
      <c r="L16" s="3">
        <v>413.99999999999994</v>
      </c>
      <c r="M16" s="3"/>
      <c r="N16" s="3"/>
      <c r="O16" s="3"/>
      <c r="P16" s="3"/>
      <c r="Q16" s="3"/>
      <c r="R16" s="3"/>
      <c r="S16" s="3"/>
      <c r="T16" s="3"/>
      <c r="U16" s="3"/>
      <c r="V16" s="5">
        <f t="shared" si="0"/>
        <v>11212</v>
      </c>
    </row>
    <row r="17" spans="2:22" x14ac:dyDescent="0.25">
      <c r="B17" s="1">
        <v>2018</v>
      </c>
      <c r="C17" s="3"/>
      <c r="D17" s="3"/>
      <c r="E17" s="3"/>
      <c r="F17" s="3"/>
      <c r="G17" s="3"/>
      <c r="H17" s="3"/>
      <c r="I17" s="3"/>
      <c r="J17" s="78">
        <v>21981</v>
      </c>
      <c r="K17" s="3"/>
      <c r="L17" s="3">
        <v>1189.8999999999999</v>
      </c>
      <c r="M17" s="3"/>
      <c r="N17" s="3"/>
      <c r="O17" s="3"/>
      <c r="P17" s="3"/>
      <c r="Q17" s="3"/>
      <c r="R17" s="3"/>
      <c r="S17" s="3"/>
      <c r="T17" s="3"/>
      <c r="U17" s="3"/>
      <c r="V17" s="5">
        <f>SUM(C17:U17)</f>
        <v>23170.9</v>
      </c>
    </row>
    <row r="19" spans="2:22" x14ac:dyDescent="0.25">
      <c r="B19" s="2" t="s">
        <v>19</v>
      </c>
      <c r="C19" s="3" t="s">
        <v>20</v>
      </c>
      <c r="D19" s="3" t="s">
        <v>22</v>
      </c>
      <c r="E19" s="3" t="s">
        <v>22</v>
      </c>
      <c r="F19" s="3" t="s">
        <v>20</v>
      </c>
      <c r="G19" s="3" t="s">
        <v>22</v>
      </c>
      <c r="H19" s="3" t="s">
        <v>20</v>
      </c>
      <c r="I19" s="3" t="s">
        <v>20</v>
      </c>
      <c r="J19" s="3" t="s">
        <v>20</v>
      </c>
      <c r="K19" s="3" t="s">
        <v>20</v>
      </c>
      <c r="L19" s="3" t="s">
        <v>22</v>
      </c>
      <c r="M19" s="3" t="s">
        <v>20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22</v>
      </c>
      <c r="U19" s="3" t="s">
        <v>20</v>
      </c>
    </row>
    <row r="23" spans="2:22" x14ac:dyDescent="0.25">
      <c r="D23" s="8"/>
    </row>
    <row r="24" spans="2:22" x14ac:dyDescent="0.25">
      <c r="D24" s="8"/>
    </row>
    <row r="25" spans="2:22" x14ac:dyDescent="0.25">
      <c r="D25" s="8"/>
    </row>
    <row r="26" spans="2:22" x14ac:dyDescent="0.25">
      <c r="D26" s="8"/>
    </row>
    <row r="27" spans="2:22" x14ac:dyDescent="0.25">
      <c r="D27" s="8"/>
    </row>
    <row r="28" spans="2:22" x14ac:dyDescent="0.25">
      <c r="D28" s="8"/>
    </row>
    <row r="29" spans="2:22" x14ac:dyDescent="0.25">
      <c r="D29" s="8"/>
    </row>
    <row r="30" spans="2:22" x14ac:dyDescent="0.25">
      <c r="D30" s="8"/>
    </row>
    <row r="31" spans="2:22" x14ac:dyDescent="0.25">
      <c r="D31" s="8"/>
    </row>
  </sheetData>
  <mergeCells count="2">
    <mergeCell ref="B1:U1"/>
    <mergeCell ref="A2:A1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K49"/>
  <sheetViews>
    <sheetView topLeftCell="A22" workbookViewId="0">
      <selection activeCell="E5" sqref="E5"/>
    </sheetView>
  </sheetViews>
  <sheetFormatPr defaultRowHeight="15" x14ac:dyDescent="0.25"/>
  <cols>
    <col min="2" max="2" width="21" customWidth="1"/>
    <col min="3" max="3" width="20.140625" customWidth="1"/>
    <col min="4" max="4" width="14.140625" customWidth="1"/>
    <col min="5" max="5" width="30.140625" customWidth="1"/>
    <col min="6" max="6" width="45.42578125" customWidth="1"/>
    <col min="7" max="7" width="18.7109375" customWidth="1"/>
    <col min="8" max="8" width="14.7109375" customWidth="1"/>
    <col min="9" max="9" width="19.140625" customWidth="1"/>
    <col min="10" max="10" width="18.140625" customWidth="1"/>
    <col min="11" max="11" width="19.85546875" customWidth="1"/>
  </cols>
  <sheetData>
    <row r="1" spans="1:11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11"/>
      <c r="B2" s="12"/>
      <c r="C2" s="11"/>
      <c r="D2" s="12"/>
      <c r="E2" s="11"/>
      <c r="F2" s="11"/>
      <c r="G2" s="11"/>
      <c r="H2" s="90" t="s">
        <v>25</v>
      </c>
      <c r="I2" s="91"/>
      <c r="J2" s="12"/>
      <c r="K2" s="13"/>
    </row>
    <row r="3" spans="1:11" x14ac:dyDescent="0.25">
      <c r="A3" s="11"/>
      <c r="B3" s="14" t="s">
        <v>26</v>
      </c>
      <c r="C3" s="14" t="s">
        <v>27</v>
      </c>
      <c r="D3" s="14" t="s">
        <v>28</v>
      </c>
      <c r="E3" s="14" t="s">
        <v>29</v>
      </c>
      <c r="F3" s="14" t="s">
        <v>30</v>
      </c>
      <c r="G3" s="11"/>
      <c r="H3" s="38" t="s">
        <v>27</v>
      </c>
      <c r="I3" s="38"/>
      <c r="J3" s="12"/>
      <c r="K3" s="13"/>
    </row>
    <row r="4" spans="1:11" x14ac:dyDescent="0.25">
      <c r="A4" s="11"/>
      <c r="B4" s="16">
        <v>1997</v>
      </c>
      <c r="C4" s="17">
        <f t="shared" ref="C4:C10" si="0">I4</f>
        <v>0</v>
      </c>
      <c r="D4" s="18" t="s">
        <v>32</v>
      </c>
      <c r="E4" s="19">
        <v>0.121</v>
      </c>
      <c r="F4" s="20">
        <f t="shared" ref="F4:F25" si="1">C4*E4</f>
        <v>0</v>
      </c>
      <c r="G4" s="11"/>
      <c r="I4" s="39"/>
      <c r="J4" s="12"/>
      <c r="K4" s="13"/>
    </row>
    <row r="5" spans="1:11" x14ac:dyDescent="0.25">
      <c r="A5" s="11"/>
      <c r="B5" s="16">
        <v>1998</v>
      </c>
      <c r="C5" s="17">
        <f t="shared" si="0"/>
        <v>0</v>
      </c>
      <c r="D5" s="18" t="s">
        <v>32</v>
      </c>
      <c r="E5" s="19">
        <f t="shared" ref="E5:E25" si="2">$E$4</f>
        <v>0.121</v>
      </c>
      <c r="F5" s="20">
        <f t="shared" si="1"/>
        <v>0</v>
      </c>
      <c r="G5" s="11"/>
      <c r="I5" s="39"/>
      <c r="J5" s="12"/>
      <c r="K5" s="13"/>
    </row>
    <row r="6" spans="1:11" x14ac:dyDescent="0.25">
      <c r="A6" s="11"/>
      <c r="B6" s="16">
        <v>1999</v>
      </c>
      <c r="C6" s="17">
        <f t="shared" si="0"/>
        <v>0</v>
      </c>
      <c r="D6" s="18" t="s">
        <v>32</v>
      </c>
      <c r="E6" s="19">
        <f t="shared" si="2"/>
        <v>0.121</v>
      </c>
      <c r="F6" s="20">
        <f t="shared" si="1"/>
        <v>0</v>
      </c>
      <c r="G6" s="11"/>
      <c r="I6" s="39"/>
      <c r="J6" s="12"/>
      <c r="K6" s="13"/>
    </row>
    <row r="7" spans="1:11" x14ac:dyDescent="0.25">
      <c r="A7" s="11"/>
      <c r="B7" s="16">
        <v>2000</v>
      </c>
      <c r="C7" s="17">
        <f t="shared" si="0"/>
        <v>0</v>
      </c>
      <c r="D7" s="18" t="s">
        <v>32</v>
      </c>
      <c r="E7" s="19">
        <f t="shared" si="2"/>
        <v>0.121</v>
      </c>
      <c r="F7" s="20">
        <f t="shared" si="1"/>
        <v>0</v>
      </c>
      <c r="G7" s="11"/>
      <c r="I7" s="39"/>
      <c r="J7" s="12"/>
      <c r="K7" s="13"/>
    </row>
    <row r="8" spans="1:11" x14ac:dyDescent="0.25">
      <c r="A8" s="11"/>
      <c r="B8" s="16">
        <v>2001</v>
      </c>
      <c r="C8" s="17">
        <f t="shared" si="0"/>
        <v>0</v>
      </c>
      <c r="D8" s="18" t="s">
        <v>32</v>
      </c>
      <c r="E8" s="19">
        <f t="shared" si="2"/>
        <v>0.121</v>
      </c>
      <c r="F8" s="20">
        <f t="shared" si="1"/>
        <v>0</v>
      </c>
      <c r="G8" s="11"/>
      <c r="I8" s="39"/>
      <c r="J8" s="12"/>
      <c r="K8" s="13"/>
    </row>
    <row r="9" spans="1:11" x14ac:dyDescent="0.25">
      <c r="A9" s="11"/>
      <c r="B9" s="16">
        <v>2002</v>
      </c>
      <c r="C9" s="17">
        <f t="shared" si="0"/>
        <v>0</v>
      </c>
      <c r="D9" s="18" t="s">
        <v>32</v>
      </c>
      <c r="E9" s="19">
        <f t="shared" si="2"/>
        <v>0.121</v>
      </c>
      <c r="F9" s="20">
        <f t="shared" si="1"/>
        <v>0</v>
      </c>
      <c r="G9" s="11"/>
      <c r="I9" s="39"/>
      <c r="J9" s="12"/>
      <c r="K9" s="13"/>
    </row>
    <row r="10" spans="1:11" x14ac:dyDescent="0.25">
      <c r="A10" s="11"/>
      <c r="B10" s="16">
        <v>2003</v>
      </c>
      <c r="C10" s="17">
        <f t="shared" si="0"/>
        <v>0</v>
      </c>
      <c r="D10" s="18" t="s">
        <v>32</v>
      </c>
      <c r="E10" s="19">
        <f t="shared" si="2"/>
        <v>0.121</v>
      </c>
      <c r="F10" s="20">
        <f t="shared" si="1"/>
        <v>0</v>
      </c>
      <c r="G10" s="11"/>
      <c r="I10" s="39"/>
      <c r="J10" s="12"/>
      <c r="K10" s="13"/>
    </row>
    <row r="11" spans="1:11" x14ac:dyDescent="0.25">
      <c r="A11" s="11"/>
      <c r="B11" s="16">
        <v>2004</v>
      </c>
      <c r="C11" s="17">
        <f>H11</f>
        <v>13606.3</v>
      </c>
      <c r="D11" s="18" t="s">
        <v>32</v>
      </c>
      <c r="E11" s="19">
        <f t="shared" si="2"/>
        <v>0.121</v>
      </c>
      <c r="F11" s="20">
        <f t="shared" si="1"/>
        <v>1646.3622999999998</v>
      </c>
      <c r="G11" s="11"/>
      <c r="H11">
        <f>'CO Summary Sheet CPS 329B'!V3</f>
        <v>13606.3</v>
      </c>
      <c r="I11" s="39"/>
      <c r="J11" s="12"/>
      <c r="K11" s="13"/>
    </row>
    <row r="12" spans="1:11" x14ac:dyDescent="0.25">
      <c r="A12" s="11"/>
      <c r="B12" s="16">
        <v>2005</v>
      </c>
      <c r="C12" s="17">
        <f t="shared" ref="C12:C25" si="3">H12</f>
        <v>32377.200000000001</v>
      </c>
      <c r="D12" s="18" t="s">
        <v>32</v>
      </c>
      <c r="E12" s="19">
        <f t="shared" si="2"/>
        <v>0.121</v>
      </c>
      <c r="F12" s="20">
        <f t="shared" si="1"/>
        <v>3917.6412</v>
      </c>
      <c r="G12" s="11"/>
      <c r="H12">
        <f>'CO Summary Sheet CPS 329B'!V4</f>
        <v>32377.200000000001</v>
      </c>
      <c r="I12" s="39"/>
      <c r="J12" s="12"/>
      <c r="K12" s="13"/>
    </row>
    <row r="13" spans="1:11" x14ac:dyDescent="0.25">
      <c r="A13" s="11"/>
      <c r="B13" s="16">
        <v>2006</v>
      </c>
      <c r="C13" s="17">
        <f t="shared" si="3"/>
        <v>36897.699999999997</v>
      </c>
      <c r="D13" s="18" t="s">
        <v>32</v>
      </c>
      <c r="E13" s="19">
        <f t="shared" si="2"/>
        <v>0.121</v>
      </c>
      <c r="F13" s="20">
        <f t="shared" si="1"/>
        <v>4464.6216999999997</v>
      </c>
      <c r="G13" s="11"/>
      <c r="H13">
        <f>'CO Summary Sheet CPS 329B'!V5</f>
        <v>36897.699999999997</v>
      </c>
      <c r="I13" s="39"/>
      <c r="J13" s="12"/>
      <c r="K13" s="13"/>
    </row>
    <row r="14" spans="1:11" x14ac:dyDescent="0.25">
      <c r="A14" s="11"/>
      <c r="B14" s="16">
        <v>2007</v>
      </c>
      <c r="C14" s="17">
        <f t="shared" si="3"/>
        <v>16220</v>
      </c>
      <c r="D14" s="18" t="s">
        <v>32</v>
      </c>
      <c r="E14" s="19">
        <f t="shared" si="2"/>
        <v>0.121</v>
      </c>
      <c r="F14" s="20">
        <f t="shared" si="1"/>
        <v>1962.62</v>
      </c>
      <c r="G14" s="11"/>
      <c r="H14">
        <f>'CO Summary Sheet CPS 329B'!V6</f>
        <v>16220</v>
      </c>
      <c r="I14" s="39"/>
      <c r="J14" s="12"/>
      <c r="K14" s="13"/>
    </row>
    <row r="15" spans="1:11" x14ac:dyDescent="0.25">
      <c r="A15" s="11"/>
      <c r="B15" s="16">
        <v>2008</v>
      </c>
      <c r="C15" s="17">
        <f t="shared" si="3"/>
        <v>5884.5</v>
      </c>
      <c r="D15" s="18" t="s">
        <v>32</v>
      </c>
      <c r="E15" s="19">
        <f t="shared" si="2"/>
        <v>0.121</v>
      </c>
      <c r="F15" s="20">
        <f t="shared" si="1"/>
        <v>712.02449999999999</v>
      </c>
      <c r="G15" s="11"/>
      <c r="H15">
        <f>'CO Summary Sheet CPS 329B'!V7</f>
        <v>5884.5</v>
      </c>
      <c r="I15" s="39"/>
      <c r="J15" s="12"/>
      <c r="K15" s="13"/>
    </row>
    <row r="16" spans="1:11" x14ac:dyDescent="0.25">
      <c r="A16" s="11"/>
      <c r="B16" s="16">
        <v>2009</v>
      </c>
      <c r="C16" s="17">
        <f t="shared" si="3"/>
        <v>929.3</v>
      </c>
      <c r="D16" s="18" t="s">
        <v>32</v>
      </c>
      <c r="E16" s="19">
        <f t="shared" si="2"/>
        <v>0.121</v>
      </c>
      <c r="F16" s="20">
        <f t="shared" si="1"/>
        <v>112.44529999999999</v>
      </c>
      <c r="G16" s="11"/>
      <c r="H16">
        <f>'CO Summary Sheet CPS 329B'!V8</f>
        <v>929.3</v>
      </c>
      <c r="I16" s="39"/>
      <c r="J16" s="12"/>
      <c r="K16" s="13"/>
    </row>
    <row r="17" spans="1:11" x14ac:dyDescent="0.25">
      <c r="A17" s="11"/>
      <c r="B17" s="16">
        <v>2010</v>
      </c>
      <c r="C17" s="17">
        <f t="shared" si="3"/>
        <v>0</v>
      </c>
      <c r="D17" s="18" t="s">
        <v>32</v>
      </c>
      <c r="E17" s="19">
        <f t="shared" si="2"/>
        <v>0.121</v>
      </c>
      <c r="F17" s="20">
        <f t="shared" si="1"/>
        <v>0</v>
      </c>
      <c r="G17" s="11"/>
      <c r="H17">
        <f>'CO Summary Sheet CPS 329B'!V9</f>
        <v>0</v>
      </c>
      <c r="I17" s="39"/>
      <c r="J17" s="12"/>
      <c r="K17" s="13"/>
    </row>
    <row r="18" spans="1:11" x14ac:dyDescent="0.25">
      <c r="A18" s="11"/>
      <c r="B18" s="16">
        <v>2011</v>
      </c>
      <c r="C18" s="17">
        <f t="shared" si="3"/>
        <v>419.2</v>
      </c>
      <c r="D18" s="18" t="s">
        <v>32</v>
      </c>
      <c r="E18" s="19">
        <f t="shared" si="2"/>
        <v>0.121</v>
      </c>
      <c r="F18" s="20">
        <f t="shared" si="1"/>
        <v>50.723199999999999</v>
      </c>
      <c r="G18" s="11"/>
      <c r="H18">
        <f>'CO Summary Sheet CPS 329B'!V10</f>
        <v>419.2</v>
      </c>
      <c r="I18" s="39"/>
      <c r="J18" s="12"/>
      <c r="K18" s="13"/>
    </row>
    <row r="19" spans="1:11" x14ac:dyDescent="0.25">
      <c r="A19" s="11"/>
      <c r="B19" s="16">
        <v>2012</v>
      </c>
      <c r="C19" s="17">
        <f t="shared" si="3"/>
        <v>1919</v>
      </c>
      <c r="D19" s="18" t="s">
        <v>32</v>
      </c>
      <c r="E19" s="19">
        <f t="shared" si="2"/>
        <v>0.121</v>
      </c>
      <c r="F19" s="20">
        <f t="shared" si="1"/>
        <v>232.19899999999998</v>
      </c>
      <c r="G19" s="11"/>
      <c r="H19">
        <f>'CO Summary Sheet CPS 329B'!V11</f>
        <v>1919</v>
      </c>
      <c r="I19" s="39"/>
      <c r="J19" s="12"/>
      <c r="K19" s="13"/>
    </row>
    <row r="20" spans="1:11" s="22" customFormat="1" x14ac:dyDescent="0.25">
      <c r="A20" s="11"/>
      <c r="B20" s="16">
        <v>2013</v>
      </c>
      <c r="C20" s="17">
        <f t="shared" si="3"/>
        <v>2498</v>
      </c>
      <c r="D20" s="18" t="s">
        <v>32</v>
      </c>
      <c r="E20" s="19">
        <f t="shared" si="2"/>
        <v>0.121</v>
      </c>
      <c r="F20" s="20">
        <f t="shared" si="1"/>
        <v>302.25799999999998</v>
      </c>
      <c r="G20" s="11"/>
      <c r="H20">
        <f>'CO Summary Sheet CPS 329B'!V12</f>
        <v>2498</v>
      </c>
      <c r="I20" s="39"/>
      <c r="J20" s="12"/>
      <c r="K20" s="13"/>
    </row>
    <row r="21" spans="1:11" x14ac:dyDescent="0.25">
      <c r="B21" s="16">
        <v>2014</v>
      </c>
      <c r="C21" s="17">
        <f t="shared" si="3"/>
        <v>323</v>
      </c>
      <c r="D21" s="18" t="s">
        <v>32</v>
      </c>
      <c r="E21" s="19">
        <f t="shared" si="2"/>
        <v>0.121</v>
      </c>
      <c r="F21" s="20">
        <f t="shared" si="1"/>
        <v>39.082999999999998</v>
      </c>
      <c r="H21">
        <f>'CO Summary Sheet CPS 329B'!V13</f>
        <v>323</v>
      </c>
      <c r="I21" s="39"/>
      <c r="J21" s="12"/>
    </row>
    <row r="22" spans="1:11" x14ac:dyDescent="0.25">
      <c r="B22" s="16">
        <v>2015</v>
      </c>
      <c r="C22" s="17">
        <f t="shared" si="3"/>
        <v>0</v>
      </c>
      <c r="D22" s="18" t="s">
        <v>32</v>
      </c>
      <c r="E22" s="19">
        <f t="shared" si="2"/>
        <v>0.121</v>
      </c>
      <c r="F22" s="20">
        <f t="shared" si="1"/>
        <v>0</v>
      </c>
      <c r="H22">
        <f>'CO Summary Sheet CPS 329B'!V14</f>
        <v>0</v>
      </c>
      <c r="I22" s="73"/>
      <c r="J22" s="68"/>
    </row>
    <row r="23" spans="1:11" x14ac:dyDescent="0.25">
      <c r="B23" s="16">
        <v>2016</v>
      </c>
      <c r="C23" s="17">
        <f t="shared" si="3"/>
        <v>14629</v>
      </c>
      <c r="D23" s="18" t="s">
        <v>32</v>
      </c>
      <c r="E23" s="19">
        <f t="shared" si="2"/>
        <v>0.121</v>
      </c>
      <c r="F23" s="20">
        <f t="shared" si="1"/>
        <v>1770.1089999999999</v>
      </c>
      <c r="H23">
        <f>'CO Summary Sheet CPS 329B'!V15</f>
        <v>14629</v>
      </c>
      <c r="I23" s="73"/>
      <c r="J23" s="68"/>
    </row>
    <row r="24" spans="1:11" x14ac:dyDescent="0.25">
      <c r="B24" s="16">
        <v>2017</v>
      </c>
      <c r="C24" s="17">
        <f t="shared" si="3"/>
        <v>462</v>
      </c>
      <c r="D24" s="18" t="s">
        <v>32</v>
      </c>
      <c r="E24" s="19">
        <f t="shared" si="2"/>
        <v>0.121</v>
      </c>
      <c r="F24" s="20">
        <f t="shared" si="1"/>
        <v>55.902000000000001</v>
      </c>
      <c r="H24">
        <f>'CO Summary Sheet CPS 329B'!V16</f>
        <v>462</v>
      </c>
      <c r="I24" s="73"/>
      <c r="J24" s="68"/>
    </row>
    <row r="25" spans="1:11" x14ac:dyDescent="0.25">
      <c r="B25" s="16">
        <v>2018</v>
      </c>
      <c r="C25" s="17">
        <f t="shared" si="3"/>
        <v>860</v>
      </c>
      <c r="D25" s="18" t="s">
        <v>32</v>
      </c>
      <c r="E25" s="19">
        <f t="shared" si="2"/>
        <v>0.121</v>
      </c>
      <c r="F25" s="20">
        <f t="shared" si="1"/>
        <v>104.06</v>
      </c>
      <c r="H25">
        <f>'CO Summary Sheet CPS 329B'!V17</f>
        <v>860</v>
      </c>
      <c r="I25" s="73"/>
      <c r="J25" s="68"/>
    </row>
    <row r="26" spans="1:11" x14ac:dyDescent="0.25">
      <c r="C26" s="17">
        <f>SUM(C11:C21)</f>
        <v>111074.2</v>
      </c>
    </row>
    <row r="27" spans="1:11" ht="78.75" customHeight="1" x14ac:dyDescent="0.25">
      <c r="B27" s="23" t="s">
        <v>0</v>
      </c>
      <c r="C27" s="23" t="s">
        <v>33</v>
      </c>
      <c r="D27" s="23" t="s">
        <v>34</v>
      </c>
      <c r="E27" s="23" t="s">
        <v>35</v>
      </c>
      <c r="F27" s="23" t="s">
        <v>36</v>
      </c>
    </row>
    <row r="28" spans="1:11" x14ac:dyDescent="0.25">
      <c r="B28">
        <v>1997</v>
      </c>
      <c r="C28" s="5">
        <f>F4</f>
        <v>0</v>
      </c>
    </row>
    <row r="29" spans="1:11" x14ac:dyDescent="0.25">
      <c r="B29">
        <v>1998</v>
      </c>
      <c r="C29" s="5">
        <f t="shared" ref="C29:C44" si="4">F5</f>
        <v>0</v>
      </c>
    </row>
    <row r="30" spans="1:11" x14ac:dyDescent="0.25">
      <c r="B30">
        <v>1999</v>
      </c>
      <c r="C30" s="5">
        <f t="shared" si="4"/>
        <v>0</v>
      </c>
    </row>
    <row r="31" spans="1:11" x14ac:dyDescent="0.25">
      <c r="B31">
        <v>2000</v>
      </c>
      <c r="C31" s="5">
        <f t="shared" si="4"/>
        <v>0</v>
      </c>
      <c r="D31" s="5">
        <f>C31+(0.5*C28)</f>
        <v>0</v>
      </c>
      <c r="E31" s="5">
        <f>C31+(0.75*C28)</f>
        <v>0</v>
      </c>
      <c r="F31" s="5">
        <f>C31+(1*C28)</f>
        <v>0</v>
      </c>
    </row>
    <row r="32" spans="1:11" x14ac:dyDescent="0.25">
      <c r="B32">
        <v>2001</v>
      </c>
      <c r="C32" s="5">
        <f t="shared" si="4"/>
        <v>0</v>
      </c>
      <c r="D32" s="5">
        <f>C32+(0.5*(C29+C28))</f>
        <v>0</v>
      </c>
      <c r="E32" s="5">
        <f>C32+(0.75*(C29+C28))</f>
        <v>0</v>
      </c>
      <c r="F32" s="5">
        <f>C32+(1*(C29+C28))</f>
        <v>0</v>
      </c>
    </row>
    <row r="33" spans="2:6" x14ac:dyDescent="0.25">
      <c r="B33">
        <v>2002</v>
      </c>
      <c r="C33" s="5">
        <f t="shared" si="4"/>
        <v>0</v>
      </c>
      <c r="D33" s="5">
        <f>C33+(0.5*(C28+C30+C29))</f>
        <v>0</v>
      </c>
      <c r="E33" s="5">
        <f>C33+(0.75*(C28+C30+C29))</f>
        <v>0</v>
      </c>
      <c r="F33" s="5">
        <f>C33+(1*(C28+C30+C29))</f>
        <v>0</v>
      </c>
    </row>
    <row r="34" spans="2:6" x14ac:dyDescent="0.25">
      <c r="B34">
        <v>2003</v>
      </c>
      <c r="C34" s="5">
        <f t="shared" si="4"/>
        <v>0</v>
      </c>
      <c r="D34" s="5">
        <f>C34+(0.5*(C28+C29+C31+C30))</f>
        <v>0</v>
      </c>
      <c r="E34" s="5">
        <f>C34+(0.75*(C28+C29+C31+C30))</f>
        <v>0</v>
      </c>
      <c r="F34" s="5">
        <f>C34+(1*(C28+C29+C31+C30))</f>
        <v>0</v>
      </c>
    </row>
    <row r="35" spans="2:6" x14ac:dyDescent="0.25">
      <c r="B35">
        <v>2004</v>
      </c>
      <c r="C35" s="5">
        <f t="shared" si="4"/>
        <v>1646.3622999999998</v>
      </c>
      <c r="D35" s="5">
        <f>C35+(0.5*(C28+C29+C30+C32+C31))</f>
        <v>1646.3622999999998</v>
      </c>
      <c r="E35" s="5">
        <f>C35+(0.75*(C28+C29+C30+C32+C31))</f>
        <v>1646.3622999999998</v>
      </c>
      <c r="F35" s="5">
        <f>C35+(1*(C28+C29+C30+C32+C31))</f>
        <v>1646.3622999999998</v>
      </c>
    </row>
    <row r="36" spans="2:6" x14ac:dyDescent="0.25">
      <c r="B36">
        <v>2005</v>
      </c>
      <c r="C36" s="5">
        <f t="shared" si="4"/>
        <v>3917.6412</v>
      </c>
      <c r="D36" s="5">
        <f>C36+(0.5*(C28+C29+C30+C31+C33+C32))</f>
        <v>3917.6412</v>
      </c>
      <c r="E36" s="5">
        <f>C36+(0.75*(C28+C29+C30+C31+C33+C32))</f>
        <v>3917.6412</v>
      </c>
      <c r="F36" s="5">
        <f>C36+(1*(C28+C29+C30+C31+C33+C32))</f>
        <v>3917.6412</v>
      </c>
    </row>
    <row r="37" spans="2:6" x14ac:dyDescent="0.25">
      <c r="B37">
        <v>2006</v>
      </c>
      <c r="C37" s="5">
        <f t="shared" si="4"/>
        <v>4464.6216999999997</v>
      </c>
      <c r="D37" s="5">
        <f>C37+(0.5*(C28+C29+C30+C31+C32+C34+C33))</f>
        <v>4464.6216999999997</v>
      </c>
      <c r="E37" s="5">
        <f>C37+(0.75*(C28+C29+C30+C31+C32+C34+C33))</f>
        <v>4464.6216999999997</v>
      </c>
      <c r="F37" s="5">
        <f>C37+(1*(C28+C29+C30+C31+C32+C34+C33))</f>
        <v>4464.6216999999997</v>
      </c>
    </row>
    <row r="38" spans="2:6" x14ac:dyDescent="0.25">
      <c r="B38">
        <v>2007</v>
      </c>
      <c r="C38" s="5">
        <f t="shared" si="4"/>
        <v>1962.62</v>
      </c>
      <c r="D38" s="5">
        <f>C38+(0.5*(C28+C29+C30+C31+C32+C33+C35+C34))</f>
        <v>2785.8011499999998</v>
      </c>
      <c r="E38" s="5">
        <f>C38+(0.75*(C28+C29+C30+C31+C32+C33+C35+C34))</f>
        <v>3197.3917249999995</v>
      </c>
      <c r="F38" s="5">
        <f>C38+(1*(C28+C29+C30+C31+C32+C33+C35+C34))</f>
        <v>3608.9822999999997</v>
      </c>
    </row>
    <row r="39" spans="2:6" x14ac:dyDescent="0.25">
      <c r="B39">
        <v>2008</v>
      </c>
      <c r="C39" s="5">
        <f t="shared" si="4"/>
        <v>712.02449999999999</v>
      </c>
      <c r="D39" s="5">
        <f>C39+(0.5*(C28+C29+C30+C31+C32+C33+C34+C36+C35))</f>
        <v>3494.0262499999999</v>
      </c>
      <c r="E39" s="5">
        <f>C39+(0.75*(C28+C29+C30+C31+C32+C33+C34+C36+C35))</f>
        <v>4885.0271250000005</v>
      </c>
      <c r="F39" s="5">
        <f>C39+(1*(C28+C29+C30+C31+C32+C33+C34+C36+C35))</f>
        <v>6276.0280000000002</v>
      </c>
    </row>
    <row r="40" spans="2:6" x14ac:dyDescent="0.25">
      <c r="B40">
        <v>2009</v>
      </c>
      <c r="C40" s="5">
        <f t="shared" si="4"/>
        <v>112.44529999999999</v>
      </c>
      <c r="D40" s="5">
        <f>C40+(0.5*(C28+C29+C30+C31+C32+C33+C34+C35+C37+C36))</f>
        <v>5126.7578999999996</v>
      </c>
      <c r="E40" s="5">
        <f>C40+(0.75*(C28+C29+C30+C31+C32+C33+C34+C35+C37+C36))</f>
        <v>7633.9141999999993</v>
      </c>
      <c r="F40" s="5">
        <f>C40+(1*(C28+C29+C30+C31+C32+C33+C34+C35+C37+C36))</f>
        <v>10141.070499999998</v>
      </c>
    </row>
    <row r="41" spans="2:6" x14ac:dyDescent="0.25">
      <c r="B41">
        <v>2010</v>
      </c>
      <c r="C41" s="5">
        <f t="shared" si="4"/>
        <v>0</v>
      </c>
      <c r="D41" s="5">
        <f>C41+(0.5*(C28+C29+C30+C31+C32+C33+C34+C35+C36+C38+C37))</f>
        <v>5995.6225999999997</v>
      </c>
      <c r="E41" s="5">
        <f>C41+(0.75*(C28+C29+C30+C31+C32+C33+C34+C35+C36+C38+C37))</f>
        <v>8993.4339</v>
      </c>
      <c r="F41" s="5">
        <f>C41+(1*(C28+C29+C30+C31+C32+C33+C34+C35+C36+C38+C37))</f>
        <v>11991.245199999999</v>
      </c>
    </row>
    <row r="42" spans="2:6" x14ac:dyDescent="0.25">
      <c r="B42">
        <v>2011</v>
      </c>
      <c r="C42" s="5">
        <f t="shared" si="4"/>
        <v>50.723199999999999</v>
      </c>
      <c r="D42" s="5">
        <f>C42+(0.5*(C28+C29+C30+C31+C32+C33+C34+C35+C36+C37+C39+C38))</f>
        <v>6402.3580499999989</v>
      </c>
      <c r="E42" s="5">
        <f>C42+(0.75*(C28+C29+C30+C31+C32+C33+C34+C35+C36+C37+C39+C38))</f>
        <v>9578.1754749999982</v>
      </c>
      <c r="F42" s="5">
        <f>C42+(1*(C28+C29+C30+C31+C32+C33+C34+C35+C36+C37+C39+C38))</f>
        <v>12753.992899999997</v>
      </c>
    </row>
    <row r="43" spans="2:6" x14ac:dyDescent="0.25">
      <c r="B43">
        <v>2012</v>
      </c>
      <c r="C43" s="5">
        <f t="shared" si="4"/>
        <v>232.19899999999998</v>
      </c>
      <c r="D43" s="5">
        <f>C43+(0.5*(C28+C29+C30+C31+C32+C33+C34+C35+C36+C37+C38+C40+C39))</f>
        <v>6640.0564999999979</v>
      </c>
      <c r="E43" s="5">
        <f>C43+(0.75*(C28+C29+C30+C31+C32+C33+C34+C35+C36+C37+C38+C40+C39))</f>
        <v>9843.9852499999979</v>
      </c>
      <c r="F43" s="5">
        <f>C43+(1*(C28+C29+C30+C31+C32+C33+C34+C35+C36+C37+C38+C40+C39))</f>
        <v>13047.913999999997</v>
      </c>
    </row>
    <row r="44" spans="2:6" x14ac:dyDescent="0.25">
      <c r="B44">
        <v>2013</v>
      </c>
      <c r="C44" s="5">
        <f t="shared" si="4"/>
        <v>302.25799999999998</v>
      </c>
      <c r="D44" s="5">
        <f>C44+(0.5*(C28+C29+C30+C31+C32+C33+C34+C35+C36+C37+C38+C39+C41+C40))</f>
        <v>6710.1154999999981</v>
      </c>
      <c r="E44" s="5">
        <f>C44+(0.75*(C28+C29+C30+C31+C32+C33+C34+C35+C36+C37+C38+C39+C41+C40))</f>
        <v>9914.0442499999972</v>
      </c>
      <c r="F44" s="5">
        <f>C44+(1*(C28+C29+C30+C31+C32+C33+C34+C35+C36+C37+C38+C39+C41+C40))</f>
        <v>13117.972999999996</v>
      </c>
    </row>
    <row r="45" spans="2:6" x14ac:dyDescent="0.25">
      <c r="B45">
        <v>2014</v>
      </c>
      <c r="C45" s="5">
        <f>F21</f>
        <v>39.082999999999998</v>
      </c>
      <c r="D45" s="5">
        <f>C45+(0.5*(C28+C29+C30+C31+C32+C33+C34+C35+C36+C37+C38+C39+C40+C42+C41))</f>
        <v>6472.3020999999981</v>
      </c>
      <c r="E45" s="5">
        <f>C45+(0.75*(C28+C29+C30+C31+C32+C33+C34+C35+C36+C37+C38+C39+C40+C42+C41))</f>
        <v>9688.9116499999982</v>
      </c>
      <c r="F45" s="5">
        <f>C45+(1*(C28+C29+C30+C31+C32+C33+C34+C35+C36+C37+C38+C39+C40+C42+C41))</f>
        <v>12905.521199999997</v>
      </c>
    </row>
    <row r="46" spans="2:6" x14ac:dyDescent="0.25">
      <c r="B46">
        <v>2015</v>
      </c>
      <c r="C46" s="5">
        <f t="shared" ref="C46:C49" si="5">F22</f>
        <v>0</v>
      </c>
      <c r="D46" s="5">
        <f t="shared" ref="D46:D49" si="6">C46+(0.5*(C29+C30+C31+C32+C33+C34+C35+C36+C37+C38+C39+C40+C41+C43+C42))</f>
        <v>6549.3185999999987</v>
      </c>
      <c r="E46" s="5">
        <f t="shared" ref="E46:E49" si="7">C46+(0.75*(C29+C30+C31+C32+C33+C34+C35+C36+C37+C38+C39+C40+C41+C43+C42))</f>
        <v>9823.977899999998</v>
      </c>
      <c r="F46" s="5">
        <f t="shared" ref="F46:F49" si="8">C46+(1*(C29+C30+C31+C32+C33+C34+C35+C36+C37+C38+C39+C40+C41+C43+C42))</f>
        <v>13098.637199999997</v>
      </c>
    </row>
    <row r="47" spans="2:6" x14ac:dyDescent="0.25">
      <c r="B47">
        <v>2016</v>
      </c>
      <c r="C47" s="5">
        <f t="shared" si="5"/>
        <v>1770.1089999999999</v>
      </c>
      <c r="D47" s="5">
        <f t="shared" si="6"/>
        <v>8470.5565999999981</v>
      </c>
      <c r="E47" s="5">
        <f t="shared" si="7"/>
        <v>11820.780399999998</v>
      </c>
      <c r="F47" s="5">
        <f t="shared" si="8"/>
        <v>15171.004199999998</v>
      </c>
    </row>
    <row r="48" spans="2:6" x14ac:dyDescent="0.25">
      <c r="B48">
        <v>2017</v>
      </c>
      <c r="C48" s="5">
        <f t="shared" si="5"/>
        <v>55.902000000000001</v>
      </c>
      <c r="D48" s="5">
        <f t="shared" si="6"/>
        <v>6775.8910999999989</v>
      </c>
      <c r="E48" s="5">
        <f t="shared" si="7"/>
        <v>10135.885649999998</v>
      </c>
      <c r="F48" s="5">
        <f t="shared" si="8"/>
        <v>13495.880199999998</v>
      </c>
    </row>
    <row r="49" spans="2:6" x14ac:dyDescent="0.25">
      <c r="B49">
        <v>2018</v>
      </c>
      <c r="C49" s="5">
        <f t="shared" si="5"/>
        <v>104.06</v>
      </c>
      <c r="D49" s="5">
        <f t="shared" si="6"/>
        <v>6824.0490999999993</v>
      </c>
      <c r="E49" s="5">
        <f t="shared" si="7"/>
        <v>10184.043649999998</v>
      </c>
      <c r="F49" s="5">
        <f t="shared" si="8"/>
        <v>13544.038199999997</v>
      </c>
    </row>
  </sheetData>
  <mergeCells count="1">
    <mergeCell ref="H2:I2"/>
  </mergeCells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19"/>
  <sheetViews>
    <sheetView workbookViewId="0">
      <selection activeCell="L13" sqref="L13"/>
    </sheetView>
  </sheetViews>
  <sheetFormatPr defaultRowHeight="15" x14ac:dyDescent="0.25"/>
  <cols>
    <col min="1" max="1" width="5" customWidth="1"/>
    <col min="2" max="2" width="12" bestFit="1" customWidth="1"/>
    <col min="3" max="7" width="9.28515625" bestFit="1" customWidth="1"/>
    <col min="8" max="8" width="11.28515625" customWidth="1"/>
    <col min="9" max="9" width="9.28515625" bestFit="1" customWidth="1"/>
    <col min="10" max="10" width="11.7109375" customWidth="1"/>
    <col min="11" max="11" width="9.5703125" bestFit="1" customWidth="1"/>
    <col min="12" max="12" width="12.140625" bestFit="1" customWidth="1"/>
    <col min="13" max="17" width="9.28515625" bestFit="1" customWidth="1"/>
    <col min="18" max="18" width="9.5703125" bestFit="1" customWidth="1"/>
    <col min="19" max="19" width="13.42578125" bestFit="1" customWidth="1"/>
    <col min="20" max="20" width="9.28515625" bestFit="1" customWidth="1"/>
    <col min="21" max="21" width="12.42578125" bestFit="1" customWidth="1"/>
    <col min="22" max="22" width="14.28515625" bestFit="1" customWidth="1"/>
    <col min="23" max="23" width="15.7109375" customWidth="1"/>
    <col min="24" max="24" width="27.42578125" customWidth="1"/>
  </cols>
  <sheetData>
    <row r="1" spans="1:24" x14ac:dyDescent="0.25">
      <c r="B1" s="88" t="s">
        <v>41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</row>
    <row r="2" spans="1:24" s="3" customFormat="1" x14ac:dyDescent="0.25">
      <c r="A2" s="89" t="s">
        <v>0</v>
      </c>
      <c r="B2" s="6"/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21</v>
      </c>
      <c r="I2" s="7" t="s">
        <v>6</v>
      </c>
      <c r="J2" s="7" t="s">
        <v>7</v>
      </c>
      <c r="K2" s="7" t="s">
        <v>8</v>
      </c>
      <c r="L2" s="7" t="s">
        <v>9</v>
      </c>
      <c r="M2" s="7" t="s">
        <v>10</v>
      </c>
      <c r="N2" s="7" t="s">
        <v>11</v>
      </c>
      <c r="O2" s="7" t="s">
        <v>12</v>
      </c>
      <c r="P2" s="7" t="s">
        <v>13</v>
      </c>
      <c r="Q2" s="7" t="s">
        <v>14</v>
      </c>
      <c r="R2" s="7" t="s">
        <v>15</v>
      </c>
      <c r="S2" s="7" t="s">
        <v>16</v>
      </c>
      <c r="T2" s="7" t="s">
        <v>17</v>
      </c>
      <c r="U2" s="7" t="s">
        <v>23</v>
      </c>
      <c r="V2" s="7" t="s">
        <v>18</v>
      </c>
      <c r="W2" s="7"/>
      <c r="X2" s="7"/>
    </row>
    <row r="3" spans="1:24" x14ac:dyDescent="0.25">
      <c r="A3" s="89"/>
      <c r="B3" s="1">
        <v>2004</v>
      </c>
      <c r="C3" s="3"/>
      <c r="D3" s="3"/>
      <c r="E3" s="3"/>
      <c r="F3" s="3"/>
      <c r="G3" s="3"/>
      <c r="H3" s="59"/>
      <c r="I3" s="3"/>
      <c r="J3" s="59"/>
      <c r="K3" s="3"/>
      <c r="L3" s="3">
        <v>0</v>
      </c>
      <c r="M3" s="3"/>
      <c r="N3" s="3"/>
      <c r="O3" s="3"/>
      <c r="P3" s="3"/>
      <c r="Q3" s="3"/>
      <c r="R3" s="59"/>
      <c r="S3" s="3"/>
      <c r="T3" s="3"/>
      <c r="U3" s="3"/>
      <c r="V3" s="27">
        <f t="shared" ref="V3:V17" si="0">SUM(C3:U3)</f>
        <v>0</v>
      </c>
      <c r="W3" s="4"/>
    </row>
    <row r="4" spans="1:24" x14ac:dyDescent="0.25">
      <c r="A4" s="89"/>
      <c r="B4" s="1">
        <v>2005</v>
      </c>
      <c r="C4" s="3"/>
      <c r="D4" s="3"/>
      <c r="E4" s="3"/>
      <c r="F4" s="3"/>
      <c r="G4" s="3"/>
      <c r="H4" s="59"/>
      <c r="I4" s="3"/>
      <c r="J4" s="59"/>
      <c r="K4" s="59"/>
      <c r="L4" s="3">
        <v>556.5</v>
      </c>
      <c r="M4" s="3"/>
      <c r="N4" s="3"/>
      <c r="O4" s="3"/>
      <c r="P4" s="3"/>
      <c r="Q4" s="3"/>
      <c r="R4" s="59"/>
      <c r="S4" s="3"/>
      <c r="T4" s="3"/>
      <c r="U4" s="3"/>
      <c r="V4" s="27">
        <f t="shared" si="0"/>
        <v>556.5</v>
      </c>
      <c r="W4" s="4"/>
    </row>
    <row r="5" spans="1:24" x14ac:dyDescent="0.25">
      <c r="A5" s="89"/>
      <c r="B5" s="1">
        <v>2006</v>
      </c>
      <c r="C5" s="3"/>
      <c r="D5" s="3"/>
      <c r="E5" s="3"/>
      <c r="F5" s="3"/>
      <c r="G5" s="3"/>
      <c r="H5" s="59"/>
      <c r="I5" s="3"/>
      <c r="J5" s="59"/>
      <c r="K5" s="59"/>
      <c r="L5" s="3">
        <v>0</v>
      </c>
      <c r="M5" s="3"/>
      <c r="N5" s="3"/>
      <c r="O5" s="3"/>
      <c r="P5" s="3"/>
      <c r="Q5" s="3"/>
      <c r="R5" s="3"/>
      <c r="S5" s="3"/>
      <c r="T5" s="3"/>
      <c r="U5" s="3"/>
      <c r="V5" s="27">
        <f t="shared" si="0"/>
        <v>0</v>
      </c>
      <c r="W5" s="4"/>
    </row>
    <row r="6" spans="1:24" x14ac:dyDescent="0.25">
      <c r="A6" s="89"/>
      <c r="B6" s="1">
        <v>2007</v>
      </c>
      <c r="C6" s="3"/>
      <c r="D6" s="3"/>
      <c r="E6" s="3"/>
      <c r="F6" s="3"/>
      <c r="G6" s="3"/>
      <c r="H6" s="59"/>
      <c r="I6" s="3"/>
      <c r="J6" s="59"/>
      <c r="K6" s="3"/>
      <c r="L6" s="3">
        <v>873.2</v>
      </c>
      <c r="M6" s="3"/>
      <c r="N6" s="3"/>
      <c r="O6" s="3"/>
      <c r="P6" s="3"/>
      <c r="Q6" s="3"/>
      <c r="R6" s="3"/>
      <c r="S6" s="3"/>
      <c r="T6" s="3"/>
      <c r="U6" s="3"/>
      <c r="V6" s="27">
        <f t="shared" si="0"/>
        <v>873.2</v>
      </c>
      <c r="W6" s="4"/>
    </row>
    <row r="7" spans="1:24" x14ac:dyDescent="0.25">
      <c r="A7" s="89"/>
      <c r="B7" s="1">
        <v>2008</v>
      </c>
      <c r="C7" s="3"/>
      <c r="D7" s="3"/>
      <c r="E7" s="3"/>
      <c r="F7" s="3"/>
      <c r="G7" s="3"/>
      <c r="H7" s="59"/>
      <c r="I7" s="3"/>
      <c r="J7" s="59"/>
      <c r="K7" s="3"/>
      <c r="L7" s="3">
        <v>1042.4000000000001</v>
      </c>
      <c r="M7" s="3"/>
      <c r="N7" s="3"/>
      <c r="O7" s="3"/>
      <c r="P7" s="3"/>
      <c r="Q7" s="3"/>
      <c r="R7" s="3"/>
      <c r="S7" s="3"/>
      <c r="T7" s="3"/>
      <c r="U7" s="3"/>
      <c r="V7" s="27">
        <f t="shared" si="0"/>
        <v>1042.4000000000001</v>
      </c>
      <c r="W7" s="4"/>
    </row>
    <row r="8" spans="1:24" x14ac:dyDescent="0.25">
      <c r="A8" s="89"/>
      <c r="B8" s="1">
        <v>2009</v>
      </c>
      <c r="C8" s="3"/>
      <c r="D8" s="3"/>
      <c r="E8" s="3"/>
      <c r="F8" s="3"/>
      <c r="G8" s="3"/>
      <c r="H8" s="59"/>
      <c r="I8" s="3"/>
      <c r="J8" s="59"/>
      <c r="K8" s="3"/>
      <c r="L8" s="3">
        <v>169.2</v>
      </c>
      <c r="M8" s="3"/>
      <c r="N8" s="3"/>
      <c r="O8" s="3"/>
      <c r="P8" s="3"/>
      <c r="Q8" s="3"/>
      <c r="R8" s="3"/>
      <c r="S8" s="3"/>
      <c r="T8" s="3"/>
      <c r="U8" s="3"/>
      <c r="V8" s="27">
        <f t="shared" si="0"/>
        <v>169.2</v>
      </c>
      <c r="W8" s="4"/>
    </row>
    <row r="9" spans="1:24" x14ac:dyDescent="0.25">
      <c r="A9" s="89"/>
      <c r="B9" s="1">
        <v>2010</v>
      </c>
      <c r="C9" s="3"/>
      <c r="D9" s="3"/>
      <c r="E9" s="3"/>
      <c r="F9" s="3"/>
      <c r="G9" s="3"/>
      <c r="H9" s="59"/>
      <c r="I9" s="3"/>
      <c r="J9" s="59"/>
      <c r="K9" s="3"/>
      <c r="L9" s="3">
        <v>169.2</v>
      </c>
      <c r="M9" s="3"/>
      <c r="N9" s="3"/>
      <c r="O9" s="3"/>
      <c r="P9" s="3"/>
      <c r="Q9" s="3"/>
      <c r="R9" s="3"/>
      <c r="S9" s="3"/>
      <c r="T9" s="3"/>
      <c r="U9" s="3"/>
      <c r="V9" s="27">
        <f t="shared" si="0"/>
        <v>169.2</v>
      </c>
      <c r="W9" s="4"/>
    </row>
    <row r="10" spans="1:24" x14ac:dyDescent="0.25">
      <c r="A10" s="89"/>
      <c r="B10" s="1">
        <v>2011</v>
      </c>
      <c r="C10" s="3"/>
      <c r="D10" s="3"/>
      <c r="E10" s="3"/>
      <c r="F10" s="3"/>
      <c r="G10" s="3"/>
      <c r="H10" s="59"/>
      <c r="I10" s="3"/>
      <c r="J10" s="79">
        <v>331</v>
      </c>
      <c r="K10" s="3"/>
      <c r="L10" s="3">
        <v>0</v>
      </c>
      <c r="M10" s="3"/>
      <c r="N10" s="3"/>
      <c r="O10" s="3"/>
      <c r="P10" s="3"/>
      <c r="Q10" s="3"/>
      <c r="R10" s="3"/>
      <c r="S10" s="3"/>
      <c r="T10" s="3"/>
      <c r="U10" s="3"/>
      <c r="V10" s="27">
        <f t="shared" si="0"/>
        <v>331</v>
      </c>
      <c r="W10" s="4"/>
    </row>
    <row r="11" spans="1:24" x14ac:dyDescent="0.25">
      <c r="A11" s="89"/>
      <c r="B11" s="1">
        <v>2012</v>
      </c>
      <c r="C11" s="3"/>
      <c r="D11" s="3"/>
      <c r="E11" s="3"/>
      <c r="F11" s="3"/>
      <c r="G11" s="3"/>
      <c r="H11" s="59"/>
      <c r="I11" s="3"/>
      <c r="J11" s="59">
        <v>0</v>
      </c>
      <c r="K11" s="3"/>
      <c r="L11" s="3">
        <v>0</v>
      </c>
      <c r="M11" s="3"/>
      <c r="N11" s="3"/>
      <c r="O11" s="3"/>
      <c r="P11" s="3"/>
      <c r="Q11" s="3"/>
      <c r="R11" s="3"/>
      <c r="S11" s="3"/>
      <c r="T11" s="3"/>
      <c r="U11" s="3"/>
      <c r="V11" s="27">
        <f t="shared" si="0"/>
        <v>0</v>
      </c>
      <c r="W11" s="4"/>
    </row>
    <row r="12" spans="1:24" x14ac:dyDescent="0.25">
      <c r="A12" s="89"/>
      <c r="B12" s="1">
        <v>2013</v>
      </c>
      <c r="C12" s="3"/>
      <c r="D12" s="3"/>
      <c r="E12" s="3"/>
      <c r="F12" s="3"/>
      <c r="G12" s="3"/>
      <c r="H12" s="59"/>
      <c r="I12" s="3"/>
      <c r="J12" s="59">
        <v>0</v>
      </c>
      <c r="K12" s="3"/>
      <c r="L12" s="3">
        <v>2.6</v>
      </c>
      <c r="M12" s="3"/>
      <c r="N12" s="3"/>
      <c r="O12" s="3"/>
      <c r="P12" s="3"/>
      <c r="Q12" s="3"/>
      <c r="R12" s="3"/>
      <c r="S12" s="3"/>
      <c r="T12" s="3"/>
      <c r="U12" s="3"/>
      <c r="V12" s="27">
        <f t="shared" si="0"/>
        <v>2.6</v>
      </c>
      <c r="W12" s="4"/>
    </row>
    <row r="13" spans="1:24" x14ac:dyDescent="0.25">
      <c r="A13" s="89"/>
      <c r="B13" s="1">
        <v>2014</v>
      </c>
      <c r="C13" s="3"/>
      <c r="D13" s="3"/>
      <c r="E13" s="3"/>
      <c r="F13" s="3"/>
      <c r="G13" s="3"/>
      <c r="H13" s="3"/>
      <c r="I13" s="3"/>
      <c r="J13" s="59">
        <v>0</v>
      </c>
      <c r="K13" s="3"/>
      <c r="L13" s="3">
        <v>2.6</v>
      </c>
      <c r="M13" s="3"/>
      <c r="N13" s="3"/>
      <c r="O13" s="3"/>
      <c r="P13" s="3"/>
      <c r="Q13" s="3"/>
      <c r="R13" s="3"/>
      <c r="S13" s="3"/>
      <c r="T13" s="3"/>
      <c r="U13" s="3"/>
      <c r="V13" s="27">
        <f t="shared" si="0"/>
        <v>2.6</v>
      </c>
      <c r="W13" s="4"/>
    </row>
    <row r="14" spans="1:24" x14ac:dyDescent="0.25">
      <c r="B14" s="1">
        <v>2015</v>
      </c>
      <c r="C14" s="3"/>
      <c r="D14" s="3"/>
      <c r="E14" s="3"/>
      <c r="F14" s="3"/>
      <c r="G14" s="3"/>
      <c r="H14" s="3"/>
      <c r="I14" s="3"/>
      <c r="J14" s="3">
        <v>0</v>
      </c>
      <c r="K14" s="3"/>
      <c r="L14" s="3">
        <v>2.6</v>
      </c>
      <c r="M14" s="3"/>
      <c r="N14" s="3"/>
      <c r="O14" s="3"/>
      <c r="P14" s="3"/>
      <c r="Q14" s="3"/>
      <c r="R14" s="3"/>
      <c r="S14" s="3"/>
      <c r="T14" s="3"/>
      <c r="U14" s="3"/>
      <c r="V14" s="27">
        <f t="shared" si="0"/>
        <v>2.6</v>
      </c>
    </row>
    <row r="15" spans="1:24" x14ac:dyDescent="0.25">
      <c r="B15" s="1">
        <v>2016</v>
      </c>
      <c r="C15" s="3"/>
      <c r="D15" s="3"/>
      <c r="E15" s="3"/>
      <c r="F15" s="3"/>
      <c r="G15" s="3"/>
      <c r="H15" s="3"/>
      <c r="I15" s="3"/>
      <c r="J15" s="79">
        <v>300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27">
        <f t="shared" si="0"/>
        <v>300</v>
      </c>
    </row>
    <row r="16" spans="1:24" x14ac:dyDescent="0.25">
      <c r="B16" s="1">
        <v>2017</v>
      </c>
      <c r="C16" s="3"/>
      <c r="D16" s="3"/>
      <c r="E16" s="3"/>
      <c r="F16" s="3"/>
      <c r="G16" s="3"/>
      <c r="H16" s="3"/>
      <c r="I16" s="3"/>
      <c r="J16" s="79">
        <v>303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27">
        <f t="shared" si="0"/>
        <v>303</v>
      </c>
    </row>
    <row r="17" spans="2:22" x14ac:dyDescent="0.25">
      <c r="B17" s="1">
        <v>2018</v>
      </c>
      <c r="C17" s="3"/>
      <c r="D17" s="3"/>
      <c r="E17" s="3"/>
      <c r="F17" s="3"/>
      <c r="G17" s="3"/>
      <c r="H17" s="3"/>
      <c r="I17" s="3"/>
      <c r="J17" s="3">
        <v>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27">
        <f t="shared" si="0"/>
        <v>0</v>
      </c>
    </row>
    <row r="19" spans="2:22" x14ac:dyDescent="0.25">
      <c r="B19" s="2" t="s">
        <v>19</v>
      </c>
      <c r="C19" s="3" t="s">
        <v>20</v>
      </c>
      <c r="D19" s="3" t="s">
        <v>22</v>
      </c>
      <c r="E19" s="3" t="s">
        <v>22</v>
      </c>
      <c r="F19" s="3" t="s">
        <v>20</v>
      </c>
      <c r="G19" s="3" t="s">
        <v>22</v>
      </c>
      <c r="H19" s="3" t="s">
        <v>20</v>
      </c>
      <c r="I19" s="3" t="s">
        <v>20</v>
      </c>
      <c r="J19" s="3" t="s">
        <v>20</v>
      </c>
      <c r="K19" s="3" t="s">
        <v>20</v>
      </c>
      <c r="L19" s="3" t="s">
        <v>22</v>
      </c>
      <c r="M19" s="3" t="s">
        <v>20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22</v>
      </c>
      <c r="U19" s="3" t="s">
        <v>20</v>
      </c>
    </row>
  </sheetData>
  <mergeCells count="2">
    <mergeCell ref="B1:U1"/>
    <mergeCell ref="A2:A1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M49"/>
  <sheetViews>
    <sheetView topLeftCell="A7" workbookViewId="0">
      <selection activeCell="E5" sqref="E5"/>
    </sheetView>
  </sheetViews>
  <sheetFormatPr defaultRowHeight="15" x14ac:dyDescent="0.25"/>
  <cols>
    <col min="2" max="2" width="21" customWidth="1"/>
    <col min="3" max="3" width="20.140625" customWidth="1"/>
    <col min="4" max="4" width="14.140625" customWidth="1"/>
    <col min="5" max="5" width="30.140625" customWidth="1"/>
    <col min="6" max="6" width="45.42578125" customWidth="1"/>
    <col min="7" max="7" width="14.42578125" customWidth="1"/>
    <col min="8" max="8" width="14" customWidth="1"/>
    <col min="9" max="9" width="15.7109375" customWidth="1"/>
    <col min="10" max="10" width="18.5703125" customWidth="1"/>
    <col min="11" max="11" width="15.42578125" customWidth="1"/>
  </cols>
  <sheetData>
    <row r="1" spans="1:11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11"/>
      <c r="B2" s="12"/>
      <c r="C2" s="11"/>
      <c r="D2" s="12"/>
      <c r="E2" s="11"/>
      <c r="F2" s="11"/>
      <c r="G2" s="11"/>
      <c r="H2" s="90" t="s">
        <v>25</v>
      </c>
      <c r="I2" s="91"/>
      <c r="J2" s="12"/>
      <c r="K2" s="13"/>
    </row>
    <row r="3" spans="1:11" x14ac:dyDescent="0.25">
      <c r="A3" s="11"/>
      <c r="B3" s="14" t="s">
        <v>26</v>
      </c>
      <c r="C3" s="14" t="s">
        <v>27</v>
      </c>
      <c r="D3" s="14" t="s">
        <v>28</v>
      </c>
      <c r="E3" s="14" t="s">
        <v>29</v>
      </c>
      <c r="F3" s="14" t="s">
        <v>30</v>
      </c>
      <c r="G3" s="11"/>
      <c r="H3" s="12"/>
      <c r="I3" s="12"/>
      <c r="J3" s="12"/>
      <c r="K3" s="13"/>
    </row>
    <row r="4" spans="1:11" x14ac:dyDescent="0.25">
      <c r="A4" s="11"/>
      <c r="B4" s="16">
        <v>1997</v>
      </c>
      <c r="C4" s="17">
        <v>0</v>
      </c>
      <c r="D4" s="18" t="s">
        <v>32</v>
      </c>
      <c r="E4" s="19">
        <v>7.0000000000000007E-2</v>
      </c>
      <c r="F4" s="20">
        <f t="shared" ref="F4:F25" si="0">C4*E4</f>
        <v>0</v>
      </c>
      <c r="G4" s="11"/>
      <c r="H4" s="12"/>
      <c r="I4" s="12"/>
      <c r="J4" s="12"/>
      <c r="K4" s="13"/>
    </row>
    <row r="5" spans="1:11" x14ac:dyDescent="0.25">
      <c r="A5" s="11"/>
      <c r="B5" s="16">
        <v>1998</v>
      </c>
      <c r="C5" s="17">
        <v>0</v>
      </c>
      <c r="D5" s="18" t="s">
        <v>32</v>
      </c>
      <c r="E5" s="19">
        <f t="shared" ref="E5:E25" si="1">$E$4</f>
        <v>7.0000000000000007E-2</v>
      </c>
      <c r="F5" s="20">
        <f t="shared" si="0"/>
        <v>0</v>
      </c>
      <c r="G5" s="11"/>
      <c r="H5" s="12"/>
      <c r="I5" s="12"/>
      <c r="J5" s="12"/>
      <c r="K5" s="13"/>
    </row>
    <row r="6" spans="1:11" x14ac:dyDescent="0.25">
      <c r="A6" s="11"/>
      <c r="B6" s="16">
        <v>1999</v>
      </c>
      <c r="C6" s="17">
        <v>0</v>
      </c>
      <c r="D6" s="18" t="s">
        <v>32</v>
      </c>
      <c r="E6" s="19">
        <f t="shared" si="1"/>
        <v>7.0000000000000007E-2</v>
      </c>
      <c r="F6" s="20">
        <f t="shared" si="0"/>
        <v>0</v>
      </c>
      <c r="G6" s="11"/>
      <c r="H6" s="12"/>
      <c r="I6" s="12"/>
      <c r="J6" s="12"/>
      <c r="K6" s="13"/>
    </row>
    <row r="7" spans="1:11" x14ac:dyDescent="0.25">
      <c r="A7" s="11"/>
      <c r="B7" s="16">
        <v>2000</v>
      </c>
      <c r="C7" s="17">
        <v>0</v>
      </c>
      <c r="D7" s="18" t="s">
        <v>32</v>
      </c>
      <c r="E7" s="19">
        <f t="shared" si="1"/>
        <v>7.0000000000000007E-2</v>
      </c>
      <c r="F7" s="20">
        <f t="shared" si="0"/>
        <v>0</v>
      </c>
      <c r="G7" s="11"/>
      <c r="H7" s="12"/>
      <c r="I7" s="12"/>
      <c r="J7" s="12"/>
      <c r="K7" s="13"/>
    </row>
    <row r="8" spans="1:11" x14ac:dyDescent="0.25">
      <c r="A8" s="11"/>
      <c r="B8" s="16">
        <v>2001</v>
      </c>
      <c r="C8" s="17">
        <v>0</v>
      </c>
      <c r="D8" s="18" t="s">
        <v>32</v>
      </c>
      <c r="E8" s="19">
        <f t="shared" si="1"/>
        <v>7.0000000000000007E-2</v>
      </c>
      <c r="F8" s="20">
        <f t="shared" si="0"/>
        <v>0</v>
      </c>
      <c r="G8" s="11"/>
      <c r="H8" s="12"/>
      <c r="I8" s="12"/>
      <c r="J8" s="12"/>
      <c r="K8" s="13"/>
    </row>
    <row r="9" spans="1:11" x14ac:dyDescent="0.25">
      <c r="A9" s="11"/>
      <c r="B9" s="16">
        <v>2002</v>
      </c>
      <c r="C9" s="17">
        <v>0</v>
      </c>
      <c r="D9" s="18" t="s">
        <v>32</v>
      </c>
      <c r="E9" s="19">
        <f t="shared" si="1"/>
        <v>7.0000000000000007E-2</v>
      </c>
      <c r="F9" s="20">
        <f t="shared" si="0"/>
        <v>0</v>
      </c>
      <c r="G9" s="11"/>
      <c r="H9" s="12"/>
      <c r="I9" s="12"/>
      <c r="J9" s="12"/>
      <c r="K9" s="13"/>
    </row>
    <row r="10" spans="1:11" x14ac:dyDescent="0.25">
      <c r="A10" s="11"/>
      <c r="B10" s="16">
        <v>2003</v>
      </c>
      <c r="C10" s="17">
        <v>0</v>
      </c>
      <c r="D10" s="18" t="s">
        <v>32</v>
      </c>
      <c r="E10" s="19">
        <f t="shared" si="1"/>
        <v>7.0000000000000007E-2</v>
      </c>
      <c r="F10" s="20">
        <f t="shared" si="0"/>
        <v>0</v>
      </c>
      <c r="G10" s="11"/>
      <c r="H10" s="40" t="s">
        <v>27</v>
      </c>
      <c r="I10" s="40"/>
      <c r="J10" s="12"/>
      <c r="K10" s="13"/>
    </row>
    <row r="11" spans="1:11" x14ac:dyDescent="0.25">
      <c r="A11" s="11"/>
      <c r="B11" s="16">
        <v>2004</v>
      </c>
      <c r="C11" s="17">
        <f>H11</f>
        <v>0</v>
      </c>
      <c r="D11" s="18" t="s">
        <v>32</v>
      </c>
      <c r="E11" s="19">
        <f t="shared" si="1"/>
        <v>7.0000000000000007E-2</v>
      </c>
      <c r="F11" s="20">
        <f t="shared" si="0"/>
        <v>0</v>
      </c>
      <c r="G11" s="11"/>
      <c r="H11" s="41">
        <f>'CO Summary Sheet CPS 330'!V3</f>
        <v>0</v>
      </c>
      <c r="I11" s="41"/>
      <c r="J11" s="12"/>
      <c r="K11" s="13"/>
    </row>
    <row r="12" spans="1:11" x14ac:dyDescent="0.25">
      <c r="A12" s="11"/>
      <c r="B12" s="16">
        <v>2005</v>
      </c>
      <c r="C12" s="17">
        <f t="shared" ref="C12:C25" si="2">H12</f>
        <v>556.5</v>
      </c>
      <c r="D12" s="18" t="s">
        <v>32</v>
      </c>
      <c r="E12" s="19">
        <f t="shared" si="1"/>
        <v>7.0000000000000007E-2</v>
      </c>
      <c r="F12" s="20">
        <f t="shared" si="0"/>
        <v>38.955000000000005</v>
      </c>
      <c r="G12" s="11"/>
      <c r="H12" s="41">
        <f>'CO Summary Sheet CPS 330'!V4</f>
        <v>556.5</v>
      </c>
      <c r="I12" s="41"/>
      <c r="J12" s="12"/>
      <c r="K12" s="13"/>
    </row>
    <row r="13" spans="1:11" x14ac:dyDescent="0.25">
      <c r="A13" s="11"/>
      <c r="B13" s="16">
        <v>2006</v>
      </c>
      <c r="C13" s="17">
        <f t="shared" si="2"/>
        <v>0</v>
      </c>
      <c r="D13" s="18" t="s">
        <v>32</v>
      </c>
      <c r="E13" s="19">
        <f t="shared" si="1"/>
        <v>7.0000000000000007E-2</v>
      </c>
      <c r="F13" s="20">
        <f t="shared" si="0"/>
        <v>0</v>
      </c>
      <c r="G13" s="11"/>
      <c r="H13" s="41">
        <f>'CO Summary Sheet CPS 330'!V5</f>
        <v>0</v>
      </c>
      <c r="I13" s="41"/>
      <c r="J13" s="12"/>
      <c r="K13" s="13"/>
    </row>
    <row r="14" spans="1:11" x14ac:dyDescent="0.25">
      <c r="A14" s="11"/>
      <c r="B14" s="16">
        <v>2007</v>
      </c>
      <c r="C14" s="17">
        <f t="shared" si="2"/>
        <v>873.2</v>
      </c>
      <c r="D14" s="18" t="s">
        <v>32</v>
      </c>
      <c r="E14" s="19">
        <f t="shared" si="1"/>
        <v>7.0000000000000007E-2</v>
      </c>
      <c r="F14" s="20">
        <f t="shared" si="0"/>
        <v>61.124000000000009</v>
      </c>
      <c r="G14" s="11"/>
      <c r="H14" s="41">
        <f>'CO Summary Sheet CPS 330'!V6</f>
        <v>873.2</v>
      </c>
      <c r="I14" s="41"/>
      <c r="J14" s="12"/>
      <c r="K14" s="13"/>
    </row>
    <row r="15" spans="1:11" x14ac:dyDescent="0.25">
      <c r="A15" s="11"/>
      <c r="B15" s="16">
        <v>2008</v>
      </c>
      <c r="C15" s="17">
        <f t="shared" si="2"/>
        <v>1042.4000000000001</v>
      </c>
      <c r="D15" s="18" t="s">
        <v>32</v>
      </c>
      <c r="E15" s="19">
        <f t="shared" si="1"/>
        <v>7.0000000000000007E-2</v>
      </c>
      <c r="F15" s="20">
        <f t="shared" si="0"/>
        <v>72.968000000000018</v>
      </c>
      <c r="G15" s="11"/>
      <c r="H15" s="41">
        <f>'CO Summary Sheet CPS 330'!V7</f>
        <v>1042.4000000000001</v>
      </c>
      <c r="I15" s="41"/>
      <c r="J15" s="12"/>
      <c r="K15" s="13"/>
    </row>
    <row r="16" spans="1:11" x14ac:dyDescent="0.25">
      <c r="A16" s="11"/>
      <c r="B16" s="16">
        <v>2009</v>
      </c>
      <c r="C16" s="17">
        <f t="shared" si="2"/>
        <v>169.2</v>
      </c>
      <c r="D16" s="18" t="s">
        <v>32</v>
      </c>
      <c r="E16" s="19">
        <f t="shared" si="1"/>
        <v>7.0000000000000007E-2</v>
      </c>
      <c r="F16" s="20">
        <f t="shared" si="0"/>
        <v>11.844000000000001</v>
      </c>
      <c r="G16" s="11"/>
      <c r="H16" s="41">
        <f>'CO Summary Sheet CPS 330'!V8</f>
        <v>169.2</v>
      </c>
      <c r="I16" s="41"/>
      <c r="J16" s="12"/>
      <c r="K16" s="13"/>
    </row>
    <row r="17" spans="1:13" x14ac:dyDescent="0.25">
      <c r="A17" s="11"/>
      <c r="B17" s="16">
        <v>2010</v>
      </c>
      <c r="C17" s="17">
        <f t="shared" si="2"/>
        <v>169.2</v>
      </c>
      <c r="D17" s="18" t="s">
        <v>32</v>
      </c>
      <c r="E17" s="19">
        <f t="shared" si="1"/>
        <v>7.0000000000000007E-2</v>
      </c>
      <c r="F17" s="20">
        <f t="shared" si="0"/>
        <v>11.844000000000001</v>
      </c>
      <c r="G17" s="11"/>
      <c r="H17" s="41">
        <f>'CO Summary Sheet CPS 330'!V9</f>
        <v>169.2</v>
      </c>
      <c r="I17" s="41"/>
      <c r="J17" s="12"/>
      <c r="K17" s="13"/>
    </row>
    <row r="18" spans="1:13" x14ac:dyDescent="0.25">
      <c r="A18" s="11"/>
      <c r="B18" s="16">
        <v>2011</v>
      </c>
      <c r="C18" s="17">
        <f t="shared" si="2"/>
        <v>331</v>
      </c>
      <c r="D18" s="18" t="s">
        <v>32</v>
      </c>
      <c r="E18" s="19">
        <f t="shared" si="1"/>
        <v>7.0000000000000007E-2</v>
      </c>
      <c r="F18" s="20">
        <f t="shared" si="0"/>
        <v>23.17</v>
      </c>
      <c r="G18" s="11"/>
      <c r="H18" s="41">
        <f>'CO Summary Sheet CPS 330'!V10</f>
        <v>331</v>
      </c>
      <c r="I18" s="41"/>
      <c r="J18" s="12"/>
      <c r="K18" s="13"/>
    </row>
    <row r="19" spans="1:13" x14ac:dyDescent="0.25">
      <c r="A19" s="11"/>
      <c r="B19" s="16">
        <v>2012</v>
      </c>
      <c r="C19" s="17">
        <f t="shared" si="2"/>
        <v>0</v>
      </c>
      <c r="D19" s="18" t="s">
        <v>32</v>
      </c>
      <c r="E19" s="19">
        <f t="shared" si="1"/>
        <v>7.0000000000000007E-2</v>
      </c>
      <c r="F19" s="20">
        <f t="shared" si="0"/>
        <v>0</v>
      </c>
      <c r="G19" s="11"/>
      <c r="H19" s="41">
        <f>'CO Summary Sheet CPS 330'!V11</f>
        <v>0</v>
      </c>
      <c r="I19" s="41"/>
      <c r="J19" s="12"/>
      <c r="K19" s="13"/>
    </row>
    <row r="20" spans="1:13" s="22" customFormat="1" x14ac:dyDescent="0.25">
      <c r="A20" s="11"/>
      <c r="B20" s="16">
        <v>2013</v>
      </c>
      <c r="C20" s="17">
        <f t="shared" si="2"/>
        <v>2.6</v>
      </c>
      <c r="D20" s="18" t="s">
        <v>32</v>
      </c>
      <c r="E20" s="19">
        <f t="shared" si="1"/>
        <v>7.0000000000000007E-2</v>
      </c>
      <c r="F20" s="20">
        <f t="shared" si="0"/>
        <v>0.18200000000000002</v>
      </c>
      <c r="G20" s="11"/>
      <c r="H20" s="41">
        <f>'CO Summary Sheet CPS 330'!V12</f>
        <v>2.6</v>
      </c>
      <c r="I20" s="41"/>
      <c r="J20" s="12"/>
      <c r="K20" s="13"/>
    </row>
    <row r="21" spans="1:13" x14ac:dyDescent="0.25">
      <c r="B21" s="16">
        <v>2014</v>
      </c>
      <c r="C21" s="17">
        <f t="shared" si="2"/>
        <v>2.6</v>
      </c>
      <c r="D21" s="18" t="s">
        <v>32</v>
      </c>
      <c r="E21" s="19">
        <f t="shared" si="1"/>
        <v>7.0000000000000007E-2</v>
      </c>
      <c r="F21" s="20">
        <f t="shared" si="0"/>
        <v>0.18200000000000002</v>
      </c>
      <c r="H21" s="41">
        <f>'CO Summary Sheet CPS 330'!V13</f>
        <v>2.6</v>
      </c>
      <c r="I21" s="41"/>
      <c r="J21" s="12"/>
    </row>
    <row r="22" spans="1:13" x14ac:dyDescent="0.25">
      <c r="B22" s="16">
        <v>2015</v>
      </c>
      <c r="C22" s="17">
        <f t="shared" si="2"/>
        <v>2.6</v>
      </c>
      <c r="D22" s="18" t="s">
        <v>32</v>
      </c>
      <c r="E22" s="19">
        <f t="shared" si="1"/>
        <v>7.0000000000000007E-2</v>
      </c>
      <c r="F22" s="20">
        <f t="shared" si="0"/>
        <v>0.18200000000000002</v>
      </c>
      <c r="H22" s="41">
        <f>'CO Summary Sheet CPS 330'!V14</f>
        <v>2.6</v>
      </c>
      <c r="I22" s="74"/>
      <c r="J22" s="68"/>
    </row>
    <row r="23" spans="1:13" x14ac:dyDescent="0.25">
      <c r="B23" s="16">
        <v>2016</v>
      </c>
      <c r="C23" s="17">
        <f t="shared" si="2"/>
        <v>300</v>
      </c>
      <c r="D23" s="18" t="s">
        <v>32</v>
      </c>
      <c r="E23" s="19">
        <f t="shared" si="1"/>
        <v>7.0000000000000007E-2</v>
      </c>
      <c r="F23" s="20">
        <f t="shared" si="0"/>
        <v>21.000000000000004</v>
      </c>
      <c r="H23" s="41">
        <f>'CO Summary Sheet CPS 330'!V15</f>
        <v>300</v>
      </c>
      <c r="I23" s="74"/>
      <c r="J23" s="68"/>
    </row>
    <row r="24" spans="1:13" x14ac:dyDescent="0.25">
      <c r="B24" s="16">
        <v>2017</v>
      </c>
      <c r="C24" s="17">
        <f t="shared" si="2"/>
        <v>303</v>
      </c>
      <c r="D24" s="18" t="s">
        <v>32</v>
      </c>
      <c r="E24" s="19">
        <f t="shared" si="1"/>
        <v>7.0000000000000007E-2</v>
      </c>
      <c r="F24" s="20">
        <f t="shared" si="0"/>
        <v>21.21</v>
      </c>
      <c r="H24" s="41">
        <f>'CO Summary Sheet CPS 330'!V16</f>
        <v>303</v>
      </c>
      <c r="I24" s="74"/>
      <c r="J24" s="68"/>
    </row>
    <row r="25" spans="1:13" x14ac:dyDescent="0.25">
      <c r="B25" s="16">
        <v>2018</v>
      </c>
      <c r="C25" s="17">
        <f t="shared" si="2"/>
        <v>0</v>
      </c>
      <c r="D25" s="18" t="s">
        <v>32</v>
      </c>
      <c r="E25" s="19">
        <f t="shared" si="1"/>
        <v>7.0000000000000007E-2</v>
      </c>
      <c r="F25" s="20">
        <f t="shared" si="0"/>
        <v>0</v>
      </c>
      <c r="H25" s="41">
        <f>'CO Summary Sheet CPS 330'!V17</f>
        <v>0</v>
      </c>
      <c r="I25" s="74"/>
      <c r="J25" s="68"/>
    </row>
    <row r="26" spans="1:13" x14ac:dyDescent="0.25">
      <c r="C26" s="17">
        <f>SUM(C11:C21)</f>
        <v>3146.7</v>
      </c>
    </row>
    <row r="27" spans="1:13" ht="78.75" customHeight="1" x14ac:dyDescent="0.25">
      <c r="B27" s="23" t="s">
        <v>0</v>
      </c>
      <c r="C27" s="23" t="s">
        <v>33</v>
      </c>
      <c r="D27" s="23" t="s">
        <v>34</v>
      </c>
      <c r="E27" s="23" t="s">
        <v>35</v>
      </c>
      <c r="F27" s="23" t="s">
        <v>36</v>
      </c>
      <c r="L27" s="32"/>
      <c r="M27" s="32"/>
    </row>
    <row r="28" spans="1:13" x14ac:dyDescent="0.25">
      <c r="B28">
        <v>1997</v>
      </c>
      <c r="C28" s="5">
        <f>F4</f>
        <v>0</v>
      </c>
      <c r="L28" s="32"/>
      <c r="M28" s="32"/>
    </row>
    <row r="29" spans="1:13" x14ac:dyDescent="0.25">
      <c r="B29">
        <v>1998</v>
      </c>
      <c r="C29" s="5">
        <f t="shared" ref="C29:C44" si="3">F5</f>
        <v>0</v>
      </c>
      <c r="L29" s="32"/>
      <c r="M29" s="32"/>
    </row>
    <row r="30" spans="1:13" x14ac:dyDescent="0.25">
      <c r="B30">
        <v>1999</v>
      </c>
      <c r="C30" s="5">
        <f t="shared" si="3"/>
        <v>0</v>
      </c>
      <c r="L30" s="32"/>
      <c r="M30" s="32"/>
    </row>
    <row r="31" spans="1:13" x14ac:dyDescent="0.25">
      <c r="B31">
        <v>2000</v>
      </c>
      <c r="C31" s="5">
        <f t="shared" si="3"/>
        <v>0</v>
      </c>
      <c r="D31" s="5">
        <f>C31+(0.5*C28)</f>
        <v>0</v>
      </c>
      <c r="E31" s="5">
        <f>C31+(0.75*C28)</f>
        <v>0</v>
      </c>
      <c r="F31" s="5">
        <f>C31+(1*C28)</f>
        <v>0</v>
      </c>
      <c r="L31" s="32"/>
      <c r="M31" s="32"/>
    </row>
    <row r="32" spans="1:13" x14ac:dyDescent="0.25">
      <c r="B32">
        <v>2001</v>
      </c>
      <c r="C32" s="5">
        <f t="shared" si="3"/>
        <v>0</v>
      </c>
      <c r="D32" s="5">
        <f>C32+(0.5*(C29+C28))</f>
        <v>0</v>
      </c>
      <c r="E32" s="5">
        <f>C32+(0.75*(C29+C28))</f>
        <v>0</v>
      </c>
      <c r="F32" s="5">
        <f>C32+(1*(C29+C28))</f>
        <v>0</v>
      </c>
      <c r="L32" s="32"/>
      <c r="M32" s="32"/>
    </row>
    <row r="33" spans="2:13" x14ac:dyDescent="0.25">
      <c r="B33">
        <v>2002</v>
      </c>
      <c r="C33" s="5">
        <f t="shared" si="3"/>
        <v>0</v>
      </c>
      <c r="D33" s="5">
        <f>C33+(0.5*(C28+C30+C29))</f>
        <v>0</v>
      </c>
      <c r="E33" s="5">
        <f>C33+(0.75*(C28+C30+C29))</f>
        <v>0</v>
      </c>
      <c r="F33" s="5">
        <f>C33+(1*(C28+C30+C29))</f>
        <v>0</v>
      </c>
      <c r="L33" s="32"/>
      <c r="M33" s="32"/>
    </row>
    <row r="34" spans="2:13" x14ac:dyDescent="0.25">
      <c r="B34">
        <v>2003</v>
      </c>
      <c r="C34" s="5">
        <f t="shared" si="3"/>
        <v>0</v>
      </c>
      <c r="D34" s="5">
        <f>C34+(0.5*(C28+C29+C31+C30))</f>
        <v>0</v>
      </c>
      <c r="E34" s="5">
        <f>C34+(0.75*(C28+C29+C31+C30))</f>
        <v>0</v>
      </c>
      <c r="F34" s="5">
        <f>C34+(1*(C28+C29+C31+C30))</f>
        <v>0</v>
      </c>
      <c r="L34" s="32"/>
      <c r="M34" s="32"/>
    </row>
    <row r="35" spans="2:13" x14ac:dyDescent="0.25">
      <c r="B35">
        <v>2004</v>
      </c>
      <c r="C35" s="5">
        <f t="shared" si="3"/>
        <v>0</v>
      </c>
      <c r="D35" s="5">
        <f>C35+(0.5*(C28+C29+C30+C32+C31))</f>
        <v>0</v>
      </c>
      <c r="E35" s="5">
        <f>C35+(0.75*(C28+C29+C30+C32+C31))</f>
        <v>0</v>
      </c>
      <c r="F35" s="5">
        <f>C35+(1*(C28+C29+C30+C32+C31))</f>
        <v>0</v>
      </c>
      <c r="L35" s="32"/>
      <c r="M35" s="32"/>
    </row>
    <row r="36" spans="2:13" x14ac:dyDescent="0.25">
      <c r="B36">
        <v>2005</v>
      </c>
      <c r="C36" s="5">
        <f t="shared" si="3"/>
        <v>38.955000000000005</v>
      </c>
      <c r="D36" s="5">
        <f>C36+(0.5*(C28+C29+C30+C31+C33+C32))</f>
        <v>38.955000000000005</v>
      </c>
      <c r="E36" s="5">
        <f>C36+(0.75*(C28+C29+C30+C31+C33+C32))</f>
        <v>38.955000000000005</v>
      </c>
      <c r="F36" s="5">
        <f>C36+(1*(C28+C29+C30+C31+C33+C32))</f>
        <v>38.955000000000005</v>
      </c>
      <c r="L36" s="32"/>
      <c r="M36" s="32"/>
    </row>
    <row r="37" spans="2:13" x14ac:dyDescent="0.25">
      <c r="B37">
        <v>2006</v>
      </c>
      <c r="C37" s="5">
        <f t="shared" si="3"/>
        <v>0</v>
      </c>
      <c r="D37" s="5">
        <f>C37+(0.5*(C28+C29+C30+C31+C32+C34+C33))</f>
        <v>0</v>
      </c>
      <c r="E37" s="5">
        <f>C37+(0.75*(C28+C29+C30+C31+C32+C34+C33))</f>
        <v>0</v>
      </c>
      <c r="F37" s="5">
        <f>C37+(1*(C28+C29+C30+C31+C32+C34+C33))</f>
        <v>0</v>
      </c>
      <c r="L37" s="32"/>
      <c r="M37" s="32"/>
    </row>
    <row r="38" spans="2:13" x14ac:dyDescent="0.25">
      <c r="B38">
        <v>2007</v>
      </c>
      <c r="C38" s="5">
        <f t="shared" si="3"/>
        <v>61.124000000000009</v>
      </c>
      <c r="D38" s="5">
        <f>C38+(0.5*(C28+C29+C30+C31+C32+C33+C35+C34))</f>
        <v>61.124000000000009</v>
      </c>
      <c r="E38" s="5">
        <f>C38+(0.75*(C28+C29+C30+C31+C32+C33+C35+C34))</f>
        <v>61.124000000000009</v>
      </c>
      <c r="F38" s="5">
        <f>C38+(1*(C28+C29+C30+C31+C32+C33+C35+C34))</f>
        <v>61.124000000000009</v>
      </c>
      <c r="L38" s="32"/>
      <c r="M38" s="32"/>
    </row>
    <row r="39" spans="2:13" x14ac:dyDescent="0.25">
      <c r="B39">
        <v>2008</v>
      </c>
      <c r="C39" s="5">
        <f t="shared" si="3"/>
        <v>72.968000000000018</v>
      </c>
      <c r="D39" s="5">
        <f>C39+(0.5*(C28+C29+C30+C31+C32+C33+C34+C36+C35))</f>
        <v>92.445500000000024</v>
      </c>
      <c r="E39" s="5">
        <f>C39+(0.75*(C28+C29+C30+C31+C32+C33+C34+C36+C35))</f>
        <v>102.18425000000002</v>
      </c>
      <c r="F39" s="5">
        <f>C39+(1*(C28+C29+C30+C31+C32+C33+C34+C36+C35))</f>
        <v>111.92300000000003</v>
      </c>
      <c r="L39" s="32"/>
      <c r="M39" s="32"/>
    </row>
    <row r="40" spans="2:13" x14ac:dyDescent="0.25">
      <c r="B40">
        <v>2009</v>
      </c>
      <c r="C40" s="5">
        <f t="shared" si="3"/>
        <v>11.844000000000001</v>
      </c>
      <c r="D40" s="5">
        <f>C40+(0.5*(C28+C29+C30+C31+C32+C33+C34+C35+C37+C36))</f>
        <v>31.321500000000004</v>
      </c>
      <c r="E40" s="5">
        <f>C40+(0.75*(C28+C29+C30+C31+C32+C33+C34+C35+C37+C36))</f>
        <v>41.060250000000003</v>
      </c>
      <c r="F40" s="5">
        <f>C40+(1*(C28+C29+C30+C31+C32+C33+C34+C35+C37+C36))</f>
        <v>50.799000000000007</v>
      </c>
      <c r="L40" s="32"/>
      <c r="M40" s="32"/>
    </row>
    <row r="41" spans="2:13" x14ac:dyDescent="0.25">
      <c r="B41">
        <v>2010</v>
      </c>
      <c r="C41" s="5">
        <f t="shared" si="3"/>
        <v>11.844000000000001</v>
      </c>
      <c r="D41" s="5">
        <f>C41+(0.5*(C28+C29+C30+C31+C32+C33+C34+C35+C36+C38+C37))</f>
        <v>61.883500000000005</v>
      </c>
      <c r="E41" s="5">
        <f>C41+(0.75*(C28+C29+C30+C31+C32+C33+C34+C35+C36+C38+C37))</f>
        <v>86.903250000000014</v>
      </c>
      <c r="F41" s="5">
        <f>C41+(1*(C28+C29+C30+C31+C32+C33+C34+C35+C36+C38+C37))</f>
        <v>111.923</v>
      </c>
      <c r="L41" s="32"/>
      <c r="M41" s="32"/>
    </row>
    <row r="42" spans="2:13" x14ac:dyDescent="0.25">
      <c r="B42">
        <v>2011</v>
      </c>
      <c r="C42" s="5">
        <f t="shared" si="3"/>
        <v>23.17</v>
      </c>
      <c r="D42" s="5">
        <f>C42+(0.5*(C28+C29+C30+C31+C32+C33+C34+C35+C36+C37+C39+C38))</f>
        <v>109.69350000000001</v>
      </c>
      <c r="E42" s="5">
        <f>C42+(0.75*(C28+C29+C30+C31+C32+C33+C34+C35+C36+C37+C39+C38))</f>
        <v>152.95525000000004</v>
      </c>
      <c r="F42" s="5">
        <f>C42+(1*(C28+C29+C30+C31+C32+C33+C34+C35+C36+C37+C39+C38))</f>
        <v>196.21700000000004</v>
      </c>
      <c r="L42" s="32"/>
      <c r="M42" s="32"/>
    </row>
    <row r="43" spans="2:13" x14ac:dyDescent="0.25">
      <c r="B43">
        <v>2012</v>
      </c>
      <c r="C43" s="5">
        <f t="shared" si="3"/>
        <v>0</v>
      </c>
      <c r="D43" s="5">
        <f>C43+(0.5*(C28+C29+C30+C31+C32+C33+C34+C35+C36+C37+C38+C40+C39))</f>
        <v>92.44550000000001</v>
      </c>
      <c r="E43" s="5">
        <f>C43+(0.75*(C28+C29+C30+C31+C32+C33+C34+C35+C36+C37+C38+C40+C39))</f>
        <v>138.66825</v>
      </c>
      <c r="F43" s="5">
        <f>C43+(1*(C28+C29+C30+C31+C32+C33+C34+C35+C36+C37+C38+C40+C39))</f>
        <v>184.89100000000002</v>
      </c>
      <c r="L43" s="32"/>
      <c r="M43" s="32"/>
    </row>
    <row r="44" spans="2:13" x14ac:dyDescent="0.25">
      <c r="B44">
        <v>2013</v>
      </c>
      <c r="C44" s="5">
        <f t="shared" si="3"/>
        <v>0.18200000000000002</v>
      </c>
      <c r="D44" s="5">
        <f>C44+(0.5*(C28+C29+C30+C31+C32+C33+C34+C35+C36+C37+C38+C39+C41+C40))</f>
        <v>98.549500000000009</v>
      </c>
      <c r="E44" s="5">
        <f>C44+(0.75*(C28+C29+C30+C31+C32+C33+C34+C35+C36+C37+C38+C39+C41+C40))</f>
        <v>147.73325</v>
      </c>
      <c r="F44" s="5">
        <f>C44+(1*(C28+C29+C30+C31+C32+C33+C34+C35+C36+C37+C38+C39+C41+C40))</f>
        <v>196.917</v>
      </c>
      <c r="L44" s="32"/>
      <c r="M44" s="32"/>
    </row>
    <row r="45" spans="2:13" x14ac:dyDescent="0.25">
      <c r="B45">
        <v>2014</v>
      </c>
      <c r="C45" s="5">
        <f>F21</f>
        <v>0.18200000000000002</v>
      </c>
      <c r="D45" s="5">
        <f>C45+(0.5*(C28+C29+C30+C31+C32+C33+C34+C35+C36+C37+C38+C39+C40+C42+C41))</f>
        <v>110.13450000000002</v>
      </c>
      <c r="E45" s="5">
        <f>C45+(0.75*(C28+C29+C30+C31+C32+C33+C34+C35+C36+C37+C38+C39+C40+C42+C41))</f>
        <v>165.11075000000002</v>
      </c>
      <c r="F45" s="5">
        <f>C45+(1*(C28+C29+C30+C31+C32+C33+C34+C35+C36+C37+C38+C39+C40+C42+C41))</f>
        <v>220.08700000000002</v>
      </c>
      <c r="L45" s="32"/>
      <c r="M45" s="32"/>
    </row>
    <row r="46" spans="2:13" x14ac:dyDescent="0.25">
      <c r="B46">
        <v>2015</v>
      </c>
      <c r="C46" s="5">
        <f t="shared" ref="C46:C49" si="4">F22</f>
        <v>0.18200000000000002</v>
      </c>
      <c r="D46" s="5">
        <f t="shared" ref="D46:D49" si="5">C46+(0.5*(C29+C30+C31+C32+C33+C34+C35+C36+C37+C38+C39+C40+C41+C43+C42))</f>
        <v>110.13450000000002</v>
      </c>
      <c r="E46" s="5">
        <f t="shared" ref="E46:E49" si="6">C46+(0.75*(C29+C30+C31+C32+C33+C34+C35+C36+C37+C38+C39+C40+C41+C43+C42))</f>
        <v>165.11075000000002</v>
      </c>
      <c r="F46" s="5">
        <f t="shared" ref="F46:F49" si="7">C46+(1*(C29+C30+C31+C32+C33+C34+C35+C36+C37+C38+C39+C40+C41+C43+C42))</f>
        <v>220.08700000000002</v>
      </c>
      <c r="L46" s="32"/>
      <c r="M46" s="32"/>
    </row>
    <row r="47" spans="2:13" x14ac:dyDescent="0.25">
      <c r="B47">
        <v>2016</v>
      </c>
      <c r="C47" s="5">
        <f t="shared" si="4"/>
        <v>21.000000000000004</v>
      </c>
      <c r="D47" s="5">
        <f t="shared" si="5"/>
        <v>131.04350000000002</v>
      </c>
      <c r="E47" s="5">
        <f t="shared" si="6"/>
        <v>186.06525000000002</v>
      </c>
      <c r="F47" s="5">
        <f t="shared" si="7"/>
        <v>241.08700000000002</v>
      </c>
    </row>
    <row r="48" spans="2:13" x14ac:dyDescent="0.25">
      <c r="B48">
        <v>2017</v>
      </c>
      <c r="C48" s="5">
        <f t="shared" si="4"/>
        <v>21.21</v>
      </c>
      <c r="D48" s="5">
        <f t="shared" si="5"/>
        <v>131.34450000000001</v>
      </c>
      <c r="E48" s="5">
        <f t="shared" si="6"/>
        <v>186.41175000000001</v>
      </c>
      <c r="F48" s="5">
        <f t="shared" si="7"/>
        <v>241.47900000000001</v>
      </c>
    </row>
    <row r="49" spans="2:6" x14ac:dyDescent="0.25">
      <c r="B49">
        <v>2018</v>
      </c>
      <c r="C49" s="5">
        <f t="shared" si="4"/>
        <v>0</v>
      </c>
      <c r="D49" s="5">
        <f t="shared" si="5"/>
        <v>110.2255</v>
      </c>
      <c r="E49" s="5">
        <f t="shared" si="6"/>
        <v>165.33824999999999</v>
      </c>
      <c r="F49" s="5">
        <f t="shared" si="7"/>
        <v>220.45099999999999</v>
      </c>
    </row>
  </sheetData>
  <mergeCells count="1">
    <mergeCell ref="H2:I2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19"/>
  <sheetViews>
    <sheetView workbookViewId="0">
      <selection activeCell="L14" sqref="L14"/>
    </sheetView>
  </sheetViews>
  <sheetFormatPr defaultRowHeight="15" x14ac:dyDescent="0.25"/>
  <cols>
    <col min="1" max="1" width="5" customWidth="1"/>
    <col min="2" max="2" width="12" bestFit="1" customWidth="1"/>
    <col min="8" max="8" width="11.28515625" customWidth="1"/>
    <col min="10" max="10" width="11.7109375" customWidth="1"/>
    <col min="12" max="12" width="12" bestFit="1" customWidth="1"/>
    <col min="19" max="19" width="13.28515625" bestFit="1" customWidth="1"/>
    <col min="21" max="21" width="12.28515625" bestFit="1" customWidth="1"/>
    <col min="22" max="22" width="14.140625" bestFit="1" customWidth="1"/>
    <col min="23" max="23" width="15.7109375" customWidth="1"/>
    <col min="24" max="24" width="27.42578125" customWidth="1"/>
  </cols>
  <sheetData>
    <row r="1" spans="1:24" x14ac:dyDescent="0.25">
      <c r="B1" s="88" t="s">
        <v>42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</row>
    <row r="2" spans="1:24" s="3" customFormat="1" x14ac:dyDescent="0.25">
      <c r="A2" s="89" t="s">
        <v>0</v>
      </c>
      <c r="B2" s="6"/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21</v>
      </c>
      <c r="I2" s="7" t="s">
        <v>6</v>
      </c>
      <c r="J2" s="7" t="s">
        <v>7</v>
      </c>
      <c r="K2" s="7" t="s">
        <v>8</v>
      </c>
      <c r="L2" s="7" t="s">
        <v>9</v>
      </c>
      <c r="M2" s="7" t="s">
        <v>10</v>
      </c>
      <c r="N2" s="7" t="s">
        <v>11</v>
      </c>
      <c r="O2" s="7" t="s">
        <v>12</v>
      </c>
      <c r="P2" s="7" t="s">
        <v>13</v>
      </c>
      <c r="Q2" s="7" t="s">
        <v>14</v>
      </c>
      <c r="R2" s="7" t="s">
        <v>15</v>
      </c>
      <c r="S2" s="7" t="s">
        <v>16</v>
      </c>
      <c r="T2" s="7" t="s">
        <v>17</v>
      </c>
      <c r="U2" s="7" t="s">
        <v>23</v>
      </c>
      <c r="V2" s="7" t="s">
        <v>18</v>
      </c>
      <c r="W2" s="7"/>
      <c r="X2" s="7"/>
    </row>
    <row r="3" spans="1:24" x14ac:dyDescent="0.25">
      <c r="A3" s="89"/>
      <c r="B3" s="1">
        <v>2004</v>
      </c>
      <c r="C3" s="3"/>
      <c r="D3" s="3"/>
      <c r="E3" s="3"/>
      <c r="F3" s="3"/>
      <c r="G3" s="3"/>
      <c r="H3" s="59"/>
      <c r="I3" s="3"/>
      <c r="J3" s="59"/>
      <c r="K3" s="3"/>
      <c r="L3" s="3">
        <v>0</v>
      </c>
      <c r="M3" s="3"/>
      <c r="N3" s="3"/>
      <c r="O3" s="3"/>
      <c r="P3" s="3"/>
      <c r="Q3" s="3"/>
      <c r="R3" s="59"/>
      <c r="S3" s="3"/>
      <c r="T3" s="3"/>
      <c r="U3" s="3">
        <v>0</v>
      </c>
      <c r="V3" s="27">
        <f t="shared" ref="V3:V17" si="0">SUM(C3:U3)</f>
        <v>0</v>
      </c>
      <c r="W3" s="4"/>
    </row>
    <row r="4" spans="1:24" x14ac:dyDescent="0.25">
      <c r="A4" s="89"/>
      <c r="B4" s="1">
        <v>2005</v>
      </c>
      <c r="C4" s="3"/>
      <c r="D4" s="3"/>
      <c r="E4" s="3"/>
      <c r="F4" s="3"/>
      <c r="G4" s="3"/>
      <c r="H4" s="59"/>
      <c r="I4" s="3"/>
      <c r="J4" s="59"/>
      <c r="K4" s="59"/>
      <c r="L4" s="3">
        <v>0</v>
      </c>
      <c r="M4" s="3"/>
      <c r="N4" s="3"/>
      <c r="O4" s="3"/>
      <c r="P4" s="3"/>
      <c r="Q4" s="3"/>
      <c r="R4" s="59"/>
      <c r="S4" s="3"/>
      <c r="T4" s="3"/>
      <c r="U4" s="3">
        <v>0</v>
      </c>
      <c r="V4" s="27">
        <f t="shared" si="0"/>
        <v>0</v>
      </c>
      <c r="W4" s="4"/>
    </row>
    <row r="5" spans="1:24" x14ac:dyDescent="0.25">
      <c r="A5" s="89"/>
      <c r="B5" s="1">
        <v>2006</v>
      </c>
      <c r="C5" s="3"/>
      <c r="D5" s="3"/>
      <c r="E5" s="3"/>
      <c r="F5" s="3"/>
      <c r="G5" s="3"/>
      <c r="H5" s="59"/>
      <c r="I5" s="3"/>
      <c r="J5" s="59"/>
      <c r="K5" s="59"/>
      <c r="L5" s="3">
        <v>0</v>
      </c>
      <c r="M5" s="3"/>
      <c r="N5" s="3"/>
      <c r="O5" s="3"/>
      <c r="P5" s="3"/>
      <c r="Q5" s="3"/>
      <c r="R5" s="3"/>
      <c r="S5" s="3"/>
      <c r="T5" s="3"/>
      <c r="U5" s="3">
        <v>0</v>
      </c>
      <c r="V5" s="27">
        <f t="shared" si="0"/>
        <v>0</v>
      </c>
      <c r="W5" s="4"/>
    </row>
    <row r="6" spans="1:24" x14ac:dyDescent="0.25">
      <c r="A6" s="89"/>
      <c r="B6" s="1">
        <v>2007</v>
      </c>
      <c r="C6" s="3"/>
      <c r="D6" s="3"/>
      <c r="E6" s="3"/>
      <c r="F6" s="3"/>
      <c r="G6" s="3"/>
      <c r="H6" s="59"/>
      <c r="I6" s="3"/>
      <c r="J6" s="59"/>
      <c r="K6" s="3"/>
      <c r="L6" s="3">
        <v>0</v>
      </c>
      <c r="M6" s="3"/>
      <c r="N6" s="3"/>
      <c r="O6" s="3"/>
      <c r="P6" s="3"/>
      <c r="Q6" s="3"/>
      <c r="R6" s="3"/>
      <c r="S6" s="3"/>
      <c r="T6" s="3"/>
      <c r="U6" s="3">
        <v>0</v>
      </c>
      <c r="V6" s="27">
        <f t="shared" si="0"/>
        <v>0</v>
      </c>
      <c r="W6" s="4"/>
    </row>
    <row r="7" spans="1:24" x14ac:dyDescent="0.25">
      <c r="A7" s="89"/>
      <c r="B7" s="1">
        <v>2008</v>
      </c>
      <c r="C7" s="3"/>
      <c r="D7" s="3"/>
      <c r="E7" s="3"/>
      <c r="F7" s="3"/>
      <c r="G7" s="3"/>
      <c r="H7" s="59"/>
      <c r="I7" s="3"/>
      <c r="J7" s="59"/>
      <c r="K7" s="3"/>
      <c r="L7" s="3">
        <v>0</v>
      </c>
      <c r="M7" s="3"/>
      <c r="N7" s="3"/>
      <c r="O7" s="3"/>
      <c r="P7" s="3"/>
      <c r="Q7" s="3"/>
      <c r="R7" s="3"/>
      <c r="S7" s="3"/>
      <c r="T7" s="3"/>
      <c r="U7" s="3">
        <v>0</v>
      </c>
      <c r="V7" s="27">
        <f t="shared" si="0"/>
        <v>0</v>
      </c>
      <c r="W7" s="4"/>
    </row>
    <row r="8" spans="1:24" x14ac:dyDescent="0.25">
      <c r="A8" s="89"/>
      <c r="B8" s="1">
        <v>2009</v>
      </c>
      <c r="C8" s="3"/>
      <c r="D8" s="3"/>
      <c r="E8" s="3"/>
      <c r="F8" s="3"/>
      <c r="G8" s="3"/>
      <c r="H8" s="59"/>
      <c r="I8" s="3"/>
      <c r="J8" s="59"/>
      <c r="K8" s="3"/>
      <c r="L8" s="3">
        <v>0</v>
      </c>
      <c r="M8" s="3"/>
      <c r="N8" s="3"/>
      <c r="O8" s="3"/>
      <c r="P8" s="3"/>
      <c r="Q8" s="3"/>
      <c r="R8" s="3"/>
      <c r="S8" s="3"/>
      <c r="T8" s="3"/>
      <c r="U8" s="3">
        <v>0</v>
      </c>
      <c r="V8" s="27">
        <f t="shared" si="0"/>
        <v>0</v>
      </c>
      <c r="W8" s="4"/>
    </row>
    <row r="9" spans="1:24" x14ac:dyDescent="0.25">
      <c r="A9" s="89"/>
      <c r="B9" s="1">
        <v>2010</v>
      </c>
      <c r="C9" s="3"/>
      <c r="D9" s="3"/>
      <c r="E9" s="3"/>
      <c r="F9" s="3"/>
      <c r="G9" s="3"/>
      <c r="H9" s="59"/>
      <c r="I9" s="3"/>
      <c r="J9" s="59"/>
      <c r="K9" s="3"/>
      <c r="L9" s="3">
        <v>0</v>
      </c>
      <c r="M9" s="3"/>
      <c r="N9" s="3"/>
      <c r="O9" s="3"/>
      <c r="P9" s="3"/>
      <c r="Q9" s="3"/>
      <c r="R9" s="3"/>
      <c r="S9" s="3"/>
      <c r="T9" s="3"/>
      <c r="U9" s="3">
        <v>0</v>
      </c>
      <c r="V9" s="27">
        <f t="shared" si="0"/>
        <v>0</v>
      </c>
      <c r="W9" s="4"/>
    </row>
    <row r="10" spans="1:24" x14ac:dyDescent="0.25">
      <c r="A10" s="89"/>
      <c r="B10" s="1">
        <v>2011</v>
      </c>
      <c r="C10" s="3"/>
      <c r="D10" s="3"/>
      <c r="E10" s="3"/>
      <c r="F10" s="3"/>
      <c r="G10" s="3"/>
      <c r="H10" s="59"/>
      <c r="I10" s="3"/>
      <c r="J10" s="59">
        <v>0</v>
      </c>
      <c r="K10" s="3"/>
      <c r="L10" s="3">
        <v>0</v>
      </c>
      <c r="M10" s="3"/>
      <c r="N10" s="3"/>
      <c r="O10" s="3"/>
      <c r="P10" s="3"/>
      <c r="Q10" s="3"/>
      <c r="R10" s="3"/>
      <c r="S10" s="3"/>
      <c r="T10" s="3"/>
      <c r="U10" s="3">
        <v>0</v>
      </c>
      <c r="V10" s="27">
        <f t="shared" si="0"/>
        <v>0</v>
      </c>
      <c r="W10" s="4"/>
    </row>
    <row r="11" spans="1:24" x14ac:dyDescent="0.25">
      <c r="A11" s="89"/>
      <c r="B11" s="1">
        <v>2012</v>
      </c>
      <c r="C11" s="3"/>
      <c r="D11" s="3"/>
      <c r="E11" s="3"/>
      <c r="F11" s="3"/>
      <c r="G11" s="3"/>
      <c r="H11" s="59"/>
      <c r="I11" s="3"/>
      <c r="J11" s="59">
        <v>0</v>
      </c>
      <c r="K11" s="3"/>
      <c r="L11" s="3">
        <v>0</v>
      </c>
      <c r="M11" s="3"/>
      <c r="N11" s="3"/>
      <c r="O11" s="3"/>
      <c r="P11" s="3"/>
      <c r="Q11" s="3"/>
      <c r="R11" s="3"/>
      <c r="S11" s="3"/>
      <c r="T11" s="3"/>
      <c r="U11" s="3">
        <v>0</v>
      </c>
      <c r="V11" s="27">
        <f t="shared" si="0"/>
        <v>0</v>
      </c>
      <c r="W11" s="4"/>
    </row>
    <row r="12" spans="1:24" x14ac:dyDescent="0.25">
      <c r="A12" s="89"/>
      <c r="B12" s="1">
        <v>2013</v>
      </c>
      <c r="C12" s="3"/>
      <c r="D12" s="3"/>
      <c r="E12" s="3"/>
      <c r="F12" s="3"/>
      <c r="G12" s="3"/>
      <c r="H12" s="59"/>
      <c r="I12" s="3"/>
      <c r="J12" s="59">
        <v>0</v>
      </c>
      <c r="K12" s="3"/>
      <c r="L12" s="3">
        <v>0</v>
      </c>
      <c r="M12" s="3"/>
      <c r="N12" s="3"/>
      <c r="O12" s="3"/>
      <c r="P12" s="3"/>
      <c r="Q12" s="3"/>
      <c r="R12" s="3"/>
      <c r="S12" s="3"/>
      <c r="T12" s="3"/>
      <c r="U12" s="3">
        <v>0</v>
      </c>
      <c r="V12" s="27">
        <f t="shared" si="0"/>
        <v>0</v>
      </c>
      <c r="W12" s="4"/>
    </row>
    <row r="13" spans="1:24" x14ac:dyDescent="0.25">
      <c r="A13" s="89"/>
      <c r="B13" s="1">
        <v>2014</v>
      </c>
      <c r="C13" s="3"/>
      <c r="D13" s="3"/>
      <c r="E13" s="3"/>
      <c r="F13" s="3"/>
      <c r="G13" s="3"/>
      <c r="H13" s="3"/>
      <c r="I13" s="3"/>
      <c r="J13" s="59">
        <v>0</v>
      </c>
      <c r="K13" s="3"/>
      <c r="L13" s="3">
        <v>0</v>
      </c>
      <c r="M13" s="3"/>
      <c r="N13" s="3"/>
      <c r="O13" s="3"/>
      <c r="P13" s="3"/>
      <c r="Q13" s="3"/>
      <c r="R13" s="3"/>
      <c r="S13" s="3"/>
      <c r="T13" s="3"/>
      <c r="U13" s="3">
        <v>0</v>
      </c>
      <c r="V13" s="27">
        <f t="shared" si="0"/>
        <v>0</v>
      </c>
      <c r="W13" s="4"/>
    </row>
    <row r="14" spans="1:24" x14ac:dyDescent="0.25">
      <c r="B14" s="1">
        <v>2015</v>
      </c>
      <c r="C14" s="3"/>
      <c r="D14" s="3"/>
      <c r="E14" s="3"/>
      <c r="F14" s="3"/>
      <c r="G14" s="3"/>
      <c r="H14" s="3"/>
      <c r="I14" s="3"/>
      <c r="J14" s="3">
        <v>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>
        <v>0</v>
      </c>
      <c r="V14" s="27">
        <f t="shared" si="0"/>
        <v>0</v>
      </c>
    </row>
    <row r="15" spans="1:24" x14ac:dyDescent="0.25">
      <c r="B15" s="1">
        <v>2016</v>
      </c>
      <c r="C15" s="3"/>
      <c r="D15" s="3"/>
      <c r="E15" s="3"/>
      <c r="F15" s="3"/>
      <c r="G15" s="3"/>
      <c r="H15" s="3"/>
      <c r="I15" s="3"/>
      <c r="J15" s="3">
        <v>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27">
        <f t="shared" si="0"/>
        <v>0</v>
      </c>
    </row>
    <row r="16" spans="1:24" x14ac:dyDescent="0.25">
      <c r="B16" s="1">
        <v>2017</v>
      </c>
      <c r="C16" s="3"/>
      <c r="D16" s="3"/>
      <c r="E16" s="3"/>
      <c r="F16" s="3"/>
      <c r="G16" s="3"/>
      <c r="H16" s="3"/>
      <c r="I16" s="3"/>
      <c r="J16" s="3">
        <v>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27">
        <f t="shared" si="0"/>
        <v>0</v>
      </c>
    </row>
    <row r="17" spans="2:22" x14ac:dyDescent="0.25">
      <c r="B17" s="1">
        <v>2018</v>
      </c>
      <c r="C17" s="3"/>
      <c r="D17" s="3"/>
      <c r="E17" s="3"/>
      <c r="F17" s="3"/>
      <c r="G17" s="3"/>
      <c r="H17" s="3"/>
      <c r="I17" s="3"/>
      <c r="J17" s="3">
        <v>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27">
        <f t="shared" si="0"/>
        <v>0</v>
      </c>
    </row>
    <row r="19" spans="2:22" x14ac:dyDescent="0.25">
      <c r="B19" s="2" t="s">
        <v>19</v>
      </c>
      <c r="C19" s="3" t="s">
        <v>20</v>
      </c>
      <c r="D19" s="3" t="s">
        <v>22</v>
      </c>
      <c r="E19" s="3" t="s">
        <v>22</v>
      </c>
      <c r="F19" s="3" t="s">
        <v>20</v>
      </c>
      <c r="G19" s="3" t="s">
        <v>22</v>
      </c>
      <c r="H19" s="3" t="s">
        <v>20</v>
      </c>
      <c r="I19" s="3" t="s">
        <v>20</v>
      </c>
      <c r="J19" s="3" t="s">
        <v>20</v>
      </c>
      <c r="K19" s="3" t="s">
        <v>20</v>
      </c>
      <c r="L19" s="3" t="s">
        <v>22</v>
      </c>
      <c r="M19" s="3" t="s">
        <v>20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22</v>
      </c>
      <c r="U19" s="3" t="s">
        <v>20</v>
      </c>
    </row>
  </sheetData>
  <mergeCells count="2">
    <mergeCell ref="B1:U1"/>
    <mergeCell ref="A2:A1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K49"/>
  <sheetViews>
    <sheetView workbookViewId="0">
      <selection activeCell="E5" sqref="E5"/>
    </sheetView>
  </sheetViews>
  <sheetFormatPr defaultRowHeight="15" x14ac:dyDescent="0.25"/>
  <cols>
    <col min="2" max="2" width="21" customWidth="1"/>
    <col min="3" max="3" width="20.140625" customWidth="1"/>
    <col min="4" max="4" width="14.140625" customWidth="1"/>
    <col min="5" max="5" width="30.140625" customWidth="1"/>
    <col min="6" max="6" width="45.42578125" customWidth="1"/>
    <col min="7" max="7" width="11.42578125" customWidth="1"/>
    <col min="8" max="8" width="13.7109375" customWidth="1"/>
    <col min="9" max="9" width="19.85546875" customWidth="1"/>
    <col min="10" max="10" width="21" customWidth="1"/>
    <col min="11" max="11" width="18.7109375" customWidth="1"/>
  </cols>
  <sheetData>
    <row r="1" spans="1:11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11"/>
      <c r="B2" s="12"/>
      <c r="C2" s="11"/>
      <c r="D2" s="12"/>
      <c r="E2" s="11"/>
      <c r="F2" s="11"/>
      <c r="G2" s="11"/>
      <c r="H2" s="90" t="s">
        <v>25</v>
      </c>
      <c r="I2" s="91"/>
      <c r="J2" s="12"/>
      <c r="K2" s="13"/>
    </row>
    <row r="3" spans="1:11" x14ac:dyDescent="0.25">
      <c r="A3" s="11"/>
      <c r="B3" s="14" t="s">
        <v>26</v>
      </c>
      <c r="C3" s="14" t="s">
        <v>27</v>
      </c>
      <c r="D3" s="14" t="s">
        <v>28</v>
      </c>
      <c r="E3" s="14" t="s">
        <v>29</v>
      </c>
      <c r="F3" s="14" t="s">
        <v>30</v>
      </c>
      <c r="G3" s="11"/>
      <c r="H3" s="12"/>
      <c r="I3" s="12"/>
      <c r="J3" s="12"/>
      <c r="K3" s="13"/>
    </row>
    <row r="4" spans="1:11" x14ac:dyDescent="0.25">
      <c r="A4" s="11"/>
      <c r="B4" s="16">
        <v>1997</v>
      </c>
      <c r="C4" s="17">
        <v>0</v>
      </c>
      <c r="D4" s="18" t="s">
        <v>32</v>
      </c>
      <c r="E4" s="19">
        <v>7.0000000000000007E-2</v>
      </c>
      <c r="F4" s="20">
        <f t="shared" ref="F4:F25" si="0">C4*E4</f>
        <v>0</v>
      </c>
      <c r="G4" s="11"/>
      <c r="H4" s="12"/>
      <c r="I4" s="12"/>
      <c r="J4" s="12"/>
      <c r="K4" s="13"/>
    </row>
    <row r="5" spans="1:11" x14ac:dyDescent="0.25">
      <c r="A5" s="11"/>
      <c r="B5" s="16">
        <v>1998</v>
      </c>
      <c r="C5" s="17">
        <v>0</v>
      </c>
      <c r="D5" s="18" t="s">
        <v>32</v>
      </c>
      <c r="E5" s="19">
        <f>$E$4</f>
        <v>7.0000000000000007E-2</v>
      </c>
      <c r="F5" s="20">
        <f t="shared" si="0"/>
        <v>0</v>
      </c>
      <c r="G5" s="11"/>
      <c r="H5" s="12"/>
      <c r="I5" s="12"/>
      <c r="J5" s="12"/>
      <c r="K5" s="13"/>
    </row>
    <row r="6" spans="1:11" x14ac:dyDescent="0.25">
      <c r="A6" s="11"/>
      <c r="B6" s="16">
        <v>1999</v>
      </c>
      <c r="C6" s="17">
        <v>0</v>
      </c>
      <c r="D6" s="18" t="s">
        <v>32</v>
      </c>
      <c r="E6" s="19">
        <f t="shared" ref="E6:E25" si="1">$E$4</f>
        <v>7.0000000000000007E-2</v>
      </c>
      <c r="F6" s="20">
        <f t="shared" si="0"/>
        <v>0</v>
      </c>
      <c r="G6" s="11"/>
      <c r="H6" s="12"/>
      <c r="I6" s="12"/>
      <c r="J6" s="12"/>
      <c r="K6" s="13"/>
    </row>
    <row r="7" spans="1:11" x14ac:dyDescent="0.25">
      <c r="A7" s="11"/>
      <c r="B7" s="16">
        <v>2000</v>
      </c>
      <c r="C7" s="17">
        <v>0</v>
      </c>
      <c r="D7" s="18" t="s">
        <v>32</v>
      </c>
      <c r="E7" s="19">
        <f t="shared" si="1"/>
        <v>7.0000000000000007E-2</v>
      </c>
      <c r="F7" s="20">
        <f t="shared" si="0"/>
        <v>0</v>
      </c>
      <c r="G7" s="11"/>
      <c r="H7" s="42" t="s">
        <v>27</v>
      </c>
      <c r="I7" s="42"/>
      <c r="J7" s="12"/>
      <c r="K7" s="13"/>
    </row>
    <row r="8" spans="1:11" x14ac:dyDescent="0.25">
      <c r="A8" s="11"/>
      <c r="B8" s="16">
        <v>2001</v>
      </c>
      <c r="C8" s="17">
        <f>H8</f>
        <v>0</v>
      </c>
      <c r="D8" s="18" t="s">
        <v>32</v>
      </c>
      <c r="E8" s="19">
        <f t="shared" si="1"/>
        <v>7.0000000000000007E-2</v>
      </c>
      <c r="F8" s="20">
        <f t="shared" si="0"/>
        <v>0</v>
      </c>
      <c r="G8" s="11"/>
      <c r="H8" s="43"/>
      <c r="I8" s="43"/>
      <c r="J8" s="12"/>
      <c r="K8" s="13"/>
    </row>
    <row r="9" spans="1:11" x14ac:dyDescent="0.25">
      <c r="A9" s="11"/>
      <c r="B9" s="16">
        <v>2002</v>
      </c>
      <c r="C9" s="17">
        <f t="shared" ref="C9:C25" si="2">H9</f>
        <v>0</v>
      </c>
      <c r="D9" s="18" t="s">
        <v>32</v>
      </c>
      <c r="E9" s="19">
        <f t="shared" si="1"/>
        <v>7.0000000000000007E-2</v>
      </c>
      <c r="F9" s="20">
        <f t="shared" si="0"/>
        <v>0</v>
      </c>
      <c r="G9" s="11"/>
      <c r="H9" s="43"/>
      <c r="I9" s="43"/>
      <c r="J9" s="12"/>
      <c r="K9" s="13"/>
    </row>
    <row r="10" spans="1:11" x14ac:dyDescent="0.25">
      <c r="A10" s="11"/>
      <c r="B10" s="16">
        <v>2003</v>
      </c>
      <c r="C10" s="17">
        <f t="shared" si="2"/>
        <v>0</v>
      </c>
      <c r="D10" s="18" t="s">
        <v>32</v>
      </c>
      <c r="E10" s="19">
        <f t="shared" si="1"/>
        <v>7.0000000000000007E-2</v>
      </c>
      <c r="F10" s="20">
        <f t="shared" si="0"/>
        <v>0</v>
      </c>
      <c r="G10" s="11"/>
      <c r="H10" s="43"/>
      <c r="I10" s="43"/>
      <c r="J10" s="12"/>
      <c r="K10" s="13"/>
    </row>
    <row r="11" spans="1:11" x14ac:dyDescent="0.25">
      <c r="A11" s="11"/>
      <c r="B11" s="16">
        <v>2004</v>
      </c>
      <c r="C11" s="17">
        <f t="shared" si="2"/>
        <v>0</v>
      </c>
      <c r="D11" s="18" t="s">
        <v>32</v>
      </c>
      <c r="E11" s="19">
        <f t="shared" si="1"/>
        <v>7.0000000000000007E-2</v>
      </c>
      <c r="F11" s="20">
        <f t="shared" si="0"/>
        <v>0</v>
      </c>
      <c r="G11" s="11"/>
      <c r="H11" s="43">
        <f>'CO Summary Sheet CPS 332'!V3</f>
        <v>0</v>
      </c>
      <c r="I11" s="43"/>
      <c r="J11" s="12"/>
      <c r="K11" s="13"/>
    </row>
    <row r="12" spans="1:11" x14ac:dyDescent="0.25">
      <c r="A12" s="11"/>
      <c r="B12" s="16">
        <v>2005</v>
      </c>
      <c r="C12" s="17">
        <f t="shared" si="2"/>
        <v>0</v>
      </c>
      <c r="D12" s="18" t="s">
        <v>32</v>
      </c>
      <c r="E12" s="19">
        <f t="shared" si="1"/>
        <v>7.0000000000000007E-2</v>
      </c>
      <c r="F12" s="20">
        <f t="shared" si="0"/>
        <v>0</v>
      </c>
      <c r="G12" s="11"/>
      <c r="H12" s="43">
        <f>'CO Summary Sheet CPS 332'!V4</f>
        <v>0</v>
      </c>
      <c r="I12" s="43"/>
      <c r="J12" s="12"/>
      <c r="K12" s="13"/>
    </row>
    <row r="13" spans="1:11" x14ac:dyDescent="0.25">
      <c r="A13" s="11"/>
      <c r="B13" s="16">
        <v>2006</v>
      </c>
      <c r="C13" s="17">
        <f t="shared" si="2"/>
        <v>0</v>
      </c>
      <c r="D13" s="18" t="s">
        <v>32</v>
      </c>
      <c r="E13" s="19">
        <f t="shared" si="1"/>
        <v>7.0000000000000007E-2</v>
      </c>
      <c r="F13" s="20">
        <f t="shared" si="0"/>
        <v>0</v>
      </c>
      <c r="G13" s="11"/>
      <c r="H13" s="43">
        <f>'CO Summary Sheet CPS 332'!V5</f>
        <v>0</v>
      </c>
      <c r="I13" s="43"/>
      <c r="J13" s="12"/>
      <c r="K13" s="13"/>
    </row>
    <row r="14" spans="1:11" x14ac:dyDescent="0.25">
      <c r="A14" s="11"/>
      <c r="B14" s="16">
        <v>2007</v>
      </c>
      <c r="C14" s="17">
        <f t="shared" si="2"/>
        <v>0</v>
      </c>
      <c r="D14" s="18" t="s">
        <v>32</v>
      </c>
      <c r="E14" s="19">
        <f t="shared" si="1"/>
        <v>7.0000000000000007E-2</v>
      </c>
      <c r="F14" s="20">
        <f t="shared" si="0"/>
        <v>0</v>
      </c>
      <c r="G14" s="11"/>
      <c r="H14" s="43">
        <f>'CO Summary Sheet CPS 332'!V6</f>
        <v>0</v>
      </c>
      <c r="I14" s="43"/>
      <c r="J14" s="12"/>
      <c r="K14" s="13"/>
    </row>
    <row r="15" spans="1:11" x14ac:dyDescent="0.25">
      <c r="A15" s="11"/>
      <c r="B15" s="16">
        <v>2008</v>
      </c>
      <c r="C15" s="17">
        <f t="shared" si="2"/>
        <v>0</v>
      </c>
      <c r="D15" s="18" t="s">
        <v>32</v>
      </c>
      <c r="E15" s="19">
        <f t="shared" si="1"/>
        <v>7.0000000000000007E-2</v>
      </c>
      <c r="F15" s="20">
        <f t="shared" si="0"/>
        <v>0</v>
      </c>
      <c r="G15" s="11"/>
      <c r="H15" s="43">
        <f>'CO Summary Sheet CPS 332'!V7</f>
        <v>0</v>
      </c>
      <c r="I15" s="43"/>
      <c r="J15" s="12"/>
      <c r="K15" s="13"/>
    </row>
    <row r="16" spans="1:11" x14ac:dyDescent="0.25">
      <c r="A16" s="11"/>
      <c r="B16" s="16">
        <v>2009</v>
      </c>
      <c r="C16" s="17">
        <f t="shared" si="2"/>
        <v>0</v>
      </c>
      <c r="D16" s="18" t="s">
        <v>32</v>
      </c>
      <c r="E16" s="19">
        <f t="shared" si="1"/>
        <v>7.0000000000000007E-2</v>
      </c>
      <c r="F16" s="20">
        <f t="shared" si="0"/>
        <v>0</v>
      </c>
      <c r="G16" s="11"/>
      <c r="H16" s="43">
        <f>'CO Summary Sheet CPS 332'!V8</f>
        <v>0</v>
      </c>
      <c r="I16" s="43"/>
      <c r="J16" s="12"/>
      <c r="K16" s="13"/>
    </row>
    <row r="17" spans="1:11" x14ac:dyDescent="0.25">
      <c r="A17" s="11"/>
      <c r="B17" s="16">
        <v>2010</v>
      </c>
      <c r="C17" s="17">
        <f t="shared" si="2"/>
        <v>0</v>
      </c>
      <c r="D17" s="18" t="s">
        <v>32</v>
      </c>
      <c r="E17" s="19">
        <f t="shared" si="1"/>
        <v>7.0000000000000007E-2</v>
      </c>
      <c r="F17" s="20">
        <f t="shared" si="0"/>
        <v>0</v>
      </c>
      <c r="G17" s="11"/>
      <c r="H17" s="43">
        <f>'CO Summary Sheet CPS 332'!V9</f>
        <v>0</v>
      </c>
      <c r="I17" s="43"/>
      <c r="J17" s="12"/>
      <c r="K17" s="13"/>
    </row>
    <row r="18" spans="1:11" x14ac:dyDescent="0.25">
      <c r="A18" s="11"/>
      <c r="B18" s="16">
        <v>2011</v>
      </c>
      <c r="C18" s="17">
        <f t="shared" si="2"/>
        <v>0</v>
      </c>
      <c r="D18" s="18" t="s">
        <v>32</v>
      </c>
      <c r="E18" s="19">
        <f t="shared" si="1"/>
        <v>7.0000000000000007E-2</v>
      </c>
      <c r="F18" s="20">
        <f t="shared" si="0"/>
        <v>0</v>
      </c>
      <c r="G18" s="11"/>
      <c r="H18" s="43">
        <f>'CO Summary Sheet CPS 332'!V10</f>
        <v>0</v>
      </c>
      <c r="I18" s="43"/>
      <c r="J18" s="12"/>
      <c r="K18" s="13"/>
    </row>
    <row r="19" spans="1:11" x14ac:dyDescent="0.25">
      <c r="A19" s="11"/>
      <c r="B19" s="16">
        <v>2012</v>
      </c>
      <c r="C19" s="17">
        <f t="shared" si="2"/>
        <v>0</v>
      </c>
      <c r="D19" s="18" t="s">
        <v>32</v>
      </c>
      <c r="E19" s="19">
        <f t="shared" si="1"/>
        <v>7.0000000000000007E-2</v>
      </c>
      <c r="F19" s="20">
        <f t="shared" si="0"/>
        <v>0</v>
      </c>
      <c r="G19" s="11"/>
      <c r="H19" s="43">
        <f>'CO Summary Sheet CPS 332'!V11</f>
        <v>0</v>
      </c>
      <c r="I19" s="43"/>
      <c r="J19" s="12"/>
      <c r="K19" s="13"/>
    </row>
    <row r="20" spans="1:11" s="22" customFormat="1" x14ac:dyDescent="0.25">
      <c r="A20" s="11"/>
      <c r="B20" s="16">
        <v>2013</v>
      </c>
      <c r="C20" s="17">
        <f t="shared" si="2"/>
        <v>0</v>
      </c>
      <c r="D20" s="18" t="s">
        <v>32</v>
      </c>
      <c r="E20" s="19">
        <f t="shared" si="1"/>
        <v>7.0000000000000007E-2</v>
      </c>
      <c r="F20" s="20">
        <f t="shared" si="0"/>
        <v>0</v>
      </c>
      <c r="G20" s="11"/>
      <c r="H20" s="43">
        <f>'CO Summary Sheet CPS 332'!V12</f>
        <v>0</v>
      </c>
      <c r="I20" s="43"/>
      <c r="J20" s="12"/>
      <c r="K20" s="13"/>
    </row>
    <row r="21" spans="1:11" x14ac:dyDescent="0.25">
      <c r="B21" s="16">
        <v>2014</v>
      </c>
      <c r="C21" s="17">
        <f t="shared" si="2"/>
        <v>0</v>
      </c>
      <c r="D21" s="18" t="s">
        <v>32</v>
      </c>
      <c r="E21" s="19">
        <f t="shared" si="1"/>
        <v>7.0000000000000007E-2</v>
      </c>
      <c r="F21" s="20">
        <f t="shared" si="0"/>
        <v>0</v>
      </c>
      <c r="H21" s="43">
        <f>'CO Summary Sheet CPS 332'!V13</f>
        <v>0</v>
      </c>
      <c r="I21" s="43"/>
    </row>
    <row r="22" spans="1:11" x14ac:dyDescent="0.25">
      <c r="B22" s="16">
        <v>2015</v>
      </c>
      <c r="C22" s="17">
        <f t="shared" si="2"/>
        <v>0</v>
      </c>
      <c r="D22" s="18" t="s">
        <v>32</v>
      </c>
      <c r="E22" s="19">
        <f t="shared" si="1"/>
        <v>7.0000000000000007E-2</v>
      </c>
      <c r="F22" s="20">
        <f t="shared" si="0"/>
        <v>0</v>
      </c>
      <c r="H22" s="43">
        <f>'CO Summary Sheet CPS 332'!V14</f>
        <v>0</v>
      </c>
      <c r="I22" s="75"/>
    </row>
    <row r="23" spans="1:11" x14ac:dyDescent="0.25">
      <c r="B23" s="16">
        <v>2016</v>
      </c>
      <c r="C23" s="17">
        <f t="shared" si="2"/>
        <v>0</v>
      </c>
      <c r="D23" s="18" t="s">
        <v>32</v>
      </c>
      <c r="E23" s="19">
        <f t="shared" si="1"/>
        <v>7.0000000000000007E-2</v>
      </c>
      <c r="F23" s="20">
        <f t="shared" si="0"/>
        <v>0</v>
      </c>
      <c r="H23" s="43">
        <f>'CO Summary Sheet CPS 332'!V15</f>
        <v>0</v>
      </c>
      <c r="I23" s="75"/>
    </row>
    <row r="24" spans="1:11" x14ac:dyDescent="0.25">
      <c r="B24" s="16">
        <v>2017</v>
      </c>
      <c r="C24" s="17">
        <f t="shared" si="2"/>
        <v>0</v>
      </c>
      <c r="D24" s="18" t="s">
        <v>32</v>
      </c>
      <c r="E24" s="19">
        <f t="shared" si="1"/>
        <v>7.0000000000000007E-2</v>
      </c>
      <c r="F24" s="20">
        <f t="shared" si="0"/>
        <v>0</v>
      </c>
      <c r="H24" s="43">
        <f>'CO Summary Sheet CPS 332'!V16</f>
        <v>0</v>
      </c>
      <c r="I24" s="75"/>
    </row>
    <row r="25" spans="1:11" x14ac:dyDescent="0.25">
      <c r="B25" s="16">
        <v>2018</v>
      </c>
      <c r="C25" s="17">
        <f t="shared" si="2"/>
        <v>0</v>
      </c>
      <c r="D25" s="18" t="s">
        <v>32</v>
      </c>
      <c r="E25" s="19">
        <f t="shared" si="1"/>
        <v>7.0000000000000007E-2</v>
      </c>
      <c r="F25" s="20">
        <f t="shared" si="0"/>
        <v>0</v>
      </c>
      <c r="H25" s="43">
        <f>'CO Summary Sheet CPS 332'!V17</f>
        <v>0</v>
      </c>
      <c r="I25" s="75"/>
    </row>
    <row r="26" spans="1:11" x14ac:dyDescent="0.25">
      <c r="C26" s="17">
        <f>SUM(C11:C21)</f>
        <v>0</v>
      </c>
    </row>
    <row r="27" spans="1:11" ht="78.75" customHeight="1" x14ac:dyDescent="0.25">
      <c r="B27" s="23" t="s">
        <v>0</v>
      </c>
      <c r="C27" s="23" t="s">
        <v>33</v>
      </c>
      <c r="D27" s="23" t="s">
        <v>34</v>
      </c>
      <c r="E27" s="23" t="s">
        <v>35</v>
      </c>
      <c r="F27" s="23" t="s">
        <v>36</v>
      </c>
    </row>
    <row r="28" spans="1:11" x14ac:dyDescent="0.25">
      <c r="B28">
        <v>1997</v>
      </c>
      <c r="C28" s="5">
        <f>F4</f>
        <v>0</v>
      </c>
    </row>
    <row r="29" spans="1:11" x14ac:dyDescent="0.25">
      <c r="B29">
        <v>1998</v>
      </c>
      <c r="C29" s="5">
        <f t="shared" ref="C29:C44" si="3">F5</f>
        <v>0</v>
      </c>
    </row>
    <row r="30" spans="1:11" x14ac:dyDescent="0.25">
      <c r="B30">
        <v>1999</v>
      </c>
      <c r="C30" s="5">
        <f t="shared" si="3"/>
        <v>0</v>
      </c>
    </row>
    <row r="31" spans="1:11" x14ac:dyDescent="0.25">
      <c r="B31">
        <v>2000</v>
      </c>
      <c r="C31" s="5">
        <f t="shared" si="3"/>
        <v>0</v>
      </c>
      <c r="D31" s="5">
        <f>C31+(0.5*C28)</f>
        <v>0</v>
      </c>
      <c r="E31" s="5">
        <f>C31+(0.75*C28)</f>
        <v>0</v>
      </c>
      <c r="F31" s="5"/>
    </row>
    <row r="32" spans="1:11" x14ac:dyDescent="0.25">
      <c r="B32">
        <v>2001</v>
      </c>
      <c r="C32" s="5">
        <f t="shared" si="3"/>
        <v>0</v>
      </c>
      <c r="D32" s="5">
        <f>C32+(0.5*(C29+C28))</f>
        <v>0</v>
      </c>
      <c r="E32" s="5">
        <f>C32+(0.75*(C29+C28))</f>
        <v>0</v>
      </c>
      <c r="F32" s="5">
        <f>C32+(1*(C29+C28))</f>
        <v>0</v>
      </c>
    </row>
    <row r="33" spans="2:6" x14ac:dyDescent="0.25">
      <c r="B33">
        <v>2002</v>
      </c>
      <c r="C33" s="5">
        <f t="shared" si="3"/>
        <v>0</v>
      </c>
      <c r="D33" s="5">
        <f>C33+(0.5*(C28+C30+C29))</f>
        <v>0</v>
      </c>
      <c r="E33" s="5">
        <f>C33+(0.75*(C28+C30+C29))</f>
        <v>0</v>
      </c>
      <c r="F33" s="5">
        <f>C33+(1*(C28+C30+C29))</f>
        <v>0</v>
      </c>
    </row>
    <row r="34" spans="2:6" x14ac:dyDescent="0.25">
      <c r="B34">
        <v>2003</v>
      </c>
      <c r="C34" s="5">
        <f t="shared" si="3"/>
        <v>0</v>
      </c>
      <c r="D34" s="5">
        <f>C34+(0.5*(C28+C29+C31+C30))</f>
        <v>0</v>
      </c>
      <c r="E34" s="5">
        <f>C34+(0.75*(C28+C29+C31+C30))</f>
        <v>0</v>
      </c>
      <c r="F34" s="5">
        <f>C34+(1*(C28+C29+C31+C30))</f>
        <v>0</v>
      </c>
    </row>
    <row r="35" spans="2:6" x14ac:dyDescent="0.25">
      <c r="B35">
        <v>2004</v>
      </c>
      <c r="C35" s="5">
        <f t="shared" si="3"/>
        <v>0</v>
      </c>
      <c r="D35" s="5">
        <f>C35+(0.5*(C28+C29+C30+C32+C31))</f>
        <v>0</v>
      </c>
      <c r="E35" s="5">
        <f>C35+(0.75*(C28+C29+C30+C32+C31))</f>
        <v>0</v>
      </c>
      <c r="F35" s="5">
        <f>C35+(1*(C28+C29+C30+C32+C31))</f>
        <v>0</v>
      </c>
    </row>
    <row r="36" spans="2:6" x14ac:dyDescent="0.25">
      <c r="B36">
        <v>2005</v>
      </c>
      <c r="C36" s="5">
        <f t="shared" si="3"/>
        <v>0</v>
      </c>
      <c r="D36" s="5">
        <f>C36+(0.5*(C28+C29+C30+C31+C33+C32))</f>
        <v>0</v>
      </c>
      <c r="E36" s="5">
        <f>C36+(0.75*(C28+C29+C30+C31+C33+C32))</f>
        <v>0</v>
      </c>
      <c r="F36" s="5">
        <f>C36+(1*(C28+C29+C30+C31+C33+C32))</f>
        <v>0</v>
      </c>
    </row>
    <row r="37" spans="2:6" x14ac:dyDescent="0.25">
      <c r="B37">
        <v>2006</v>
      </c>
      <c r="C37" s="5">
        <f t="shared" si="3"/>
        <v>0</v>
      </c>
      <c r="D37" s="5">
        <f>C37+(0.5*(C28+C29+C30+C31+C32+C34+C33))</f>
        <v>0</v>
      </c>
      <c r="E37" s="5">
        <f>C37+(0.75*(C28+C29+C30+C31+C32+C34+C33))</f>
        <v>0</v>
      </c>
      <c r="F37" s="5">
        <f>C37+(1*(C28+C29+C30+C31+C32+C34+C33))</f>
        <v>0</v>
      </c>
    </row>
    <row r="38" spans="2:6" x14ac:dyDescent="0.25">
      <c r="B38">
        <v>2007</v>
      </c>
      <c r="C38" s="5">
        <f t="shared" si="3"/>
        <v>0</v>
      </c>
      <c r="D38" s="5">
        <f>C38+(0.5*(C28+C29+C30+C31+C32+C33+C35+C34))</f>
        <v>0</v>
      </c>
      <c r="E38" s="5">
        <f>C38+(0.75*(C28+C29+C30+C31+C32+C33+C35+C34))</f>
        <v>0</v>
      </c>
      <c r="F38" s="5">
        <f>C38+(1*(C28+C29+C30+C31+C32+C33+C35+C34))</f>
        <v>0</v>
      </c>
    </row>
    <row r="39" spans="2:6" x14ac:dyDescent="0.25">
      <c r="B39">
        <v>2008</v>
      </c>
      <c r="C39" s="5">
        <f t="shared" si="3"/>
        <v>0</v>
      </c>
      <c r="D39" s="5">
        <f>C39+(0.5*(C28+C29+C30+C31+C32+C33+C34+C36+C35))</f>
        <v>0</v>
      </c>
      <c r="E39" s="5">
        <f>C39+(0.75*(C28+C29+C30+C31+C32+C33+C34+C36+C35))</f>
        <v>0</v>
      </c>
      <c r="F39" s="5">
        <f>C39+(1*(C28+C29+C30+C31+C32+C33+C34+C36+C35))</f>
        <v>0</v>
      </c>
    </row>
    <row r="40" spans="2:6" x14ac:dyDescent="0.25">
      <c r="B40">
        <v>2009</v>
      </c>
      <c r="C40" s="5">
        <f t="shared" si="3"/>
        <v>0</v>
      </c>
      <c r="D40" s="5">
        <f>C40+(0.5*(C28+C29+C30+C31+C32+C33+C34+C35+C37+C36))</f>
        <v>0</v>
      </c>
      <c r="E40" s="5">
        <f>C40+(0.75*(C28+C29+C30+C31+C32+C33+C34+C35+C37+C36))</f>
        <v>0</v>
      </c>
      <c r="F40" s="5">
        <f>C40+(1*(C28+C29+C30+C31+C32+C33+C34+C35+C37+C36))</f>
        <v>0</v>
      </c>
    </row>
    <row r="41" spans="2:6" x14ac:dyDescent="0.25">
      <c r="B41">
        <v>2010</v>
      </c>
      <c r="C41" s="5">
        <f t="shared" si="3"/>
        <v>0</v>
      </c>
      <c r="D41" s="5">
        <f>C41+(0.5*(C28+C29+C30+C31+C32+C33+C34+C35+C36+C38+C37))</f>
        <v>0</v>
      </c>
      <c r="E41" s="5">
        <f>C41+(0.75*(C28+C29+C30+C31+C32+C33+C34+C35+C36+C38+C37))</f>
        <v>0</v>
      </c>
      <c r="F41" s="5">
        <f>C41+(1*(C28+C29+C30+C31+C32+C33+C34+C35+C36+C38+C37))</f>
        <v>0</v>
      </c>
    </row>
    <row r="42" spans="2:6" x14ac:dyDescent="0.25">
      <c r="B42">
        <v>2011</v>
      </c>
      <c r="C42" s="5">
        <f t="shared" si="3"/>
        <v>0</v>
      </c>
      <c r="D42" s="5">
        <f>C42+(0.5*(C28+C29+C30+C31+C32+C33+C34+C35+C36+C37+C39+C38))</f>
        <v>0</v>
      </c>
      <c r="E42" s="5">
        <f>C42+(0.75*(C28+C29+C30+C31+C32+C33+C34+C35+C36+C37+C39+C38))</f>
        <v>0</v>
      </c>
      <c r="F42" s="5">
        <f>C42+(1*(C28+C29+C30+C31+C32+C33+C34+C35+C36+C37+C39+C38))</f>
        <v>0</v>
      </c>
    </row>
    <row r="43" spans="2:6" x14ac:dyDescent="0.25">
      <c r="B43">
        <v>2012</v>
      </c>
      <c r="C43" s="5">
        <f t="shared" si="3"/>
        <v>0</v>
      </c>
      <c r="D43" s="5">
        <f>C43+(0.5*(C28+C29+C30+C31+C32+C33+C34+C35+C36+C37+C38+C40+C39))</f>
        <v>0</v>
      </c>
      <c r="E43" s="5">
        <f>C43+(0.75*(C28+C29+C30+C31+C32+C33+C34+C35+C36+C37+C38+C40+C39))</f>
        <v>0</v>
      </c>
      <c r="F43" s="5">
        <f>C43+(1*(C28+C29+C30+C31+C32+C33+C34+C35+C36+C37+C38+C40+C39))</f>
        <v>0</v>
      </c>
    </row>
    <row r="44" spans="2:6" x14ac:dyDescent="0.25">
      <c r="B44">
        <v>2013</v>
      </c>
      <c r="C44" s="5">
        <f t="shared" si="3"/>
        <v>0</v>
      </c>
      <c r="D44" s="5">
        <f>C44+(0.5*(C28+C29+C30+C31+C32+C33+C34+C35+C36+C37+C38+C39+C41+C40))</f>
        <v>0</v>
      </c>
      <c r="E44" s="5">
        <f>C44+(0.75*(C28+C29+C30+C31+C32+C33+C34+C35+C36+C37+C38+C39+C41+C40))</f>
        <v>0</v>
      </c>
      <c r="F44" s="5">
        <f>C44+(1*(C28+C29+C30+C31+C32+C33+C34+C35+C36+C37+C38+C39+C41+C40))</f>
        <v>0</v>
      </c>
    </row>
    <row r="45" spans="2:6" x14ac:dyDescent="0.25">
      <c r="B45">
        <v>2014</v>
      </c>
      <c r="C45" s="5">
        <f>F21</f>
        <v>0</v>
      </c>
      <c r="D45" s="5">
        <f>C45+(0.5*(C28+C29+C30+C31+C32+C33+C34+C35+C36+C37+C38+C39+C40+C42+C41))</f>
        <v>0</v>
      </c>
      <c r="E45" s="5">
        <f>C45+(0.75*(C28+C29+C30+C31+C32+C33+C34+C35+C36+C37+C38+C39+C40+C42+C41))</f>
        <v>0</v>
      </c>
      <c r="F45" s="5">
        <f>C45+(1*(C28+C29+C30+C31+C32+C33+C34+C35+C36+C37+C38+C39+C40+C42+C41))</f>
        <v>0</v>
      </c>
    </row>
    <row r="46" spans="2:6" x14ac:dyDescent="0.25">
      <c r="B46">
        <v>2015</v>
      </c>
      <c r="C46" s="5">
        <f t="shared" ref="C46:C49" si="4">F22</f>
        <v>0</v>
      </c>
      <c r="D46" s="5">
        <f t="shared" ref="D46:D49" si="5">C46+(0.5*(C29+C30+C31+C32+C33+C34+C35+C36+C37+C38+C39+C40+C41+C43+C42))</f>
        <v>0</v>
      </c>
      <c r="E46" s="5">
        <f t="shared" ref="E46:E49" si="6">C46+(0.75*(C29+C30+C31+C32+C33+C34+C35+C36+C37+C38+C39+C40+C41+C43+C42))</f>
        <v>0</v>
      </c>
      <c r="F46" s="5">
        <f t="shared" ref="F46:F49" si="7">C46+(1*(C29+C30+C31+C32+C33+C34+C35+C36+C37+C38+C39+C40+C41+C43+C42))</f>
        <v>0</v>
      </c>
    </row>
    <row r="47" spans="2:6" x14ac:dyDescent="0.25">
      <c r="B47">
        <v>2016</v>
      </c>
      <c r="C47" s="5">
        <f t="shared" si="4"/>
        <v>0</v>
      </c>
      <c r="D47" s="5">
        <f t="shared" si="5"/>
        <v>0</v>
      </c>
      <c r="E47" s="5">
        <f t="shared" si="6"/>
        <v>0</v>
      </c>
      <c r="F47" s="5">
        <f t="shared" si="7"/>
        <v>0</v>
      </c>
    </row>
    <row r="48" spans="2:6" x14ac:dyDescent="0.25">
      <c r="B48">
        <v>2017</v>
      </c>
      <c r="C48" s="5">
        <f t="shared" si="4"/>
        <v>0</v>
      </c>
      <c r="D48" s="5">
        <f t="shared" si="5"/>
        <v>0</v>
      </c>
      <c r="E48" s="5">
        <f t="shared" si="6"/>
        <v>0</v>
      </c>
      <c r="F48" s="5">
        <f t="shared" si="7"/>
        <v>0</v>
      </c>
    </row>
    <row r="49" spans="2:6" x14ac:dyDescent="0.25">
      <c r="B49">
        <v>2018</v>
      </c>
      <c r="C49" s="5">
        <f t="shared" si="4"/>
        <v>0</v>
      </c>
      <c r="D49" s="5">
        <f t="shared" si="5"/>
        <v>0</v>
      </c>
      <c r="E49" s="5">
        <f t="shared" si="6"/>
        <v>0</v>
      </c>
      <c r="F49" s="5">
        <f t="shared" si="7"/>
        <v>0</v>
      </c>
    </row>
  </sheetData>
  <mergeCells count="1">
    <mergeCell ref="H2:I2"/>
  </mergeCells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19"/>
  <sheetViews>
    <sheetView workbookViewId="0">
      <selection activeCell="L12" sqref="L12"/>
    </sheetView>
  </sheetViews>
  <sheetFormatPr defaultRowHeight="15" x14ac:dyDescent="0.25"/>
  <cols>
    <col min="1" max="1" width="5" customWidth="1"/>
    <col min="2" max="2" width="12" bestFit="1" customWidth="1"/>
    <col min="3" max="3" width="9.28515625" bestFit="1" customWidth="1"/>
    <col min="4" max="4" width="9.5703125" bestFit="1" customWidth="1"/>
    <col min="5" max="5" width="10.5703125" bestFit="1" customWidth="1"/>
    <col min="6" max="6" width="9.28515625" bestFit="1" customWidth="1"/>
    <col min="7" max="7" width="10.5703125" bestFit="1" customWidth="1"/>
    <col min="8" max="8" width="11.28515625" customWidth="1"/>
    <col min="9" max="9" width="10.5703125" bestFit="1" customWidth="1"/>
    <col min="10" max="10" width="11.7109375" customWidth="1"/>
    <col min="11" max="11" width="9.5703125" bestFit="1" customWidth="1"/>
    <col min="12" max="12" width="12.140625" bestFit="1" customWidth="1"/>
    <col min="13" max="18" width="9.28515625" bestFit="1" customWidth="1"/>
    <col min="19" max="19" width="13.42578125" bestFit="1" customWidth="1"/>
    <col min="20" max="20" width="10.5703125" bestFit="1" customWidth="1"/>
    <col min="21" max="21" width="12.42578125" bestFit="1" customWidth="1"/>
    <col min="22" max="22" width="14.28515625" bestFit="1" customWidth="1"/>
    <col min="23" max="23" width="15.7109375" customWidth="1"/>
    <col min="24" max="24" width="27.42578125" customWidth="1"/>
  </cols>
  <sheetData>
    <row r="1" spans="1:24" x14ac:dyDescent="0.25">
      <c r="B1" s="88" t="s">
        <v>43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</row>
    <row r="2" spans="1:24" s="3" customFormat="1" x14ac:dyDescent="0.25">
      <c r="A2" s="89" t="s">
        <v>0</v>
      </c>
      <c r="B2" s="6"/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21</v>
      </c>
      <c r="I2" s="7" t="s">
        <v>6</v>
      </c>
      <c r="J2" s="7" t="s">
        <v>7</v>
      </c>
      <c r="K2" s="7" t="s">
        <v>8</v>
      </c>
      <c r="L2" s="7" t="s">
        <v>9</v>
      </c>
      <c r="M2" s="7" t="s">
        <v>10</v>
      </c>
      <c r="N2" s="7" t="s">
        <v>11</v>
      </c>
      <c r="O2" s="7" t="s">
        <v>12</v>
      </c>
      <c r="P2" s="7" t="s">
        <v>13</v>
      </c>
      <c r="Q2" s="7" t="s">
        <v>14</v>
      </c>
      <c r="R2" s="7" t="s">
        <v>15</v>
      </c>
      <c r="S2" s="7" t="s">
        <v>16</v>
      </c>
      <c r="T2" s="7" t="s">
        <v>17</v>
      </c>
      <c r="U2" s="7" t="s">
        <v>23</v>
      </c>
      <c r="V2" s="7" t="s">
        <v>18</v>
      </c>
      <c r="W2" s="7"/>
      <c r="X2" s="7"/>
    </row>
    <row r="3" spans="1:24" x14ac:dyDescent="0.25">
      <c r="A3" s="89"/>
      <c r="B3" s="1">
        <v>2004</v>
      </c>
      <c r="C3" s="3"/>
      <c r="D3" s="3"/>
      <c r="E3" s="3"/>
      <c r="F3" s="3"/>
      <c r="G3" s="3"/>
      <c r="H3" s="59"/>
      <c r="I3" s="3"/>
      <c r="J3" s="59"/>
      <c r="K3" s="3"/>
      <c r="L3" s="3">
        <v>174.5</v>
      </c>
      <c r="M3" s="3"/>
      <c r="N3" s="3"/>
      <c r="O3" s="3"/>
      <c r="P3" s="3"/>
      <c r="Q3" s="3"/>
      <c r="R3" s="59"/>
      <c r="S3" s="3"/>
      <c r="T3" s="3"/>
      <c r="U3" s="3"/>
      <c r="V3" s="27">
        <f t="shared" ref="V3:V17" si="0">SUM(C3:U3)</f>
        <v>174.5</v>
      </c>
      <c r="W3" s="4"/>
    </row>
    <row r="4" spans="1:24" x14ac:dyDescent="0.25">
      <c r="A4" s="89"/>
      <c r="B4" s="1">
        <v>2005</v>
      </c>
      <c r="C4" s="3"/>
      <c r="D4" s="3"/>
      <c r="E4" s="3"/>
      <c r="F4" s="3"/>
      <c r="G4" s="3"/>
      <c r="H4" s="59"/>
      <c r="I4" s="3"/>
      <c r="J4" s="59"/>
      <c r="K4" s="59"/>
      <c r="L4" s="3">
        <v>703.8</v>
      </c>
      <c r="M4" s="3"/>
      <c r="N4" s="3"/>
      <c r="O4" s="3"/>
      <c r="P4" s="3"/>
      <c r="Q4" s="3"/>
      <c r="R4" s="59"/>
      <c r="S4" s="3"/>
      <c r="T4" s="3"/>
      <c r="U4" s="3"/>
      <c r="V4" s="27">
        <f t="shared" si="0"/>
        <v>703.8</v>
      </c>
      <c r="W4" s="4"/>
    </row>
    <row r="5" spans="1:24" x14ac:dyDescent="0.25">
      <c r="A5" s="89"/>
      <c r="B5" s="1">
        <v>2006</v>
      </c>
      <c r="C5" s="3"/>
      <c r="D5" s="3"/>
      <c r="E5" s="3"/>
      <c r="F5" s="3"/>
      <c r="G5" s="3"/>
      <c r="H5" s="59"/>
      <c r="I5" s="3"/>
      <c r="J5" s="59"/>
      <c r="K5" s="59"/>
      <c r="L5" s="3">
        <v>16606.400000000001</v>
      </c>
      <c r="M5" s="3"/>
      <c r="N5" s="3"/>
      <c r="O5" s="3"/>
      <c r="P5" s="3"/>
      <c r="Q5" s="3"/>
      <c r="R5" s="3"/>
      <c r="S5" s="3"/>
      <c r="T5" s="3"/>
      <c r="U5" s="3"/>
      <c r="V5" s="27">
        <f t="shared" si="0"/>
        <v>16606.400000000001</v>
      </c>
      <c r="W5" s="4"/>
    </row>
    <row r="6" spans="1:24" x14ac:dyDescent="0.25">
      <c r="A6" s="89"/>
      <c r="B6" s="1">
        <v>2007</v>
      </c>
      <c r="C6" s="3"/>
      <c r="D6" s="3"/>
      <c r="E6" s="3"/>
      <c r="F6" s="3"/>
      <c r="G6" s="3"/>
      <c r="H6" s="59"/>
      <c r="I6" s="3"/>
      <c r="J6" s="59"/>
      <c r="K6" s="3"/>
      <c r="L6" s="3">
        <v>2724.1</v>
      </c>
      <c r="M6" s="3"/>
      <c r="N6" s="3"/>
      <c r="O6" s="3"/>
      <c r="P6" s="3"/>
      <c r="Q6" s="3"/>
      <c r="R6" s="3"/>
      <c r="S6" s="3"/>
      <c r="T6" s="3"/>
      <c r="U6" s="3"/>
      <c r="V6" s="27">
        <f t="shared" si="0"/>
        <v>2724.1</v>
      </c>
      <c r="W6" s="4"/>
    </row>
    <row r="7" spans="1:24" x14ac:dyDescent="0.25">
      <c r="A7" s="89"/>
      <c r="B7" s="1">
        <v>2008</v>
      </c>
      <c r="C7" s="3"/>
      <c r="D7" s="3"/>
      <c r="E7" s="3"/>
      <c r="F7" s="3"/>
      <c r="G7" s="3"/>
      <c r="H7" s="59"/>
      <c r="I7" s="3"/>
      <c r="J7" s="59"/>
      <c r="K7" s="3"/>
      <c r="L7" s="3">
        <v>1111.45</v>
      </c>
      <c r="M7" s="3"/>
      <c r="N7" s="3"/>
      <c r="O7" s="3"/>
      <c r="P7" s="3"/>
      <c r="Q7" s="3"/>
      <c r="R7" s="3"/>
      <c r="S7" s="3"/>
      <c r="T7" s="3"/>
      <c r="U7" s="3"/>
      <c r="V7" s="27">
        <f t="shared" si="0"/>
        <v>1111.45</v>
      </c>
      <c r="W7" s="4"/>
    </row>
    <row r="8" spans="1:24" x14ac:dyDescent="0.25">
      <c r="A8" s="89"/>
      <c r="B8" s="1">
        <v>2009</v>
      </c>
      <c r="C8" s="3"/>
      <c r="D8" s="3"/>
      <c r="E8" s="3"/>
      <c r="F8" s="3"/>
      <c r="G8" s="3"/>
      <c r="H8" s="59"/>
      <c r="I8" s="3"/>
      <c r="J8" s="59"/>
      <c r="K8" s="3"/>
      <c r="L8" s="3">
        <v>303.2</v>
      </c>
      <c r="M8" s="3"/>
      <c r="N8" s="3"/>
      <c r="O8" s="3"/>
      <c r="P8" s="3"/>
      <c r="Q8" s="3"/>
      <c r="R8" s="3"/>
      <c r="S8" s="3"/>
      <c r="T8" s="3"/>
      <c r="U8" s="3"/>
      <c r="V8" s="27">
        <f t="shared" si="0"/>
        <v>303.2</v>
      </c>
      <c r="W8" s="4"/>
    </row>
    <row r="9" spans="1:24" x14ac:dyDescent="0.25">
      <c r="A9" s="89"/>
      <c r="B9" s="1">
        <v>2010</v>
      </c>
      <c r="C9" s="3"/>
      <c r="D9" s="3"/>
      <c r="E9" s="3"/>
      <c r="F9" s="3"/>
      <c r="G9" s="3"/>
      <c r="H9" s="59"/>
      <c r="I9" s="3"/>
      <c r="J9" s="59"/>
      <c r="K9" s="3"/>
      <c r="L9" s="3">
        <v>1042.2</v>
      </c>
      <c r="M9" s="3"/>
      <c r="N9" s="3"/>
      <c r="O9" s="3"/>
      <c r="P9" s="3"/>
      <c r="Q9" s="3"/>
      <c r="R9" s="3"/>
      <c r="S9" s="3"/>
      <c r="T9" s="3"/>
      <c r="U9" s="3"/>
      <c r="V9" s="27">
        <f t="shared" si="0"/>
        <v>1042.2</v>
      </c>
      <c r="W9" s="4"/>
    </row>
    <row r="10" spans="1:24" x14ac:dyDescent="0.25">
      <c r="A10" s="89"/>
      <c r="B10" s="1">
        <v>2011</v>
      </c>
      <c r="C10" s="3"/>
      <c r="D10" s="3"/>
      <c r="E10" s="3"/>
      <c r="F10" s="3"/>
      <c r="G10" s="3"/>
      <c r="H10" s="59"/>
      <c r="I10" s="3"/>
      <c r="J10" s="78">
        <v>6359</v>
      </c>
      <c r="K10" s="3"/>
      <c r="L10" s="3">
        <v>1817.6</v>
      </c>
      <c r="M10" s="3"/>
      <c r="N10" s="3"/>
      <c r="O10" s="3"/>
      <c r="P10" s="3"/>
      <c r="Q10" s="3"/>
      <c r="R10" s="3"/>
      <c r="S10" s="3"/>
      <c r="T10" s="3"/>
      <c r="U10" s="3"/>
      <c r="V10" s="27">
        <f t="shared" si="0"/>
        <v>8176.6</v>
      </c>
      <c r="W10" s="4"/>
    </row>
    <row r="11" spans="1:24" x14ac:dyDescent="0.25">
      <c r="A11" s="89"/>
      <c r="B11" s="1">
        <v>2012</v>
      </c>
      <c r="C11" s="3"/>
      <c r="D11" s="3"/>
      <c r="E11" s="3"/>
      <c r="F11" s="3"/>
      <c r="G11" s="3"/>
      <c r="H11" s="59"/>
      <c r="I11" s="3"/>
      <c r="J11" s="78">
        <v>6529</v>
      </c>
      <c r="K11" s="3"/>
      <c r="L11" s="3">
        <v>3707.2</v>
      </c>
      <c r="M11" s="3"/>
      <c r="N11" s="3"/>
      <c r="O11" s="3"/>
      <c r="P11" s="3"/>
      <c r="Q11" s="3"/>
      <c r="R11" s="3"/>
      <c r="S11" s="3"/>
      <c r="T11" s="3"/>
      <c r="U11" s="3"/>
      <c r="V11" s="27">
        <f t="shared" si="0"/>
        <v>10236.200000000001</v>
      </c>
      <c r="W11" s="4"/>
    </row>
    <row r="12" spans="1:24" x14ac:dyDescent="0.25">
      <c r="A12" s="89"/>
      <c r="B12" s="1">
        <v>2013</v>
      </c>
      <c r="C12" s="3"/>
      <c r="D12" s="3"/>
      <c r="E12" s="3"/>
      <c r="F12" s="3"/>
      <c r="G12" s="3"/>
      <c r="H12" s="59"/>
      <c r="I12" s="3"/>
      <c r="J12" s="78">
        <v>2230</v>
      </c>
      <c r="K12" s="3"/>
      <c r="L12" s="3">
        <v>4404.04</v>
      </c>
      <c r="M12" s="3"/>
      <c r="N12" s="3"/>
      <c r="O12" s="3"/>
      <c r="P12" s="3"/>
      <c r="Q12" s="3"/>
      <c r="R12" s="3"/>
      <c r="S12" s="3"/>
      <c r="T12" s="3"/>
      <c r="U12" s="3"/>
      <c r="V12" s="27">
        <f t="shared" si="0"/>
        <v>6634.04</v>
      </c>
      <c r="W12" s="4"/>
    </row>
    <row r="13" spans="1:24" x14ac:dyDescent="0.25">
      <c r="A13" s="89"/>
      <c r="B13" s="1">
        <v>2014</v>
      </c>
      <c r="C13" s="3"/>
      <c r="D13" s="3"/>
      <c r="E13" s="3">
        <v>309.7</v>
      </c>
      <c r="F13" s="3"/>
      <c r="G13" s="3"/>
      <c r="H13" s="3"/>
      <c r="I13" s="3"/>
      <c r="J13" s="78">
        <v>2433</v>
      </c>
      <c r="K13" s="3"/>
      <c r="L13" s="3">
        <v>6884.2</v>
      </c>
      <c r="M13" s="3"/>
      <c r="N13" s="3"/>
      <c r="O13" s="3"/>
      <c r="P13" s="3"/>
      <c r="Q13" s="3"/>
      <c r="R13" s="3"/>
      <c r="S13" s="3"/>
      <c r="T13" s="3"/>
      <c r="U13" s="3"/>
      <c r="V13" s="27">
        <f t="shared" si="0"/>
        <v>9626.9</v>
      </c>
      <c r="W13" s="4"/>
    </row>
    <row r="14" spans="1:24" x14ac:dyDescent="0.25">
      <c r="B14" s="1">
        <v>2015</v>
      </c>
      <c r="C14" s="3"/>
      <c r="D14" s="3"/>
      <c r="E14" s="3">
        <v>0</v>
      </c>
      <c r="F14" s="3"/>
      <c r="G14" s="3"/>
      <c r="H14" s="3"/>
      <c r="I14" s="3"/>
      <c r="J14" s="78">
        <v>2372</v>
      </c>
      <c r="K14" s="3"/>
      <c r="L14" s="3">
        <v>7182.4000000000015</v>
      </c>
      <c r="M14" s="3"/>
      <c r="N14" s="3"/>
      <c r="O14" s="3"/>
      <c r="P14" s="3"/>
      <c r="Q14" s="3"/>
      <c r="R14" s="3"/>
      <c r="S14" s="3"/>
      <c r="T14" s="3"/>
      <c r="U14" s="3"/>
      <c r="V14" s="27">
        <f t="shared" si="0"/>
        <v>9554.4000000000015</v>
      </c>
    </row>
    <row r="15" spans="1:24" x14ac:dyDescent="0.25">
      <c r="B15" s="1">
        <v>2016</v>
      </c>
      <c r="C15" s="3"/>
      <c r="D15" s="3"/>
      <c r="E15" s="3"/>
      <c r="F15" s="3"/>
      <c r="G15" s="3"/>
      <c r="H15" s="3"/>
      <c r="I15" s="3"/>
      <c r="J15" s="78">
        <v>9135</v>
      </c>
      <c r="K15" s="3"/>
      <c r="L15" s="3">
        <v>7364.8000000000011</v>
      </c>
      <c r="M15" s="3"/>
      <c r="N15" s="3"/>
      <c r="O15" s="3"/>
      <c r="P15" s="3"/>
      <c r="Q15" s="3"/>
      <c r="R15" s="3"/>
      <c r="S15" s="3"/>
      <c r="T15" s="3"/>
      <c r="U15" s="3"/>
      <c r="V15" s="27">
        <f t="shared" si="0"/>
        <v>16499.800000000003</v>
      </c>
    </row>
    <row r="16" spans="1:24" x14ac:dyDescent="0.25">
      <c r="B16" s="1">
        <v>2017</v>
      </c>
      <c r="C16" s="3"/>
      <c r="D16" s="3"/>
      <c r="E16" s="3"/>
      <c r="F16" s="3"/>
      <c r="G16" s="3"/>
      <c r="H16" s="3"/>
      <c r="I16" s="3"/>
      <c r="J16" s="78">
        <v>7216</v>
      </c>
      <c r="K16" s="3"/>
      <c r="L16" s="3">
        <v>5123.3999999999996</v>
      </c>
      <c r="M16" s="3"/>
      <c r="N16" s="3"/>
      <c r="O16" s="3"/>
      <c r="P16" s="3"/>
      <c r="Q16" s="3"/>
      <c r="R16" s="3"/>
      <c r="S16" s="3"/>
      <c r="T16" s="3"/>
      <c r="U16" s="3"/>
      <c r="V16" s="27">
        <f t="shared" si="0"/>
        <v>12339.4</v>
      </c>
    </row>
    <row r="17" spans="2:22" x14ac:dyDescent="0.25">
      <c r="B17" s="1">
        <v>2018</v>
      </c>
      <c r="C17" s="3"/>
      <c r="D17" s="3"/>
      <c r="E17" s="3"/>
      <c r="F17" s="3"/>
      <c r="G17" s="3"/>
      <c r="H17" s="3"/>
      <c r="I17" s="3"/>
      <c r="J17" s="78">
        <v>2215</v>
      </c>
      <c r="K17" s="3"/>
      <c r="L17" s="3">
        <v>5499.8</v>
      </c>
      <c r="M17" s="3"/>
      <c r="N17" s="3"/>
      <c r="O17" s="3"/>
      <c r="P17" s="3"/>
      <c r="Q17" s="3"/>
      <c r="R17" s="3"/>
      <c r="S17" s="3"/>
      <c r="T17" s="3"/>
      <c r="U17" s="3"/>
      <c r="V17" s="27">
        <f t="shared" si="0"/>
        <v>7714.8</v>
      </c>
    </row>
    <row r="19" spans="2:22" x14ac:dyDescent="0.25">
      <c r="B19" s="2" t="s">
        <v>19</v>
      </c>
      <c r="C19" s="3" t="s">
        <v>20</v>
      </c>
      <c r="D19" s="3" t="s">
        <v>22</v>
      </c>
      <c r="E19" s="3" t="s">
        <v>22</v>
      </c>
      <c r="F19" s="3" t="s">
        <v>20</v>
      </c>
      <c r="G19" s="3" t="s">
        <v>22</v>
      </c>
      <c r="H19" s="3" t="s">
        <v>20</v>
      </c>
      <c r="I19" s="3" t="s">
        <v>20</v>
      </c>
      <c r="J19" s="3" t="s">
        <v>20</v>
      </c>
      <c r="K19" s="3" t="s">
        <v>20</v>
      </c>
      <c r="L19" s="3" t="s">
        <v>22</v>
      </c>
      <c r="M19" s="3" t="s">
        <v>20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22</v>
      </c>
      <c r="U19" s="3" t="s">
        <v>20</v>
      </c>
    </row>
  </sheetData>
  <mergeCells count="2">
    <mergeCell ref="B1:U1"/>
    <mergeCell ref="A2:A1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K49"/>
  <sheetViews>
    <sheetView tabSelected="1" workbookViewId="0">
      <selection activeCell="H25" sqref="B4:H25"/>
    </sheetView>
  </sheetViews>
  <sheetFormatPr defaultRowHeight="15" x14ac:dyDescent="0.25"/>
  <cols>
    <col min="2" max="2" width="21" customWidth="1"/>
    <col min="3" max="3" width="20.140625" customWidth="1"/>
    <col min="4" max="4" width="14.140625" customWidth="1"/>
    <col min="5" max="5" width="30.140625" customWidth="1"/>
    <col min="6" max="6" width="45.42578125" customWidth="1"/>
    <col min="7" max="7" width="15.140625" customWidth="1"/>
    <col min="8" max="8" width="13.42578125" customWidth="1"/>
    <col min="9" max="9" width="16" customWidth="1"/>
    <col min="10" max="10" width="13.85546875" customWidth="1"/>
    <col min="11" max="11" width="18.140625" customWidth="1"/>
  </cols>
  <sheetData>
    <row r="1" spans="1:11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11"/>
      <c r="B2" s="12"/>
      <c r="C2" s="11"/>
      <c r="D2" s="12"/>
      <c r="E2" s="11"/>
      <c r="F2" s="11"/>
      <c r="G2" s="11"/>
      <c r="H2" s="90" t="s">
        <v>25</v>
      </c>
      <c r="I2" s="91"/>
      <c r="J2" s="12"/>
      <c r="K2" s="13"/>
    </row>
    <row r="3" spans="1:11" x14ac:dyDescent="0.25">
      <c r="A3" s="11"/>
      <c r="B3" s="14" t="s">
        <v>26</v>
      </c>
      <c r="C3" s="14" t="s">
        <v>27</v>
      </c>
      <c r="D3" s="14" t="s">
        <v>28</v>
      </c>
      <c r="E3" s="14" t="s">
        <v>29</v>
      </c>
      <c r="F3" s="14" t="s">
        <v>30</v>
      </c>
      <c r="G3" s="11"/>
      <c r="H3" s="44" t="s">
        <v>27</v>
      </c>
      <c r="I3" s="44"/>
      <c r="J3" s="12"/>
      <c r="K3" s="13"/>
    </row>
    <row r="4" spans="1:11" x14ac:dyDescent="0.25">
      <c r="A4" s="11"/>
      <c r="B4" s="16">
        <v>1997</v>
      </c>
      <c r="C4" s="17">
        <f t="shared" ref="C4:C10" si="0">I4</f>
        <v>0</v>
      </c>
      <c r="D4" s="18" t="s">
        <v>32</v>
      </c>
      <c r="E4" s="19">
        <v>5.7500000000000002E-2</v>
      </c>
      <c r="F4" s="20">
        <f t="shared" ref="F4:F25" si="1">C4*E4</f>
        <v>0</v>
      </c>
      <c r="G4" s="11"/>
      <c r="I4" s="12"/>
      <c r="J4" s="12"/>
      <c r="K4" s="13"/>
    </row>
    <row r="5" spans="1:11" x14ac:dyDescent="0.25">
      <c r="A5" s="11"/>
      <c r="B5" s="16">
        <v>1998</v>
      </c>
      <c r="C5" s="17">
        <f t="shared" si="0"/>
        <v>0</v>
      </c>
      <c r="D5" s="18" t="s">
        <v>32</v>
      </c>
      <c r="E5" s="19">
        <f t="shared" ref="E5:E25" si="2">$E$4</f>
        <v>5.7500000000000002E-2</v>
      </c>
      <c r="F5" s="20">
        <f t="shared" si="1"/>
        <v>0</v>
      </c>
      <c r="G5" s="11"/>
      <c r="I5" s="12"/>
      <c r="J5" s="12"/>
      <c r="K5" s="13"/>
    </row>
    <row r="6" spans="1:11" x14ac:dyDescent="0.25">
      <c r="A6" s="11"/>
      <c r="B6" s="16">
        <v>1999</v>
      </c>
      <c r="C6" s="17">
        <f t="shared" si="0"/>
        <v>0</v>
      </c>
      <c r="D6" s="18" t="s">
        <v>32</v>
      </c>
      <c r="E6" s="19">
        <f t="shared" si="2"/>
        <v>5.7500000000000002E-2</v>
      </c>
      <c r="F6" s="20">
        <f t="shared" si="1"/>
        <v>0</v>
      </c>
      <c r="G6" s="11"/>
      <c r="I6" s="12"/>
      <c r="J6" s="12"/>
      <c r="K6" s="13"/>
    </row>
    <row r="7" spans="1:11" x14ac:dyDescent="0.25">
      <c r="A7" s="11"/>
      <c r="B7" s="16">
        <v>2000</v>
      </c>
      <c r="C7" s="17">
        <f t="shared" si="0"/>
        <v>0</v>
      </c>
      <c r="D7" s="18" t="s">
        <v>32</v>
      </c>
      <c r="E7" s="19">
        <f t="shared" si="2"/>
        <v>5.7500000000000002E-2</v>
      </c>
      <c r="F7" s="20">
        <f t="shared" si="1"/>
        <v>0</v>
      </c>
      <c r="G7" s="11"/>
      <c r="I7" s="12"/>
      <c r="J7" s="12"/>
      <c r="K7" s="13"/>
    </row>
    <row r="8" spans="1:11" x14ac:dyDescent="0.25">
      <c r="A8" s="11"/>
      <c r="B8" s="16">
        <v>2001</v>
      </c>
      <c r="C8" s="17">
        <f t="shared" si="0"/>
        <v>0</v>
      </c>
      <c r="D8" s="18" t="s">
        <v>32</v>
      </c>
      <c r="E8" s="19">
        <f t="shared" si="2"/>
        <v>5.7500000000000002E-2</v>
      </c>
      <c r="F8" s="20">
        <f t="shared" si="1"/>
        <v>0</v>
      </c>
      <c r="G8" s="11"/>
      <c r="I8" s="12"/>
      <c r="J8" s="12"/>
      <c r="K8" s="13"/>
    </row>
    <row r="9" spans="1:11" x14ac:dyDescent="0.25">
      <c r="A9" s="11"/>
      <c r="B9" s="16">
        <v>2002</v>
      </c>
      <c r="C9" s="17">
        <f t="shared" si="0"/>
        <v>0</v>
      </c>
      <c r="D9" s="18" t="s">
        <v>32</v>
      </c>
      <c r="E9" s="19">
        <f t="shared" si="2"/>
        <v>5.7500000000000002E-2</v>
      </c>
      <c r="F9" s="20">
        <f t="shared" si="1"/>
        <v>0</v>
      </c>
      <c r="G9" s="11"/>
      <c r="I9" s="12"/>
      <c r="J9" s="12"/>
      <c r="K9" s="13"/>
    </row>
    <row r="10" spans="1:11" x14ac:dyDescent="0.25">
      <c r="A10" s="11"/>
      <c r="B10" s="16">
        <v>2003</v>
      </c>
      <c r="C10" s="17">
        <f t="shared" si="0"/>
        <v>0</v>
      </c>
      <c r="D10" s="18" t="s">
        <v>32</v>
      </c>
      <c r="E10" s="19">
        <f t="shared" si="2"/>
        <v>5.7500000000000002E-2</v>
      </c>
      <c r="F10" s="20">
        <f t="shared" si="1"/>
        <v>0</v>
      </c>
      <c r="G10" s="11"/>
      <c r="I10" s="12"/>
      <c r="J10" s="12"/>
      <c r="K10" s="13"/>
    </row>
    <row r="11" spans="1:11" x14ac:dyDescent="0.25">
      <c r="A11" s="11"/>
      <c r="B11" s="16">
        <v>2004</v>
      </c>
      <c r="C11" s="17">
        <f>H11</f>
        <v>174.5</v>
      </c>
      <c r="D11" s="18" t="s">
        <v>32</v>
      </c>
      <c r="E11" s="19">
        <f t="shared" si="2"/>
        <v>5.7500000000000002E-2</v>
      </c>
      <c r="F11" s="20">
        <f t="shared" si="1"/>
        <v>10.033750000000001</v>
      </c>
      <c r="G11" s="11"/>
      <c r="H11">
        <f>'CO Summary Sheet CPS 340'!V3</f>
        <v>174.5</v>
      </c>
      <c r="I11" s="12"/>
      <c r="J11" s="12"/>
      <c r="K11" s="13"/>
    </row>
    <row r="12" spans="1:11" x14ac:dyDescent="0.25">
      <c r="A12" s="11"/>
      <c r="B12" s="16">
        <v>2005</v>
      </c>
      <c r="C12" s="17">
        <f t="shared" ref="C12:C25" si="3">H12</f>
        <v>703.8</v>
      </c>
      <c r="D12" s="18" t="s">
        <v>32</v>
      </c>
      <c r="E12" s="19">
        <f t="shared" si="2"/>
        <v>5.7500000000000002E-2</v>
      </c>
      <c r="F12" s="20">
        <f t="shared" si="1"/>
        <v>40.468499999999999</v>
      </c>
      <c r="G12" s="11"/>
      <c r="H12">
        <f>'CO Summary Sheet CPS 340'!V4</f>
        <v>703.8</v>
      </c>
      <c r="I12" s="12"/>
      <c r="J12" s="12"/>
      <c r="K12" s="13"/>
    </row>
    <row r="13" spans="1:11" x14ac:dyDescent="0.25">
      <c r="A13" s="11"/>
      <c r="B13" s="16">
        <v>2006</v>
      </c>
      <c r="C13" s="17">
        <f t="shared" si="3"/>
        <v>16606.400000000001</v>
      </c>
      <c r="D13" s="18" t="s">
        <v>32</v>
      </c>
      <c r="E13" s="19">
        <f t="shared" si="2"/>
        <v>5.7500000000000002E-2</v>
      </c>
      <c r="F13" s="20">
        <f t="shared" si="1"/>
        <v>954.86800000000017</v>
      </c>
      <c r="G13" s="11"/>
      <c r="H13">
        <f>'CO Summary Sheet CPS 340'!V5</f>
        <v>16606.400000000001</v>
      </c>
      <c r="I13" s="12"/>
      <c r="J13" s="12"/>
      <c r="K13" s="13"/>
    </row>
    <row r="14" spans="1:11" x14ac:dyDescent="0.25">
      <c r="A14" s="11"/>
      <c r="B14" s="16">
        <v>2007</v>
      </c>
      <c r="C14" s="17">
        <f t="shared" si="3"/>
        <v>2724.1</v>
      </c>
      <c r="D14" s="18" t="s">
        <v>32</v>
      </c>
      <c r="E14" s="19">
        <f t="shared" si="2"/>
        <v>5.7500000000000002E-2</v>
      </c>
      <c r="F14" s="20">
        <f t="shared" si="1"/>
        <v>156.63575</v>
      </c>
      <c r="G14" s="11"/>
      <c r="H14">
        <f>'CO Summary Sheet CPS 340'!V6</f>
        <v>2724.1</v>
      </c>
      <c r="I14" s="12"/>
      <c r="J14" s="12"/>
      <c r="K14" s="13"/>
    </row>
    <row r="15" spans="1:11" x14ac:dyDescent="0.25">
      <c r="A15" s="11"/>
      <c r="B15" s="16">
        <v>2008</v>
      </c>
      <c r="C15" s="17">
        <f t="shared" si="3"/>
        <v>1111.45</v>
      </c>
      <c r="D15" s="18" t="s">
        <v>32</v>
      </c>
      <c r="E15" s="19">
        <f t="shared" si="2"/>
        <v>5.7500000000000002E-2</v>
      </c>
      <c r="F15" s="20">
        <f t="shared" si="1"/>
        <v>63.908375000000007</v>
      </c>
      <c r="G15" s="11"/>
      <c r="H15">
        <f>'CO Summary Sheet CPS 340'!V7</f>
        <v>1111.45</v>
      </c>
      <c r="I15" s="12"/>
      <c r="J15" s="12"/>
      <c r="K15" s="13"/>
    </row>
    <row r="16" spans="1:11" x14ac:dyDescent="0.25">
      <c r="A16" s="11"/>
      <c r="B16" s="16">
        <v>2009</v>
      </c>
      <c r="C16" s="17">
        <f t="shared" si="3"/>
        <v>303.2</v>
      </c>
      <c r="D16" s="18" t="s">
        <v>32</v>
      </c>
      <c r="E16" s="19">
        <f t="shared" si="2"/>
        <v>5.7500000000000002E-2</v>
      </c>
      <c r="F16" s="20">
        <f t="shared" si="1"/>
        <v>17.434000000000001</v>
      </c>
      <c r="G16" s="11"/>
      <c r="H16">
        <f>'CO Summary Sheet CPS 340'!V8</f>
        <v>303.2</v>
      </c>
      <c r="I16" s="12"/>
      <c r="J16" s="12"/>
      <c r="K16" s="13"/>
    </row>
    <row r="17" spans="1:11" x14ac:dyDescent="0.25">
      <c r="A17" s="11"/>
      <c r="B17" s="16">
        <v>2010</v>
      </c>
      <c r="C17" s="17">
        <f t="shared" si="3"/>
        <v>1042.2</v>
      </c>
      <c r="D17" s="18" t="s">
        <v>32</v>
      </c>
      <c r="E17" s="19">
        <f t="shared" si="2"/>
        <v>5.7500000000000002E-2</v>
      </c>
      <c r="F17" s="20">
        <f t="shared" si="1"/>
        <v>59.926500000000004</v>
      </c>
      <c r="G17" s="11"/>
      <c r="H17">
        <f>'CO Summary Sheet CPS 340'!V9</f>
        <v>1042.2</v>
      </c>
      <c r="I17" s="12"/>
      <c r="J17" s="12"/>
      <c r="K17" s="13"/>
    </row>
    <row r="18" spans="1:11" x14ac:dyDescent="0.25">
      <c r="A18" s="11"/>
      <c r="B18" s="16">
        <v>2011</v>
      </c>
      <c r="C18" s="17">
        <f t="shared" si="3"/>
        <v>8176.6</v>
      </c>
      <c r="D18" s="18" t="s">
        <v>32</v>
      </c>
      <c r="E18" s="19">
        <f t="shared" si="2"/>
        <v>5.7500000000000002E-2</v>
      </c>
      <c r="F18" s="20">
        <f t="shared" si="1"/>
        <v>470.15450000000004</v>
      </c>
      <c r="G18" s="11"/>
      <c r="H18">
        <f>'CO Summary Sheet CPS 340'!V10</f>
        <v>8176.6</v>
      </c>
      <c r="I18" s="12"/>
      <c r="J18" s="12"/>
      <c r="K18" s="13"/>
    </row>
    <row r="19" spans="1:11" x14ac:dyDescent="0.25">
      <c r="A19" s="11"/>
      <c r="B19" s="16">
        <v>2012</v>
      </c>
      <c r="C19" s="17">
        <f t="shared" si="3"/>
        <v>10236.200000000001</v>
      </c>
      <c r="D19" s="18" t="s">
        <v>32</v>
      </c>
      <c r="E19" s="19">
        <f t="shared" si="2"/>
        <v>5.7500000000000002E-2</v>
      </c>
      <c r="F19" s="20">
        <f t="shared" si="1"/>
        <v>588.58150000000012</v>
      </c>
      <c r="G19" s="11"/>
      <c r="H19">
        <f>'CO Summary Sheet CPS 340'!V11</f>
        <v>10236.200000000001</v>
      </c>
      <c r="I19" s="12"/>
      <c r="J19" s="12"/>
      <c r="K19" s="13"/>
    </row>
    <row r="20" spans="1:11" s="22" customFormat="1" x14ac:dyDescent="0.25">
      <c r="A20" s="11"/>
      <c r="B20" s="16">
        <v>2013</v>
      </c>
      <c r="C20" s="17">
        <f t="shared" si="3"/>
        <v>6634.04</v>
      </c>
      <c r="D20" s="18" t="s">
        <v>32</v>
      </c>
      <c r="E20" s="19">
        <f t="shared" si="2"/>
        <v>5.7500000000000002E-2</v>
      </c>
      <c r="F20" s="20">
        <f t="shared" si="1"/>
        <v>381.45730000000003</v>
      </c>
      <c r="G20" s="11"/>
      <c r="H20">
        <f>'CO Summary Sheet CPS 340'!V12</f>
        <v>6634.04</v>
      </c>
      <c r="I20" s="12"/>
      <c r="J20" s="12"/>
      <c r="K20" s="13"/>
    </row>
    <row r="21" spans="1:11" x14ac:dyDescent="0.25">
      <c r="B21" s="16">
        <v>2014</v>
      </c>
      <c r="C21" s="17">
        <f t="shared" si="3"/>
        <v>9626.9</v>
      </c>
      <c r="D21" s="18" t="s">
        <v>32</v>
      </c>
      <c r="E21" s="19">
        <f t="shared" si="2"/>
        <v>5.7500000000000002E-2</v>
      </c>
      <c r="F21" s="20">
        <f t="shared" si="1"/>
        <v>553.54674999999997</v>
      </c>
      <c r="H21">
        <f>'CO Summary Sheet CPS 340'!V13</f>
        <v>9626.9</v>
      </c>
      <c r="J21" s="12"/>
    </row>
    <row r="22" spans="1:11" x14ac:dyDescent="0.25">
      <c r="B22" s="16">
        <v>2015</v>
      </c>
      <c r="C22" s="17">
        <f t="shared" si="3"/>
        <v>9554.4000000000015</v>
      </c>
      <c r="D22" s="18" t="s">
        <v>32</v>
      </c>
      <c r="E22" s="19">
        <f t="shared" si="2"/>
        <v>5.7500000000000002E-2</v>
      </c>
      <c r="F22" s="20">
        <f t="shared" si="1"/>
        <v>549.37800000000016</v>
      </c>
      <c r="H22">
        <f>'CO Summary Sheet CPS 340'!V14</f>
        <v>9554.4000000000015</v>
      </c>
      <c r="J22" s="68"/>
    </row>
    <row r="23" spans="1:11" x14ac:dyDescent="0.25">
      <c r="B23" s="16">
        <v>2016</v>
      </c>
      <c r="C23" s="17">
        <f t="shared" si="3"/>
        <v>16499.800000000003</v>
      </c>
      <c r="D23" s="18" t="s">
        <v>32</v>
      </c>
      <c r="E23" s="19">
        <f t="shared" si="2"/>
        <v>5.7500000000000002E-2</v>
      </c>
      <c r="F23" s="20">
        <f t="shared" si="1"/>
        <v>948.73850000000016</v>
      </c>
      <c r="H23">
        <f>'CO Summary Sheet CPS 340'!V15</f>
        <v>16499.800000000003</v>
      </c>
      <c r="J23" s="68"/>
    </row>
    <row r="24" spans="1:11" x14ac:dyDescent="0.25">
      <c r="B24" s="16">
        <v>2017</v>
      </c>
      <c r="C24" s="17">
        <f t="shared" si="3"/>
        <v>12339.4</v>
      </c>
      <c r="D24" s="18" t="s">
        <v>32</v>
      </c>
      <c r="E24" s="19">
        <f t="shared" si="2"/>
        <v>5.7500000000000002E-2</v>
      </c>
      <c r="F24" s="20">
        <f t="shared" si="1"/>
        <v>709.51549999999997</v>
      </c>
      <c r="H24">
        <f>'CO Summary Sheet CPS 340'!V16</f>
        <v>12339.4</v>
      </c>
      <c r="J24" s="68"/>
    </row>
    <row r="25" spans="1:11" x14ac:dyDescent="0.25">
      <c r="B25" s="16">
        <v>2018</v>
      </c>
      <c r="C25" s="17">
        <f t="shared" si="3"/>
        <v>7714.8</v>
      </c>
      <c r="D25" s="18" t="s">
        <v>32</v>
      </c>
      <c r="E25" s="19">
        <f t="shared" si="2"/>
        <v>5.7500000000000002E-2</v>
      </c>
      <c r="F25" s="20">
        <f t="shared" si="1"/>
        <v>443.60100000000006</v>
      </c>
      <c r="H25">
        <f>'CO Summary Sheet CPS 340'!V17</f>
        <v>7714.8</v>
      </c>
      <c r="J25" s="68"/>
    </row>
    <row r="26" spans="1:11" x14ac:dyDescent="0.25">
      <c r="C26" s="17">
        <f>SUM(C11:C21)</f>
        <v>57339.39</v>
      </c>
    </row>
    <row r="27" spans="1:11" ht="78.75" customHeight="1" x14ac:dyDescent="0.25">
      <c r="B27" s="23" t="s">
        <v>0</v>
      </c>
      <c r="C27" s="23" t="s">
        <v>33</v>
      </c>
      <c r="D27" s="23" t="s">
        <v>75</v>
      </c>
      <c r="E27" s="23" t="s">
        <v>35</v>
      </c>
      <c r="F27" s="23" t="s">
        <v>36</v>
      </c>
    </row>
    <row r="28" spans="1:11" x14ac:dyDescent="0.25">
      <c r="B28">
        <v>1997</v>
      </c>
      <c r="C28" s="5">
        <f>F4</f>
        <v>0</v>
      </c>
    </row>
    <row r="29" spans="1:11" x14ac:dyDescent="0.25">
      <c r="B29">
        <v>1998</v>
      </c>
      <c r="C29" s="5">
        <f t="shared" ref="C29:C44" si="4">F5</f>
        <v>0</v>
      </c>
    </row>
    <row r="30" spans="1:11" x14ac:dyDescent="0.25">
      <c r="B30">
        <v>1999</v>
      </c>
      <c r="C30" s="5">
        <f t="shared" si="4"/>
        <v>0</v>
      </c>
    </row>
    <row r="31" spans="1:11" x14ac:dyDescent="0.25">
      <c r="B31">
        <v>2000</v>
      </c>
      <c r="C31" s="5">
        <f t="shared" si="4"/>
        <v>0</v>
      </c>
      <c r="D31" s="5"/>
      <c r="E31" s="5"/>
      <c r="F31" s="5"/>
    </row>
    <row r="32" spans="1:11" x14ac:dyDescent="0.25">
      <c r="B32">
        <v>2001</v>
      </c>
      <c r="C32" s="5">
        <f t="shared" si="4"/>
        <v>0</v>
      </c>
      <c r="D32" s="5">
        <f>C32+(0.5*(C29+C28))</f>
        <v>0</v>
      </c>
      <c r="E32" s="5">
        <f>C32+(0.75*(C29+C28))</f>
        <v>0</v>
      </c>
      <c r="F32" s="5">
        <f>C32+(1*(C29+C28))</f>
        <v>0</v>
      </c>
    </row>
    <row r="33" spans="2:6" x14ac:dyDescent="0.25">
      <c r="B33">
        <v>2002</v>
      </c>
      <c r="C33" s="5">
        <f t="shared" si="4"/>
        <v>0</v>
      </c>
      <c r="D33" s="5">
        <f>C33+(0.5*(C28+C30+C29))</f>
        <v>0</v>
      </c>
      <c r="E33" s="5">
        <f>C33+(0.75*(C28+C30+C29))</f>
        <v>0</v>
      </c>
      <c r="F33" s="5">
        <f>C33+(1*(C28+C30+C29))</f>
        <v>0</v>
      </c>
    </row>
    <row r="34" spans="2:6" x14ac:dyDescent="0.25">
      <c r="B34">
        <v>2003</v>
      </c>
      <c r="C34" s="5">
        <f t="shared" si="4"/>
        <v>0</v>
      </c>
      <c r="D34" s="5">
        <f>C34+(0.5*(C28+C29+C31+C30))</f>
        <v>0</v>
      </c>
      <c r="E34" s="5">
        <f>C34+(0.75*(C28+C29+C31+C30))</f>
        <v>0</v>
      </c>
      <c r="F34" s="5">
        <f>C34+(1*(C28+C29+C31+C30))</f>
        <v>0</v>
      </c>
    </row>
    <row r="35" spans="2:6" x14ac:dyDescent="0.25">
      <c r="B35">
        <v>2004</v>
      </c>
      <c r="C35" s="5">
        <f t="shared" si="4"/>
        <v>10.033750000000001</v>
      </c>
      <c r="D35" s="5">
        <f>C35+(0.1*(C28+C29+C30+C32+C31))</f>
        <v>10.033750000000001</v>
      </c>
      <c r="E35" s="5">
        <f>C35+(0.75*(C28+C29+C30+C32+C31))</f>
        <v>10.033750000000001</v>
      </c>
      <c r="F35" s="5">
        <f>C35+(1*(C28+C29+C30+C32+C31))</f>
        <v>10.033750000000001</v>
      </c>
    </row>
    <row r="36" spans="2:6" x14ac:dyDescent="0.25">
      <c r="B36">
        <v>2005</v>
      </c>
      <c r="C36" s="5">
        <f t="shared" si="4"/>
        <v>40.468499999999999</v>
      </c>
      <c r="D36" s="5">
        <f>C36+(0.1*(C28+C29+C30+C31+C33+C32))</f>
        <v>40.468499999999999</v>
      </c>
      <c r="E36" s="5">
        <f>C36+(0.75*(C28+C29+C30+C31+C33+C32))</f>
        <v>40.468499999999999</v>
      </c>
      <c r="F36" s="5">
        <f>C36+(1*(C28+C29+C30+C31+C33+C32))</f>
        <v>40.468499999999999</v>
      </c>
    </row>
    <row r="37" spans="2:6" x14ac:dyDescent="0.25">
      <c r="B37">
        <v>2006</v>
      </c>
      <c r="C37" s="5">
        <f t="shared" si="4"/>
        <v>954.86800000000017</v>
      </c>
      <c r="D37" s="5">
        <f>C37+(0.1*(C28+C29+C30+C31+C32+C34+C33))</f>
        <v>954.86800000000017</v>
      </c>
      <c r="E37" s="5">
        <f>C37+(0.75*(C28+C29+C30+C31+C32+C34+C33))</f>
        <v>954.86800000000017</v>
      </c>
      <c r="F37" s="5">
        <f>C37+(1*(C28+C29+C30+C31+C32+C34+C33))</f>
        <v>954.86800000000017</v>
      </c>
    </row>
    <row r="38" spans="2:6" x14ac:dyDescent="0.25">
      <c r="B38">
        <v>2007</v>
      </c>
      <c r="C38" s="5">
        <f t="shared" si="4"/>
        <v>156.63575</v>
      </c>
      <c r="D38" s="5">
        <f>C38+(0.1*(C28+C29+C30+C31+C32+C33+C35+C34))</f>
        <v>157.63912500000001</v>
      </c>
      <c r="E38" s="5">
        <f>C38+(0.75*(C28+C29+C30+C31+C32+C33+C35+C34))</f>
        <v>164.16106250000001</v>
      </c>
      <c r="F38" s="5">
        <f>C38+(1*(C28+C29+C30+C31+C32+C33+C35+C34))</f>
        <v>166.6695</v>
      </c>
    </row>
    <row r="39" spans="2:6" x14ac:dyDescent="0.25">
      <c r="B39">
        <v>2008</v>
      </c>
      <c r="C39" s="5">
        <f t="shared" si="4"/>
        <v>63.908375000000007</v>
      </c>
      <c r="D39" s="5">
        <f>C39+(0.1*(C28+C29+C30+C31+C32+C33+C34+C36+C35))</f>
        <v>68.958600000000004</v>
      </c>
      <c r="E39" s="5">
        <f>C39+(0.75*(C28+C29+C30+C31+C32+C33+C34+C36+C35))</f>
        <v>101.78506250000001</v>
      </c>
      <c r="F39" s="5">
        <f>C39+(1*(C28+C29+C30+C31+C32+C33+C34+C36+C35))</f>
        <v>114.41062500000001</v>
      </c>
    </row>
    <row r="40" spans="2:6" x14ac:dyDescent="0.25">
      <c r="B40">
        <v>2009</v>
      </c>
      <c r="C40" s="5">
        <f t="shared" si="4"/>
        <v>17.434000000000001</v>
      </c>
      <c r="D40" s="5">
        <f>C40+(0.1*(C28+C29+C30+C31+C32+C33+C34+C35+C37+C36))</f>
        <v>117.97102500000003</v>
      </c>
      <c r="E40" s="5">
        <f>C40+(0.75*(C28+C29+C30+C31+C32+C33+C34+C35+C37+C36))</f>
        <v>771.46168750000015</v>
      </c>
      <c r="F40" s="5">
        <f>C40+(1*(C28+C29+C30+C31+C32+C33+C34+C35+C37+C36))</f>
        <v>1022.8042500000001</v>
      </c>
    </row>
    <row r="41" spans="2:6" x14ac:dyDescent="0.25">
      <c r="B41">
        <v>2010</v>
      </c>
      <c r="C41" s="5">
        <f t="shared" si="4"/>
        <v>59.926500000000004</v>
      </c>
      <c r="D41" s="5">
        <f>C41+(0.1*(C28+C29+C30+C31+C32+C33+C34+C35+C36+C38+C37))</f>
        <v>176.12710000000001</v>
      </c>
      <c r="E41" s="5">
        <f>C41+(0.75*(C28+C29+C30+C31+C32+C33+C34+C35+C36+C38+C37))</f>
        <v>931.43100000000004</v>
      </c>
      <c r="F41" s="5">
        <f>C41+(1*(C28+C29+C30+C31+C32+C33+C34+C35+C36+C38+C37))</f>
        <v>1221.9325000000001</v>
      </c>
    </row>
    <row r="42" spans="2:6" x14ac:dyDescent="0.25">
      <c r="B42">
        <v>2011</v>
      </c>
      <c r="C42" s="5">
        <f t="shared" si="4"/>
        <v>470.15450000000004</v>
      </c>
      <c r="D42" s="5">
        <f>C42+(0.1*(C28+C29+C30+C31+C32+C33+C34+C35+C36+C37+C39+C38))</f>
        <v>592.74593750000008</v>
      </c>
      <c r="E42" s="5">
        <f>C42+(0.75*(C28+C29+C30+C31+C32+C33+C34+C35+C36+C37+C39+C38))</f>
        <v>1389.5902812500001</v>
      </c>
      <c r="F42" s="5">
        <f>C42+(1*(C28+C29+C30+C31+C32+C33+C34+C35+C36+C37+C39+C38))</f>
        <v>1696.0688750000002</v>
      </c>
    </row>
    <row r="43" spans="2:6" x14ac:dyDescent="0.25">
      <c r="B43">
        <v>2012</v>
      </c>
      <c r="C43" s="5">
        <f t="shared" si="4"/>
        <v>588.58150000000012</v>
      </c>
      <c r="D43" s="5">
        <f>C43+(0.1*(C28+C29+C30+C31+C32+C33+C34+C35+C36+C37+C38+C40+C39))</f>
        <v>712.91633750000017</v>
      </c>
      <c r="E43" s="5">
        <f>C43+(0.75*(C28+C29+C30+C31+C32+C33+C34+C35+C36+C37+C38+C40+C39))</f>
        <v>1521.0927812500001</v>
      </c>
      <c r="F43" s="5">
        <f>C43+(1*(C28+C29+C30+C31+C32+C33+C34+C35+C36+C37+C38+C40+C39))</f>
        <v>1831.9298750000003</v>
      </c>
    </row>
    <row r="44" spans="2:6" x14ac:dyDescent="0.25">
      <c r="B44">
        <v>2013</v>
      </c>
      <c r="C44" s="5">
        <f t="shared" si="4"/>
        <v>381.45730000000003</v>
      </c>
      <c r="D44" s="5">
        <f>C44+(0.1*(C28+C29+C30+C31+C32+C33+C34+C35+C36+C37+C38+C39+C41+C40))</f>
        <v>511.78478750000005</v>
      </c>
      <c r="E44" s="5">
        <f>C44+(0.75*(C28+C29+C30+C31+C32+C33+C34+C35+C36+C37+C38+C39+C41+C40))</f>
        <v>1358.9134562500001</v>
      </c>
      <c r="F44" s="5">
        <f>C44+(1*(C28+C29+C30+C31+C32+C33+C34+C35+C36+C37+C38+C39+C41+C40))</f>
        <v>1684.7321750000001</v>
      </c>
    </row>
    <row r="45" spans="2:6" x14ac:dyDescent="0.25">
      <c r="B45">
        <v>2014</v>
      </c>
      <c r="C45" s="5">
        <f>F21</f>
        <v>553.54674999999997</v>
      </c>
      <c r="D45" s="5">
        <f>C45+(0.1*(C28+C29+C30+C31+C32+C33+C34+C35+C36+C37+C38+C39+C40+C42+C41))</f>
        <v>730.88968750000004</v>
      </c>
      <c r="E45" s="5">
        <f>C45+(0.75*(C28+C29+C30+C31+C32+C33+C34+C35+C36+C37+C38+C39+C40+C42+C41))</f>
        <v>1883.6187812500002</v>
      </c>
      <c r="F45" s="5">
        <f>C45+(1*(C28+C29+C30+C31+C32+C33+C34+C35+C36+C37+C38+C39+C40+C42+C41))</f>
        <v>2326.9761250000001</v>
      </c>
    </row>
    <row r="46" spans="2:6" x14ac:dyDescent="0.25">
      <c r="B46">
        <v>2015</v>
      </c>
      <c r="C46" s="5">
        <f t="shared" ref="C46:C49" si="5">F22</f>
        <v>549.37800000000016</v>
      </c>
      <c r="D46" s="5">
        <f t="shared" ref="D46:D49" si="6">C46+(0.1*(C29+C30+C31+C32+C33+C34+C35+C36+C37+C38+C39+C40+C41+C43+C42))</f>
        <v>785.57908750000024</v>
      </c>
      <c r="E46" s="5">
        <f t="shared" ref="E46:E49" si="7">C46+(0.75*(C29+C30+C31+C32+C33+C34+C35+C36+C37+C38+C39+C40+C41+C43+C42))</f>
        <v>2320.8861562500006</v>
      </c>
      <c r="F46" s="5">
        <f t="shared" ref="F46:F49" si="8">C46+(1*(C29+C30+C31+C32+C33+C34+C35+C36+C37+C38+C39+C40+C41+C43+C42))</f>
        <v>2911.3888750000006</v>
      </c>
    </row>
    <row r="47" spans="2:6" x14ac:dyDescent="0.25">
      <c r="B47">
        <v>2016</v>
      </c>
      <c r="C47" s="5">
        <f t="shared" si="5"/>
        <v>948.73850000000016</v>
      </c>
      <c r="D47" s="5">
        <f t="shared" si="6"/>
        <v>1223.0853175000002</v>
      </c>
      <c r="E47" s="5">
        <f t="shared" si="7"/>
        <v>3006.3396312500008</v>
      </c>
      <c r="F47" s="5">
        <f t="shared" si="8"/>
        <v>3692.2066750000004</v>
      </c>
    </row>
    <row r="48" spans="2:6" x14ac:dyDescent="0.25">
      <c r="B48">
        <v>2017</v>
      </c>
      <c r="C48" s="5">
        <f t="shared" si="5"/>
        <v>709.51549999999997</v>
      </c>
      <c r="D48" s="5">
        <f t="shared" si="6"/>
        <v>1039.2169925000001</v>
      </c>
      <c r="E48" s="5">
        <f t="shared" si="7"/>
        <v>3182.2766937500005</v>
      </c>
      <c r="F48" s="5">
        <f t="shared" si="8"/>
        <v>4006.5304250000004</v>
      </c>
    </row>
    <row r="49" spans="2:6" x14ac:dyDescent="0.25">
      <c r="B49">
        <v>2018</v>
      </c>
      <c r="C49" s="5">
        <f t="shared" si="5"/>
        <v>443.60100000000006</v>
      </c>
      <c r="D49" s="5">
        <f t="shared" si="6"/>
        <v>828.24029250000012</v>
      </c>
      <c r="E49" s="5">
        <f t="shared" si="7"/>
        <v>3328.3956937500006</v>
      </c>
      <c r="F49" s="5">
        <f t="shared" si="8"/>
        <v>4289.9939250000007</v>
      </c>
    </row>
  </sheetData>
  <mergeCells count="1">
    <mergeCell ref="H2:I2"/>
  </mergeCells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X19"/>
  <sheetViews>
    <sheetView workbookViewId="0">
      <selection activeCell="L13" sqref="L13"/>
    </sheetView>
  </sheetViews>
  <sheetFormatPr defaultRowHeight="15" x14ac:dyDescent="0.25"/>
  <cols>
    <col min="1" max="1" width="5" customWidth="1"/>
    <col min="2" max="2" width="12" bestFit="1" customWidth="1"/>
    <col min="3" max="3" width="6.140625" bestFit="1" customWidth="1"/>
    <col min="4" max="4" width="5.5703125" bestFit="1" customWidth="1"/>
    <col min="5" max="5" width="7" bestFit="1" customWidth="1"/>
    <col min="6" max="6" width="6.140625" bestFit="1" customWidth="1"/>
    <col min="7" max="7" width="7" bestFit="1" customWidth="1"/>
    <col min="8" max="9" width="8" bestFit="1" customWidth="1"/>
    <col min="10" max="10" width="11" bestFit="1" customWidth="1"/>
    <col min="11" max="11" width="8.5703125" bestFit="1" customWidth="1"/>
    <col min="12" max="12" width="9" bestFit="1" customWidth="1"/>
    <col min="13" max="16" width="6.140625" bestFit="1" customWidth="1"/>
    <col min="17" max="17" width="6.7109375" bestFit="1" customWidth="1"/>
    <col min="18" max="18" width="7" bestFit="1" customWidth="1"/>
    <col min="19" max="19" width="13.42578125" bestFit="1" customWidth="1"/>
    <col min="20" max="20" width="6" bestFit="1" customWidth="1"/>
    <col min="21" max="21" width="6.140625" bestFit="1" customWidth="1"/>
    <col min="22" max="22" width="14.28515625" bestFit="1" customWidth="1"/>
    <col min="23" max="23" width="15.7109375" customWidth="1"/>
    <col min="24" max="24" width="27.42578125" customWidth="1"/>
  </cols>
  <sheetData>
    <row r="1" spans="1:24" x14ac:dyDescent="0.25">
      <c r="B1" s="88" t="s">
        <v>44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</row>
    <row r="2" spans="1:24" s="3" customFormat="1" x14ac:dyDescent="0.25">
      <c r="A2" s="89" t="s">
        <v>0</v>
      </c>
      <c r="B2" s="6"/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21</v>
      </c>
      <c r="I2" s="7" t="s">
        <v>6</v>
      </c>
      <c r="J2" s="7" t="s">
        <v>7</v>
      </c>
      <c r="K2" s="7" t="s">
        <v>8</v>
      </c>
      <c r="L2" s="7" t="s">
        <v>9</v>
      </c>
      <c r="M2" s="7" t="s">
        <v>10</v>
      </c>
      <c r="N2" s="7" t="s">
        <v>11</v>
      </c>
      <c r="O2" s="7" t="s">
        <v>12</v>
      </c>
      <c r="P2" s="7" t="s">
        <v>13</v>
      </c>
      <c r="Q2" s="7" t="s">
        <v>14</v>
      </c>
      <c r="R2" s="7" t="s">
        <v>15</v>
      </c>
      <c r="S2" s="7" t="s">
        <v>16</v>
      </c>
      <c r="T2" s="7" t="s">
        <v>17</v>
      </c>
      <c r="U2" s="7" t="s">
        <v>23</v>
      </c>
      <c r="V2" s="7" t="s">
        <v>18</v>
      </c>
      <c r="W2" s="7"/>
      <c r="X2" s="7"/>
    </row>
    <row r="3" spans="1:24" x14ac:dyDescent="0.25">
      <c r="A3" s="89"/>
      <c r="B3" s="1">
        <v>2004</v>
      </c>
      <c r="C3" s="3"/>
      <c r="D3" s="3"/>
      <c r="E3" s="3"/>
      <c r="F3" s="3"/>
      <c r="G3" s="3"/>
      <c r="H3" s="59"/>
      <c r="I3" s="3"/>
      <c r="J3" s="59"/>
      <c r="K3" s="3"/>
      <c r="L3" s="3">
        <v>0</v>
      </c>
      <c r="M3" s="3"/>
      <c r="N3" s="3"/>
      <c r="O3" s="3"/>
      <c r="P3" s="3"/>
      <c r="Q3" s="3"/>
      <c r="R3" s="59"/>
      <c r="S3" s="3"/>
      <c r="T3" s="3"/>
      <c r="U3" s="3"/>
      <c r="V3" s="27">
        <f t="shared" ref="V3:V16" si="0">SUM(C3:U3)</f>
        <v>0</v>
      </c>
      <c r="W3" s="4"/>
    </row>
    <row r="4" spans="1:24" x14ac:dyDescent="0.25">
      <c r="A4" s="89"/>
      <c r="B4" s="1">
        <v>2005</v>
      </c>
      <c r="C4" s="3"/>
      <c r="D4" s="3"/>
      <c r="E4" s="3"/>
      <c r="F4" s="3"/>
      <c r="G4" s="3"/>
      <c r="H4" s="59"/>
      <c r="I4" s="3"/>
      <c r="J4" s="59"/>
      <c r="K4" s="59"/>
      <c r="L4" s="3">
        <v>0</v>
      </c>
      <c r="M4" s="3"/>
      <c r="N4" s="3"/>
      <c r="O4" s="3"/>
      <c r="P4" s="3"/>
      <c r="Q4" s="3"/>
      <c r="R4" s="59"/>
      <c r="S4" s="3"/>
      <c r="T4" s="3"/>
      <c r="U4" s="3"/>
      <c r="V4" s="27">
        <f t="shared" si="0"/>
        <v>0</v>
      </c>
      <c r="W4" s="4"/>
    </row>
    <row r="5" spans="1:24" x14ac:dyDescent="0.25">
      <c r="A5" s="89"/>
      <c r="B5" s="1">
        <v>2006</v>
      </c>
      <c r="C5" s="3"/>
      <c r="D5" s="3"/>
      <c r="E5" s="3"/>
      <c r="F5" s="3"/>
      <c r="G5" s="3"/>
      <c r="H5" s="59"/>
      <c r="I5" s="3"/>
      <c r="J5" s="59"/>
      <c r="K5" s="59"/>
      <c r="L5" s="3">
        <v>0</v>
      </c>
      <c r="M5" s="3"/>
      <c r="N5" s="3"/>
      <c r="O5" s="3"/>
      <c r="P5" s="3"/>
      <c r="Q5" s="3"/>
      <c r="R5" s="3"/>
      <c r="S5" s="3"/>
      <c r="T5" s="3"/>
      <c r="U5" s="3"/>
      <c r="V5" s="27">
        <f t="shared" si="0"/>
        <v>0</v>
      </c>
      <c r="W5" s="4"/>
    </row>
    <row r="6" spans="1:24" x14ac:dyDescent="0.25">
      <c r="A6" s="89"/>
      <c r="B6" s="1">
        <v>2007</v>
      </c>
      <c r="C6" s="3"/>
      <c r="D6" s="3"/>
      <c r="E6" s="3"/>
      <c r="F6" s="3"/>
      <c r="G6" s="3"/>
      <c r="H6" s="59"/>
      <c r="I6" s="3"/>
      <c r="J6" s="59"/>
      <c r="K6" s="3"/>
      <c r="L6" s="3">
        <v>1051.5999999999999</v>
      </c>
      <c r="M6" s="3"/>
      <c r="N6" s="3"/>
      <c r="O6" s="3"/>
      <c r="P6" s="3"/>
      <c r="Q6" s="3"/>
      <c r="R6" s="3"/>
      <c r="S6" s="3"/>
      <c r="T6" s="3"/>
      <c r="U6" s="3"/>
      <c r="V6" s="27">
        <f t="shared" si="0"/>
        <v>1051.5999999999999</v>
      </c>
      <c r="W6" s="4"/>
    </row>
    <row r="7" spans="1:24" x14ac:dyDescent="0.25">
      <c r="A7" s="89"/>
      <c r="B7" s="1">
        <v>2008</v>
      </c>
      <c r="C7" s="3"/>
      <c r="D7" s="3"/>
      <c r="E7" s="3"/>
      <c r="F7" s="3"/>
      <c r="G7" s="3"/>
      <c r="H7" s="59"/>
      <c r="I7" s="3"/>
      <c r="J7" s="59"/>
      <c r="K7" s="3"/>
      <c r="L7" s="3">
        <v>311.26</v>
      </c>
      <c r="M7" s="3"/>
      <c r="N7" s="3"/>
      <c r="O7" s="3"/>
      <c r="P7" s="3"/>
      <c r="Q7" s="3"/>
      <c r="R7" s="3"/>
      <c r="S7" s="3"/>
      <c r="T7" s="3"/>
      <c r="U7" s="3"/>
      <c r="V7" s="27">
        <f t="shared" si="0"/>
        <v>311.26</v>
      </c>
      <c r="W7" s="4"/>
    </row>
    <row r="8" spans="1:24" x14ac:dyDescent="0.25">
      <c r="A8" s="89"/>
      <c r="B8" s="1">
        <v>2009</v>
      </c>
      <c r="C8" s="3"/>
      <c r="D8" s="3"/>
      <c r="E8" s="3"/>
      <c r="F8" s="3"/>
      <c r="G8" s="3"/>
      <c r="H8" s="59"/>
      <c r="I8" s="3"/>
      <c r="J8" s="59"/>
      <c r="K8" s="3"/>
      <c r="L8" s="3">
        <v>1256.3</v>
      </c>
      <c r="M8" s="3"/>
      <c r="N8" s="3"/>
      <c r="O8" s="3"/>
      <c r="P8" s="3"/>
      <c r="Q8" s="3"/>
      <c r="R8" s="3"/>
      <c r="S8" s="3"/>
      <c r="T8" s="3"/>
      <c r="U8" s="3"/>
      <c r="V8" s="27">
        <f t="shared" si="0"/>
        <v>1256.3</v>
      </c>
      <c r="W8" s="4"/>
    </row>
    <row r="9" spans="1:24" x14ac:dyDescent="0.25">
      <c r="A9" s="89"/>
      <c r="B9" s="1">
        <v>2010</v>
      </c>
      <c r="C9" s="3"/>
      <c r="D9" s="3"/>
      <c r="E9" s="3"/>
      <c r="F9" s="3"/>
      <c r="G9" s="3"/>
      <c r="H9" s="59"/>
      <c r="I9" s="3"/>
      <c r="J9" s="59"/>
      <c r="K9" s="3"/>
      <c r="L9" s="3">
        <v>4993.3</v>
      </c>
      <c r="M9" s="3"/>
      <c r="N9" s="3"/>
      <c r="O9" s="3"/>
      <c r="P9" s="3"/>
      <c r="Q9" s="3"/>
      <c r="R9" s="3"/>
      <c r="S9" s="3"/>
      <c r="T9" s="3"/>
      <c r="U9" s="3"/>
      <c r="V9" s="27">
        <f t="shared" si="0"/>
        <v>4993.3</v>
      </c>
      <c r="W9" s="4"/>
    </row>
    <row r="10" spans="1:24" x14ac:dyDescent="0.25">
      <c r="A10" s="89"/>
      <c r="B10" s="1">
        <v>2011</v>
      </c>
      <c r="C10" s="3"/>
      <c r="D10" s="3"/>
      <c r="E10" s="3"/>
      <c r="F10" s="3"/>
      <c r="G10" s="3"/>
      <c r="H10" s="59"/>
      <c r="I10" s="3"/>
      <c r="J10" s="78">
        <v>27122</v>
      </c>
      <c r="K10" s="3"/>
      <c r="L10" s="3">
        <v>4875.2</v>
      </c>
      <c r="M10" s="3"/>
      <c r="N10" s="3"/>
      <c r="O10" s="3"/>
      <c r="P10" s="3"/>
      <c r="Q10" s="3"/>
      <c r="R10" s="3"/>
      <c r="S10" s="3"/>
      <c r="T10" s="3"/>
      <c r="U10" s="3"/>
      <c r="V10" s="27">
        <f t="shared" si="0"/>
        <v>31997.200000000001</v>
      </c>
      <c r="W10" s="4"/>
    </row>
    <row r="11" spans="1:24" x14ac:dyDescent="0.25">
      <c r="A11" s="89"/>
      <c r="B11" s="1">
        <v>2012</v>
      </c>
      <c r="C11" s="3"/>
      <c r="D11" s="3"/>
      <c r="E11" s="3"/>
      <c r="F11" s="3"/>
      <c r="G11" s="3"/>
      <c r="H11" s="59"/>
      <c r="I11" s="3"/>
      <c r="J11" s="78">
        <v>56653</v>
      </c>
      <c r="K11" s="3"/>
      <c r="L11" s="3">
        <v>2982.8</v>
      </c>
      <c r="M11" s="3"/>
      <c r="N11" s="3"/>
      <c r="O11" s="3"/>
      <c r="P11" s="3"/>
      <c r="Q11" s="3"/>
      <c r="R11" s="3"/>
      <c r="S11" s="3"/>
      <c r="T11" s="3"/>
      <c r="U11" s="3"/>
      <c r="V11" s="27">
        <f t="shared" si="0"/>
        <v>59635.8</v>
      </c>
      <c r="W11" s="4"/>
    </row>
    <row r="12" spans="1:24" x14ac:dyDescent="0.25">
      <c r="A12" s="89"/>
      <c r="B12" s="1">
        <v>2013</v>
      </c>
      <c r="C12" s="3"/>
      <c r="D12" s="3"/>
      <c r="E12" s="3"/>
      <c r="F12" s="3"/>
      <c r="G12" s="3"/>
      <c r="H12" s="59"/>
      <c r="I12" s="3"/>
      <c r="J12" s="78">
        <v>47632</v>
      </c>
      <c r="K12" s="3"/>
      <c r="L12" s="3">
        <v>2573.1999999999998</v>
      </c>
      <c r="M12" s="3"/>
      <c r="N12" s="3"/>
      <c r="O12" s="3"/>
      <c r="P12" s="3"/>
      <c r="Q12" s="3"/>
      <c r="R12" s="3"/>
      <c r="S12" s="3"/>
      <c r="T12" s="3"/>
      <c r="U12" s="3"/>
      <c r="V12" s="27">
        <f t="shared" si="0"/>
        <v>50205.2</v>
      </c>
      <c r="W12" s="4"/>
    </row>
    <row r="13" spans="1:24" x14ac:dyDescent="0.25">
      <c r="A13" s="89"/>
      <c r="B13" s="1">
        <v>2014</v>
      </c>
      <c r="C13" s="3"/>
      <c r="D13" s="3"/>
      <c r="E13" s="3"/>
      <c r="F13" s="3"/>
      <c r="G13" s="3"/>
      <c r="H13" s="3"/>
      <c r="I13" s="3"/>
      <c r="J13" s="78">
        <v>46749</v>
      </c>
      <c r="K13" s="3"/>
      <c r="L13" s="3">
        <v>1421.3999999999999</v>
      </c>
      <c r="M13" s="3"/>
      <c r="N13" s="3"/>
      <c r="O13" s="3"/>
      <c r="P13" s="3"/>
      <c r="Q13" s="3"/>
      <c r="R13" s="3"/>
      <c r="S13" s="3"/>
      <c r="T13" s="3"/>
      <c r="U13" s="3"/>
      <c r="V13" s="27">
        <f t="shared" si="0"/>
        <v>48170.400000000001</v>
      </c>
      <c r="W13" s="4"/>
    </row>
    <row r="14" spans="1:24" x14ac:dyDescent="0.25">
      <c r="B14" s="1">
        <v>2015</v>
      </c>
      <c r="C14" s="3"/>
      <c r="D14" s="3"/>
      <c r="E14" s="3"/>
      <c r="F14" s="3"/>
      <c r="G14" s="3"/>
      <c r="H14" s="3"/>
      <c r="I14" s="3"/>
      <c r="J14" s="78">
        <v>33971</v>
      </c>
      <c r="K14" s="3"/>
      <c r="L14" s="3">
        <v>1373.7999999999997</v>
      </c>
      <c r="M14" s="3"/>
      <c r="N14" s="3"/>
      <c r="O14" s="3"/>
      <c r="P14" s="3"/>
      <c r="Q14" s="3"/>
      <c r="R14" s="3"/>
      <c r="S14" s="3"/>
      <c r="T14" s="3"/>
      <c r="U14" s="3"/>
      <c r="V14" s="27">
        <f t="shared" si="0"/>
        <v>35344.800000000003</v>
      </c>
    </row>
    <row r="15" spans="1:24" x14ac:dyDescent="0.25">
      <c r="B15" s="1">
        <v>2016</v>
      </c>
      <c r="C15" s="3"/>
      <c r="D15" s="3"/>
      <c r="E15" s="3"/>
      <c r="F15" s="3"/>
      <c r="G15" s="3"/>
      <c r="H15" s="3"/>
      <c r="I15" s="3"/>
      <c r="J15" s="78">
        <v>191691</v>
      </c>
      <c r="K15" s="3"/>
      <c r="L15" s="3">
        <v>1991.7000000000003</v>
      </c>
      <c r="M15" s="3"/>
      <c r="N15" s="3"/>
      <c r="O15" s="3"/>
      <c r="P15" s="3"/>
      <c r="Q15" s="3"/>
      <c r="R15" s="3"/>
      <c r="S15" s="3"/>
      <c r="T15" s="3"/>
      <c r="U15" s="3"/>
      <c r="V15" s="27">
        <f t="shared" si="0"/>
        <v>193682.7</v>
      </c>
    </row>
    <row r="16" spans="1:24" x14ac:dyDescent="0.25">
      <c r="B16" s="1">
        <v>2017</v>
      </c>
      <c r="C16" s="3"/>
      <c r="D16" s="3"/>
      <c r="E16" s="3"/>
      <c r="F16" s="3"/>
      <c r="G16" s="3"/>
      <c r="H16" s="3"/>
      <c r="I16" s="3"/>
      <c r="J16" s="78">
        <v>101204</v>
      </c>
      <c r="K16" s="3"/>
      <c r="L16" s="3">
        <v>102.1</v>
      </c>
      <c r="M16" s="3"/>
      <c r="N16" s="3"/>
      <c r="O16" s="3"/>
      <c r="P16" s="3"/>
      <c r="Q16" s="3"/>
      <c r="R16" s="3"/>
      <c r="S16" s="3"/>
      <c r="T16" s="3"/>
      <c r="U16" s="3"/>
      <c r="V16" s="27">
        <f t="shared" si="0"/>
        <v>101306.1</v>
      </c>
    </row>
    <row r="17" spans="2:22" x14ac:dyDescent="0.25">
      <c r="B17" s="1">
        <v>2018</v>
      </c>
      <c r="C17" s="3"/>
      <c r="D17" s="3"/>
      <c r="E17" s="3"/>
      <c r="F17" s="3"/>
      <c r="G17" s="3"/>
      <c r="H17" s="3"/>
      <c r="I17" s="3"/>
      <c r="J17" s="78">
        <v>116852</v>
      </c>
      <c r="K17" s="3"/>
      <c r="L17" s="3">
        <v>660.2</v>
      </c>
      <c r="M17" s="3"/>
      <c r="N17" s="3"/>
      <c r="O17" s="3"/>
      <c r="P17" s="3"/>
      <c r="Q17" s="3"/>
      <c r="R17" s="3"/>
      <c r="S17" s="3"/>
      <c r="T17" s="3"/>
      <c r="U17" s="3"/>
      <c r="V17" s="27">
        <f>SUM(C17:U17)</f>
        <v>117512.2</v>
      </c>
    </row>
    <row r="19" spans="2:22" x14ac:dyDescent="0.25">
      <c r="B19" s="2" t="s">
        <v>19</v>
      </c>
      <c r="C19" s="3" t="s">
        <v>20</v>
      </c>
      <c r="D19" s="3" t="s">
        <v>22</v>
      </c>
      <c r="E19" s="3" t="s">
        <v>22</v>
      </c>
      <c r="F19" s="3" t="s">
        <v>20</v>
      </c>
      <c r="G19" s="3" t="s">
        <v>22</v>
      </c>
      <c r="H19" s="3" t="s">
        <v>20</v>
      </c>
      <c r="I19" s="3" t="s">
        <v>20</v>
      </c>
      <c r="J19" s="3" t="s">
        <v>20</v>
      </c>
      <c r="K19" s="3" t="s">
        <v>20</v>
      </c>
      <c r="L19" s="3" t="s">
        <v>22</v>
      </c>
      <c r="M19" s="3" t="s">
        <v>20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22</v>
      </c>
      <c r="U19" s="3" t="s">
        <v>20</v>
      </c>
    </row>
  </sheetData>
  <mergeCells count="2">
    <mergeCell ref="B1:U1"/>
    <mergeCell ref="A2:A13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K49"/>
  <sheetViews>
    <sheetView workbookViewId="0">
      <selection activeCell="E5" sqref="E5"/>
    </sheetView>
  </sheetViews>
  <sheetFormatPr defaultRowHeight="15" x14ac:dyDescent="0.25"/>
  <cols>
    <col min="2" max="2" width="21" customWidth="1"/>
    <col min="3" max="3" width="20.140625" customWidth="1"/>
    <col min="4" max="4" width="14.140625" customWidth="1"/>
    <col min="5" max="5" width="30.140625" customWidth="1"/>
    <col min="6" max="6" width="45.42578125" customWidth="1"/>
    <col min="7" max="7" width="15.42578125" customWidth="1"/>
    <col min="8" max="8" width="12" customWidth="1"/>
    <col min="9" max="9" width="17.42578125" customWidth="1"/>
    <col min="10" max="10" width="16.85546875" customWidth="1"/>
    <col min="11" max="11" width="16.42578125" customWidth="1"/>
  </cols>
  <sheetData>
    <row r="1" spans="1:11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11"/>
      <c r="B2" s="12"/>
      <c r="C2" s="11"/>
      <c r="D2" s="12"/>
      <c r="E2" s="11"/>
      <c r="F2" s="11"/>
      <c r="G2" s="11"/>
      <c r="H2" s="90" t="s">
        <v>25</v>
      </c>
      <c r="I2" s="91"/>
      <c r="J2" s="12"/>
      <c r="K2" s="13"/>
    </row>
    <row r="3" spans="1:11" x14ac:dyDescent="0.25">
      <c r="A3" s="11"/>
      <c r="B3" s="14" t="s">
        <v>26</v>
      </c>
      <c r="C3" s="14" t="s">
        <v>27</v>
      </c>
      <c r="D3" s="14" t="s">
        <v>28</v>
      </c>
      <c r="E3" s="14" t="s">
        <v>29</v>
      </c>
      <c r="F3" s="14" t="s">
        <v>30</v>
      </c>
      <c r="G3" s="11"/>
      <c r="H3" s="12"/>
      <c r="I3" s="12"/>
      <c r="J3" s="12"/>
      <c r="K3" s="13"/>
    </row>
    <row r="4" spans="1:11" x14ac:dyDescent="0.25">
      <c r="A4" s="11"/>
      <c r="B4" s="16">
        <v>1997</v>
      </c>
      <c r="C4" s="17"/>
      <c r="D4" s="18" t="s">
        <v>32</v>
      </c>
      <c r="E4" s="19">
        <v>7.5490000000000002E-2</v>
      </c>
      <c r="F4" s="20">
        <f t="shared" ref="F4:F25" si="0">C4*E4</f>
        <v>0</v>
      </c>
      <c r="G4" s="11"/>
      <c r="H4" s="12"/>
      <c r="I4" s="12"/>
      <c r="J4" s="12"/>
      <c r="K4" s="13"/>
    </row>
    <row r="5" spans="1:11" x14ac:dyDescent="0.25">
      <c r="A5" s="11"/>
      <c r="B5" s="16">
        <v>1998</v>
      </c>
      <c r="C5" s="17"/>
      <c r="D5" s="18" t="s">
        <v>32</v>
      </c>
      <c r="E5" s="19">
        <f t="shared" ref="E5:E25" si="1">$E$4</f>
        <v>7.5490000000000002E-2</v>
      </c>
      <c r="F5" s="20">
        <f t="shared" si="0"/>
        <v>0</v>
      </c>
      <c r="G5" s="11"/>
      <c r="H5" s="12"/>
      <c r="I5" s="12"/>
      <c r="J5" s="12"/>
      <c r="K5" s="13"/>
    </row>
    <row r="6" spans="1:11" x14ac:dyDescent="0.25">
      <c r="A6" s="11"/>
      <c r="B6" s="16">
        <v>1999</v>
      </c>
      <c r="C6" s="17"/>
      <c r="D6" s="18" t="s">
        <v>32</v>
      </c>
      <c r="E6" s="19">
        <f t="shared" si="1"/>
        <v>7.5490000000000002E-2</v>
      </c>
      <c r="F6" s="20">
        <f t="shared" si="0"/>
        <v>0</v>
      </c>
      <c r="G6" s="11"/>
      <c r="H6" s="12"/>
      <c r="I6" s="12"/>
      <c r="J6" s="12"/>
      <c r="K6" s="13"/>
    </row>
    <row r="7" spans="1:11" x14ac:dyDescent="0.25">
      <c r="A7" s="11"/>
      <c r="B7" s="16">
        <v>2000</v>
      </c>
      <c r="C7" s="17"/>
      <c r="D7" s="18" t="s">
        <v>32</v>
      </c>
      <c r="E7" s="19">
        <f t="shared" si="1"/>
        <v>7.5490000000000002E-2</v>
      </c>
      <c r="F7" s="20">
        <f t="shared" si="0"/>
        <v>0</v>
      </c>
      <c r="G7" s="11"/>
      <c r="H7" s="12"/>
      <c r="I7" s="12"/>
      <c r="J7" s="12"/>
      <c r="K7" s="13"/>
    </row>
    <row r="8" spans="1:11" x14ac:dyDescent="0.25">
      <c r="A8" s="11"/>
      <c r="B8" s="16">
        <v>2001</v>
      </c>
      <c r="C8" s="17"/>
      <c r="D8" s="18" t="s">
        <v>32</v>
      </c>
      <c r="E8" s="19">
        <f t="shared" si="1"/>
        <v>7.5490000000000002E-2</v>
      </c>
      <c r="F8" s="20">
        <f t="shared" si="0"/>
        <v>0</v>
      </c>
      <c r="G8" s="11"/>
      <c r="H8" s="12"/>
      <c r="I8" s="12"/>
      <c r="J8" s="12"/>
      <c r="K8" s="13"/>
    </row>
    <row r="9" spans="1:11" x14ac:dyDescent="0.25">
      <c r="A9" s="11"/>
      <c r="B9" s="16">
        <v>2002</v>
      </c>
      <c r="C9" s="17"/>
      <c r="D9" s="18" t="s">
        <v>32</v>
      </c>
      <c r="E9" s="19">
        <f t="shared" si="1"/>
        <v>7.5490000000000002E-2</v>
      </c>
      <c r="F9" s="20">
        <f t="shared" si="0"/>
        <v>0</v>
      </c>
      <c r="G9" s="11"/>
      <c r="H9" s="12"/>
      <c r="I9" s="12"/>
      <c r="J9" s="12"/>
      <c r="K9" s="13"/>
    </row>
    <row r="10" spans="1:11" x14ac:dyDescent="0.25">
      <c r="A10" s="11"/>
      <c r="B10" s="16">
        <v>2003</v>
      </c>
      <c r="C10" s="17"/>
      <c r="D10" s="18" t="s">
        <v>32</v>
      </c>
      <c r="E10" s="19">
        <f t="shared" si="1"/>
        <v>7.5490000000000002E-2</v>
      </c>
      <c r="F10" s="20">
        <f t="shared" si="0"/>
        <v>0</v>
      </c>
      <c r="G10" s="11"/>
      <c r="H10" s="12"/>
      <c r="I10" s="12"/>
      <c r="J10" s="12"/>
      <c r="K10" s="13"/>
    </row>
    <row r="11" spans="1:11" x14ac:dyDescent="0.25">
      <c r="A11" s="11"/>
      <c r="B11" s="16">
        <v>2004</v>
      </c>
      <c r="C11" s="17">
        <f>H11</f>
        <v>0</v>
      </c>
      <c r="D11" s="18" t="s">
        <v>32</v>
      </c>
      <c r="E11" s="19">
        <f t="shared" si="1"/>
        <v>7.5490000000000002E-2</v>
      </c>
      <c r="F11" s="20">
        <f t="shared" si="0"/>
        <v>0</v>
      </c>
      <c r="G11" s="11"/>
      <c r="H11" s="12">
        <f>'CO Summary Sheet CPS 345'!V3</f>
        <v>0</v>
      </c>
      <c r="I11" s="45"/>
      <c r="J11" s="12"/>
      <c r="K11" s="13"/>
    </row>
    <row r="12" spans="1:11" x14ac:dyDescent="0.25">
      <c r="A12" s="11"/>
      <c r="B12" s="16">
        <v>2005</v>
      </c>
      <c r="C12" s="17">
        <f t="shared" ref="C12:C25" si="2">H12</f>
        <v>0</v>
      </c>
      <c r="D12" s="18" t="s">
        <v>32</v>
      </c>
      <c r="E12" s="19">
        <f t="shared" si="1"/>
        <v>7.5490000000000002E-2</v>
      </c>
      <c r="F12" s="20">
        <f t="shared" si="0"/>
        <v>0</v>
      </c>
      <c r="G12" s="11"/>
      <c r="H12" s="12">
        <f>'CO Summary Sheet CPS 345'!V4</f>
        <v>0</v>
      </c>
      <c r="I12" s="60"/>
      <c r="J12" s="12"/>
      <c r="K12" s="13"/>
    </row>
    <row r="13" spans="1:11" x14ac:dyDescent="0.25">
      <c r="A13" s="11"/>
      <c r="B13" s="16">
        <v>2006</v>
      </c>
      <c r="C13" s="17">
        <f t="shared" si="2"/>
        <v>0</v>
      </c>
      <c r="D13" s="18" t="s">
        <v>32</v>
      </c>
      <c r="E13" s="19">
        <f t="shared" si="1"/>
        <v>7.5490000000000002E-2</v>
      </c>
      <c r="F13" s="20">
        <f t="shared" si="0"/>
        <v>0</v>
      </c>
      <c r="G13" s="11"/>
      <c r="H13" s="12">
        <f>'CO Summary Sheet CPS 345'!V5</f>
        <v>0</v>
      </c>
      <c r="I13" s="46"/>
      <c r="J13" s="12"/>
      <c r="K13" s="13"/>
    </row>
    <row r="14" spans="1:11" x14ac:dyDescent="0.25">
      <c r="A14" s="11"/>
      <c r="B14" s="16">
        <v>2007</v>
      </c>
      <c r="C14" s="17">
        <f t="shared" si="2"/>
        <v>1051.5999999999999</v>
      </c>
      <c r="D14" s="18" t="s">
        <v>32</v>
      </c>
      <c r="E14" s="19">
        <f t="shared" si="1"/>
        <v>7.5490000000000002E-2</v>
      </c>
      <c r="F14" s="20">
        <f t="shared" si="0"/>
        <v>79.385283999999999</v>
      </c>
      <c r="G14" s="11"/>
      <c r="H14" s="12">
        <f>'CO Summary Sheet CPS 345'!V6</f>
        <v>1051.5999999999999</v>
      </c>
      <c r="I14" s="46"/>
      <c r="J14" s="12"/>
      <c r="K14" s="13"/>
    </row>
    <row r="15" spans="1:11" x14ac:dyDescent="0.25">
      <c r="A15" s="11"/>
      <c r="B15" s="16">
        <v>2008</v>
      </c>
      <c r="C15" s="17">
        <f t="shared" si="2"/>
        <v>311.26</v>
      </c>
      <c r="D15" s="18" t="s">
        <v>32</v>
      </c>
      <c r="E15" s="19">
        <f t="shared" si="1"/>
        <v>7.5490000000000002E-2</v>
      </c>
      <c r="F15" s="20">
        <f t="shared" si="0"/>
        <v>23.497017400000001</v>
      </c>
      <c r="G15" s="11"/>
      <c r="H15" s="12">
        <f>'CO Summary Sheet CPS 345'!V7</f>
        <v>311.26</v>
      </c>
      <c r="I15" s="46"/>
      <c r="J15" s="12"/>
      <c r="K15" s="13"/>
    </row>
    <row r="16" spans="1:11" x14ac:dyDescent="0.25">
      <c r="A16" s="11"/>
      <c r="B16" s="16">
        <v>2009</v>
      </c>
      <c r="C16" s="17">
        <f t="shared" si="2"/>
        <v>1256.3</v>
      </c>
      <c r="D16" s="18" t="s">
        <v>32</v>
      </c>
      <c r="E16" s="19">
        <f t="shared" si="1"/>
        <v>7.5490000000000002E-2</v>
      </c>
      <c r="F16" s="20">
        <f t="shared" si="0"/>
        <v>94.838087000000002</v>
      </c>
      <c r="G16" s="11"/>
      <c r="H16" s="12">
        <f>'CO Summary Sheet CPS 345'!V8</f>
        <v>1256.3</v>
      </c>
      <c r="I16" s="46"/>
      <c r="J16" s="12"/>
      <c r="K16" s="13"/>
    </row>
    <row r="17" spans="1:11" x14ac:dyDescent="0.25">
      <c r="A17" s="11"/>
      <c r="B17" s="16">
        <v>2010</v>
      </c>
      <c r="C17" s="17">
        <f t="shared" si="2"/>
        <v>4993.3</v>
      </c>
      <c r="D17" s="18" t="s">
        <v>32</v>
      </c>
      <c r="E17" s="19">
        <f t="shared" si="1"/>
        <v>7.5490000000000002E-2</v>
      </c>
      <c r="F17" s="20">
        <f t="shared" si="0"/>
        <v>376.94421700000004</v>
      </c>
      <c r="G17" s="11"/>
      <c r="H17" s="12">
        <f>'CO Summary Sheet CPS 345'!V9</f>
        <v>4993.3</v>
      </c>
      <c r="I17" s="46"/>
      <c r="J17" s="12"/>
      <c r="K17" s="13"/>
    </row>
    <row r="18" spans="1:11" x14ac:dyDescent="0.25">
      <c r="A18" s="11"/>
      <c r="B18" s="16">
        <v>2011</v>
      </c>
      <c r="C18" s="17">
        <f t="shared" si="2"/>
        <v>31997.200000000001</v>
      </c>
      <c r="D18" s="18" t="s">
        <v>32</v>
      </c>
      <c r="E18" s="19">
        <f t="shared" si="1"/>
        <v>7.5490000000000002E-2</v>
      </c>
      <c r="F18" s="20">
        <f t="shared" si="0"/>
        <v>2415.4686280000001</v>
      </c>
      <c r="G18" s="11"/>
      <c r="H18" s="12">
        <f>'CO Summary Sheet CPS 345'!V10</f>
        <v>31997.200000000001</v>
      </c>
      <c r="I18" s="46"/>
      <c r="J18" s="12"/>
      <c r="K18" s="13"/>
    </row>
    <row r="19" spans="1:11" x14ac:dyDescent="0.25">
      <c r="A19" s="11"/>
      <c r="B19" s="16">
        <v>2012</v>
      </c>
      <c r="C19" s="17">
        <f t="shared" si="2"/>
        <v>59635.8</v>
      </c>
      <c r="D19" s="18" t="s">
        <v>32</v>
      </c>
      <c r="E19" s="19">
        <f t="shared" si="1"/>
        <v>7.5490000000000002E-2</v>
      </c>
      <c r="F19" s="20">
        <f t="shared" si="0"/>
        <v>4501.9065420000006</v>
      </c>
      <c r="G19" s="11"/>
      <c r="H19" s="12">
        <f>'CO Summary Sheet CPS 345'!V11</f>
        <v>59635.8</v>
      </c>
      <c r="I19" s="46"/>
      <c r="J19" s="12"/>
      <c r="K19" s="13"/>
    </row>
    <row r="20" spans="1:11" s="22" customFormat="1" x14ac:dyDescent="0.25">
      <c r="A20" s="11"/>
      <c r="B20" s="16">
        <v>2013</v>
      </c>
      <c r="C20" s="17">
        <f t="shared" si="2"/>
        <v>50205.2</v>
      </c>
      <c r="D20" s="18" t="s">
        <v>32</v>
      </c>
      <c r="E20" s="19">
        <f t="shared" si="1"/>
        <v>7.5490000000000002E-2</v>
      </c>
      <c r="F20" s="20">
        <f t="shared" si="0"/>
        <v>3789.9905479999998</v>
      </c>
      <c r="G20" s="11"/>
      <c r="H20" s="12">
        <f>'CO Summary Sheet CPS 345'!V12</f>
        <v>50205.2</v>
      </c>
      <c r="I20" s="46"/>
      <c r="J20" s="12"/>
      <c r="K20" s="13"/>
    </row>
    <row r="21" spans="1:11" x14ac:dyDescent="0.25">
      <c r="B21" s="16">
        <v>2014</v>
      </c>
      <c r="C21" s="17">
        <f t="shared" si="2"/>
        <v>48170.400000000001</v>
      </c>
      <c r="D21" s="18" t="s">
        <v>32</v>
      </c>
      <c r="E21" s="19">
        <f t="shared" si="1"/>
        <v>7.5490000000000002E-2</v>
      </c>
      <c r="F21" s="20">
        <f t="shared" si="0"/>
        <v>3636.3834960000004</v>
      </c>
      <c r="H21" s="12">
        <f>'CO Summary Sheet CPS 345'!V13</f>
        <v>48170.400000000001</v>
      </c>
      <c r="I21" s="46"/>
      <c r="J21" s="12"/>
    </row>
    <row r="22" spans="1:11" x14ac:dyDescent="0.25">
      <c r="B22" s="16">
        <v>2015</v>
      </c>
      <c r="C22" s="17">
        <f t="shared" si="2"/>
        <v>35344.800000000003</v>
      </c>
      <c r="D22" s="18" t="s">
        <v>32</v>
      </c>
      <c r="E22" s="19">
        <f t="shared" si="1"/>
        <v>7.5490000000000002E-2</v>
      </c>
      <c r="F22" s="20">
        <f t="shared" si="0"/>
        <v>2668.1789520000002</v>
      </c>
      <c r="H22" s="12">
        <f>'CO Summary Sheet CPS 345'!V14</f>
        <v>35344.800000000003</v>
      </c>
      <c r="I22" s="76"/>
      <c r="J22" s="68"/>
    </row>
    <row r="23" spans="1:11" x14ac:dyDescent="0.25">
      <c r="B23" s="16">
        <v>2016</v>
      </c>
      <c r="C23" s="17">
        <f t="shared" si="2"/>
        <v>193682.7</v>
      </c>
      <c r="D23" s="18" t="s">
        <v>32</v>
      </c>
      <c r="E23" s="19">
        <f t="shared" si="1"/>
        <v>7.5490000000000002E-2</v>
      </c>
      <c r="F23" s="20">
        <f t="shared" si="0"/>
        <v>14621.107023</v>
      </c>
      <c r="H23" s="12">
        <f>'CO Summary Sheet CPS 345'!V15</f>
        <v>193682.7</v>
      </c>
      <c r="I23" s="76"/>
      <c r="J23" s="68"/>
    </row>
    <row r="24" spans="1:11" x14ac:dyDescent="0.25">
      <c r="B24" s="16">
        <v>2017</v>
      </c>
      <c r="C24" s="17">
        <f t="shared" si="2"/>
        <v>101306.1</v>
      </c>
      <c r="D24" s="18" t="s">
        <v>32</v>
      </c>
      <c r="E24" s="19">
        <f t="shared" si="1"/>
        <v>7.5490000000000002E-2</v>
      </c>
      <c r="F24" s="20">
        <f t="shared" si="0"/>
        <v>7647.5974890000007</v>
      </c>
      <c r="H24" s="12">
        <f>'CO Summary Sheet CPS 345'!V16</f>
        <v>101306.1</v>
      </c>
      <c r="I24" s="76"/>
      <c r="J24" s="68"/>
    </row>
    <row r="25" spans="1:11" x14ac:dyDescent="0.25">
      <c r="B25" s="16">
        <v>2018</v>
      </c>
      <c r="C25" s="17">
        <f t="shared" si="2"/>
        <v>117512.2</v>
      </c>
      <c r="D25" s="18" t="s">
        <v>32</v>
      </c>
      <c r="E25" s="19">
        <f t="shared" si="1"/>
        <v>7.5490000000000002E-2</v>
      </c>
      <c r="F25" s="20">
        <f t="shared" si="0"/>
        <v>8870.9959780000008</v>
      </c>
      <c r="H25" s="12">
        <f>'CO Summary Sheet CPS 345'!V17</f>
        <v>117512.2</v>
      </c>
      <c r="I25" s="76"/>
      <c r="J25" s="68"/>
    </row>
    <row r="26" spans="1:11" x14ac:dyDescent="0.25">
      <c r="C26" s="17">
        <f>SUM(C11:C21)</f>
        <v>197621.06</v>
      </c>
    </row>
    <row r="27" spans="1:11" ht="78.75" customHeight="1" x14ac:dyDescent="0.25">
      <c r="B27" s="23" t="s">
        <v>0</v>
      </c>
      <c r="C27" s="23" t="s">
        <v>33</v>
      </c>
      <c r="D27" s="23" t="s">
        <v>34</v>
      </c>
      <c r="E27" s="23" t="s">
        <v>35</v>
      </c>
      <c r="F27" s="23" t="s">
        <v>36</v>
      </c>
    </row>
    <row r="28" spans="1:11" x14ac:dyDescent="0.25">
      <c r="B28">
        <v>1997</v>
      </c>
      <c r="C28" s="5">
        <f>F4</f>
        <v>0</v>
      </c>
    </row>
    <row r="29" spans="1:11" x14ac:dyDescent="0.25">
      <c r="B29">
        <v>1998</v>
      </c>
      <c r="C29" s="5">
        <f t="shared" ref="C29:C44" si="3">F5</f>
        <v>0</v>
      </c>
    </row>
    <row r="30" spans="1:11" x14ac:dyDescent="0.25">
      <c r="B30">
        <v>1999</v>
      </c>
      <c r="C30" s="5">
        <f t="shared" si="3"/>
        <v>0</v>
      </c>
    </row>
    <row r="31" spans="1:11" x14ac:dyDescent="0.25">
      <c r="B31">
        <v>2000</v>
      </c>
      <c r="C31" s="5">
        <f t="shared" si="3"/>
        <v>0</v>
      </c>
      <c r="D31" s="5">
        <f>C31+(0.5*C28)</f>
        <v>0</v>
      </c>
      <c r="E31" s="5">
        <f>C31+(0.75*C28)</f>
        <v>0</v>
      </c>
      <c r="F31" s="5">
        <f>C31+(1*C28)</f>
        <v>0</v>
      </c>
    </row>
    <row r="32" spans="1:11" x14ac:dyDescent="0.25">
      <c r="B32">
        <v>2001</v>
      </c>
      <c r="C32" s="5">
        <f t="shared" si="3"/>
        <v>0</v>
      </c>
      <c r="D32" s="5">
        <f>C32+(0.5*(C29+C28))</f>
        <v>0</v>
      </c>
      <c r="E32" s="5">
        <f>C32+(0.75*(C29+C28))</f>
        <v>0</v>
      </c>
      <c r="F32" s="5">
        <f>C32+(1*(C29+C28))</f>
        <v>0</v>
      </c>
    </row>
    <row r="33" spans="2:6" x14ac:dyDescent="0.25">
      <c r="B33">
        <v>2002</v>
      </c>
      <c r="C33" s="5">
        <f t="shared" si="3"/>
        <v>0</v>
      </c>
      <c r="D33" s="5">
        <f>C33+(0.5*(C28+C30+C29))</f>
        <v>0</v>
      </c>
      <c r="E33" s="5">
        <f>C33+(0.75*(C28+C30+C29))</f>
        <v>0</v>
      </c>
      <c r="F33" s="5">
        <f>C33+(1*(C28+C30+C29))</f>
        <v>0</v>
      </c>
    </row>
    <row r="34" spans="2:6" x14ac:dyDescent="0.25">
      <c r="B34">
        <v>2003</v>
      </c>
      <c r="C34" s="5">
        <f t="shared" si="3"/>
        <v>0</v>
      </c>
      <c r="D34" s="5">
        <f>C34+(0.5*(C28+C29+C31+C30))</f>
        <v>0</v>
      </c>
      <c r="E34" s="5">
        <f>C34+(0.75*(C28+C29+C31+C30))</f>
        <v>0</v>
      </c>
      <c r="F34" s="5">
        <f>C34+(1*(C28+C29+C31+C30))</f>
        <v>0</v>
      </c>
    </row>
    <row r="35" spans="2:6" x14ac:dyDescent="0.25">
      <c r="B35">
        <v>2004</v>
      </c>
      <c r="C35" s="5">
        <f t="shared" si="3"/>
        <v>0</v>
      </c>
      <c r="D35" s="5">
        <f>C35+(0.5*(C28+C29+C30+C32+C31))</f>
        <v>0</v>
      </c>
      <c r="E35" s="5">
        <f>C35+(0.75*(C28+C29+C30+C32+C31))</f>
        <v>0</v>
      </c>
      <c r="F35" s="5">
        <f>C35+(1*(C28+C29+C30+C32+C31))</f>
        <v>0</v>
      </c>
    </row>
    <row r="36" spans="2:6" x14ac:dyDescent="0.25">
      <c r="B36">
        <v>2005</v>
      </c>
      <c r="C36" s="5">
        <f t="shared" si="3"/>
        <v>0</v>
      </c>
      <c r="D36" s="5">
        <f>C36+(0.5*(C28+C29+C30+C31+C33+C32))</f>
        <v>0</v>
      </c>
      <c r="E36" s="5">
        <f>C36+(0.75*(C28+C29+C30+C31+C33+C32))</f>
        <v>0</v>
      </c>
      <c r="F36" s="5">
        <f>C36+(1*(C28+C29+C30+C31+C33+C32))</f>
        <v>0</v>
      </c>
    </row>
    <row r="37" spans="2:6" x14ac:dyDescent="0.25">
      <c r="B37">
        <v>2006</v>
      </c>
      <c r="C37" s="5">
        <f t="shared" si="3"/>
        <v>0</v>
      </c>
      <c r="D37" s="5">
        <f>C37+(0.5*(C28+C29+C30+C31+C32+C34+C33))</f>
        <v>0</v>
      </c>
      <c r="E37" s="5">
        <f>C37+(0.75*(C28+C29+C30+C31+C32+C34+C33))</f>
        <v>0</v>
      </c>
      <c r="F37" s="5">
        <f>C37+(1*(C28+C29+C30+C31+C32+C34+C33))</f>
        <v>0</v>
      </c>
    </row>
    <row r="38" spans="2:6" x14ac:dyDescent="0.25">
      <c r="B38">
        <v>2007</v>
      </c>
      <c r="C38" s="5">
        <f t="shared" si="3"/>
        <v>79.385283999999999</v>
      </c>
      <c r="D38" s="5">
        <f>C38+(0.5*(C28+C29+C30+C31+C32+C33+C35+C34))</f>
        <v>79.385283999999999</v>
      </c>
      <c r="E38" s="5">
        <f>C38+(0.75*(C28+C29+C30+C31+C32+C33+C35+C34))</f>
        <v>79.385283999999999</v>
      </c>
      <c r="F38" s="5">
        <f>C38+(1*(C28+C29+C30+C31+C32+C33+C35+C34))</f>
        <v>79.385283999999999</v>
      </c>
    </row>
    <row r="39" spans="2:6" x14ac:dyDescent="0.25">
      <c r="B39">
        <v>2008</v>
      </c>
      <c r="C39" s="5">
        <f t="shared" si="3"/>
        <v>23.497017400000001</v>
      </c>
      <c r="D39" s="5">
        <f>C39+(0.5*(C28+C29+C30+C31+C32+C33+C34+C36+C35))</f>
        <v>23.497017400000001</v>
      </c>
      <c r="E39" s="5">
        <f>C39+(0.75*(C28+C29+C30+C31+C32+C33+C34+C36+C35))</f>
        <v>23.497017400000001</v>
      </c>
      <c r="F39" s="5">
        <f>C39+(1*(C28+C29+C30+C31+C32+C33+C34+C36+C35))</f>
        <v>23.497017400000001</v>
      </c>
    </row>
    <row r="40" spans="2:6" x14ac:dyDescent="0.25">
      <c r="B40">
        <v>2009</v>
      </c>
      <c r="C40" s="5">
        <f t="shared" si="3"/>
        <v>94.838087000000002</v>
      </c>
      <c r="D40" s="5">
        <f>C40+(0.5*(C28+C29+C30+C31+C32+C33+C34+C35+C37+C36))</f>
        <v>94.838087000000002</v>
      </c>
      <c r="E40" s="5">
        <f>C40+(0.75*(C28+C29+C30+C31+C32+C33+C34+C35+C37+C36))</f>
        <v>94.838087000000002</v>
      </c>
      <c r="F40" s="5">
        <f>C40+(1*(C28+C29+C30+C31+C32+C33+C34+C35+C37+C36))</f>
        <v>94.838087000000002</v>
      </c>
    </row>
    <row r="41" spans="2:6" x14ac:dyDescent="0.25">
      <c r="B41">
        <v>2010</v>
      </c>
      <c r="C41" s="5">
        <f t="shared" si="3"/>
        <v>376.94421700000004</v>
      </c>
      <c r="D41" s="5">
        <f>C41+(0.5*(C28+C29+C30+C31+C32+C33+C34+C35+C36+C38+C37))</f>
        <v>416.63685900000002</v>
      </c>
      <c r="E41" s="5">
        <f>C41+(0.75*(C28+C29+C30+C31+C32+C33+C34+C35+C36+C38+C37))</f>
        <v>436.48318000000006</v>
      </c>
      <c r="F41" s="5">
        <f>C41+(1*(C28+C29+C30+C31+C32+C33+C34+C35+C36+C38+C37))</f>
        <v>456.32950100000005</v>
      </c>
    </row>
    <row r="42" spans="2:6" x14ac:dyDescent="0.25">
      <c r="B42">
        <v>2011</v>
      </c>
      <c r="C42" s="5">
        <f t="shared" si="3"/>
        <v>2415.4686280000001</v>
      </c>
      <c r="D42" s="5">
        <f>C42+(0.5*(C28+C29+C30+C31+C32+C33+C34+C35+C36+C37+C39+C38))</f>
        <v>2466.9097787000001</v>
      </c>
      <c r="E42" s="5">
        <f>C42+(0.75*(C28+C29+C30+C31+C32+C33+C34+C35+C36+C37+C39+C38))</f>
        <v>2492.6303540500003</v>
      </c>
      <c r="F42" s="5">
        <f>C42+(1*(C28+C29+C30+C31+C32+C33+C34+C35+C36+C37+C39+C38))</f>
        <v>2518.3509294</v>
      </c>
    </row>
    <row r="43" spans="2:6" x14ac:dyDescent="0.25">
      <c r="B43">
        <v>2012</v>
      </c>
      <c r="C43" s="5">
        <f t="shared" si="3"/>
        <v>4501.9065420000006</v>
      </c>
      <c r="D43" s="5">
        <f>C43+(0.5*(C28+C29+C30+C31+C32+C33+C34+C35+C36+C37+C38+C40+C39))</f>
        <v>4600.7667362000002</v>
      </c>
      <c r="E43" s="5">
        <f>C43+(0.75*(C28+C29+C30+C31+C32+C33+C34+C35+C36+C37+C38+C40+C39))</f>
        <v>4650.1968333000004</v>
      </c>
      <c r="F43" s="5">
        <f>C43+(1*(C28+C29+C30+C31+C32+C33+C34+C35+C36+C37+C38+C40+C39))</f>
        <v>4699.6269304000007</v>
      </c>
    </row>
    <row r="44" spans="2:6" x14ac:dyDescent="0.25">
      <c r="B44">
        <v>2013</v>
      </c>
      <c r="C44" s="5">
        <f t="shared" si="3"/>
        <v>3789.9905479999998</v>
      </c>
      <c r="D44" s="5">
        <f>C44+(0.5*(C28+C29+C30+C31+C32+C33+C34+C35+C36+C37+C38+C39+C41+C40))</f>
        <v>4077.3228506999999</v>
      </c>
      <c r="E44" s="5">
        <f>C44+(0.75*(C28+C29+C30+C31+C32+C33+C34+C35+C36+C37+C38+C39+C41+C40))</f>
        <v>4220.9890020499997</v>
      </c>
      <c r="F44" s="5">
        <f>C44+(1*(C28+C29+C30+C31+C32+C33+C34+C35+C36+C37+C38+C39+C41+C40))</f>
        <v>4364.6551534</v>
      </c>
    </row>
    <row r="45" spans="2:6" x14ac:dyDescent="0.25">
      <c r="B45">
        <v>2014</v>
      </c>
      <c r="C45" s="5">
        <f>F21</f>
        <v>3636.3834960000004</v>
      </c>
      <c r="D45" s="5">
        <f>C45+(0.5*(C28+C29+C30+C31+C32+C33+C34+C35+C36+C37+C38+C39+C40+C42+C41))</f>
        <v>5131.4501127000003</v>
      </c>
      <c r="E45" s="5">
        <f>C45+(0.75*(C28+C29+C30+C31+C32+C33+C34+C35+C36+C37+C38+C39+C40+C42+C41))</f>
        <v>5878.9834210500012</v>
      </c>
      <c r="F45" s="5">
        <f>C45+(1*(C28+C29+C30+C31+C32+C33+C34+C35+C36+C37+C38+C39+C40+C42+C41))</f>
        <v>6626.5167294000003</v>
      </c>
    </row>
    <row r="46" spans="2:6" x14ac:dyDescent="0.25">
      <c r="B46">
        <v>2015</v>
      </c>
      <c r="C46" s="5">
        <f t="shared" ref="C46:C49" si="4">F22</f>
        <v>2668.1789520000002</v>
      </c>
      <c r="D46" s="5">
        <f t="shared" ref="D46:D49" si="5">C46+(0.5*(C29+C30+C31+C32+C33+C34+C35+C36+C37+C38+C39+C40+C41+C43+C42))</f>
        <v>6414.1988397000005</v>
      </c>
      <c r="E46" s="5">
        <f t="shared" ref="E46:E49" si="6">C46+(0.75*(C29+C30+C31+C32+C33+C34+C35+C36+C37+C38+C39+C40+C41+C43+C42))</f>
        <v>8287.2087835500006</v>
      </c>
      <c r="F46" s="5">
        <f t="shared" ref="F46:F49" si="7">C46+(1*(C29+C30+C31+C32+C33+C34+C35+C36+C37+C38+C39+C40+C41+C43+C42))</f>
        <v>10160.218727400001</v>
      </c>
    </row>
    <row r="47" spans="2:6" x14ac:dyDescent="0.25">
      <c r="B47">
        <v>2016</v>
      </c>
      <c r="C47" s="5">
        <f t="shared" si="4"/>
        <v>14621.107023</v>
      </c>
      <c r="D47" s="5">
        <f t="shared" si="5"/>
        <v>20262.122184700002</v>
      </c>
      <c r="E47" s="5">
        <f t="shared" si="6"/>
        <v>23082.629765550002</v>
      </c>
      <c r="F47" s="5">
        <f t="shared" si="7"/>
        <v>25903.137346399999</v>
      </c>
    </row>
    <row r="48" spans="2:6" x14ac:dyDescent="0.25">
      <c r="B48">
        <v>2017</v>
      </c>
      <c r="C48" s="5">
        <f t="shared" si="4"/>
        <v>7647.5974890000007</v>
      </c>
      <c r="D48" s="5">
        <f t="shared" si="5"/>
        <v>15106.804398700002</v>
      </c>
      <c r="E48" s="5">
        <f t="shared" si="6"/>
        <v>18836.407853550001</v>
      </c>
      <c r="F48" s="5">
        <f t="shared" si="7"/>
        <v>22566.0113084</v>
      </c>
    </row>
    <row r="49" spans="2:6" x14ac:dyDescent="0.25">
      <c r="B49">
        <v>2018</v>
      </c>
      <c r="C49" s="5">
        <f t="shared" si="4"/>
        <v>8870.9959780000008</v>
      </c>
      <c r="D49" s="5">
        <f t="shared" si="5"/>
        <v>17664.292363699999</v>
      </c>
      <c r="E49" s="5">
        <f t="shared" si="6"/>
        <v>22060.940556549998</v>
      </c>
      <c r="F49" s="5">
        <f t="shared" si="7"/>
        <v>26457.588749399998</v>
      </c>
    </row>
  </sheetData>
  <mergeCells count="1">
    <mergeCell ref="H2:I2"/>
  </mergeCells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2"/>
  </sheetPr>
  <dimension ref="A1:X19"/>
  <sheetViews>
    <sheetView topLeftCell="B1" workbookViewId="0">
      <selection activeCell="L14" sqref="L14"/>
    </sheetView>
  </sheetViews>
  <sheetFormatPr defaultRowHeight="15" x14ac:dyDescent="0.25"/>
  <cols>
    <col min="1" max="1" width="5" customWidth="1"/>
    <col min="2" max="2" width="12" bestFit="1" customWidth="1"/>
    <col min="3" max="7" width="9.28515625" bestFit="1" customWidth="1"/>
    <col min="8" max="8" width="11.28515625" customWidth="1"/>
    <col min="9" max="9" width="9.5703125" bestFit="1" customWidth="1"/>
    <col min="10" max="10" width="11.7109375" customWidth="1"/>
    <col min="11" max="11" width="11.5703125" bestFit="1" customWidth="1"/>
    <col min="12" max="12" width="12.140625" bestFit="1" customWidth="1"/>
    <col min="13" max="16" width="9.28515625" bestFit="1" customWidth="1"/>
    <col min="17" max="17" width="9.5703125" bestFit="1" customWidth="1"/>
    <col min="18" max="18" width="10.5703125" bestFit="1" customWidth="1"/>
    <col min="19" max="19" width="13.42578125" bestFit="1" customWidth="1"/>
    <col min="20" max="20" width="9.28515625" bestFit="1" customWidth="1"/>
    <col min="21" max="21" width="12.42578125" bestFit="1" customWidth="1"/>
    <col min="22" max="22" width="14.28515625" bestFit="1" customWidth="1"/>
    <col min="23" max="23" width="15.7109375" customWidth="1"/>
    <col min="24" max="24" width="27.42578125" customWidth="1"/>
  </cols>
  <sheetData>
    <row r="1" spans="1:24" x14ac:dyDescent="0.25">
      <c r="B1" s="88" t="s">
        <v>45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</row>
    <row r="2" spans="1:24" s="3" customFormat="1" x14ac:dyDescent="0.25">
      <c r="A2" s="89" t="s">
        <v>0</v>
      </c>
      <c r="B2" s="6"/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21</v>
      </c>
      <c r="I2" s="7" t="s">
        <v>6</v>
      </c>
      <c r="J2" s="7" t="s">
        <v>7</v>
      </c>
      <c r="K2" s="7" t="s">
        <v>8</v>
      </c>
      <c r="L2" s="7" t="s">
        <v>9</v>
      </c>
      <c r="M2" s="7" t="s">
        <v>10</v>
      </c>
      <c r="N2" s="7" t="s">
        <v>11</v>
      </c>
      <c r="O2" s="7" t="s">
        <v>12</v>
      </c>
      <c r="P2" s="7" t="s">
        <v>13</v>
      </c>
      <c r="Q2" s="7" t="s">
        <v>14</v>
      </c>
      <c r="R2" s="7" t="s">
        <v>15</v>
      </c>
      <c r="S2" s="7" t="s">
        <v>16</v>
      </c>
      <c r="T2" s="7" t="s">
        <v>17</v>
      </c>
      <c r="U2" s="7" t="s">
        <v>23</v>
      </c>
      <c r="V2" s="7" t="s">
        <v>18</v>
      </c>
      <c r="W2" s="7"/>
      <c r="X2" s="7"/>
    </row>
    <row r="3" spans="1:24" x14ac:dyDescent="0.25">
      <c r="A3" s="89"/>
      <c r="B3" s="1">
        <v>2004</v>
      </c>
      <c r="C3" s="3"/>
      <c r="D3" s="3"/>
      <c r="E3" s="3"/>
      <c r="F3" s="3"/>
      <c r="G3" s="3"/>
      <c r="H3" s="59"/>
      <c r="I3" s="3"/>
      <c r="J3" s="59"/>
      <c r="K3" s="3"/>
      <c r="L3" s="3">
        <v>0</v>
      </c>
      <c r="M3" s="3"/>
      <c r="N3" s="3"/>
      <c r="O3" s="3"/>
      <c r="P3" s="3"/>
      <c r="Q3" s="3"/>
      <c r="R3" s="59"/>
      <c r="S3" s="3"/>
      <c r="T3" s="3"/>
      <c r="U3" s="3"/>
      <c r="V3" s="27">
        <f t="shared" ref="V3:V17" si="0">SUM(C3:U3)</f>
        <v>0</v>
      </c>
      <c r="W3" s="4"/>
    </row>
    <row r="4" spans="1:24" x14ac:dyDescent="0.25">
      <c r="A4" s="89"/>
      <c r="B4" s="1">
        <v>2005</v>
      </c>
      <c r="C4" s="3"/>
      <c r="D4" s="3"/>
      <c r="E4" s="3"/>
      <c r="F4" s="3"/>
      <c r="G4" s="3"/>
      <c r="H4" s="59"/>
      <c r="I4" s="3"/>
      <c r="J4" s="3"/>
      <c r="K4" s="59"/>
      <c r="L4" s="3">
        <v>2.2000000000000002</v>
      </c>
      <c r="M4" s="3"/>
      <c r="N4" s="3"/>
      <c r="O4" s="3"/>
      <c r="P4" s="3"/>
      <c r="Q4" s="3"/>
      <c r="R4" s="59"/>
      <c r="S4" s="3"/>
      <c r="T4" s="3"/>
      <c r="U4" s="3"/>
      <c r="V4" s="27">
        <f t="shared" si="0"/>
        <v>2.2000000000000002</v>
      </c>
      <c r="W4" s="4"/>
    </row>
    <row r="5" spans="1:24" x14ac:dyDescent="0.25">
      <c r="A5" s="89"/>
      <c r="B5" s="1">
        <v>2006</v>
      </c>
      <c r="C5" s="3"/>
      <c r="D5" s="3"/>
      <c r="E5" s="3"/>
      <c r="F5" s="3"/>
      <c r="G5" s="3"/>
      <c r="H5" s="59"/>
      <c r="I5" s="3"/>
      <c r="J5" s="3"/>
      <c r="K5" s="59"/>
      <c r="L5" s="3">
        <v>37.1</v>
      </c>
      <c r="M5" s="3"/>
      <c r="N5" s="3"/>
      <c r="O5" s="3"/>
      <c r="P5" s="3"/>
      <c r="Q5" s="3"/>
      <c r="R5" s="3"/>
      <c r="S5" s="3"/>
      <c r="T5" s="3"/>
      <c r="U5" s="3"/>
      <c r="V5" s="27">
        <f t="shared" si="0"/>
        <v>37.1</v>
      </c>
      <c r="W5" s="4"/>
    </row>
    <row r="6" spans="1:24" x14ac:dyDescent="0.25">
      <c r="A6" s="89"/>
      <c r="B6" s="1">
        <v>2007</v>
      </c>
      <c r="C6" s="3"/>
      <c r="D6" s="3"/>
      <c r="E6" s="3"/>
      <c r="F6" s="3"/>
      <c r="G6" s="3"/>
      <c r="H6" s="59"/>
      <c r="I6" s="3"/>
      <c r="J6" s="3"/>
      <c r="K6" s="3"/>
      <c r="L6" s="3">
        <v>10.199999999999999</v>
      </c>
      <c r="M6" s="3"/>
      <c r="N6" s="3"/>
      <c r="O6" s="3"/>
      <c r="P6" s="3"/>
      <c r="Q6" s="3"/>
      <c r="R6" s="3"/>
      <c r="S6" s="3"/>
      <c r="T6" s="3"/>
      <c r="U6" s="3"/>
      <c r="V6" s="27">
        <f t="shared" si="0"/>
        <v>10.199999999999999</v>
      </c>
      <c r="W6" s="4"/>
    </row>
    <row r="7" spans="1:24" x14ac:dyDescent="0.25">
      <c r="A7" s="89"/>
      <c r="B7" s="1">
        <v>2008</v>
      </c>
      <c r="C7" s="3"/>
      <c r="D7" s="3"/>
      <c r="E7" s="3"/>
      <c r="F7" s="3"/>
      <c r="G7" s="3"/>
      <c r="H7" s="59"/>
      <c r="I7" s="3"/>
      <c r="J7" s="3"/>
      <c r="K7" s="3"/>
      <c r="L7" s="3">
        <v>0</v>
      </c>
      <c r="M7" s="3"/>
      <c r="N7" s="3"/>
      <c r="O7" s="3"/>
      <c r="P7" s="3"/>
      <c r="Q7" s="3"/>
      <c r="R7" s="3"/>
      <c r="S7" s="3"/>
      <c r="T7" s="3"/>
      <c r="U7" s="3"/>
      <c r="V7" s="27">
        <f t="shared" si="0"/>
        <v>0</v>
      </c>
      <c r="W7" s="4"/>
    </row>
    <row r="8" spans="1:24" x14ac:dyDescent="0.25">
      <c r="A8" s="89"/>
      <c r="B8" s="1">
        <v>2009</v>
      </c>
      <c r="C8" s="3"/>
      <c r="D8" s="3"/>
      <c r="E8" s="3"/>
      <c r="F8" s="3"/>
      <c r="G8" s="3"/>
      <c r="H8" s="59"/>
      <c r="I8" s="3"/>
      <c r="J8" s="3"/>
      <c r="K8" s="3"/>
      <c r="L8" s="3">
        <v>0.4</v>
      </c>
      <c r="M8" s="3"/>
      <c r="N8" s="3"/>
      <c r="O8" s="3"/>
      <c r="P8" s="3"/>
      <c r="Q8" s="3"/>
      <c r="R8" s="3"/>
      <c r="S8" s="3"/>
      <c r="T8" s="3"/>
      <c r="U8" s="3"/>
      <c r="V8" s="27">
        <f t="shared" si="0"/>
        <v>0.4</v>
      </c>
      <c r="W8" s="4"/>
    </row>
    <row r="9" spans="1:24" x14ac:dyDescent="0.25">
      <c r="A9" s="89"/>
      <c r="B9" s="1">
        <v>2010</v>
      </c>
      <c r="C9" s="3"/>
      <c r="D9" s="3"/>
      <c r="E9" s="3"/>
      <c r="F9" s="3"/>
      <c r="G9" s="3"/>
      <c r="H9" s="59"/>
      <c r="I9" s="3"/>
      <c r="J9" s="3"/>
      <c r="K9" s="3"/>
      <c r="L9" s="3">
        <v>7.8</v>
      </c>
      <c r="M9" s="3"/>
      <c r="N9" s="3"/>
      <c r="O9" s="3"/>
      <c r="P9" s="3"/>
      <c r="Q9" s="3"/>
      <c r="R9" s="3"/>
      <c r="S9" s="3"/>
      <c r="T9" s="3"/>
      <c r="U9" s="3"/>
      <c r="V9" s="27">
        <f t="shared" si="0"/>
        <v>7.8</v>
      </c>
      <c r="W9" s="4"/>
    </row>
    <row r="10" spans="1:24" x14ac:dyDescent="0.25">
      <c r="A10" s="89"/>
      <c r="B10" s="1">
        <v>2011</v>
      </c>
      <c r="C10" s="3"/>
      <c r="D10" s="3"/>
      <c r="E10" s="3"/>
      <c r="F10" s="3"/>
      <c r="G10" s="3"/>
      <c r="H10" s="59"/>
      <c r="I10" s="3"/>
      <c r="J10" s="78">
        <v>10150</v>
      </c>
      <c r="K10" s="3"/>
      <c r="L10" s="3">
        <v>17.7</v>
      </c>
      <c r="M10" s="3"/>
      <c r="N10" s="3"/>
      <c r="O10" s="3"/>
      <c r="P10" s="3"/>
      <c r="Q10" s="3"/>
      <c r="R10" s="3"/>
      <c r="S10" s="3"/>
      <c r="T10" s="3"/>
      <c r="U10" s="3"/>
      <c r="V10" s="27">
        <f t="shared" si="0"/>
        <v>10167.700000000001</v>
      </c>
      <c r="W10" s="4"/>
    </row>
    <row r="11" spans="1:24" x14ac:dyDescent="0.25">
      <c r="A11" s="89"/>
      <c r="B11" s="1">
        <v>2012</v>
      </c>
      <c r="C11" s="3"/>
      <c r="D11" s="3"/>
      <c r="E11" s="3"/>
      <c r="F11" s="3"/>
      <c r="G11" s="3"/>
      <c r="H11" s="59"/>
      <c r="I11" s="3"/>
      <c r="J11" s="78">
        <v>22574</v>
      </c>
      <c r="K11" s="3"/>
      <c r="L11" s="3">
        <v>34.299999999999997</v>
      </c>
      <c r="M11" s="3"/>
      <c r="N11" s="3"/>
      <c r="O11" s="3"/>
      <c r="P11" s="3"/>
      <c r="Q11" s="3"/>
      <c r="R11" s="3"/>
      <c r="S11" s="3"/>
      <c r="T11" s="3"/>
      <c r="U11" s="3"/>
      <c r="V11" s="27">
        <f t="shared" si="0"/>
        <v>22608.3</v>
      </c>
      <c r="W11" s="4"/>
    </row>
    <row r="12" spans="1:24" x14ac:dyDescent="0.25">
      <c r="A12" s="89"/>
      <c r="B12" s="1">
        <v>2013</v>
      </c>
      <c r="C12" s="3"/>
      <c r="D12" s="3"/>
      <c r="E12" s="3"/>
      <c r="F12" s="3"/>
      <c r="G12" s="3"/>
      <c r="H12" s="59"/>
      <c r="I12" s="3"/>
      <c r="J12" s="79">
        <v>304</v>
      </c>
      <c r="K12" s="3"/>
      <c r="L12" s="3">
        <v>8</v>
      </c>
      <c r="M12" s="3"/>
      <c r="N12" s="3"/>
      <c r="O12" s="3"/>
      <c r="P12" s="3"/>
      <c r="Q12" s="3"/>
      <c r="R12" s="3"/>
      <c r="S12" s="3"/>
      <c r="T12" s="3"/>
      <c r="U12" s="3"/>
      <c r="V12" s="27">
        <f t="shared" si="0"/>
        <v>312</v>
      </c>
      <c r="W12" s="4"/>
    </row>
    <row r="13" spans="1:24" x14ac:dyDescent="0.25">
      <c r="A13" s="89"/>
      <c r="B13" s="1">
        <v>2014</v>
      </c>
      <c r="C13" s="3"/>
      <c r="D13" s="3"/>
      <c r="E13" s="3"/>
      <c r="F13" s="3"/>
      <c r="G13" s="3"/>
      <c r="H13" s="3"/>
      <c r="I13" s="3"/>
      <c r="J13" s="79">
        <v>72</v>
      </c>
      <c r="K13" s="3"/>
      <c r="L13" s="3">
        <v>0</v>
      </c>
      <c r="M13" s="3"/>
      <c r="N13" s="3"/>
      <c r="O13" s="3"/>
      <c r="P13" s="3"/>
      <c r="Q13" s="3"/>
      <c r="R13" s="3"/>
      <c r="S13" s="3"/>
      <c r="T13" s="3"/>
      <c r="U13" s="3"/>
      <c r="V13" s="27">
        <f t="shared" si="0"/>
        <v>72</v>
      </c>
      <c r="W13" s="4"/>
    </row>
    <row r="14" spans="1:24" x14ac:dyDescent="0.25">
      <c r="B14" s="1">
        <v>2015</v>
      </c>
      <c r="C14" s="3"/>
      <c r="D14" s="3"/>
      <c r="E14" s="3"/>
      <c r="F14" s="3"/>
      <c r="G14" s="3"/>
      <c r="H14" s="3"/>
      <c r="I14" s="3"/>
      <c r="J14" s="79">
        <v>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27">
        <f t="shared" si="0"/>
        <v>4</v>
      </c>
    </row>
    <row r="15" spans="1:24" x14ac:dyDescent="0.25">
      <c r="B15" s="1">
        <v>2016</v>
      </c>
      <c r="C15" s="3"/>
      <c r="D15" s="3"/>
      <c r="E15" s="3"/>
      <c r="F15" s="3"/>
      <c r="G15" s="3"/>
      <c r="H15" s="3"/>
      <c r="I15" s="3"/>
      <c r="J15" s="59">
        <v>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27">
        <f t="shared" si="0"/>
        <v>0</v>
      </c>
    </row>
    <row r="16" spans="1:24" x14ac:dyDescent="0.25">
      <c r="B16" s="1">
        <v>2017</v>
      </c>
      <c r="C16" s="3"/>
      <c r="D16" s="3"/>
      <c r="E16" s="3"/>
      <c r="F16" s="3"/>
      <c r="G16" s="3"/>
      <c r="H16" s="3"/>
      <c r="I16" s="3"/>
      <c r="J16" s="59">
        <v>0</v>
      </c>
      <c r="K16" s="3"/>
      <c r="L16" s="3">
        <v>3.7</v>
      </c>
      <c r="M16" s="3"/>
      <c r="N16" s="3"/>
      <c r="O16" s="3"/>
      <c r="P16" s="3"/>
      <c r="Q16" s="3"/>
      <c r="R16" s="3"/>
      <c r="S16" s="3"/>
      <c r="T16" s="3"/>
      <c r="U16" s="3"/>
      <c r="V16" s="27">
        <f t="shared" si="0"/>
        <v>3.7</v>
      </c>
    </row>
    <row r="17" spans="2:22" x14ac:dyDescent="0.25">
      <c r="B17" s="1">
        <v>2018</v>
      </c>
      <c r="C17" s="3"/>
      <c r="D17" s="3"/>
      <c r="E17" s="3"/>
      <c r="F17" s="3"/>
      <c r="G17" s="3"/>
      <c r="H17" s="3"/>
      <c r="I17" s="3"/>
      <c r="J17" s="59">
        <v>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27">
        <f t="shared" si="0"/>
        <v>0</v>
      </c>
    </row>
    <row r="19" spans="2:22" x14ac:dyDescent="0.25">
      <c r="B19" s="2" t="s">
        <v>19</v>
      </c>
      <c r="C19" s="3" t="s">
        <v>20</v>
      </c>
      <c r="D19" s="3" t="s">
        <v>22</v>
      </c>
      <c r="E19" s="3" t="s">
        <v>22</v>
      </c>
      <c r="F19" s="3" t="s">
        <v>20</v>
      </c>
      <c r="G19" s="3" t="s">
        <v>22</v>
      </c>
      <c r="H19" s="3" t="s">
        <v>20</v>
      </c>
      <c r="I19" s="3" t="s">
        <v>20</v>
      </c>
      <c r="J19" s="3" t="s">
        <v>20</v>
      </c>
      <c r="K19" s="3" t="s">
        <v>20</v>
      </c>
      <c r="L19" s="3" t="s">
        <v>22</v>
      </c>
      <c r="M19" s="3" t="s">
        <v>20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22</v>
      </c>
      <c r="U19" s="3" t="s">
        <v>20</v>
      </c>
    </row>
  </sheetData>
  <mergeCells count="2">
    <mergeCell ref="B1:U1"/>
    <mergeCell ref="A2:A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K52"/>
  <sheetViews>
    <sheetView zoomScale="80" zoomScaleNormal="80" workbookViewId="0">
      <selection activeCell="E5" sqref="E5"/>
    </sheetView>
  </sheetViews>
  <sheetFormatPr defaultRowHeight="15" x14ac:dyDescent="0.25"/>
  <cols>
    <col min="2" max="2" width="21" customWidth="1"/>
    <col min="3" max="3" width="20.140625" customWidth="1"/>
    <col min="4" max="4" width="14.140625" customWidth="1"/>
    <col min="5" max="5" width="30.140625" customWidth="1"/>
    <col min="6" max="6" width="45.42578125" customWidth="1"/>
    <col min="7" max="7" width="16.5703125" customWidth="1"/>
    <col min="8" max="8" width="13" customWidth="1"/>
    <col min="9" max="9" width="17" customWidth="1"/>
    <col min="10" max="10" width="16" customWidth="1"/>
    <col min="11" max="11" width="16.42578125" customWidth="1"/>
  </cols>
  <sheetData>
    <row r="1" spans="1:11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11"/>
      <c r="B2" s="12"/>
      <c r="C2" s="11"/>
      <c r="D2" s="12"/>
      <c r="E2" s="11"/>
      <c r="F2" s="11"/>
      <c r="G2" s="11"/>
      <c r="H2" s="90" t="s">
        <v>25</v>
      </c>
      <c r="I2" s="91"/>
      <c r="J2" s="12"/>
      <c r="K2" s="13"/>
    </row>
    <row r="3" spans="1:11" x14ac:dyDescent="0.25">
      <c r="A3" s="11"/>
      <c r="B3" s="14" t="s">
        <v>26</v>
      </c>
      <c r="C3" s="14" t="s">
        <v>27</v>
      </c>
      <c r="D3" s="14" t="s">
        <v>28</v>
      </c>
      <c r="E3" s="14" t="s">
        <v>29</v>
      </c>
      <c r="F3" s="14" t="s">
        <v>30</v>
      </c>
      <c r="G3" s="11"/>
      <c r="H3" s="15" t="s">
        <v>27</v>
      </c>
      <c r="I3" s="15" t="s">
        <v>31</v>
      </c>
      <c r="J3" s="12"/>
      <c r="K3" s="13"/>
    </row>
    <row r="4" spans="1:11" x14ac:dyDescent="0.25">
      <c r="A4" s="11"/>
      <c r="B4" s="16">
        <v>1997</v>
      </c>
      <c r="C4" s="17">
        <f>H4</f>
        <v>0</v>
      </c>
      <c r="D4" s="18" t="s">
        <v>32</v>
      </c>
      <c r="E4" s="19">
        <v>0.32179999999999997</v>
      </c>
      <c r="F4" s="20">
        <f t="shared" ref="F4:F25" si="0">C4*E4</f>
        <v>0</v>
      </c>
      <c r="G4" s="11"/>
      <c r="H4" s="21"/>
      <c r="I4" s="21"/>
      <c r="J4" s="12"/>
      <c r="K4" s="13"/>
    </row>
    <row r="5" spans="1:11" x14ac:dyDescent="0.25">
      <c r="A5" s="11"/>
      <c r="B5" s="16">
        <v>1998</v>
      </c>
      <c r="C5" s="17">
        <f t="shared" ref="C5:C25" si="1">H5</f>
        <v>0</v>
      </c>
      <c r="D5" s="18" t="s">
        <v>32</v>
      </c>
      <c r="E5" s="19">
        <f t="shared" ref="E5:E25" si="2">$E$4</f>
        <v>0.32179999999999997</v>
      </c>
      <c r="F5" s="20">
        <f t="shared" si="0"/>
        <v>0</v>
      </c>
      <c r="G5" s="11"/>
      <c r="H5" s="21"/>
      <c r="I5" s="21"/>
      <c r="J5" s="12"/>
      <c r="K5" s="13"/>
    </row>
    <row r="6" spans="1:11" x14ac:dyDescent="0.25">
      <c r="A6" s="11"/>
      <c r="B6" s="16">
        <v>1999</v>
      </c>
      <c r="C6" s="17">
        <f t="shared" si="1"/>
        <v>0</v>
      </c>
      <c r="D6" s="18" t="s">
        <v>32</v>
      </c>
      <c r="E6" s="19">
        <f t="shared" si="2"/>
        <v>0.32179999999999997</v>
      </c>
      <c r="F6" s="20">
        <f t="shared" si="0"/>
        <v>0</v>
      </c>
      <c r="G6" s="11"/>
      <c r="H6" s="21"/>
      <c r="I6" s="21"/>
      <c r="J6" s="12"/>
      <c r="K6" s="13"/>
    </row>
    <row r="7" spans="1:11" x14ac:dyDescent="0.25">
      <c r="A7" s="11"/>
      <c r="B7" s="16">
        <v>2000</v>
      </c>
      <c r="C7" s="17">
        <f t="shared" si="1"/>
        <v>0</v>
      </c>
      <c r="D7" s="18" t="s">
        <v>32</v>
      </c>
      <c r="E7" s="19">
        <f t="shared" si="2"/>
        <v>0.32179999999999997</v>
      </c>
      <c r="F7" s="20">
        <f t="shared" si="0"/>
        <v>0</v>
      </c>
      <c r="G7" s="11"/>
      <c r="H7" s="21"/>
      <c r="I7" s="21"/>
      <c r="J7" s="12"/>
      <c r="K7" s="13"/>
    </row>
    <row r="8" spans="1:11" x14ac:dyDescent="0.25">
      <c r="A8" s="11"/>
      <c r="B8" s="16">
        <v>2001</v>
      </c>
      <c r="C8" s="17">
        <f t="shared" si="1"/>
        <v>0</v>
      </c>
      <c r="D8" s="18" t="s">
        <v>32</v>
      </c>
      <c r="E8" s="19">
        <f t="shared" si="2"/>
        <v>0.32179999999999997</v>
      </c>
      <c r="F8" s="20">
        <f t="shared" si="0"/>
        <v>0</v>
      </c>
      <c r="G8" s="11"/>
      <c r="H8" s="21"/>
      <c r="I8" s="21"/>
      <c r="J8" s="12"/>
      <c r="K8" s="13"/>
    </row>
    <row r="9" spans="1:11" x14ac:dyDescent="0.25">
      <c r="A9" s="11"/>
      <c r="B9" s="16">
        <v>2002</v>
      </c>
      <c r="C9" s="17">
        <f t="shared" si="1"/>
        <v>0</v>
      </c>
      <c r="D9" s="18" t="s">
        <v>32</v>
      </c>
      <c r="E9" s="19">
        <f t="shared" si="2"/>
        <v>0.32179999999999997</v>
      </c>
      <c r="F9" s="20">
        <f t="shared" si="0"/>
        <v>0</v>
      </c>
      <c r="G9" s="11"/>
      <c r="H9" s="21"/>
      <c r="I9" s="21"/>
      <c r="J9" s="12"/>
      <c r="K9" s="13"/>
    </row>
    <row r="10" spans="1:11" x14ac:dyDescent="0.25">
      <c r="A10" s="11"/>
      <c r="B10" s="16">
        <v>2003</v>
      </c>
      <c r="C10" s="17">
        <f t="shared" si="1"/>
        <v>0</v>
      </c>
      <c r="D10" s="18" t="s">
        <v>32</v>
      </c>
      <c r="E10" s="19">
        <f t="shared" si="2"/>
        <v>0.32179999999999997</v>
      </c>
      <c r="F10" s="20">
        <f t="shared" si="0"/>
        <v>0</v>
      </c>
      <c r="G10" s="11"/>
      <c r="H10" s="21"/>
      <c r="I10" s="21"/>
      <c r="J10" s="12"/>
      <c r="K10" s="13"/>
    </row>
    <row r="11" spans="1:11" x14ac:dyDescent="0.25">
      <c r="A11" s="11"/>
      <c r="B11" s="16">
        <v>2004</v>
      </c>
      <c r="C11" s="17">
        <f t="shared" si="1"/>
        <v>0</v>
      </c>
      <c r="D11" s="18" t="s">
        <v>32</v>
      </c>
      <c r="E11" s="19">
        <f t="shared" si="2"/>
        <v>0.32179999999999997</v>
      </c>
      <c r="F11" s="20">
        <f t="shared" si="0"/>
        <v>0</v>
      </c>
      <c r="G11" s="11"/>
      <c r="H11" s="26">
        <f>'CO Summary Sheet CPS 327'!V3</f>
        <v>0</v>
      </c>
      <c r="I11" s="21"/>
      <c r="J11" s="12"/>
      <c r="K11" s="13"/>
    </row>
    <row r="12" spans="1:11" x14ac:dyDescent="0.25">
      <c r="A12" s="11"/>
      <c r="B12" s="16">
        <v>2005</v>
      </c>
      <c r="C12" s="17">
        <f t="shared" si="1"/>
        <v>254.7</v>
      </c>
      <c r="D12" s="18" t="s">
        <v>32</v>
      </c>
      <c r="E12" s="19">
        <f t="shared" si="2"/>
        <v>0.32179999999999997</v>
      </c>
      <c r="F12" s="20">
        <f t="shared" si="0"/>
        <v>81.962459999999993</v>
      </c>
      <c r="G12" s="11"/>
      <c r="H12" s="26">
        <f>'CO Summary Sheet CPS 327'!V4</f>
        <v>254.7</v>
      </c>
      <c r="I12" s="21"/>
      <c r="J12" s="12"/>
      <c r="K12" s="13"/>
    </row>
    <row r="13" spans="1:11" x14ac:dyDescent="0.25">
      <c r="A13" s="11"/>
      <c r="B13" s="16">
        <v>2006</v>
      </c>
      <c r="C13" s="17">
        <f t="shared" si="1"/>
        <v>179.2</v>
      </c>
      <c r="D13" s="18" t="s">
        <v>32</v>
      </c>
      <c r="E13" s="19">
        <f t="shared" si="2"/>
        <v>0.32179999999999997</v>
      </c>
      <c r="F13" s="20">
        <f t="shared" si="0"/>
        <v>57.66655999999999</v>
      </c>
      <c r="G13" s="11"/>
      <c r="H13" s="26">
        <f>'CO Summary Sheet CPS 327'!V5</f>
        <v>179.2</v>
      </c>
      <c r="I13" s="21"/>
      <c r="J13" s="12"/>
      <c r="K13" s="13"/>
    </row>
    <row r="14" spans="1:11" x14ac:dyDescent="0.25">
      <c r="A14" s="11"/>
      <c r="B14" s="16">
        <v>2007</v>
      </c>
      <c r="C14" s="17">
        <f t="shared" si="1"/>
        <v>0</v>
      </c>
      <c r="D14" s="18" t="s">
        <v>32</v>
      </c>
      <c r="E14" s="19">
        <f t="shared" si="2"/>
        <v>0.32179999999999997</v>
      </c>
      <c r="F14" s="20">
        <f t="shared" si="0"/>
        <v>0</v>
      </c>
      <c r="G14" s="11"/>
      <c r="H14" s="26">
        <f>'CO Summary Sheet CPS 327'!V6</f>
        <v>0</v>
      </c>
      <c r="I14" s="21"/>
      <c r="J14" s="12"/>
      <c r="K14" s="13"/>
    </row>
    <row r="15" spans="1:11" x14ac:dyDescent="0.25">
      <c r="A15" s="11"/>
      <c r="B15" s="16">
        <v>2008</v>
      </c>
      <c r="C15" s="17">
        <f t="shared" si="1"/>
        <v>96.6</v>
      </c>
      <c r="D15" s="18" t="s">
        <v>32</v>
      </c>
      <c r="E15" s="19">
        <f t="shared" si="2"/>
        <v>0.32179999999999997</v>
      </c>
      <c r="F15" s="20">
        <f t="shared" si="0"/>
        <v>31.085879999999996</v>
      </c>
      <c r="G15" s="11"/>
      <c r="H15" s="26">
        <f>'CO Summary Sheet CPS 327'!V7</f>
        <v>96.6</v>
      </c>
      <c r="I15" s="21"/>
      <c r="J15" s="12"/>
      <c r="K15" s="13"/>
    </row>
    <row r="16" spans="1:11" x14ac:dyDescent="0.25">
      <c r="A16" s="11"/>
      <c r="B16" s="16">
        <v>2009</v>
      </c>
      <c r="C16" s="17">
        <f t="shared" si="1"/>
        <v>0</v>
      </c>
      <c r="D16" s="18" t="s">
        <v>32</v>
      </c>
      <c r="E16" s="19">
        <f t="shared" si="2"/>
        <v>0.32179999999999997</v>
      </c>
      <c r="F16" s="20">
        <f t="shared" si="0"/>
        <v>0</v>
      </c>
      <c r="G16" s="11"/>
      <c r="H16" s="26">
        <f>'CO Summary Sheet CPS 327'!V8</f>
        <v>0</v>
      </c>
      <c r="I16" s="21"/>
      <c r="J16" s="12"/>
      <c r="K16" s="13"/>
    </row>
    <row r="17" spans="1:11" x14ac:dyDescent="0.25">
      <c r="A17" s="11"/>
      <c r="B17" s="16">
        <v>2010</v>
      </c>
      <c r="C17" s="17">
        <f t="shared" si="1"/>
        <v>108.4</v>
      </c>
      <c r="D17" s="18" t="s">
        <v>32</v>
      </c>
      <c r="E17" s="19">
        <f t="shared" si="2"/>
        <v>0.32179999999999997</v>
      </c>
      <c r="F17" s="20">
        <f t="shared" si="0"/>
        <v>34.883119999999998</v>
      </c>
      <c r="G17" s="11"/>
      <c r="H17" s="26">
        <f>'CO Summary Sheet CPS 327'!V9</f>
        <v>108.4</v>
      </c>
      <c r="I17" s="21"/>
      <c r="J17" s="12"/>
      <c r="K17" s="13"/>
    </row>
    <row r="18" spans="1:11" x14ac:dyDescent="0.25">
      <c r="A18" s="11"/>
      <c r="B18" s="16">
        <v>2011</v>
      </c>
      <c r="C18" s="17">
        <f t="shared" si="1"/>
        <v>35711.4</v>
      </c>
      <c r="D18" s="18" t="s">
        <v>32</v>
      </c>
      <c r="E18" s="19">
        <f t="shared" si="2"/>
        <v>0.32179999999999997</v>
      </c>
      <c r="F18" s="20">
        <f t="shared" si="0"/>
        <v>11491.928519999999</v>
      </c>
      <c r="G18" s="11"/>
      <c r="H18" s="26">
        <f>'CO Summary Sheet CPS 327'!V10</f>
        <v>35711.4</v>
      </c>
      <c r="I18" s="21"/>
      <c r="J18" s="12"/>
      <c r="K18" s="13"/>
    </row>
    <row r="19" spans="1:11" x14ac:dyDescent="0.25">
      <c r="A19" s="11"/>
      <c r="B19" s="16">
        <v>2012</v>
      </c>
      <c r="C19" s="17">
        <f t="shared" si="1"/>
        <v>73012</v>
      </c>
      <c r="D19" s="18" t="s">
        <v>32</v>
      </c>
      <c r="E19" s="19">
        <f t="shared" si="2"/>
        <v>0.32179999999999997</v>
      </c>
      <c r="F19" s="20">
        <f t="shared" si="0"/>
        <v>23495.261599999998</v>
      </c>
      <c r="G19" s="11"/>
      <c r="H19" s="26">
        <f>'CO Summary Sheet CPS 327'!V11</f>
        <v>73012</v>
      </c>
      <c r="I19" s="21"/>
      <c r="J19" s="12"/>
      <c r="K19" s="13"/>
    </row>
    <row r="20" spans="1:11" s="22" customFormat="1" x14ac:dyDescent="0.25">
      <c r="A20" s="11"/>
      <c r="B20" s="16">
        <v>2013</v>
      </c>
      <c r="C20" s="17">
        <f t="shared" si="1"/>
        <v>69295.899999999994</v>
      </c>
      <c r="D20" s="18" t="s">
        <v>32</v>
      </c>
      <c r="E20" s="19">
        <f t="shared" si="2"/>
        <v>0.32179999999999997</v>
      </c>
      <c r="F20" s="20">
        <f t="shared" si="0"/>
        <v>22299.420619999997</v>
      </c>
      <c r="G20" s="11"/>
      <c r="H20" s="26">
        <f>'CO Summary Sheet CPS 327'!V12</f>
        <v>69295.899999999994</v>
      </c>
      <c r="I20" s="21"/>
      <c r="J20" s="12"/>
      <c r="K20" s="13"/>
    </row>
    <row r="21" spans="1:11" x14ac:dyDescent="0.25">
      <c r="B21" s="16">
        <v>2014</v>
      </c>
      <c r="C21" s="17">
        <f t="shared" si="1"/>
        <v>9685.7000000000007</v>
      </c>
      <c r="D21" s="18" t="s">
        <v>32</v>
      </c>
      <c r="E21" s="19">
        <f t="shared" si="2"/>
        <v>0.32179999999999997</v>
      </c>
      <c r="F21" s="20">
        <f t="shared" si="0"/>
        <v>3116.85826</v>
      </c>
      <c r="H21" s="26">
        <f>'CO Summary Sheet CPS 327'!V13</f>
        <v>9685.7000000000007</v>
      </c>
      <c r="I21" s="21"/>
      <c r="J21" s="12"/>
    </row>
    <row r="22" spans="1:11" x14ac:dyDescent="0.25">
      <c r="B22" s="16">
        <v>2015</v>
      </c>
      <c r="C22" s="17">
        <f t="shared" si="1"/>
        <v>9586.7999999999993</v>
      </c>
      <c r="D22" s="18" t="s">
        <v>32</v>
      </c>
      <c r="E22" s="19">
        <f t="shared" si="2"/>
        <v>0.32179999999999997</v>
      </c>
      <c r="F22" s="20">
        <f t="shared" si="0"/>
        <v>3085.0322399999995</v>
      </c>
      <c r="H22" s="26">
        <f>'CO Summary Sheet CPS 327'!V14</f>
        <v>9586.7999999999993</v>
      </c>
      <c r="I22" s="67"/>
      <c r="J22" s="68"/>
    </row>
    <row r="23" spans="1:11" x14ac:dyDescent="0.25">
      <c r="B23" s="16">
        <v>2016</v>
      </c>
      <c r="C23" s="17">
        <f t="shared" si="1"/>
        <v>13502.9</v>
      </c>
      <c r="D23" s="18" t="s">
        <v>32</v>
      </c>
      <c r="E23" s="19">
        <f t="shared" si="2"/>
        <v>0.32179999999999997</v>
      </c>
      <c r="F23" s="20">
        <f t="shared" si="0"/>
        <v>4345.2332199999992</v>
      </c>
      <c r="H23" s="26">
        <f>'CO Summary Sheet CPS 327'!V15</f>
        <v>13502.9</v>
      </c>
      <c r="I23" s="67"/>
      <c r="J23" s="68"/>
    </row>
    <row r="24" spans="1:11" x14ac:dyDescent="0.25">
      <c r="B24" s="16">
        <v>2017</v>
      </c>
      <c r="C24" s="17">
        <f t="shared" si="1"/>
        <v>11212</v>
      </c>
      <c r="D24" s="18" t="s">
        <v>32</v>
      </c>
      <c r="E24" s="19">
        <f t="shared" si="2"/>
        <v>0.32179999999999997</v>
      </c>
      <c r="F24" s="20">
        <f t="shared" si="0"/>
        <v>3608.0215999999996</v>
      </c>
      <c r="H24" s="26">
        <f>'CO Summary Sheet CPS 327'!V16</f>
        <v>11212</v>
      </c>
      <c r="I24" s="67"/>
      <c r="J24" s="68"/>
    </row>
    <row r="25" spans="1:11" x14ac:dyDescent="0.25">
      <c r="B25" s="16">
        <v>2018</v>
      </c>
      <c r="C25" s="17">
        <f t="shared" si="1"/>
        <v>23170.9</v>
      </c>
      <c r="D25" s="18" t="s">
        <v>32</v>
      </c>
      <c r="E25" s="19">
        <f t="shared" si="2"/>
        <v>0.32179999999999997</v>
      </c>
      <c r="F25" s="20">
        <f t="shared" si="0"/>
        <v>7456.3956200000002</v>
      </c>
      <c r="H25" s="26">
        <f>'CO Summary Sheet CPS 327'!V17</f>
        <v>23170.9</v>
      </c>
      <c r="I25" s="67"/>
      <c r="J25" s="68"/>
    </row>
    <row r="26" spans="1:11" x14ac:dyDescent="0.25">
      <c r="C26" s="35">
        <f>SUM(C11:C21)</f>
        <v>188343.90000000002</v>
      </c>
    </row>
    <row r="27" spans="1:11" ht="78.75" customHeight="1" x14ac:dyDescent="0.25">
      <c r="B27" s="23" t="s">
        <v>0</v>
      </c>
      <c r="C27" s="23" t="s">
        <v>33</v>
      </c>
      <c r="D27" s="23" t="s">
        <v>34</v>
      </c>
      <c r="E27" s="23" t="s">
        <v>35</v>
      </c>
      <c r="F27" s="23" t="s">
        <v>36</v>
      </c>
    </row>
    <row r="28" spans="1:11" x14ac:dyDescent="0.25">
      <c r="B28">
        <v>1997</v>
      </c>
      <c r="C28" s="5">
        <f>F4</f>
        <v>0</v>
      </c>
    </row>
    <row r="29" spans="1:11" x14ac:dyDescent="0.25">
      <c r="B29">
        <v>1998</v>
      </c>
      <c r="C29" s="5">
        <f t="shared" ref="C29:C49" si="3">F5</f>
        <v>0</v>
      </c>
    </row>
    <row r="30" spans="1:11" x14ac:dyDescent="0.25">
      <c r="B30">
        <v>1999</v>
      </c>
      <c r="C30" s="5">
        <f t="shared" si="3"/>
        <v>0</v>
      </c>
    </row>
    <row r="31" spans="1:11" x14ac:dyDescent="0.25">
      <c r="B31">
        <v>2000</v>
      </c>
      <c r="C31" s="5">
        <f t="shared" si="3"/>
        <v>0</v>
      </c>
      <c r="D31" s="5">
        <f>C31+(0.5*C28)</f>
        <v>0</v>
      </c>
      <c r="E31" s="5">
        <f>C31+(0.75*C28)</f>
        <v>0</v>
      </c>
      <c r="F31" s="5">
        <f>C31+(1*C28)</f>
        <v>0</v>
      </c>
    </row>
    <row r="32" spans="1:11" x14ac:dyDescent="0.25">
      <c r="B32">
        <v>2001</v>
      </c>
      <c r="C32" s="5">
        <f t="shared" si="3"/>
        <v>0</v>
      </c>
      <c r="D32" s="5">
        <f>C32+(0.5*(C29+C28))</f>
        <v>0</v>
      </c>
      <c r="E32" s="5">
        <f>C32+(0.75*(C29+C28))</f>
        <v>0</v>
      </c>
      <c r="F32" s="5">
        <f>C32+(1*(C29+C28))</f>
        <v>0</v>
      </c>
      <c r="G32" s="24"/>
      <c r="H32" s="25"/>
      <c r="I32" s="25"/>
      <c r="J32" s="25"/>
      <c r="K32" s="25"/>
    </row>
    <row r="33" spans="2:11" x14ac:dyDescent="0.25">
      <c r="B33">
        <v>2002</v>
      </c>
      <c r="C33" s="5">
        <f t="shared" si="3"/>
        <v>0</v>
      </c>
      <c r="D33" s="5">
        <f>C33+(0.5*(C28+C30+C29))</f>
        <v>0</v>
      </c>
      <c r="E33" s="5">
        <f>C33+(0.75*(C28+C30+C29))</f>
        <v>0</v>
      </c>
      <c r="F33" s="5">
        <f>C33+(1*(C28+C30+C29))</f>
        <v>0</v>
      </c>
      <c r="G33" s="24"/>
      <c r="H33" s="25"/>
      <c r="I33" s="25"/>
      <c r="J33" s="25"/>
      <c r="K33" s="25"/>
    </row>
    <row r="34" spans="2:11" x14ac:dyDescent="0.25">
      <c r="B34">
        <v>2003</v>
      </c>
      <c r="C34" s="5">
        <f t="shared" si="3"/>
        <v>0</v>
      </c>
      <c r="D34" s="5">
        <f>C34+(0.5*(C28+C29+C31+C30))</f>
        <v>0</v>
      </c>
      <c r="E34" s="5">
        <f>C34+(0.75*(C28+C29+C31+C30))</f>
        <v>0</v>
      </c>
      <c r="F34" s="5">
        <f>C34+(1*(C28+C29+C31+C30))</f>
        <v>0</v>
      </c>
      <c r="G34" s="24"/>
      <c r="H34" s="25"/>
      <c r="I34" s="25"/>
      <c r="J34" s="25"/>
      <c r="K34" s="25"/>
    </row>
    <row r="35" spans="2:11" x14ac:dyDescent="0.25">
      <c r="B35">
        <v>2004</v>
      </c>
      <c r="C35" s="5">
        <f t="shared" si="3"/>
        <v>0</v>
      </c>
      <c r="D35" s="5">
        <f>C35+(0.5*(C28+C29+C30+C32+C31))</f>
        <v>0</v>
      </c>
      <c r="E35" s="5">
        <f>C35+(0.75*(C28+C29+C30+C32+C31))</f>
        <v>0</v>
      </c>
      <c r="F35" s="5">
        <f>C35+(1*(C28+C29+C30+C32+C31))</f>
        <v>0</v>
      </c>
      <c r="G35" s="24"/>
      <c r="H35" s="25"/>
      <c r="I35" s="25"/>
      <c r="J35" s="25"/>
      <c r="K35" s="25"/>
    </row>
    <row r="36" spans="2:11" x14ac:dyDescent="0.25">
      <c r="B36">
        <v>2005</v>
      </c>
      <c r="C36" s="5">
        <f t="shared" si="3"/>
        <v>81.962459999999993</v>
      </c>
      <c r="D36" s="5">
        <f>C36+(0.5*(C28+C29+C30+C31+C33+C32))</f>
        <v>81.962459999999993</v>
      </c>
      <c r="E36" s="5">
        <f>C36+(0.75*(C28+C29+C30+C31+C33+C32))</f>
        <v>81.962459999999993</v>
      </c>
      <c r="F36" s="5">
        <f>C36+(1*(C28+C29+C30+C31+C33+C32))</f>
        <v>81.962459999999993</v>
      </c>
      <c r="G36" s="24"/>
      <c r="H36" s="25"/>
      <c r="I36" s="25"/>
      <c r="J36" s="25"/>
      <c r="K36" s="25"/>
    </row>
    <row r="37" spans="2:11" x14ac:dyDescent="0.25">
      <c r="B37">
        <v>2006</v>
      </c>
      <c r="C37" s="5">
        <f t="shared" si="3"/>
        <v>57.66655999999999</v>
      </c>
      <c r="D37" s="5">
        <f>C37+(0.5*(C28+C29+C30+C31+C32+C34+C33))</f>
        <v>57.66655999999999</v>
      </c>
      <c r="E37" s="5">
        <f>C37+(0.75*(C28+C29+C30+C31+C32+C34+C33))</f>
        <v>57.66655999999999</v>
      </c>
      <c r="F37" s="5">
        <f>C37+(1*(C28+C29+C30+C31+C32+C34+C33))</f>
        <v>57.66655999999999</v>
      </c>
      <c r="G37" s="24"/>
      <c r="H37" s="25"/>
      <c r="I37" s="25"/>
      <c r="J37" s="25"/>
      <c r="K37" s="25"/>
    </row>
    <row r="38" spans="2:11" x14ac:dyDescent="0.25">
      <c r="B38">
        <v>2007</v>
      </c>
      <c r="C38" s="5">
        <f t="shared" si="3"/>
        <v>0</v>
      </c>
      <c r="D38" s="5">
        <f>C38+(0.5*(C28+C29+C30+C31+C32+C33+C35+C34))</f>
        <v>0</v>
      </c>
      <c r="E38" s="5">
        <f>C38+(0.75*(C28+C29+C30+C31+C32+C33+C35+C34))</f>
        <v>0</v>
      </c>
      <c r="F38" s="5">
        <f>C38+(1*(C28+C29+C30+C31+C32+C33+C35+C34))</f>
        <v>0</v>
      </c>
      <c r="G38" s="24"/>
      <c r="H38" s="25"/>
      <c r="I38" s="25"/>
      <c r="J38" s="25"/>
      <c r="K38" s="25"/>
    </row>
    <row r="39" spans="2:11" x14ac:dyDescent="0.25">
      <c r="B39">
        <v>2008</v>
      </c>
      <c r="C39" s="5">
        <f t="shared" si="3"/>
        <v>31.085879999999996</v>
      </c>
      <c r="D39" s="5">
        <f>C39+(0.5*(C28+C29+C30+C31+C32+C33+C34+C36+C35))</f>
        <v>72.067109999999985</v>
      </c>
      <c r="E39" s="5">
        <f>C39+(0.75*(C28+C29+C30+C31+C32+C33+C34+C36+C35))</f>
        <v>92.557724999999991</v>
      </c>
      <c r="F39" s="5">
        <f>C39+(1*(C28+C29+C30+C31+C32+C33+C34+C36+C35))</f>
        <v>113.04834</v>
      </c>
      <c r="G39" s="24"/>
      <c r="H39" s="25"/>
      <c r="I39" s="25"/>
      <c r="J39" s="25"/>
      <c r="K39" s="25"/>
    </row>
    <row r="40" spans="2:11" x14ac:dyDescent="0.25">
      <c r="B40">
        <v>2009</v>
      </c>
      <c r="C40" s="5">
        <f t="shared" si="3"/>
        <v>0</v>
      </c>
      <c r="D40" s="5">
        <f>C40+(0.5*(C28+C29+C30+C31+C32+C33+C34+C35+C37+C36))</f>
        <v>69.814509999999984</v>
      </c>
      <c r="E40" s="5">
        <f>C40+(0.75*(C28+C29+C30+C31+C32+C33+C34+C35+C37+C36))</f>
        <v>104.72176499999998</v>
      </c>
      <c r="F40" s="5">
        <f>C40+(1*(C28+C29+C30+C31+C32+C33+C34+C35+C37+C36))</f>
        <v>139.62901999999997</v>
      </c>
      <c r="G40" s="24"/>
      <c r="H40" s="25"/>
      <c r="I40" s="25"/>
      <c r="J40" s="25"/>
      <c r="K40" s="25"/>
    </row>
    <row r="41" spans="2:11" x14ac:dyDescent="0.25">
      <c r="B41">
        <v>2010</v>
      </c>
      <c r="C41" s="5">
        <f t="shared" si="3"/>
        <v>34.883119999999998</v>
      </c>
      <c r="D41" s="5">
        <f>C41+(0.5*(C28+C29+C30+C31+C32+C33+C34+C35+C36+C38+C37))</f>
        <v>104.69762999999998</v>
      </c>
      <c r="E41" s="5">
        <f>C41+(0.75*(C28+C29+C30+C31+C32+C33+C34+C35+C36+C38+C37))</f>
        <v>139.60488499999997</v>
      </c>
      <c r="F41" s="5">
        <f>C41+(1*(C28+C29+C30+C31+C32+C33+C34+C35+C36+C38+C37))</f>
        <v>174.51213999999996</v>
      </c>
      <c r="G41" s="24"/>
      <c r="H41" s="25"/>
      <c r="I41" s="25"/>
      <c r="J41" s="25"/>
      <c r="K41" s="25"/>
    </row>
    <row r="42" spans="2:11" x14ac:dyDescent="0.25">
      <c r="B42">
        <v>2011</v>
      </c>
      <c r="C42" s="5">
        <f t="shared" si="3"/>
        <v>11491.928519999999</v>
      </c>
      <c r="D42" s="5">
        <f>C42+(0.5*(C28+C29+C30+C31+C32+C33+C34+C35+C36+C37+C39+C38))</f>
        <v>11577.285969999999</v>
      </c>
      <c r="E42" s="5">
        <f>C42+(0.75*(C28+C29+C30+C31+C32+C33+C34+C35+C36+C37+C39+C38))</f>
        <v>11619.964694999999</v>
      </c>
      <c r="F42" s="5">
        <f>C42+(1*(C28+C29+C30+C31+C32+C33+C34+C35+C36+C37+C39+C38))</f>
        <v>11662.64342</v>
      </c>
      <c r="G42" s="24"/>
      <c r="H42" s="25"/>
      <c r="I42" s="25"/>
      <c r="J42" s="25"/>
      <c r="K42" s="25"/>
    </row>
    <row r="43" spans="2:11" x14ac:dyDescent="0.25">
      <c r="B43">
        <v>2012</v>
      </c>
      <c r="C43" s="5">
        <f t="shared" si="3"/>
        <v>23495.261599999998</v>
      </c>
      <c r="D43" s="5">
        <f>C43+(0.5*(C28+C29+C30+C31+C32+C33+C34+C35+C36+C37+C38+C40+C39))</f>
        <v>23580.619049999998</v>
      </c>
      <c r="E43" s="5">
        <f>C43+(0.75*(C28+C29+C30+C31+C32+C33+C34+C35+C36+C37+C38+C40+C39))</f>
        <v>23623.297774999999</v>
      </c>
      <c r="F43" s="5">
        <f>C43+(1*(C28+C29+C30+C31+C32+C33+C34+C35+C36+C37+C38+C40+C39))</f>
        <v>23665.976499999997</v>
      </c>
      <c r="G43" s="24"/>
      <c r="H43" s="25"/>
      <c r="I43" s="25"/>
      <c r="J43" s="25"/>
      <c r="K43" s="25"/>
    </row>
    <row r="44" spans="2:11" x14ac:dyDescent="0.25">
      <c r="B44">
        <v>2013</v>
      </c>
      <c r="C44" s="5">
        <f t="shared" si="3"/>
        <v>22299.420619999997</v>
      </c>
      <c r="D44" s="5">
        <f>C44+(0.5*(C28+C29+C30+C31+C32+C33+C34+C35+C36+C37+C38+C39+C41+C40))</f>
        <v>22402.219629999996</v>
      </c>
      <c r="E44" s="5">
        <f>C44+(0.75*(C28+C29+C30+C31+C32+C33+C34+C35+C36+C37+C38+C39+C41+C40))</f>
        <v>22453.619134999997</v>
      </c>
      <c r="F44" s="5">
        <f>C44+(1*(C28+C29+C30+C31+C32+C33+C34+C35+C36+C37+C38+C39+C41+C40))</f>
        <v>22505.018639999998</v>
      </c>
      <c r="G44" s="24"/>
      <c r="H44" s="25"/>
      <c r="I44" s="25"/>
      <c r="J44" s="25"/>
      <c r="K44" s="25"/>
    </row>
    <row r="45" spans="2:11" x14ac:dyDescent="0.25">
      <c r="B45">
        <v>2014</v>
      </c>
      <c r="C45" s="5">
        <f t="shared" si="3"/>
        <v>3116.85826</v>
      </c>
      <c r="D45" s="5">
        <f>C45+(0.5*(C28+C29+C30+C31+C32+C33+C34+C35+C36+C37+C38+C39+C40+C42+C41))</f>
        <v>8965.6215300000003</v>
      </c>
      <c r="E45" s="5">
        <f>C45+(0.75*(C28+C29+C30+C31+C32+C33+C34+C35+C36+C37+C38+C39+C40+C42+C41))</f>
        <v>11890.003165000002</v>
      </c>
      <c r="F45" s="5">
        <f>C45+(1*(C28+C29+C30+C31+C32+C33+C34+C35+C36+C37+C38+C39+C40+C42+C41))</f>
        <v>14814.3848</v>
      </c>
      <c r="G45" s="24"/>
      <c r="H45" s="25"/>
      <c r="I45" s="25"/>
      <c r="J45" s="25"/>
      <c r="K45" s="25"/>
    </row>
    <row r="46" spans="2:11" x14ac:dyDescent="0.25">
      <c r="B46">
        <v>2015</v>
      </c>
      <c r="C46" s="5">
        <f t="shared" si="3"/>
        <v>3085.0322399999995</v>
      </c>
      <c r="D46" s="5">
        <f t="shared" ref="D46:D49" si="4">C46+(0.5*(C29+C30+C31+C32+C33+C34+C35+C36+C37+C38+C39+C40+C41+C43+C42))</f>
        <v>20681.426309999999</v>
      </c>
      <c r="E46" s="5">
        <f t="shared" ref="E46:E49" si="5">C46+(0.75*(C29+C30+C31+C32+C33+C34+C35+C36+C37+C38+C39+C40+C41+C43+C42))</f>
        <v>29479.623345</v>
      </c>
      <c r="F46" s="5">
        <f t="shared" ref="F46:F49" si="6">C46+(1*(C29+C30+C31+C32+C33+C34+C35+C36+C37+C38+C39+C40+C41+C43+C42))</f>
        <v>38277.820379999997</v>
      </c>
      <c r="G46" s="69"/>
      <c r="H46" s="25"/>
      <c r="I46" s="25"/>
      <c r="J46" s="25"/>
      <c r="K46" s="25"/>
    </row>
    <row r="47" spans="2:11" x14ac:dyDescent="0.25">
      <c r="B47">
        <v>2016</v>
      </c>
      <c r="C47" s="5">
        <f t="shared" si="3"/>
        <v>4345.2332199999992</v>
      </c>
      <c r="D47" s="5">
        <f t="shared" si="4"/>
        <v>33091.337599999999</v>
      </c>
      <c r="E47" s="5">
        <f t="shared" si="5"/>
        <v>47464.389789999994</v>
      </c>
      <c r="F47" s="5">
        <f t="shared" si="6"/>
        <v>61837.441979999996</v>
      </c>
      <c r="G47" s="69"/>
      <c r="H47" s="25"/>
      <c r="I47" s="25"/>
      <c r="J47" s="25"/>
      <c r="K47" s="25"/>
    </row>
    <row r="48" spans="2:11" x14ac:dyDescent="0.25">
      <c r="B48">
        <v>2017</v>
      </c>
      <c r="C48" s="5">
        <f t="shared" si="3"/>
        <v>3608.0215999999996</v>
      </c>
      <c r="D48" s="5">
        <f t="shared" si="4"/>
        <v>33912.555109999994</v>
      </c>
      <c r="E48" s="5">
        <f t="shared" si="5"/>
        <v>49064.821864999998</v>
      </c>
      <c r="F48" s="5">
        <f t="shared" si="6"/>
        <v>64217.088619999995</v>
      </c>
      <c r="G48" s="69"/>
      <c r="H48" s="25"/>
      <c r="I48" s="25"/>
      <c r="J48" s="25"/>
      <c r="K48" s="25"/>
    </row>
    <row r="49" spans="2:11" x14ac:dyDescent="0.25">
      <c r="B49">
        <v>2018</v>
      </c>
      <c r="C49" s="5">
        <f t="shared" si="3"/>
        <v>7456.3956200000002</v>
      </c>
      <c r="D49" s="5">
        <f t="shared" si="4"/>
        <v>39303.445249999997</v>
      </c>
      <c r="E49" s="5">
        <f t="shared" si="5"/>
        <v>55226.970065000001</v>
      </c>
      <c r="F49" s="5">
        <f t="shared" si="6"/>
        <v>71150.494879999998</v>
      </c>
      <c r="G49" s="69"/>
      <c r="H49" s="25"/>
      <c r="I49" s="25"/>
      <c r="J49" s="25"/>
      <c r="K49" s="25"/>
    </row>
    <row r="51" spans="2:11" ht="32.25" customHeight="1" x14ac:dyDescent="0.25"/>
    <row r="52" spans="2:11" ht="50.25" customHeight="1" x14ac:dyDescent="0.25"/>
  </sheetData>
  <mergeCells count="1">
    <mergeCell ref="H2:I2"/>
  </mergeCells>
  <pageMargins left="0.7" right="0.7" top="0.75" bottom="0.75" header="0.3" footer="0.3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L49"/>
  <sheetViews>
    <sheetView workbookViewId="0">
      <selection activeCell="E4" sqref="E4:E25"/>
    </sheetView>
  </sheetViews>
  <sheetFormatPr defaultRowHeight="15" x14ac:dyDescent="0.25"/>
  <cols>
    <col min="2" max="2" width="21" customWidth="1"/>
    <col min="3" max="3" width="20.140625" customWidth="1"/>
    <col min="4" max="4" width="14.140625" customWidth="1"/>
    <col min="5" max="5" width="30.140625" customWidth="1"/>
    <col min="6" max="6" width="45.42578125" customWidth="1"/>
    <col min="7" max="7" width="12.28515625" customWidth="1"/>
    <col min="8" max="8" width="11.42578125" customWidth="1"/>
    <col min="9" max="9" width="15.85546875" customWidth="1"/>
    <col min="10" max="10" width="14.7109375" customWidth="1"/>
    <col min="11" max="11" width="16.7109375" customWidth="1"/>
  </cols>
  <sheetData>
    <row r="1" spans="1:11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ht="15" customHeight="1" x14ac:dyDescent="0.25">
      <c r="A2" s="11"/>
      <c r="B2" s="12"/>
      <c r="C2" s="11"/>
      <c r="D2" s="12"/>
      <c r="E2" s="11"/>
      <c r="F2" s="11"/>
      <c r="G2" s="11"/>
      <c r="H2" s="90" t="s">
        <v>25</v>
      </c>
      <c r="I2" s="91"/>
      <c r="J2" s="12"/>
      <c r="K2" s="13"/>
    </row>
    <row r="3" spans="1:11" x14ac:dyDescent="0.25">
      <c r="A3" s="11"/>
      <c r="B3" s="14" t="s">
        <v>26</v>
      </c>
      <c r="C3" s="14" t="s">
        <v>27</v>
      </c>
      <c r="D3" s="14" t="s">
        <v>28</v>
      </c>
      <c r="E3" s="14" t="s">
        <v>29</v>
      </c>
      <c r="F3" s="14" t="s">
        <v>30</v>
      </c>
      <c r="G3" s="11"/>
      <c r="H3" s="12"/>
      <c r="I3" s="12"/>
      <c r="J3" s="12"/>
      <c r="K3" s="13"/>
    </row>
    <row r="4" spans="1:11" x14ac:dyDescent="0.25">
      <c r="A4" s="11"/>
      <c r="B4" s="16">
        <v>1997</v>
      </c>
      <c r="C4" s="17"/>
      <c r="D4" s="18" t="s">
        <v>32</v>
      </c>
      <c r="E4" s="19">
        <v>0.29380000000000001</v>
      </c>
      <c r="F4" s="20">
        <f t="shared" ref="F4:F25" si="0">C4*E4</f>
        <v>0</v>
      </c>
      <c r="G4" s="11"/>
      <c r="H4" s="12"/>
      <c r="I4" s="12"/>
      <c r="J4" s="12"/>
      <c r="K4" s="13"/>
    </row>
    <row r="5" spans="1:11" x14ac:dyDescent="0.25">
      <c r="A5" s="11"/>
      <c r="B5" s="16">
        <v>1998</v>
      </c>
      <c r="C5" s="17"/>
      <c r="D5" s="18" t="s">
        <v>32</v>
      </c>
      <c r="E5" s="19">
        <f t="shared" ref="E5:E25" si="1">$E$4</f>
        <v>0.29380000000000001</v>
      </c>
      <c r="F5" s="20">
        <f t="shared" si="0"/>
        <v>0</v>
      </c>
      <c r="G5" s="11"/>
      <c r="H5" s="12"/>
      <c r="I5" s="12"/>
      <c r="J5" s="12"/>
      <c r="K5" s="13"/>
    </row>
    <row r="6" spans="1:11" x14ac:dyDescent="0.25">
      <c r="A6" s="11"/>
      <c r="B6" s="16">
        <v>1999</v>
      </c>
      <c r="C6" s="17"/>
      <c r="D6" s="18" t="s">
        <v>32</v>
      </c>
      <c r="E6" s="19">
        <f t="shared" si="1"/>
        <v>0.29380000000000001</v>
      </c>
      <c r="F6" s="20">
        <f t="shared" si="0"/>
        <v>0</v>
      </c>
      <c r="G6" s="11"/>
      <c r="H6" s="12"/>
      <c r="I6" s="12"/>
      <c r="J6" s="12"/>
      <c r="K6" s="13"/>
    </row>
    <row r="7" spans="1:11" x14ac:dyDescent="0.25">
      <c r="A7" s="11"/>
      <c r="B7" s="16">
        <v>2000</v>
      </c>
      <c r="C7" s="17"/>
      <c r="D7" s="18" t="s">
        <v>32</v>
      </c>
      <c r="E7" s="19">
        <f t="shared" si="1"/>
        <v>0.29380000000000001</v>
      </c>
      <c r="F7" s="20">
        <f t="shared" si="0"/>
        <v>0</v>
      </c>
      <c r="G7" s="11"/>
      <c r="H7" s="12"/>
      <c r="I7" s="12"/>
      <c r="J7" s="12"/>
      <c r="K7" s="13"/>
    </row>
    <row r="8" spans="1:11" x14ac:dyDescent="0.25">
      <c r="A8" s="11"/>
      <c r="B8" s="16">
        <v>2001</v>
      </c>
      <c r="C8" s="17"/>
      <c r="D8" s="18" t="s">
        <v>32</v>
      </c>
      <c r="E8" s="19">
        <f t="shared" si="1"/>
        <v>0.29380000000000001</v>
      </c>
      <c r="F8" s="20">
        <f t="shared" si="0"/>
        <v>0</v>
      </c>
      <c r="G8" s="11"/>
      <c r="H8" s="12"/>
      <c r="I8" s="12"/>
      <c r="J8" s="12"/>
      <c r="K8" s="13"/>
    </row>
    <row r="9" spans="1:11" x14ac:dyDescent="0.25">
      <c r="A9" s="11"/>
      <c r="B9" s="16">
        <v>2002</v>
      </c>
      <c r="C9" s="17"/>
      <c r="D9" s="18" t="s">
        <v>32</v>
      </c>
      <c r="E9" s="19">
        <f t="shared" si="1"/>
        <v>0.29380000000000001</v>
      </c>
      <c r="F9" s="20">
        <f t="shared" si="0"/>
        <v>0</v>
      </c>
      <c r="G9" s="11"/>
      <c r="H9" s="12"/>
      <c r="I9" s="12"/>
      <c r="J9" s="12"/>
      <c r="K9" s="13"/>
    </row>
    <row r="10" spans="1:11" x14ac:dyDescent="0.25">
      <c r="A10" s="11"/>
      <c r="B10" s="16">
        <v>2003</v>
      </c>
      <c r="C10" s="17"/>
      <c r="D10" s="18" t="s">
        <v>32</v>
      </c>
      <c r="E10" s="19">
        <f t="shared" si="1"/>
        <v>0.29380000000000001</v>
      </c>
      <c r="F10" s="20">
        <f t="shared" si="0"/>
        <v>0</v>
      </c>
      <c r="G10" s="11"/>
      <c r="H10" s="48" t="s">
        <v>27</v>
      </c>
      <c r="I10" s="48"/>
      <c r="J10" s="12"/>
      <c r="K10" s="13"/>
    </row>
    <row r="11" spans="1:11" x14ac:dyDescent="0.25">
      <c r="A11" s="11"/>
      <c r="B11" s="16">
        <v>2004</v>
      </c>
      <c r="C11" s="17">
        <f>H11*30/43560</f>
        <v>0</v>
      </c>
      <c r="D11" s="18" t="s">
        <v>32</v>
      </c>
      <c r="E11" s="19">
        <f t="shared" si="1"/>
        <v>0.29380000000000001</v>
      </c>
      <c r="F11" s="20">
        <f t="shared" si="0"/>
        <v>0</v>
      </c>
      <c r="G11" s="11"/>
      <c r="H11" s="49">
        <f>'CO Summary Sheet CPS 386'!V3</f>
        <v>0</v>
      </c>
      <c r="I11" s="49"/>
      <c r="J11" s="12"/>
      <c r="K11" s="13"/>
    </row>
    <row r="12" spans="1:11" x14ac:dyDescent="0.25">
      <c r="A12" s="11"/>
      <c r="B12" s="16">
        <v>2005</v>
      </c>
      <c r="C12" s="17">
        <f t="shared" ref="C12:C20" si="2">H12*30/43560</f>
        <v>1.5151515151515152E-3</v>
      </c>
      <c r="D12" s="18" t="s">
        <v>32</v>
      </c>
      <c r="E12" s="19">
        <f t="shared" si="1"/>
        <v>0.29380000000000001</v>
      </c>
      <c r="F12" s="20">
        <f t="shared" si="0"/>
        <v>4.4515151515151516E-4</v>
      </c>
      <c r="G12" s="11"/>
      <c r="H12" s="49">
        <f>'CO Summary Sheet CPS 386'!V4</f>
        <v>2.2000000000000002</v>
      </c>
      <c r="I12" s="49"/>
      <c r="J12" s="12"/>
      <c r="K12" s="13"/>
    </row>
    <row r="13" spans="1:11" x14ac:dyDescent="0.25">
      <c r="A13" s="11"/>
      <c r="B13" s="16">
        <v>2006</v>
      </c>
      <c r="C13" s="17">
        <f t="shared" si="2"/>
        <v>2.5550964187327822E-2</v>
      </c>
      <c r="D13" s="18" t="s">
        <v>32</v>
      </c>
      <c r="E13" s="19">
        <f t="shared" si="1"/>
        <v>0.29380000000000001</v>
      </c>
      <c r="F13" s="20">
        <f t="shared" si="0"/>
        <v>7.5068732782369143E-3</v>
      </c>
      <c r="G13" s="11"/>
      <c r="H13" s="49">
        <f>'CO Summary Sheet CPS 386'!V5</f>
        <v>37.1</v>
      </c>
      <c r="I13" s="49"/>
      <c r="J13" s="12"/>
      <c r="K13" s="13"/>
    </row>
    <row r="14" spans="1:11" x14ac:dyDescent="0.25">
      <c r="A14" s="11"/>
      <c r="B14" s="16">
        <v>2007</v>
      </c>
      <c r="C14" s="17">
        <f t="shared" si="2"/>
        <v>7.0247933884297524E-3</v>
      </c>
      <c r="D14" s="18" t="s">
        <v>32</v>
      </c>
      <c r="E14" s="19">
        <f t="shared" si="1"/>
        <v>0.29380000000000001</v>
      </c>
      <c r="F14" s="20">
        <f t="shared" si="0"/>
        <v>2.0638842975206611E-3</v>
      </c>
      <c r="G14" s="11"/>
      <c r="H14" s="49">
        <f>'CO Summary Sheet CPS 386'!V6</f>
        <v>10.199999999999999</v>
      </c>
      <c r="I14" s="49"/>
      <c r="J14" s="12"/>
      <c r="K14" s="13"/>
    </row>
    <row r="15" spans="1:11" x14ac:dyDescent="0.25">
      <c r="A15" s="11"/>
      <c r="B15" s="16">
        <v>2008</v>
      </c>
      <c r="C15" s="17">
        <f t="shared" si="2"/>
        <v>0</v>
      </c>
      <c r="D15" s="18" t="s">
        <v>32</v>
      </c>
      <c r="E15" s="19">
        <f t="shared" si="1"/>
        <v>0.29380000000000001</v>
      </c>
      <c r="F15" s="20">
        <f t="shared" si="0"/>
        <v>0</v>
      </c>
      <c r="G15" s="11"/>
      <c r="H15" s="49">
        <f>'CO Summary Sheet CPS 386'!V7</f>
        <v>0</v>
      </c>
      <c r="I15" s="49"/>
      <c r="J15" s="12"/>
      <c r="K15" s="13"/>
    </row>
    <row r="16" spans="1:11" x14ac:dyDescent="0.25">
      <c r="A16" s="11"/>
      <c r="B16" s="16">
        <v>2009</v>
      </c>
      <c r="C16" s="17">
        <f t="shared" si="2"/>
        <v>2.7548209366391182E-4</v>
      </c>
      <c r="D16" s="18" t="s">
        <v>32</v>
      </c>
      <c r="E16" s="19">
        <f t="shared" si="1"/>
        <v>0.29380000000000001</v>
      </c>
      <c r="F16" s="20">
        <f t="shared" si="0"/>
        <v>8.0936639118457294E-5</v>
      </c>
      <c r="G16" s="11"/>
      <c r="H16" s="49">
        <f>'CO Summary Sheet CPS 386'!V8</f>
        <v>0.4</v>
      </c>
      <c r="I16" s="49"/>
      <c r="J16" s="12"/>
      <c r="K16" s="13"/>
    </row>
    <row r="17" spans="1:12" x14ac:dyDescent="0.25">
      <c r="A17" s="11"/>
      <c r="B17" s="16">
        <v>2010</v>
      </c>
      <c r="C17" s="17">
        <f t="shared" si="2"/>
        <v>5.371900826446281E-3</v>
      </c>
      <c r="D17" s="18" t="s">
        <v>32</v>
      </c>
      <c r="E17" s="19">
        <f t="shared" si="1"/>
        <v>0.29380000000000001</v>
      </c>
      <c r="F17" s="20">
        <f t="shared" si="0"/>
        <v>1.5782644628099174E-3</v>
      </c>
      <c r="G17" s="11"/>
      <c r="H17" s="49">
        <f>'CO Summary Sheet CPS 386'!V9</f>
        <v>7.8</v>
      </c>
      <c r="I17" s="49"/>
      <c r="J17" s="12"/>
      <c r="K17" s="13"/>
    </row>
    <row r="18" spans="1:12" x14ac:dyDescent="0.25">
      <c r="A18" s="11"/>
      <c r="B18" s="16">
        <v>2011</v>
      </c>
      <c r="C18" s="17">
        <f t="shared" si="2"/>
        <v>7.0025482093663909</v>
      </c>
      <c r="D18" s="18" t="s">
        <v>32</v>
      </c>
      <c r="E18" s="19">
        <f t="shared" si="1"/>
        <v>0.29380000000000001</v>
      </c>
      <c r="F18" s="20">
        <f t="shared" si="0"/>
        <v>2.0573486639118457</v>
      </c>
      <c r="G18" s="11"/>
      <c r="H18" s="49">
        <f>'CO Summary Sheet CPS 386'!V10</f>
        <v>10167.700000000001</v>
      </c>
      <c r="I18" s="49"/>
      <c r="J18" s="12"/>
      <c r="K18" s="13"/>
    </row>
    <row r="19" spans="1:12" x14ac:dyDescent="0.25">
      <c r="A19" s="11"/>
      <c r="B19" s="16">
        <v>2012</v>
      </c>
      <c r="C19" s="17">
        <f t="shared" si="2"/>
        <v>15.570454545454545</v>
      </c>
      <c r="D19" s="18" t="s">
        <v>32</v>
      </c>
      <c r="E19" s="19">
        <f t="shared" si="1"/>
        <v>0.29380000000000001</v>
      </c>
      <c r="F19" s="20">
        <f t="shared" si="0"/>
        <v>4.5745995454545456</v>
      </c>
      <c r="G19" s="11"/>
      <c r="H19" s="49">
        <f>'CO Summary Sheet CPS 386'!V11</f>
        <v>22608.3</v>
      </c>
      <c r="I19" s="49"/>
      <c r="J19" s="12"/>
      <c r="K19" s="13"/>
    </row>
    <row r="20" spans="1:12" s="22" customFormat="1" x14ac:dyDescent="0.25">
      <c r="A20" s="11"/>
      <c r="B20" s="16">
        <v>2013</v>
      </c>
      <c r="C20" s="17">
        <f t="shared" si="2"/>
        <v>0.21487603305785125</v>
      </c>
      <c r="D20" s="18" t="s">
        <v>32</v>
      </c>
      <c r="E20" s="19">
        <f t="shared" si="1"/>
        <v>0.29380000000000001</v>
      </c>
      <c r="F20" s="20">
        <f t="shared" si="0"/>
        <v>6.3130578512396701E-2</v>
      </c>
      <c r="G20" s="11"/>
      <c r="H20" s="49">
        <f>'CO Summary Sheet CPS 386'!V12</f>
        <v>312</v>
      </c>
      <c r="I20" s="49"/>
      <c r="J20" s="12"/>
      <c r="K20" s="13"/>
    </row>
    <row r="21" spans="1:12" x14ac:dyDescent="0.25">
      <c r="B21" s="16">
        <v>2014</v>
      </c>
      <c r="C21" s="17">
        <f>H21</f>
        <v>72</v>
      </c>
      <c r="D21" s="18" t="s">
        <v>32</v>
      </c>
      <c r="E21" s="19">
        <f t="shared" si="1"/>
        <v>0.29380000000000001</v>
      </c>
      <c r="F21" s="20">
        <f t="shared" si="0"/>
        <v>21.153600000000001</v>
      </c>
      <c r="H21" s="49">
        <f>'CO Summary Sheet CPS 386'!V13</f>
        <v>72</v>
      </c>
      <c r="I21" s="49"/>
    </row>
    <row r="22" spans="1:12" x14ac:dyDescent="0.25">
      <c r="B22" s="16">
        <v>2015</v>
      </c>
      <c r="C22" s="17">
        <f t="shared" ref="C22:C25" si="3">H22</f>
        <v>4</v>
      </c>
      <c r="D22" s="18" t="s">
        <v>32</v>
      </c>
      <c r="E22" s="19">
        <f t="shared" si="1"/>
        <v>0.29380000000000001</v>
      </c>
      <c r="F22" s="20">
        <f t="shared" si="0"/>
        <v>1.1752</v>
      </c>
      <c r="H22" s="49">
        <f>'CO Summary Sheet CPS 386'!V14</f>
        <v>4</v>
      </c>
      <c r="I22" s="77"/>
    </row>
    <row r="23" spans="1:12" x14ac:dyDescent="0.25">
      <c r="B23" s="16">
        <v>2016</v>
      </c>
      <c r="C23" s="17">
        <f t="shared" si="3"/>
        <v>0</v>
      </c>
      <c r="D23" s="18" t="s">
        <v>32</v>
      </c>
      <c r="E23" s="19">
        <f t="shared" si="1"/>
        <v>0.29380000000000001</v>
      </c>
      <c r="F23" s="20">
        <f t="shared" si="0"/>
        <v>0</v>
      </c>
      <c r="H23" s="49">
        <f>'CO Summary Sheet CPS 386'!V15</f>
        <v>0</v>
      </c>
      <c r="I23" s="77"/>
    </row>
    <row r="24" spans="1:12" x14ac:dyDescent="0.25">
      <c r="B24" s="16">
        <v>2017</v>
      </c>
      <c r="C24" s="17">
        <f t="shared" si="3"/>
        <v>3.7</v>
      </c>
      <c r="D24" s="18" t="s">
        <v>32</v>
      </c>
      <c r="E24" s="19">
        <f t="shared" si="1"/>
        <v>0.29380000000000001</v>
      </c>
      <c r="F24" s="20">
        <f t="shared" si="0"/>
        <v>1.0870600000000001</v>
      </c>
      <c r="H24" s="49">
        <f>'CO Summary Sheet CPS 386'!V16</f>
        <v>3.7</v>
      </c>
      <c r="I24" s="77"/>
    </row>
    <row r="25" spans="1:12" x14ac:dyDescent="0.25">
      <c r="B25" s="16">
        <v>2018</v>
      </c>
      <c r="C25" s="17">
        <f t="shared" si="3"/>
        <v>0</v>
      </c>
      <c r="D25" s="18" t="s">
        <v>32</v>
      </c>
      <c r="E25" s="19">
        <f t="shared" si="1"/>
        <v>0.29380000000000001</v>
      </c>
      <c r="F25" s="20">
        <f t="shared" si="0"/>
        <v>0</v>
      </c>
      <c r="H25" s="49">
        <f>'CO Summary Sheet CPS 386'!V17</f>
        <v>0</v>
      </c>
      <c r="I25" s="77"/>
    </row>
    <row r="26" spans="1:12" x14ac:dyDescent="0.25">
      <c r="C26" s="17">
        <f>SUM(C11:C21)</f>
        <v>94.827617079889805</v>
      </c>
    </row>
    <row r="27" spans="1:12" ht="78.75" customHeight="1" x14ac:dyDescent="0.25">
      <c r="B27" s="23" t="s">
        <v>0</v>
      </c>
      <c r="C27" s="23" t="s">
        <v>33</v>
      </c>
      <c r="D27" s="23" t="s">
        <v>34</v>
      </c>
      <c r="E27" s="23" t="s">
        <v>35</v>
      </c>
      <c r="F27" s="23" t="s">
        <v>36</v>
      </c>
      <c r="L27" s="32"/>
    </row>
    <row r="28" spans="1:12" x14ac:dyDescent="0.25">
      <c r="B28">
        <v>1997</v>
      </c>
      <c r="C28" s="5">
        <f>F4</f>
        <v>0</v>
      </c>
      <c r="L28" s="32"/>
    </row>
    <row r="29" spans="1:12" x14ac:dyDescent="0.25">
      <c r="B29">
        <v>1998</v>
      </c>
      <c r="C29" s="5">
        <f t="shared" ref="C29:C44" si="4">F5</f>
        <v>0</v>
      </c>
      <c r="L29" s="32"/>
    </row>
    <row r="30" spans="1:12" x14ac:dyDescent="0.25">
      <c r="B30">
        <v>1999</v>
      </c>
      <c r="C30" s="5">
        <f t="shared" si="4"/>
        <v>0</v>
      </c>
      <c r="L30" s="32"/>
    </row>
    <row r="31" spans="1:12" x14ac:dyDescent="0.25">
      <c r="B31">
        <v>2000</v>
      </c>
      <c r="C31" s="5">
        <f t="shared" si="4"/>
        <v>0</v>
      </c>
      <c r="D31" s="5">
        <f>C31+(0.5*C28)</f>
        <v>0</v>
      </c>
      <c r="E31" s="5">
        <f>C31+(0.75*C28)</f>
        <v>0</v>
      </c>
      <c r="F31" s="5">
        <f>C31+(1*C28)</f>
        <v>0</v>
      </c>
      <c r="L31" s="32"/>
    </row>
    <row r="32" spans="1:12" x14ac:dyDescent="0.25">
      <c r="B32">
        <v>2001</v>
      </c>
      <c r="C32" s="5">
        <f t="shared" si="4"/>
        <v>0</v>
      </c>
      <c r="D32" s="5">
        <f>C32+(0.5*(C29+C28))</f>
        <v>0</v>
      </c>
      <c r="E32" s="5">
        <f>C32+(0.75*(C29+C28))</f>
        <v>0</v>
      </c>
      <c r="F32" s="5">
        <f>C32+(1*(C29+C28))</f>
        <v>0</v>
      </c>
      <c r="L32" s="32"/>
    </row>
    <row r="33" spans="2:12" x14ac:dyDescent="0.25">
      <c r="B33">
        <v>2002</v>
      </c>
      <c r="C33" s="5">
        <f t="shared" si="4"/>
        <v>0</v>
      </c>
      <c r="D33" s="5">
        <f>C33+(0.5*(C28+C30+C29))</f>
        <v>0</v>
      </c>
      <c r="E33" s="5">
        <f>C33+(0.75*(C28+C30+C29))</f>
        <v>0</v>
      </c>
      <c r="F33" s="5">
        <f>C33+(1*(C28+C30+C29))</f>
        <v>0</v>
      </c>
      <c r="L33" s="32"/>
    </row>
    <row r="34" spans="2:12" x14ac:dyDescent="0.25">
      <c r="B34">
        <v>2003</v>
      </c>
      <c r="C34" s="5">
        <f t="shared" si="4"/>
        <v>0</v>
      </c>
      <c r="D34" s="5">
        <f>C34+(0.5*(C28+C29+C31+C30))</f>
        <v>0</v>
      </c>
      <c r="E34" s="5">
        <f>C34+(0.75*(C28+C29+C31+C30))</f>
        <v>0</v>
      </c>
      <c r="F34" s="5">
        <f>C34+(1*(C28+C29+C31+C30))</f>
        <v>0</v>
      </c>
      <c r="L34" s="32"/>
    </row>
    <row r="35" spans="2:12" x14ac:dyDescent="0.25">
      <c r="B35">
        <v>2004</v>
      </c>
      <c r="C35" s="5">
        <f t="shared" si="4"/>
        <v>0</v>
      </c>
      <c r="D35" s="5">
        <f>C35+(0.5*(C28+C29+C30+C32+C31))</f>
        <v>0</v>
      </c>
      <c r="E35" s="5">
        <f>C35+(0.75*(C28+C29+C30+C32+C31))</f>
        <v>0</v>
      </c>
      <c r="F35" s="5">
        <f>D35+(1*(D28+D29+D30+D32+D31))</f>
        <v>0</v>
      </c>
      <c r="L35" s="32"/>
    </row>
    <row r="36" spans="2:12" x14ac:dyDescent="0.25">
      <c r="B36">
        <v>2005</v>
      </c>
      <c r="C36" s="5">
        <f t="shared" si="4"/>
        <v>4.4515151515151516E-4</v>
      </c>
      <c r="D36" s="5">
        <f>C36+(0.5*(C28+C29+C30+C31+C33+C32))</f>
        <v>4.4515151515151516E-4</v>
      </c>
      <c r="E36" s="5">
        <f>C36+(0.75*(C28+C29+C30+C31+C33+C32))</f>
        <v>4.4515151515151516E-4</v>
      </c>
      <c r="F36" s="5">
        <f>C36+(1*(C28+C29+C30+C31+C33+C32))</f>
        <v>4.4515151515151516E-4</v>
      </c>
      <c r="L36" s="32"/>
    </row>
    <row r="37" spans="2:12" x14ac:dyDescent="0.25">
      <c r="B37">
        <v>2006</v>
      </c>
      <c r="C37" s="5">
        <f t="shared" si="4"/>
        <v>7.5068732782369143E-3</v>
      </c>
      <c r="D37" s="5">
        <f>C37+(0.5*(C28+C29+C30+C31+C32+C34+C33))</f>
        <v>7.5068732782369143E-3</v>
      </c>
      <c r="E37" s="5">
        <f>C37+(0.75*(C28+C29+C30+C31+C32+C34+C33))</f>
        <v>7.5068732782369143E-3</v>
      </c>
      <c r="F37" s="5">
        <f>C37+(1*(C28+C29+C30+C31+C32+C34+C33))</f>
        <v>7.5068732782369143E-3</v>
      </c>
      <c r="L37" s="32"/>
    </row>
    <row r="38" spans="2:12" x14ac:dyDescent="0.25">
      <c r="B38">
        <v>2007</v>
      </c>
      <c r="C38" s="5">
        <f t="shared" si="4"/>
        <v>2.0638842975206611E-3</v>
      </c>
      <c r="D38" s="5">
        <f>C38+(0.5*(C28+C29+C30+C31+C32+C33+C35+C34))</f>
        <v>2.0638842975206611E-3</v>
      </c>
      <c r="E38" s="5">
        <f>C38+(0.75*(C28+C29+C30+C31+C32+C33+C35+C34))</f>
        <v>2.0638842975206611E-3</v>
      </c>
      <c r="F38" s="5">
        <f>C38+(1*(C28+C29+C30+C31+C32+C33+C35+C34))</f>
        <v>2.0638842975206611E-3</v>
      </c>
      <c r="L38" s="32"/>
    </row>
    <row r="39" spans="2:12" x14ac:dyDescent="0.25">
      <c r="B39">
        <v>2008</v>
      </c>
      <c r="C39" s="5">
        <f t="shared" si="4"/>
        <v>0</v>
      </c>
      <c r="D39" s="5">
        <f>C39+(0.5*(C28+C29+C30+C31+C32+C33+C34+C36+C35))</f>
        <v>2.2257575757575758E-4</v>
      </c>
      <c r="E39" s="5">
        <f>C39+(0.75*(C28+C29+C30+C31+C32+C33+C34+C36+C35))</f>
        <v>3.3386363636363637E-4</v>
      </c>
      <c r="F39" s="5">
        <f>C39+(1*(C28+C29+C30+C31+C32+C33+C34+C36+C35))</f>
        <v>4.4515151515151516E-4</v>
      </c>
      <c r="L39" s="32"/>
    </row>
    <row r="40" spans="2:12" x14ac:dyDescent="0.25">
      <c r="B40">
        <v>2009</v>
      </c>
      <c r="C40" s="5">
        <f t="shared" si="4"/>
        <v>8.0936639118457294E-5</v>
      </c>
      <c r="D40" s="5">
        <f>C40+(0.5*(C28+C29+C30+C31+C32+C33+C34+C35+C37+C36))</f>
        <v>4.0569490358126721E-3</v>
      </c>
      <c r="E40" s="5">
        <f>C40+(0.75*(C28+C29+C30+C31+C32+C33+C34+C35+C37+C36))</f>
        <v>6.0449552341597795E-3</v>
      </c>
      <c r="F40" s="5">
        <f>C40+(1*(C28+C29+C30+C31+C32+C33+C34+C35+C37+C36))</f>
        <v>8.0329614325068879E-3</v>
      </c>
      <c r="L40" s="32"/>
    </row>
    <row r="41" spans="2:12" x14ac:dyDescent="0.25">
      <c r="B41">
        <v>2010</v>
      </c>
      <c r="C41" s="5">
        <f t="shared" si="4"/>
        <v>1.5782644628099174E-3</v>
      </c>
      <c r="D41" s="5">
        <f>C41+(0.5*(C28+C29+C30+C31+C32+C33+C34+C35+C36+C38+C37))</f>
        <v>6.5862190082644628E-3</v>
      </c>
      <c r="E41" s="5">
        <f>C41+(0.75*(C28+C29+C30+C31+C32+C33+C34+C35+C36+C38+C37))</f>
        <v>9.0901962809917351E-3</v>
      </c>
      <c r="F41" s="5">
        <f>C41+(1*(C28+C29+C30+C31+C32+C33+C34+C35+C36+C38+C37))</f>
        <v>1.1594173553719007E-2</v>
      </c>
      <c r="L41" s="32"/>
    </row>
    <row r="42" spans="2:12" x14ac:dyDescent="0.25">
      <c r="B42">
        <v>2011</v>
      </c>
      <c r="C42" s="5">
        <f t="shared" si="4"/>
        <v>2.0573486639118457</v>
      </c>
      <c r="D42" s="5">
        <f>C42+(0.5*(C28+C29+C30+C31+C32+C33+C34+C35+C36+C37+C39+C38))</f>
        <v>2.0623566184573003</v>
      </c>
      <c r="E42" s="5">
        <f>C42+(0.75*(C28+C29+C30+C31+C32+C33+C34+C35+C36+C37+C39+C38))</f>
        <v>2.0648605957300274</v>
      </c>
      <c r="F42" s="5">
        <f>C42+(1*(C28+C29+C30+C31+C32+C33+C34+C35+C36+C37+C39+C38))</f>
        <v>2.0673645730027546</v>
      </c>
      <c r="L42" s="32"/>
    </row>
    <row r="43" spans="2:12" x14ac:dyDescent="0.25">
      <c r="B43">
        <v>2012</v>
      </c>
      <c r="C43" s="5">
        <f t="shared" si="4"/>
        <v>4.5745995454545456</v>
      </c>
      <c r="D43" s="5">
        <f>C43+(0.5*(C28+C29+C30+C31+C32+C33+C34+C35+C36+C37+C38+C40+C39))</f>
        <v>4.5796479683195592</v>
      </c>
      <c r="E43" s="5">
        <f>C43+(0.75*(C28+C29+C30+C31+C32+C33+C34+C35+C36+C37+C38+C40+C39))</f>
        <v>4.5821721797520665</v>
      </c>
      <c r="F43" s="5">
        <f>C43+(1*(C28+C29+C30+C31+C32+C33+C34+C35+C36+C37+C38+C40+C39))</f>
        <v>4.5846963911845728</v>
      </c>
      <c r="L43" s="32"/>
    </row>
    <row r="44" spans="2:12" x14ac:dyDescent="0.25">
      <c r="B44">
        <v>2013</v>
      </c>
      <c r="C44" s="5">
        <f t="shared" si="4"/>
        <v>6.3130578512396701E-2</v>
      </c>
      <c r="D44" s="5">
        <f>C44+(0.5*(C28+C29+C30+C31+C32+C33+C34+C35+C36+C37+C38+C39+C41+C40))</f>
        <v>6.896813360881543E-2</v>
      </c>
      <c r="E44" s="5">
        <f>C44+(0.75*(C28+C29+C30+C31+C32+C33+C34+C35+C36+C37+C38+C39+C41+C40))</f>
        <v>7.1886911157024808E-2</v>
      </c>
      <c r="F44" s="5">
        <f>C44+(1*(C28+C29+C30+C31+C32+C33+C34+C35+C36+C37+C38+C39+C41+C40))</f>
        <v>7.4805688705234172E-2</v>
      </c>
      <c r="L44" s="32"/>
    </row>
    <row r="45" spans="2:12" x14ac:dyDescent="0.25">
      <c r="B45">
        <v>2014</v>
      </c>
      <c r="C45" s="5">
        <f>F21</f>
        <v>21.153600000000001</v>
      </c>
      <c r="D45" s="5">
        <f>C45+(0.5*(C28+C29+C30+C31+C32+C33+C34+C35+C36+C37+C38+C39+C40+C42+C41))</f>
        <v>22.188111887052344</v>
      </c>
      <c r="E45" s="5">
        <f>C45+(0.75*(C28+C29+C30+C31+C32+C33+C34+C35+C36+C37+C38+C39+C40+C42+C41))</f>
        <v>22.705367830578513</v>
      </c>
      <c r="F45" s="5">
        <f>C45+(1*(C28+C29+C30+C31+C32+C33+C34+C35+C36+C37+C38+C39+C40+C42+C41))</f>
        <v>23.222623774104683</v>
      </c>
      <c r="L45" s="32"/>
    </row>
    <row r="46" spans="2:12" x14ac:dyDescent="0.25">
      <c r="B46">
        <v>2015</v>
      </c>
      <c r="C46" s="5">
        <f t="shared" ref="C46:C49" si="5">F22</f>
        <v>1.1752</v>
      </c>
      <c r="D46" s="5">
        <f t="shared" ref="D46:D49" si="6">C46+(0.5*(C29+C30+C31+C32+C33+C34+C35+C36+C37+C38+C39+C40+C41+C43+C42))</f>
        <v>4.4970116597796146</v>
      </c>
      <c r="E46" s="5">
        <f t="shared" ref="E46:E49" si="7">C46+(0.75*(C29+C30+C31+C32+C33+C34+C35+C36+C37+C38+C39+C40+C41+C43+C42))</f>
        <v>6.1579174896694218</v>
      </c>
      <c r="F46" s="5">
        <f t="shared" ref="F46:F49" si="8">C46+(1*(C29+C30+C31+C32+C33+C34+C35+C36+C37+C38+C39+C40+C41+C43+C42))</f>
        <v>7.8188233195592289</v>
      </c>
      <c r="L46" s="32"/>
    </row>
    <row r="47" spans="2:12" x14ac:dyDescent="0.25">
      <c r="B47">
        <v>2016</v>
      </c>
      <c r="C47" s="5">
        <f t="shared" si="5"/>
        <v>0</v>
      </c>
      <c r="D47" s="5">
        <f t="shared" si="6"/>
        <v>3.3533769490358125</v>
      </c>
      <c r="E47" s="5">
        <f t="shared" si="7"/>
        <v>5.0300654235537188</v>
      </c>
      <c r="F47" s="5">
        <f t="shared" si="8"/>
        <v>6.706753898071625</v>
      </c>
    </row>
    <row r="48" spans="2:12" x14ac:dyDescent="0.25">
      <c r="B48">
        <v>2017</v>
      </c>
      <c r="C48" s="5">
        <f t="shared" si="5"/>
        <v>1.0870600000000001</v>
      </c>
      <c r="D48" s="5">
        <f t="shared" si="6"/>
        <v>15.017236949035812</v>
      </c>
      <c r="E48" s="5">
        <f t="shared" si="7"/>
        <v>21.982325423553721</v>
      </c>
      <c r="F48" s="5">
        <f t="shared" si="8"/>
        <v>28.947413898071627</v>
      </c>
    </row>
    <row r="49" spans="2:6" x14ac:dyDescent="0.25">
      <c r="B49">
        <v>2018</v>
      </c>
      <c r="C49" s="5">
        <f t="shared" si="5"/>
        <v>0</v>
      </c>
      <c r="D49" s="5">
        <f t="shared" si="6"/>
        <v>14.517776949035813</v>
      </c>
      <c r="E49" s="5">
        <f t="shared" si="7"/>
        <v>21.77666542355372</v>
      </c>
      <c r="F49" s="5">
        <f t="shared" si="8"/>
        <v>29.035553898071626</v>
      </c>
    </row>
  </sheetData>
  <mergeCells count="1">
    <mergeCell ref="H2:I2"/>
  </mergeCells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X19"/>
  <sheetViews>
    <sheetView workbookViewId="0">
      <selection activeCell="L13" sqref="L13"/>
    </sheetView>
  </sheetViews>
  <sheetFormatPr defaultRowHeight="15" x14ac:dyDescent="0.25"/>
  <cols>
    <col min="1" max="1" width="5" customWidth="1"/>
    <col min="2" max="2" width="12" bestFit="1" customWidth="1"/>
    <col min="3" max="7" width="9.28515625" bestFit="1" customWidth="1"/>
    <col min="8" max="8" width="11.28515625" customWidth="1"/>
    <col min="9" max="9" width="9.5703125" bestFit="1" customWidth="1"/>
    <col min="10" max="10" width="11.7109375" customWidth="1"/>
    <col min="11" max="11" width="9.5703125" bestFit="1" customWidth="1"/>
    <col min="12" max="12" width="12.140625" bestFit="1" customWidth="1"/>
    <col min="13" max="18" width="9.28515625" bestFit="1" customWidth="1"/>
    <col min="19" max="19" width="13.42578125" bestFit="1" customWidth="1"/>
    <col min="20" max="20" width="9.28515625" bestFit="1" customWidth="1"/>
    <col min="21" max="21" width="12.42578125" bestFit="1" customWidth="1"/>
    <col min="22" max="22" width="14.28515625" bestFit="1" customWidth="1"/>
    <col min="23" max="23" width="15.7109375" customWidth="1"/>
    <col min="24" max="24" width="27.42578125" customWidth="1"/>
  </cols>
  <sheetData>
    <row r="1" spans="1:24" x14ac:dyDescent="0.25">
      <c r="B1" s="88" t="s">
        <v>46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</row>
    <row r="2" spans="1:24" s="3" customFormat="1" x14ac:dyDescent="0.25">
      <c r="A2" s="89" t="s">
        <v>0</v>
      </c>
      <c r="B2" s="6"/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21</v>
      </c>
      <c r="I2" s="7" t="s">
        <v>6</v>
      </c>
      <c r="J2" s="7" t="s">
        <v>7</v>
      </c>
      <c r="K2" s="7" t="s">
        <v>8</v>
      </c>
      <c r="L2" s="7" t="s">
        <v>9</v>
      </c>
      <c r="M2" s="7" t="s">
        <v>10</v>
      </c>
      <c r="N2" s="7" t="s">
        <v>11</v>
      </c>
      <c r="O2" s="7" t="s">
        <v>12</v>
      </c>
      <c r="P2" s="7" t="s">
        <v>13</v>
      </c>
      <c r="Q2" s="7" t="s">
        <v>14</v>
      </c>
      <c r="R2" s="7" t="s">
        <v>15</v>
      </c>
      <c r="S2" s="7" t="s">
        <v>16</v>
      </c>
      <c r="T2" s="7" t="s">
        <v>17</v>
      </c>
      <c r="U2" s="7" t="s">
        <v>23</v>
      </c>
      <c r="V2" s="7" t="s">
        <v>18</v>
      </c>
      <c r="W2" s="7"/>
      <c r="X2" s="7"/>
    </row>
    <row r="3" spans="1:24" x14ac:dyDescent="0.25">
      <c r="A3" s="89"/>
      <c r="B3" s="1">
        <v>2004</v>
      </c>
      <c r="C3" s="3"/>
      <c r="D3" s="3"/>
      <c r="E3" s="3"/>
      <c r="F3" s="3"/>
      <c r="G3" s="3"/>
      <c r="H3" s="59"/>
      <c r="I3" s="3"/>
      <c r="J3" s="59"/>
      <c r="K3" s="3"/>
      <c r="L3" s="3">
        <v>0</v>
      </c>
      <c r="M3" s="3"/>
      <c r="N3" s="3"/>
      <c r="O3" s="3"/>
      <c r="P3" s="3"/>
      <c r="Q3" s="3"/>
      <c r="R3" s="59"/>
      <c r="S3" s="3"/>
      <c r="T3" s="3"/>
      <c r="U3" s="3"/>
      <c r="V3" s="27">
        <f t="shared" ref="V3:V17" si="0">SUM(C3:U3)</f>
        <v>0</v>
      </c>
      <c r="W3" s="4"/>
    </row>
    <row r="4" spans="1:24" x14ac:dyDescent="0.25">
      <c r="A4" s="89"/>
      <c r="B4" s="1">
        <v>2005</v>
      </c>
      <c r="C4" s="3"/>
      <c r="D4" s="3"/>
      <c r="E4" s="3"/>
      <c r="F4" s="3"/>
      <c r="G4" s="3"/>
      <c r="H4" s="59"/>
      <c r="I4" s="3"/>
      <c r="J4" s="59"/>
      <c r="K4" s="59"/>
      <c r="L4" s="3">
        <v>1</v>
      </c>
      <c r="M4" s="3"/>
      <c r="N4" s="3"/>
      <c r="O4" s="3"/>
      <c r="P4" s="3"/>
      <c r="Q4" s="3"/>
      <c r="R4" s="59"/>
      <c r="S4" s="3"/>
      <c r="T4" s="3"/>
      <c r="U4" s="3"/>
      <c r="V4" s="27">
        <f t="shared" si="0"/>
        <v>1</v>
      </c>
      <c r="W4" s="4"/>
    </row>
    <row r="5" spans="1:24" x14ac:dyDescent="0.25">
      <c r="A5" s="89"/>
      <c r="B5" s="1">
        <v>2006</v>
      </c>
      <c r="C5" s="3"/>
      <c r="D5" s="3"/>
      <c r="E5" s="3"/>
      <c r="F5" s="3"/>
      <c r="G5" s="3"/>
      <c r="H5" s="59"/>
      <c r="I5" s="3"/>
      <c r="J5" s="59"/>
      <c r="K5" s="59"/>
      <c r="L5" s="3">
        <v>17</v>
      </c>
      <c r="M5" s="3"/>
      <c r="N5" s="3"/>
      <c r="O5" s="3"/>
      <c r="P5" s="3"/>
      <c r="Q5" s="3"/>
      <c r="R5" s="3"/>
      <c r="S5" s="3"/>
      <c r="T5" s="3"/>
      <c r="U5" s="3"/>
      <c r="V5" s="27">
        <f t="shared" si="0"/>
        <v>17</v>
      </c>
      <c r="W5" s="4"/>
    </row>
    <row r="6" spans="1:24" x14ac:dyDescent="0.25">
      <c r="A6" s="89"/>
      <c r="B6" s="1">
        <v>2007</v>
      </c>
      <c r="C6" s="3"/>
      <c r="D6" s="3"/>
      <c r="E6" s="3"/>
      <c r="F6" s="3"/>
      <c r="G6" s="3"/>
      <c r="H6" s="59"/>
      <c r="I6" s="3"/>
      <c r="J6" s="59"/>
      <c r="K6" s="3"/>
      <c r="L6" s="3">
        <v>30.5</v>
      </c>
      <c r="M6" s="3"/>
      <c r="N6" s="3"/>
      <c r="O6" s="3"/>
      <c r="P6" s="3"/>
      <c r="Q6" s="3"/>
      <c r="R6" s="3"/>
      <c r="S6" s="3"/>
      <c r="T6" s="3"/>
      <c r="U6" s="3"/>
      <c r="V6" s="27">
        <f t="shared" si="0"/>
        <v>30.5</v>
      </c>
      <c r="W6" s="4"/>
    </row>
    <row r="7" spans="1:24" x14ac:dyDescent="0.25">
      <c r="A7" s="89"/>
      <c r="B7" s="1">
        <v>2008</v>
      </c>
      <c r="C7" s="3"/>
      <c r="D7" s="3"/>
      <c r="E7" s="3"/>
      <c r="F7" s="3"/>
      <c r="G7" s="3"/>
      <c r="H7" s="59"/>
      <c r="I7" s="3"/>
      <c r="J7" s="59"/>
      <c r="K7" s="3"/>
      <c r="L7" s="3">
        <v>14</v>
      </c>
      <c r="M7" s="3"/>
      <c r="N7" s="3"/>
      <c r="O7" s="3"/>
      <c r="P7" s="3"/>
      <c r="Q7" s="3"/>
      <c r="R7" s="3"/>
      <c r="S7" s="3"/>
      <c r="T7" s="3"/>
      <c r="U7" s="3"/>
      <c r="V7" s="27">
        <f t="shared" si="0"/>
        <v>14</v>
      </c>
      <c r="W7" s="4"/>
    </row>
    <row r="8" spans="1:24" x14ac:dyDescent="0.25">
      <c r="A8" s="89"/>
      <c r="B8" s="1">
        <v>2009</v>
      </c>
      <c r="C8" s="3"/>
      <c r="D8" s="3"/>
      <c r="E8" s="3"/>
      <c r="F8" s="3"/>
      <c r="G8" s="3"/>
      <c r="H8" s="59"/>
      <c r="I8" s="3"/>
      <c r="J8" s="59"/>
      <c r="K8" s="3"/>
      <c r="L8" s="3">
        <v>67.400000000000006</v>
      </c>
      <c r="M8" s="3"/>
      <c r="N8" s="3"/>
      <c r="O8" s="3"/>
      <c r="P8" s="3"/>
      <c r="Q8" s="3"/>
      <c r="R8" s="3"/>
      <c r="S8" s="3"/>
      <c r="T8" s="3"/>
      <c r="U8" s="3"/>
      <c r="V8" s="27">
        <f t="shared" si="0"/>
        <v>67.400000000000006</v>
      </c>
      <c r="W8" s="4"/>
    </row>
    <row r="9" spans="1:24" x14ac:dyDescent="0.25">
      <c r="A9" s="89"/>
      <c r="B9" s="1">
        <v>2010</v>
      </c>
      <c r="C9" s="3"/>
      <c r="D9" s="3"/>
      <c r="E9" s="3"/>
      <c r="F9" s="3"/>
      <c r="G9" s="3"/>
      <c r="H9" s="59"/>
      <c r="I9" s="3"/>
      <c r="J9" s="59"/>
      <c r="K9" s="3"/>
      <c r="L9" s="3">
        <v>4.2</v>
      </c>
      <c r="M9" s="3"/>
      <c r="N9" s="3"/>
      <c r="O9" s="3"/>
      <c r="P9" s="3"/>
      <c r="Q9" s="3"/>
      <c r="R9" s="3"/>
      <c r="S9" s="3"/>
      <c r="T9" s="3"/>
      <c r="U9" s="3"/>
      <c r="V9" s="27">
        <f t="shared" si="0"/>
        <v>4.2</v>
      </c>
      <c r="W9" s="4"/>
    </row>
    <row r="10" spans="1:24" x14ac:dyDescent="0.25">
      <c r="A10" s="89"/>
      <c r="B10" s="1">
        <v>2011</v>
      </c>
      <c r="C10" s="3"/>
      <c r="D10" s="3"/>
      <c r="E10" s="3"/>
      <c r="F10" s="3"/>
      <c r="G10" s="3"/>
      <c r="H10" s="59"/>
      <c r="I10" s="3"/>
      <c r="J10" s="79">
        <v>324</v>
      </c>
      <c r="K10" s="3"/>
      <c r="L10" s="3">
        <v>0.9</v>
      </c>
      <c r="M10" s="3"/>
      <c r="N10" s="3"/>
      <c r="O10" s="3"/>
      <c r="P10" s="3"/>
      <c r="Q10" s="3"/>
      <c r="R10" s="3"/>
      <c r="S10" s="3"/>
      <c r="T10" s="3"/>
      <c r="U10" s="3"/>
      <c r="V10" s="27">
        <f t="shared" si="0"/>
        <v>324.89999999999998</v>
      </c>
      <c r="W10" s="4"/>
    </row>
    <row r="11" spans="1:24" x14ac:dyDescent="0.25">
      <c r="A11" s="89"/>
      <c r="B11" s="1">
        <v>2012</v>
      </c>
      <c r="C11" s="3"/>
      <c r="D11" s="3"/>
      <c r="E11" s="3"/>
      <c r="F11" s="3"/>
      <c r="G11" s="3"/>
      <c r="H11" s="59"/>
      <c r="I11" s="3"/>
      <c r="J11" s="59">
        <v>0</v>
      </c>
      <c r="K11" s="3"/>
      <c r="L11" s="3">
        <v>0</v>
      </c>
      <c r="M11" s="3"/>
      <c r="N11" s="3"/>
      <c r="O11" s="3"/>
      <c r="P11" s="3"/>
      <c r="Q11" s="3"/>
      <c r="R11" s="3"/>
      <c r="S11" s="3"/>
      <c r="T11" s="3"/>
      <c r="U11" s="3"/>
      <c r="V11" s="27">
        <f t="shared" si="0"/>
        <v>0</v>
      </c>
      <c r="W11" s="4"/>
    </row>
    <row r="12" spans="1:24" x14ac:dyDescent="0.25">
      <c r="A12" s="89"/>
      <c r="B12" s="1">
        <v>2013</v>
      </c>
      <c r="C12" s="3"/>
      <c r="D12" s="3"/>
      <c r="E12" s="3"/>
      <c r="F12" s="3"/>
      <c r="G12" s="3"/>
      <c r="H12" s="59"/>
      <c r="I12" s="3"/>
      <c r="J12" s="79">
        <v>1</v>
      </c>
      <c r="K12" s="3"/>
      <c r="L12" s="3">
        <v>0</v>
      </c>
      <c r="M12" s="3"/>
      <c r="N12" s="3"/>
      <c r="O12" s="3"/>
      <c r="P12" s="3"/>
      <c r="Q12" s="3"/>
      <c r="R12" s="3"/>
      <c r="S12" s="3"/>
      <c r="T12" s="3"/>
      <c r="U12" s="3"/>
      <c r="V12" s="27">
        <f t="shared" si="0"/>
        <v>1</v>
      </c>
      <c r="W12" s="4"/>
    </row>
    <row r="13" spans="1:24" x14ac:dyDescent="0.25">
      <c r="A13" s="89"/>
      <c r="B13" s="1">
        <v>2014</v>
      </c>
      <c r="C13" s="3"/>
      <c r="D13" s="3"/>
      <c r="E13" s="3"/>
      <c r="F13" s="3"/>
      <c r="G13" s="3"/>
      <c r="H13" s="3"/>
      <c r="I13" s="3"/>
      <c r="J13" s="59">
        <v>0</v>
      </c>
      <c r="K13" s="3"/>
      <c r="L13" s="3">
        <v>6.3000000000000007</v>
      </c>
      <c r="M13" s="3"/>
      <c r="N13" s="3"/>
      <c r="O13" s="3"/>
      <c r="P13" s="3"/>
      <c r="Q13" s="3"/>
      <c r="R13" s="3"/>
      <c r="S13" s="3"/>
      <c r="T13" s="3"/>
      <c r="U13" s="3"/>
      <c r="V13" s="27">
        <f t="shared" si="0"/>
        <v>6.3000000000000007</v>
      </c>
      <c r="W13" s="4"/>
    </row>
    <row r="14" spans="1:24" x14ac:dyDescent="0.25">
      <c r="B14" s="1">
        <v>2015</v>
      </c>
      <c r="C14" s="3"/>
      <c r="D14" s="3"/>
      <c r="E14" s="3"/>
      <c r="F14" s="3"/>
      <c r="G14" s="3"/>
      <c r="H14" s="3"/>
      <c r="I14" s="3"/>
      <c r="J14" s="59">
        <v>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27">
        <f t="shared" si="0"/>
        <v>0</v>
      </c>
    </row>
    <row r="15" spans="1:24" x14ac:dyDescent="0.25">
      <c r="B15" s="1">
        <v>2016</v>
      </c>
      <c r="C15" s="3"/>
      <c r="D15" s="3"/>
      <c r="E15" s="3"/>
      <c r="F15" s="3"/>
      <c r="G15" s="3"/>
      <c r="H15" s="3"/>
      <c r="I15" s="3"/>
      <c r="J15" s="59">
        <v>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27">
        <f t="shared" si="0"/>
        <v>0</v>
      </c>
    </row>
    <row r="16" spans="1:24" x14ac:dyDescent="0.25">
      <c r="B16" s="1">
        <v>2017</v>
      </c>
      <c r="C16" s="3"/>
      <c r="D16" s="3"/>
      <c r="E16" s="3"/>
      <c r="F16" s="3"/>
      <c r="G16" s="3"/>
      <c r="H16" s="3"/>
      <c r="I16" s="3"/>
      <c r="J16" s="59">
        <v>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27">
        <f t="shared" si="0"/>
        <v>0</v>
      </c>
    </row>
    <row r="17" spans="2:22" x14ac:dyDescent="0.25">
      <c r="B17" s="1">
        <v>2018</v>
      </c>
      <c r="C17" s="3"/>
      <c r="D17" s="3"/>
      <c r="E17" s="3"/>
      <c r="F17" s="3"/>
      <c r="G17" s="3"/>
      <c r="H17" s="3"/>
      <c r="I17" s="3"/>
      <c r="J17" s="59">
        <v>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27">
        <f t="shared" si="0"/>
        <v>0</v>
      </c>
    </row>
    <row r="18" spans="2:22" x14ac:dyDescent="0.25"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</row>
    <row r="19" spans="2:22" x14ac:dyDescent="0.25">
      <c r="B19" s="2" t="s">
        <v>19</v>
      </c>
      <c r="C19" s="47" t="s">
        <v>20</v>
      </c>
      <c r="D19" s="47" t="s">
        <v>22</v>
      </c>
      <c r="E19" s="47" t="s">
        <v>22</v>
      </c>
      <c r="F19" s="47" t="s">
        <v>20</v>
      </c>
      <c r="G19" s="47" t="s">
        <v>22</v>
      </c>
      <c r="H19" s="47" t="s">
        <v>20</v>
      </c>
      <c r="I19" s="47" t="s">
        <v>20</v>
      </c>
      <c r="J19" s="47" t="s">
        <v>20</v>
      </c>
      <c r="K19" s="47" t="s">
        <v>20</v>
      </c>
      <c r="L19" s="47" t="s">
        <v>22</v>
      </c>
      <c r="M19" s="47" t="s">
        <v>20</v>
      </c>
      <c r="N19" s="47" t="s">
        <v>20</v>
      </c>
      <c r="O19" s="47" t="s">
        <v>20</v>
      </c>
      <c r="P19" s="47" t="s">
        <v>20</v>
      </c>
      <c r="Q19" s="47" t="s">
        <v>20</v>
      </c>
      <c r="R19" s="47" t="s">
        <v>20</v>
      </c>
      <c r="S19" s="47" t="s">
        <v>20</v>
      </c>
      <c r="T19" s="47" t="s">
        <v>22</v>
      </c>
      <c r="U19" s="47" t="s">
        <v>20</v>
      </c>
      <c r="V19" s="32"/>
    </row>
  </sheetData>
  <mergeCells count="2">
    <mergeCell ref="B1:U1"/>
    <mergeCell ref="A2:A13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K49"/>
  <sheetViews>
    <sheetView topLeftCell="A7" workbookViewId="0">
      <selection activeCell="E5" sqref="E5"/>
    </sheetView>
  </sheetViews>
  <sheetFormatPr defaultRowHeight="15" x14ac:dyDescent="0.25"/>
  <cols>
    <col min="2" max="2" width="21" customWidth="1"/>
    <col min="3" max="3" width="20.140625" customWidth="1"/>
    <col min="4" max="4" width="14.140625" customWidth="1"/>
    <col min="5" max="5" width="30.140625" customWidth="1"/>
    <col min="6" max="6" width="45.42578125" customWidth="1"/>
    <col min="7" max="7" width="12.28515625" customWidth="1"/>
    <col min="8" max="8" width="11.42578125" customWidth="1"/>
    <col min="9" max="9" width="15.85546875" customWidth="1"/>
    <col min="10" max="10" width="14.7109375" customWidth="1"/>
    <col min="11" max="11" width="16.7109375" customWidth="1"/>
  </cols>
  <sheetData>
    <row r="1" spans="1:11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ht="15" customHeight="1" x14ac:dyDescent="0.25">
      <c r="A2" s="11"/>
      <c r="B2" s="12"/>
      <c r="C2" s="11"/>
      <c r="D2" s="12"/>
      <c r="E2" s="11"/>
      <c r="F2" s="11"/>
      <c r="G2" s="11"/>
      <c r="H2" s="90" t="s">
        <v>25</v>
      </c>
      <c r="I2" s="91"/>
      <c r="J2" s="12"/>
      <c r="K2" s="13"/>
    </row>
    <row r="3" spans="1:11" x14ac:dyDescent="0.25">
      <c r="A3" s="11"/>
      <c r="B3" s="14" t="s">
        <v>26</v>
      </c>
      <c r="C3" s="14" t="s">
        <v>27</v>
      </c>
      <c r="D3" s="14" t="s">
        <v>28</v>
      </c>
      <c r="E3" s="14" t="s">
        <v>29</v>
      </c>
      <c r="F3" s="14" t="s">
        <v>30</v>
      </c>
      <c r="G3" s="11"/>
      <c r="H3" s="12"/>
      <c r="I3" s="12"/>
      <c r="J3" s="12"/>
      <c r="K3" s="13"/>
    </row>
    <row r="4" spans="1:11" x14ac:dyDescent="0.25">
      <c r="A4" s="11"/>
      <c r="B4" s="16">
        <v>1997</v>
      </c>
      <c r="C4" s="17"/>
      <c r="D4" s="18" t="s">
        <v>32</v>
      </c>
      <c r="E4" s="19">
        <v>0.35949999999999999</v>
      </c>
      <c r="F4" s="20">
        <f t="shared" ref="F4:F25" si="0">C4*E4</f>
        <v>0</v>
      </c>
      <c r="G4" s="11"/>
      <c r="H4" s="12"/>
      <c r="I4" s="12"/>
      <c r="J4" s="12"/>
      <c r="K4" s="13"/>
    </row>
    <row r="5" spans="1:11" x14ac:dyDescent="0.25">
      <c r="A5" s="11"/>
      <c r="B5" s="16">
        <v>1998</v>
      </c>
      <c r="C5" s="17"/>
      <c r="D5" s="18" t="s">
        <v>32</v>
      </c>
      <c r="E5" s="19">
        <f t="shared" ref="E5:E25" si="1">$E$4</f>
        <v>0.35949999999999999</v>
      </c>
      <c r="F5" s="20">
        <f t="shared" si="0"/>
        <v>0</v>
      </c>
      <c r="G5" s="11"/>
      <c r="H5" s="12"/>
      <c r="I5" s="12"/>
      <c r="J5" s="12"/>
      <c r="K5" s="13"/>
    </row>
    <row r="6" spans="1:11" x14ac:dyDescent="0.25">
      <c r="A6" s="11"/>
      <c r="B6" s="16">
        <v>1999</v>
      </c>
      <c r="C6" s="17"/>
      <c r="D6" s="18" t="s">
        <v>32</v>
      </c>
      <c r="E6" s="19">
        <f t="shared" si="1"/>
        <v>0.35949999999999999</v>
      </c>
      <c r="F6" s="20">
        <f t="shared" si="0"/>
        <v>0</v>
      </c>
      <c r="G6" s="11"/>
      <c r="H6" s="12"/>
      <c r="I6" s="12"/>
      <c r="J6" s="12"/>
      <c r="K6" s="13"/>
    </row>
    <row r="7" spans="1:11" x14ac:dyDescent="0.25">
      <c r="A7" s="11"/>
      <c r="B7" s="16">
        <v>2000</v>
      </c>
      <c r="C7" s="17"/>
      <c r="D7" s="18" t="s">
        <v>32</v>
      </c>
      <c r="E7" s="19">
        <f t="shared" si="1"/>
        <v>0.35949999999999999</v>
      </c>
      <c r="F7" s="20">
        <f t="shared" si="0"/>
        <v>0</v>
      </c>
      <c r="G7" s="11"/>
      <c r="H7" s="12"/>
      <c r="I7" s="12"/>
      <c r="J7" s="12"/>
      <c r="K7" s="13"/>
    </row>
    <row r="8" spans="1:11" x14ac:dyDescent="0.25">
      <c r="A8" s="11"/>
      <c r="B8" s="16">
        <v>2001</v>
      </c>
      <c r="C8" s="17"/>
      <c r="D8" s="18" t="s">
        <v>32</v>
      </c>
      <c r="E8" s="19">
        <f t="shared" si="1"/>
        <v>0.35949999999999999</v>
      </c>
      <c r="F8" s="20">
        <f t="shared" si="0"/>
        <v>0</v>
      </c>
      <c r="G8" s="11"/>
      <c r="H8" s="12"/>
      <c r="I8" s="12"/>
      <c r="J8" s="12"/>
      <c r="K8" s="13"/>
    </row>
    <row r="9" spans="1:11" x14ac:dyDescent="0.25">
      <c r="A9" s="11"/>
      <c r="B9" s="16">
        <v>2002</v>
      </c>
      <c r="C9" s="17"/>
      <c r="D9" s="18" t="s">
        <v>32</v>
      </c>
      <c r="E9" s="19">
        <f t="shared" si="1"/>
        <v>0.35949999999999999</v>
      </c>
      <c r="F9" s="20">
        <f t="shared" si="0"/>
        <v>0</v>
      </c>
      <c r="G9" s="11"/>
      <c r="H9" s="12"/>
      <c r="I9" s="12"/>
      <c r="J9" s="12"/>
      <c r="K9" s="13"/>
    </row>
    <row r="10" spans="1:11" x14ac:dyDescent="0.25">
      <c r="A10" s="11"/>
      <c r="B10" s="16">
        <v>2003</v>
      </c>
      <c r="C10" s="17"/>
      <c r="D10" s="18" t="s">
        <v>32</v>
      </c>
      <c r="E10" s="19">
        <f t="shared" si="1"/>
        <v>0.35949999999999999</v>
      </c>
      <c r="F10" s="20">
        <f t="shared" si="0"/>
        <v>0</v>
      </c>
      <c r="G10" s="11"/>
      <c r="H10" s="48" t="s">
        <v>27</v>
      </c>
      <c r="I10" s="48"/>
      <c r="J10" s="12"/>
      <c r="K10" s="13"/>
    </row>
    <row r="11" spans="1:11" x14ac:dyDescent="0.25">
      <c r="A11" s="11"/>
      <c r="B11" s="16">
        <v>2004</v>
      </c>
      <c r="C11" s="17">
        <f>H11</f>
        <v>0</v>
      </c>
      <c r="D11" s="18" t="s">
        <v>32</v>
      </c>
      <c r="E11" s="19">
        <f t="shared" si="1"/>
        <v>0.35949999999999999</v>
      </c>
      <c r="F11" s="20">
        <f t="shared" si="0"/>
        <v>0</v>
      </c>
      <c r="G11" s="11"/>
      <c r="H11" s="49">
        <f>'CO Summary Sheet CPS 393'!V3</f>
        <v>0</v>
      </c>
      <c r="I11" s="49"/>
      <c r="J11" s="12"/>
      <c r="K11" s="13"/>
    </row>
    <row r="12" spans="1:11" x14ac:dyDescent="0.25">
      <c r="A12" s="11"/>
      <c r="B12" s="16">
        <v>2005</v>
      </c>
      <c r="C12" s="17">
        <f t="shared" ref="C12:C25" si="2">H12</f>
        <v>1</v>
      </c>
      <c r="D12" s="18" t="s">
        <v>32</v>
      </c>
      <c r="E12" s="19">
        <f t="shared" si="1"/>
        <v>0.35949999999999999</v>
      </c>
      <c r="F12" s="20">
        <f t="shared" si="0"/>
        <v>0.35949999999999999</v>
      </c>
      <c r="G12" s="11"/>
      <c r="H12" s="49">
        <f>'CO Summary Sheet CPS 393'!V4</f>
        <v>1</v>
      </c>
      <c r="I12" s="49"/>
      <c r="J12" s="12"/>
      <c r="K12" s="13"/>
    </row>
    <row r="13" spans="1:11" x14ac:dyDescent="0.25">
      <c r="A13" s="11"/>
      <c r="B13" s="16">
        <v>2006</v>
      </c>
      <c r="C13" s="17">
        <f t="shared" si="2"/>
        <v>17</v>
      </c>
      <c r="D13" s="18" t="s">
        <v>32</v>
      </c>
      <c r="E13" s="19">
        <f t="shared" si="1"/>
        <v>0.35949999999999999</v>
      </c>
      <c r="F13" s="20">
        <f t="shared" si="0"/>
        <v>6.1114999999999995</v>
      </c>
      <c r="G13" s="11"/>
      <c r="H13" s="49">
        <f>'CO Summary Sheet CPS 393'!V5</f>
        <v>17</v>
      </c>
      <c r="I13" s="49"/>
      <c r="J13" s="12"/>
      <c r="K13" s="13"/>
    </row>
    <row r="14" spans="1:11" x14ac:dyDescent="0.25">
      <c r="A14" s="11"/>
      <c r="B14" s="16">
        <v>2007</v>
      </c>
      <c r="C14" s="17">
        <f t="shared" si="2"/>
        <v>30.5</v>
      </c>
      <c r="D14" s="18" t="s">
        <v>32</v>
      </c>
      <c r="E14" s="19">
        <f t="shared" si="1"/>
        <v>0.35949999999999999</v>
      </c>
      <c r="F14" s="20">
        <f t="shared" si="0"/>
        <v>10.96475</v>
      </c>
      <c r="G14" s="11"/>
      <c r="H14" s="49">
        <f>'CO Summary Sheet CPS 393'!V6</f>
        <v>30.5</v>
      </c>
      <c r="I14" s="49"/>
      <c r="J14" s="12"/>
      <c r="K14" s="13"/>
    </row>
    <row r="15" spans="1:11" x14ac:dyDescent="0.25">
      <c r="A15" s="11"/>
      <c r="B15" s="16">
        <v>2008</v>
      </c>
      <c r="C15" s="17">
        <f t="shared" si="2"/>
        <v>14</v>
      </c>
      <c r="D15" s="18" t="s">
        <v>32</v>
      </c>
      <c r="E15" s="19">
        <f t="shared" si="1"/>
        <v>0.35949999999999999</v>
      </c>
      <c r="F15" s="20">
        <f t="shared" si="0"/>
        <v>5.0329999999999995</v>
      </c>
      <c r="G15" s="11"/>
      <c r="H15" s="49">
        <f>'CO Summary Sheet CPS 393'!V7</f>
        <v>14</v>
      </c>
      <c r="I15" s="49"/>
      <c r="J15" s="12"/>
      <c r="K15" s="13"/>
    </row>
    <row r="16" spans="1:11" x14ac:dyDescent="0.25">
      <c r="A16" s="11"/>
      <c r="B16" s="16">
        <v>2009</v>
      </c>
      <c r="C16" s="17">
        <f t="shared" si="2"/>
        <v>67.400000000000006</v>
      </c>
      <c r="D16" s="18" t="s">
        <v>32</v>
      </c>
      <c r="E16" s="19">
        <f t="shared" si="1"/>
        <v>0.35949999999999999</v>
      </c>
      <c r="F16" s="20">
        <f t="shared" si="0"/>
        <v>24.2303</v>
      </c>
      <c r="G16" s="11"/>
      <c r="H16" s="49">
        <f>'CO Summary Sheet CPS 393'!V8</f>
        <v>67.400000000000006</v>
      </c>
      <c r="I16" s="49"/>
      <c r="J16" s="12"/>
      <c r="K16" s="13"/>
    </row>
    <row r="17" spans="1:11" x14ac:dyDescent="0.25">
      <c r="A17" s="11"/>
      <c r="B17" s="16">
        <v>2010</v>
      </c>
      <c r="C17" s="17">
        <f t="shared" si="2"/>
        <v>4.2</v>
      </c>
      <c r="D17" s="18" t="s">
        <v>32</v>
      </c>
      <c r="E17" s="19">
        <f t="shared" si="1"/>
        <v>0.35949999999999999</v>
      </c>
      <c r="F17" s="20">
        <f t="shared" si="0"/>
        <v>1.5099</v>
      </c>
      <c r="G17" s="11"/>
      <c r="H17" s="49">
        <f>'CO Summary Sheet CPS 393'!V9</f>
        <v>4.2</v>
      </c>
      <c r="I17" s="49"/>
      <c r="J17" s="12"/>
      <c r="K17" s="13"/>
    </row>
    <row r="18" spans="1:11" x14ac:dyDescent="0.25">
      <c r="A18" s="11"/>
      <c r="B18" s="16">
        <v>2011</v>
      </c>
      <c r="C18" s="17">
        <f t="shared" si="2"/>
        <v>324.89999999999998</v>
      </c>
      <c r="D18" s="18" t="s">
        <v>32</v>
      </c>
      <c r="E18" s="19">
        <f t="shared" si="1"/>
        <v>0.35949999999999999</v>
      </c>
      <c r="F18" s="20">
        <f t="shared" si="0"/>
        <v>116.80154999999999</v>
      </c>
      <c r="G18" s="11"/>
      <c r="H18" s="49">
        <f>'CO Summary Sheet CPS 393'!V10</f>
        <v>324.89999999999998</v>
      </c>
      <c r="I18" s="49"/>
      <c r="J18" s="12"/>
      <c r="K18" s="13"/>
    </row>
    <row r="19" spans="1:11" x14ac:dyDescent="0.25">
      <c r="A19" s="11"/>
      <c r="B19" s="16">
        <v>2012</v>
      </c>
      <c r="C19" s="17">
        <f t="shared" si="2"/>
        <v>0</v>
      </c>
      <c r="D19" s="18" t="s">
        <v>32</v>
      </c>
      <c r="E19" s="19">
        <f t="shared" si="1"/>
        <v>0.35949999999999999</v>
      </c>
      <c r="F19" s="20">
        <f t="shared" si="0"/>
        <v>0</v>
      </c>
      <c r="G19" s="11"/>
      <c r="H19" s="49">
        <f>'CO Summary Sheet CPS 393'!V11</f>
        <v>0</v>
      </c>
      <c r="I19" s="49"/>
      <c r="J19" s="12"/>
      <c r="K19" s="13"/>
    </row>
    <row r="20" spans="1:11" s="22" customFormat="1" x14ac:dyDescent="0.25">
      <c r="A20" s="11"/>
      <c r="B20" s="16">
        <v>2013</v>
      </c>
      <c r="C20" s="17">
        <f t="shared" si="2"/>
        <v>1</v>
      </c>
      <c r="D20" s="18" t="s">
        <v>32</v>
      </c>
      <c r="E20" s="19">
        <f t="shared" si="1"/>
        <v>0.35949999999999999</v>
      </c>
      <c r="F20" s="20">
        <f t="shared" si="0"/>
        <v>0.35949999999999999</v>
      </c>
      <c r="G20" s="11"/>
      <c r="H20" s="49">
        <f>'CO Summary Sheet CPS 393'!V12</f>
        <v>1</v>
      </c>
      <c r="I20" s="49"/>
      <c r="J20" s="12"/>
      <c r="K20" s="13"/>
    </row>
    <row r="21" spans="1:11" x14ac:dyDescent="0.25">
      <c r="B21" s="16">
        <v>2014</v>
      </c>
      <c r="C21" s="17">
        <f t="shared" si="2"/>
        <v>6.3000000000000007</v>
      </c>
      <c r="D21" s="18" t="s">
        <v>32</v>
      </c>
      <c r="E21" s="19">
        <f t="shared" si="1"/>
        <v>0.35949999999999999</v>
      </c>
      <c r="F21" s="20">
        <f t="shared" si="0"/>
        <v>2.26485</v>
      </c>
      <c r="H21" s="49">
        <f>'CO Summary Sheet CPS 393'!V13</f>
        <v>6.3000000000000007</v>
      </c>
      <c r="I21" s="49"/>
    </row>
    <row r="22" spans="1:11" x14ac:dyDescent="0.25">
      <c r="B22" s="16">
        <v>2015</v>
      </c>
      <c r="C22" s="17">
        <f t="shared" si="2"/>
        <v>0</v>
      </c>
      <c r="D22" s="18" t="s">
        <v>32</v>
      </c>
      <c r="E22" s="19">
        <f t="shared" si="1"/>
        <v>0.35949999999999999</v>
      </c>
      <c r="F22" s="20">
        <f t="shared" si="0"/>
        <v>0</v>
      </c>
      <c r="H22" s="49">
        <f>'CO Summary Sheet CPS 393'!V14</f>
        <v>0</v>
      </c>
      <c r="I22" s="77"/>
    </row>
    <row r="23" spans="1:11" x14ac:dyDescent="0.25">
      <c r="B23" s="16">
        <v>2016</v>
      </c>
      <c r="C23" s="17">
        <f t="shared" si="2"/>
        <v>0</v>
      </c>
      <c r="D23" s="18" t="s">
        <v>32</v>
      </c>
      <c r="E23" s="19">
        <f t="shared" si="1"/>
        <v>0.35949999999999999</v>
      </c>
      <c r="F23" s="20">
        <f t="shared" si="0"/>
        <v>0</v>
      </c>
      <c r="H23" s="49">
        <f>'CO Summary Sheet CPS 393'!V15</f>
        <v>0</v>
      </c>
      <c r="I23" s="77"/>
    </row>
    <row r="24" spans="1:11" x14ac:dyDescent="0.25">
      <c r="B24" s="16">
        <v>2017</v>
      </c>
      <c r="C24" s="17">
        <f t="shared" si="2"/>
        <v>0</v>
      </c>
      <c r="D24" s="18" t="s">
        <v>32</v>
      </c>
      <c r="E24" s="19">
        <f t="shared" si="1"/>
        <v>0.35949999999999999</v>
      </c>
      <c r="F24" s="20">
        <f t="shared" si="0"/>
        <v>0</v>
      </c>
      <c r="H24" s="49">
        <f>'CO Summary Sheet CPS 393'!V16</f>
        <v>0</v>
      </c>
      <c r="I24" s="77"/>
    </row>
    <row r="25" spans="1:11" x14ac:dyDescent="0.25">
      <c r="B25" s="16">
        <v>2018</v>
      </c>
      <c r="C25" s="17">
        <f t="shared" si="2"/>
        <v>0</v>
      </c>
      <c r="D25" s="18" t="s">
        <v>32</v>
      </c>
      <c r="E25" s="19">
        <f t="shared" si="1"/>
        <v>0.35949999999999999</v>
      </c>
      <c r="F25" s="20">
        <f t="shared" si="0"/>
        <v>0</v>
      </c>
      <c r="H25" s="49">
        <f>'CO Summary Sheet CPS 393'!V17</f>
        <v>0</v>
      </c>
      <c r="I25" s="77"/>
    </row>
    <row r="26" spans="1:11" x14ac:dyDescent="0.25">
      <c r="C26" s="17">
        <f>SUM(C11:C21)</f>
        <v>466.3</v>
      </c>
    </row>
    <row r="27" spans="1:11" ht="78.75" customHeight="1" x14ac:dyDescent="0.25">
      <c r="B27" s="23" t="s">
        <v>0</v>
      </c>
      <c r="C27" s="23" t="s">
        <v>33</v>
      </c>
      <c r="D27" s="23" t="s">
        <v>34</v>
      </c>
      <c r="E27" s="23" t="s">
        <v>35</v>
      </c>
      <c r="F27" s="23" t="s">
        <v>36</v>
      </c>
    </row>
    <row r="28" spans="1:11" x14ac:dyDescent="0.25">
      <c r="B28">
        <v>1997</v>
      </c>
      <c r="C28" s="5">
        <f>F4</f>
        <v>0</v>
      </c>
    </row>
    <row r="29" spans="1:11" x14ac:dyDescent="0.25">
      <c r="B29">
        <v>1998</v>
      </c>
      <c r="C29" s="5">
        <f t="shared" ref="C29:C44" si="3">F5</f>
        <v>0</v>
      </c>
    </row>
    <row r="30" spans="1:11" x14ac:dyDescent="0.25">
      <c r="B30">
        <v>1999</v>
      </c>
      <c r="C30" s="5">
        <f t="shared" si="3"/>
        <v>0</v>
      </c>
    </row>
    <row r="31" spans="1:11" x14ac:dyDescent="0.25">
      <c r="B31">
        <v>2000</v>
      </c>
      <c r="C31" s="5">
        <f t="shared" si="3"/>
        <v>0</v>
      </c>
      <c r="D31" s="5">
        <f>C31+(0.5*C28)</f>
        <v>0</v>
      </c>
      <c r="E31" s="5">
        <f>C31+(0.75*C28)</f>
        <v>0</v>
      </c>
      <c r="F31" s="5">
        <f>C31+(1*C28)</f>
        <v>0</v>
      </c>
    </row>
    <row r="32" spans="1:11" x14ac:dyDescent="0.25">
      <c r="B32">
        <v>2001</v>
      </c>
      <c r="C32" s="5">
        <f t="shared" si="3"/>
        <v>0</v>
      </c>
      <c r="D32" s="5">
        <f>C32+(0.5*(C29+C28))</f>
        <v>0</v>
      </c>
      <c r="E32" s="5">
        <f>C32+(0.75*(C29+C28))</f>
        <v>0</v>
      </c>
      <c r="F32" s="5">
        <f>C32+(1*(C29+C28))</f>
        <v>0</v>
      </c>
    </row>
    <row r="33" spans="2:6" x14ac:dyDescent="0.25">
      <c r="B33">
        <v>2002</v>
      </c>
      <c r="C33" s="5">
        <f t="shared" si="3"/>
        <v>0</v>
      </c>
      <c r="D33" s="5">
        <f>C33+(0.5*(C28+C30+C29))</f>
        <v>0</v>
      </c>
      <c r="E33" s="5">
        <f>C33+(0.75*(C28+C30+C29))</f>
        <v>0</v>
      </c>
      <c r="F33" s="5">
        <f>C33+(1*(C28+C30+C29))</f>
        <v>0</v>
      </c>
    </row>
    <row r="34" spans="2:6" x14ac:dyDescent="0.25">
      <c r="B34">
        <v>2003</v>
      </c>
      <c r="C34" s="5">
        <f t="shared" si="3"/>
        <v>0</v>
      </c>
      <c r="D34" s="5">
        <f>C34+(0.5*(C28+C29+C31+C30))</f>
        <v>0</v>
      </c>
      <c r="E34" s="5">
        <f>C34+(0.75*(C28+C29+C31+C30))</f>
        <v>0</v>
      </c>
      <c r="F34" s="5">
        <f>C34+(1*(C28+C29+C31+C30))</f>
        <v>0</v>
      </c>
    </row>
    <row r="35" spans="2:6" x14ac:dyDescent="0.25">
      <c r="B35">
        <v>2004</v>
      </c>
      <c r="C35" s="5">
        <f t="shared" si="3"/>
        <v>0</v>
      </c>
      <c r="D35" s="5">
        <f>C35+(0.5*(C28+C29+C30+C32+C31))</f>
        <v>0</v>
      </c>
      <c r="E35" s="5">
        <f>C35+(0.75*(C28+C29+C30+C32+C31))</f>
        <v>0</v>
      </c>
      <c r="F35" s="5">
        <f>C35+(1*(C28+C29+C30+C32+C31))</f>
        <v>0</v>
      </c>
    </row>
    <row r="36" spans="2:6" x14ac:dyDescent="0.25">
      <c r="B36">
        <v>2005</v>
      </c>
      <c r="C36" s="5">
        <f t="shared" si="3"/>
        <v>0.35949999999999999</v>
      </c>
      <c r="D36" s="5">
        <f>C36+(0.5*(C28+C29+C30+C31+C33+C32))</f>
        <v>0.35949999999999999</v>
      </c>
      <c r="E36" s="5">
        <f>C36+(0.75*(C28+C29+C30+C31+C33+C32))</f>
        <v>0.35949999999999999</v>
      </c>
      <c r="F36" s="5">
        <f>C36+(1*(C28+C29+C30+C31+C33+C32))</f>
        <v>0.35949999999999999</v>
      </c>
    </row>
    <row r="37" spans="2:6" x14ac:dyDescent="0.25">
      <c r="B37">
        <v>2006</v>
      </c>
      <c r="C37" s="5">
        <f t="shared" si="3"/>
        <v>6.1114999999999995</v>
      </c>
      <c r="D37" s="5">
        <f>C37+(0.5*(C28+C29+C30+C31+C32+C34+C33))</f>
        <v>6.1114999999999995</v>
      </c>
      <c r="E37" s="5">
        <f>C37+(0.75*(C28+C29+C30+C31+C32+C34+C33))</f>
        <v>6.1114999999999995</v>
      </c>
      <c r="F37" s="5">
        <f>C37+(1*(C28+C29+C30+C31+C32+C34+C33))</f>
        <v>6.1114999999999995</v>
      </c>
    </row>
    <row r="38" spans="2:6" x14ac:dyDescent="0.25">
      <c r="B38">
        <v>2007</v>
      </c>
      <c r="C38" s="5">
        <f t="shared" si="3"/>
        <v>10.96475</v>
      </c>
      <c r="D38" s="5">
        <f>C38+(0.5*(C28+C29+C30+C31+C32+C33+C35+C34))</f>
        <v>10.96475</v>
      </c>
      <c r="E38" s="5">
        <f>C38+(0.75*(C28+C29+C30+C31+C32+C33+C35+C34))</f>
        <v>10.96475</v>
      </c>
      <c r="F38" s="5">
        <f>C38+(1*(C28+C29+C30+C31+C32+C33+C35+C34))</f>
        <v>10.96475</v>
      </c>
    </row>
    <row r="39" spans="2:6" x14ac:dyDescent="0.25">
      <c r="B39">
        <v>2008</v>
      </c>
      <c r="C39" s="5">
        <f t="shared" si="3"/>
        <v>5.0329999999999995</v>
      </c>
      <c r="D39" s="5">
        <f>C39+(0.5*(C28+C29+C30+C31+C32+C33+C34+C36+C35))</f>
        <v>5.2127499999999998</v>
      </c>
      <c r="E39" s="5">
        <f>C39+(0.75*(C28+C29+C30+C31+C32+C33+C34+C36+C35))</f>
        <v>5.302624999999999</v>
      </c>
      <c r="F39" s="5">
        <f>C39+(1*(C28+C29+C30+C31+C32+C33+C34+C36+C35))</f>
        <v>5.3924999999999992</v>
      </c>
    </row>
    <row r="40" spans="2:6" x14ac:dyDescent="0.25">
      <c r="B40">
        <v>2009</v>
      </c>
      <c r="C40" s="5">
        <f t="shared" si="3"/>
        <v>24.2303</v>
      </c>
      <c r="D40" s="5">
        <f>C40+(0.5*(C28+C29+C30+C31+C32+C33+C34+C35+C37+C36))</f>
        <v>27.465799999999998</v>
      </c>
      <c r="E40" s="5">
        <f>C40+(0.75*(C28+C29+C30+C31+C32+C33+C34+C35+C37+C36))</f>
        <v>29.083549999999999</v>
      </c>
      <c r="F40" s="5">
        <f>C40+(1*(C28+C29+C30+C31+C32+C33+C34+C35+C37+C36))</f>
        <v>30.7013</v>
      </c>
    </row>
    <row r="41" spans="2:6" x14ac:dyDescent="0.25">
      <c r="B41">
        <v>2010</v>
      </c>
      <c r="C41" s="5">
        <f t="shared" si="3"/>
        <v>1.5099</v>
      </c>
      <c r="D41" s="5">
        <f>C41+(0.5*(C28+C29+C30+C31+C32+C33+C34+C35+C36+C38+C37))</f>
        <v>10.227774999999999</v>
      </c>
      <c r="E41" s="5">
        <f>C41+(0.75*(C28+C29+C30+C31+C32+C33+C34+C35+C36+C38+C37))</f>
        <v>14.586712499999999</v>
      </c>
      <c r="F41" s="5">
        <f>C41+(1*(C28+C29+C30+C31+C32+C33+C34+C35+C36+C38+C37))</f>
        <v>18.945650000000001</v>
      </c>
    </row>
    <row r="42" spans="2:6" x14ac:dyDescent="0.25">
      <c r="B42">
        <v>2011</v>
      </c>
      <c r="C42" s="5">
        <f t="shared" si="3"/>
        <v>116.80154999999999</v>
      </c>
      <c r="D42" s="5">
        <f>C42+(0.5*(C28+C29+C30+C31+C32+C33+C34+C35+C36+C37+C39+C38))</f>
        <v>128.03592499999999</v>
      </c>
      <c r="E42" s="5">
        <f>C42+(0.75*(C28+C29+C30+C31+C32+C33+C34+C35+C36+C37+C39+C38))</f>
        <v>133.65311249999999</v>
      </c>
      <c r="F42" s="5">
        <f>C42+(1*(C28+C29+C30+C31+C32+C33+C34+C35+C36+C37+C39+C38))</f>
        <v>139.27029999999999</v>
      </c>
    </row>
    <row r="43" spans="2:6" x14ac:dyDescent="0.25">
      <c r="B43">
        <v>2012</v>
      </c>
      <c r="C43" s="5">
        <f t="shared" si="3"/>
        <v>0</v>
      </c>
      <c r="D43" s="5">
        <f>C43+(0.5*(C28+C29+C30+C31+C32+C33+C34+C35+C36+C37+C38+C40+C39))</f>
        <v>23.349525</v>
      </c>
      <c r="E43" s="5">
        <f>C43+(0.75*(C28+C29+C30+C31+C32+C33+C34+C35+C36+C37+C38+C40+C39))</f>
        <v>35.0242875</v>
      </c>
      <c r="F43" s="5">
        <f>C43+(1*(C28+C29+C30+C31+C32+C33+C34+C35+C36+C37+C38+C40+C39))</f>
        <v>46.69905</v>
      </c>
    </row>
    <row r="44" spans="2:6" x14ac:dyDescent="0.25">
      <c r="B44">
        <v>2013</v>
      </c>
      <c r="C44" s="5">
        <f t="shared" si="3"/>
        <v>0.35949999999999999</v>
      </c>
      <c r="D44" s="5">
        <f>C44+(0.5*(C28+C29+C30+C31+C32+C33+C34+C35+C36+C37+C38+C39+C41+C40))</f>
        <v>24.463975000000001</v>
      </c>
      <c r="E44" s="5">
        <f>C44+(0.75*(C28+C29+C30+C31+C32+C33+C34+C35+C36+C37+C38+C39+C41+C40))</f>
        <v>36.516212499999995</v>
      </c>
      <c r="F44" s="5">
        <f>C44+(1*(C28+C29+C30+C31+C32+C33+C34+C35+C36+C37+C38+C39+C41+C40))</f>
        <v>48.568449999999999</v>
      </c>
    </row>
    <row r="45" spans="2:6" x14ac:dyDescent="0.25">
      <c r="B45">
        <v>2014</v>
      </c>
      <c r="C45" s="5">
        <f>F21</f>
        <v>2.26485</v>
      </c>
      <c r="D45" s="5">
        <f>C45+(0.5*(C28+C29+C30+C31+C32+C33+C34+C35+C36+C37+C38+C39+C40+C42+C41))</f>
        <v>84.770099999999985</v>
      </c>
      <c r="E45" s="5">
        <f>C45+(0.75*(C28+C29+C30+C31+C32+C33+C34+C35+C36+C37+C38+C39+C40+C42+C41))</f>
        <v>126.02272499999998</v>
      </c>
      <c r="F45" s="5">
        <f>C45+(1*(C28+C29+C30+C31+C32+C33+C34+C35+C36+C37+C38+C39+C40+C42+C41))</f>
        <v>167.27534999999997</v>
      </c>
    </row>
    <row r="46" spans="2:6" x14ac:dyDescent="0.25">
      <c r="B46">
        <v>2015</v>
      </c>
      <c r="C46" s="5">
        <f t="shared" ref="C46:C49" si="4">F22</f>
        <v>0</v>
      </c>
      <c r="D46" s="5">
        <f t="shared" ref="D46" si="5">C46+(0.5*(C30+C31+C32+C33+C34+C35+C36+C37+C38+C39+C40+C41+C43+C42))</f>
        <v>82.50524999999999</v>
      </c>
      <c r="E46" s="5">
        <f t="shared" ref="E46:E49" si="6">C46+(0.75*(C29+C30+C31+C32+C33+C34+C35+C36+C37+C38+C39+C40+C41+C43+C42))</f>
        <v>123.75787499999998</v>
      </c>
      <c r="F46" s="5">
        <f t="shared" ref="F46:F49" si="7">C46+(1*(C29+C30+C31+C32+C33+C34+C35+C36+C37+C38+C39+C40+C41+C43+C42))</f>
        <v>165.01049999999998</v>
      </c>
    </row>
    <row r="47" spans="2:6" x14ac:dyDescent="0.25">
      <c r="B47">
        <v>2016</v>
      </c>
      <c r="C47" s="5">
        <f t="shared" si="4"/>
        <v>0</v>
      </c>
      <c r="D47" s="5">
        <f t="shared" ref="D47" si="8">C47+(0.5*(C30+C31+C32+C33+C34+C35+C36+C37+C38+C39+C40+C41+C42+C44+C43))</f>
        <v>82.684999999999988</v>
      </c>
      <c r="E47" s="5">
        <f t="shared" si="6"/>
        <v>124.02749999999997</v>
      </c>
      <c r="F47" s="5">
        <f t="shared" si="7"/>
        <v>165.36999999999998</v>
      </c>
    </row>
    <row r="48" spans="2:6" x14ac:dyDescent="0.25">
      <c r="B48">
        <v>2017</v>
      </c>
      <c r="C48" s="5">
        <f t="shared" si="4"/>
        <v>0</v>
      </c>
      <c r="D48" s="5">
        <f t="shared" ref="D48" si="9">C48+(0.5*(C32+C33+C34+C35+C36+C37+C38+C39+C40+C41+C42+C43+C45+C44))</f>
        <v>83.817424999999986</v>
      </c>
      <c r="E48" s="5">
        <f t="shared" si="6"/>
        <v>125.72613749999998</v>
      </c>
      <c r="F48" s="5">
        <f t="shared" si="7"/>
        <v>167.63484999999997</v>
      </c>
    </row>
    <row r="49" spans="2:6" x14ac:dyDescent="0.25">
      <c r="B49">
        <v>2018</v>
      </c>
      <c r="C49" s="5">
        <f t="shared" si="4"/>
        <v>0</v>
      </c>
      <c r="D49" s="5">
        <f t="shared" ref="D49" si="10">C49+(0.5*(C32+C33+C34+C35+C36+C37+C38+C39+C40+C41+C42+C43+C44+C46+C45))</f>
        <v>83.817424999999986</v>
      </c>
      <c r="E49" s="5">
        <f t="shared" si="6"/>
        <v>125.72613749999998</v>
      </c>
      <c r="F49" s="5">
        <f t="shared" si="7"/>
        <v>167.63484999999997</v>
      </c>
    </row>
  </sheetData>
  <mergeCells count="1">
    <mergeCell ref="H2:I2"/>
  </mergeCells>
  <pageMargins left="0.7" right="0.7" top="0.75" bottom="0.75" header="0.3" footer="0.3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X19"/>
  <sheetViews>
    <sheetView workbookViewId="0">
      <selection activeCell="B13" sqref="A13:XFD13"/>
    </sheetView>
  </sheetViews>
  <sheetFormatPr defaultRowHeight="15" x14ac:dyDescent="0.25"/>
  <cols>
    <col min="1" max="1" width="5" customWidth="1"/>
    <col min="2" max="2" width="12" bestFit="1" customWidth="1"/>
    <col min="8" max="8" width="11.28515625" customWidth="1"/>
    <col min="10" max="10" width="11.7109375" customWidth="1"/>
    <col min="12" max="12" width="12" bestFit="1" customWidth="1"/>
    <col min="19" max="19" width="13.28515625" bestFit="1" customWidth="1"/>
    <col min="21" max="21" width="12.28515625" bestFit="1" customWidth="1"/>
    <col min="22" max="22" width="14.140625" bestFit="1" customWidth="1"/>
    <col min="23" max="23" width="15.7109375" customWidth="1"/>
    <col min="24" max="24" width="27.42578125" customWidth="1"/>
  </cols>
  <sheetData>
    <row r="1" spans="1:24" x14ac:dyDescent="0.25">
      <c r="B1" s="88" t="s">
        <v>47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</row>
    <row r="2" spans="1:24" s="3" customFormat="1" x14ac:dyDescent="0.25">
      <c r="A2" s="89" t="s">
        <v>0</v>
      </c>
      <c r="B2" s="6"/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21</v>
      </c>
      <c r="I2" s="7" t="s">
        <v>6</v>
      </c>
      <c r="J2" s="7" t="s">
        <v>7</v>
      </c>
      <c r="K2" s="7" t="s">
        <v>8</v>
      </c>
      <c r="L2" s="7" t="s">
        <v>9</v>
      </c>
      <c r="M2" s="7" t="s">
        <v>10</v>
      </c>
      <c r="N2" s="7" t="s">
        <v>11</v>
      </c>
      <c r="O2" s="7" t="s">
        <v>12</v>
      </c>
      <c r="P2" s="7" t="s">
        <v>13</v>
      </c>
      <c r="Q2" s="7" t="s">
        <v>14</v>
      </c>
      <c r="R2" s="7" t="s">
        <v>15</v>
      </c>
      <c r="S2" s="7" t="s">
        <v>16</v>
      </c>
      <c r="T2" s="7" t="s">
        <v>17</v>
      </c>
      <c r="U2" s="7" t="s">
        <v>23</v>
      </c>
      <c r="V2" s="7" t="s">
        <v>18</v>
      </c>
      <c r="W2" s="7"/>
      <c r="X2" s="7"/>
    </row>
    <row r="3" spans="1:24" x14ac:dyDescent="0.25">
      <c r="A3" s="89"/>
      <c r="B3" s="1">
        <v>2004</v>
      </c>
      <c r="C3" s="3"/>
      <c r="D3" s="3"/>
      <c r="E3" s="3"/>
      <c r="F3" s="3"/>
      <c r="G3" s="3"/>
      <c r="H3" s="59"/>
      <c r="I3" s="3"/>
      <c r="J3" s="59"/>
      <c r="K3" s="3"/>
      <c r="L3" s="3">
        <v>0</v>
      </c>
      <c r="M3" s="3"/>
      <c r="N3" s="3"/>
      <c r="O3" s="3"/>
      <c r="P3" s="3"/>
      <c r="Q3" s="3"/>
      <c r="R3" s="59"/>
      <c r="S3" s="3"/>
      <c r="T3" s="3"/>
      <c r="U3" s="3"/>
      <c r="V3" s="27">
        <f t="shared" ref="V3:V17" si="0">SUM(C3:U3)</f>
        <v>0</v>
      </c>
      <c r="W3" s="4"/>
    </row>
    <row r="4" spans="1:24" x14ac:dyDescent="0.25">
      <c r="A4" s="89"/>
      <c r="B4" s="1">
        <v>2005</v>
      </c>
      <c r="C4" s="3"/>
      <c r="D4" s="3"/>
      <c r="E4" s="3"/>
      <c r="F4" s="3"/>
      <c r="G4" s="3"/>
      <c r="H4" s="59"/>
      <c r="I4" s="3"/>
      <c r="J4" s="59"/>
      <c r="K4" s="59"/>
      <c r="L4" s="3">
        <v>0</v>
      </c>
      <c r="M4" s="3"/>
      <c r="N4" s="3"/>
      <c r="O4" s="3"/>
      <c r="P4" s="3"/>
      <c r="Q4" s="3"/>
      <c r="R4" s="59"/>
      <c r="S4" s="3"/>
      <c r="T4" s="3"/>
      <c r="U4" s="3"/>
      <c r="V4" s="27">
        <f t="shared" si="0"/>
        <v>0</v>
      </c>
      <c r="W4" s="4"/>
    </row>
    <row r="5" spans="1:24" x14ac:dyDescent="0.25">
      <c r="A5" s="89"/>
      <c r="B5" s="1">
        <v>2006</v>
      </c>
      <c r="C5" s="3"/>
      <c r="D5" s="3"/>
      <c r="E5" s="3"/>
      <c r="F5" s="3"/>
      <c r="G5" s="3"/>
      <c r="H5" s="59"/>
      <c r="I5" s="3"/>
      <c r="J5" s="59"/>
      <c r="K5" s="59"/>
      <c r="L5" s="3">
        <v>3</v>
      </c>
      <c r="M5" s="3"/>
      <c r="N5" s="3"/>
      <c r="O5" s="3"/>
      <c r="P5" s="3"/>
      <c r="Q5" s="3"/>
      <c r="R5" s="3"/>
      <c r="S5" s="3"/>
      <c r="T5" s="3"/>
      <c r="U5" s="3"/>
      <c r="V5" s="27">
        <f t="shared" si="0"/>
        <v>3</v>
      </c>
      <c r="W5" s="4"/>
    </row>
    <row r="6" spans="1:24" x14ac:dyDescent="0.25">
      <c r="A6" s="89"/>
      <c r="B6" s="1">
        <v>2007</v>
      </c>
      <c r="C6" s="3"/>
      <c r="D6" s="3"/>
      <c r="E6" s="3"/>
      <c r="F6" s="3"/>
      <c r="G6" s="3"/>
      <c r="H6" s="59"/>
      <c r="I6" s="3"/>
      <c r="J6" s="59"/>
      <c r="K6" s="3"/>
      <c r="L6" s="3">
        <v>17.7</v>
      </c>
      <c r="M6" s="3"/>
      <c r="N6" s="3"/>
      <c r="O6" s="3"/>
      <c r="P6" s="3"/>
      <c r="Q6" s="3"/>
      <c r="R6" s="3"/>
      <c r="S6" s="3"/>
      <c r="T6" s="3"/>
      <c r="U6" s="3"/>
      <c r="V6" s="27">
        <f t="shared" si="0"/>
        <v>17.7</v>
      </c>
      <c r="W6" s="4"/>
    </row>
    <row r="7" spans="1:24" x14ac:dyDescent="0.25">
      <c r="A7" s="89"/>
      <c r="B7" s="1">
        <v>2008</v>
      </c>
      <c r="C7" s="3"/>
      <c r="D7" s="3"/>
      <c r="E7" s="3"/>
      <c r="F7" s="3"/>
      <c r="G7" s="3"/>
      <c r="H7" s="59"/>
      <c r="I7" s="3"/>
      <c r="J7" s="59"/>
      <c r="K7" s="3"/>
      <c r="L7" s="3">
        <v>19</v>
      </c>
      <c r="M7" s="3"/>
      <c r="N7" s="3"/>
      <c r="O7" s="3"/>
      <c r="P7" s="3"/>
      <c r="Q7" s="3"/>
      <c r="R7" s="3"/>
      <c r="S7" s="3"/>
      <c r="T7" s="3"/>
      <c r="U7" s="3"/>
      <c r="V7" s="27">
        <f t="shared" si="0"/>
        <v>19</v>
      </c>
      <c r="W7" s="4"/>
    </row>
    <row r="8" spans="1:24" x14ac:dyDescent="0.25">
      <c r="A8" s="89"/>
      <c r="B8" s="1">
        <v>2009</v>
      </c>
      <c r="C8" s="3"/>
      <c r="D8" s="3"/>
      <c r="E8" s="3"/>
      <c r="F8" s="3"/>
      <c r="G8" s="3"/>
      <c r="H8" s="59"/>
      <c r="I8" s="3"/>
      <c r="J8" s="59"/>
      <c r="K8" s="3"/>
      <c r="L8" s="3">
        <v>20.5</v>
      </c>
      <c r="M8" s="3"/>
      <c r="N8" s="3"/>
      <c r="O8" s="3"/>
      <c r="P8" s="3"/>
      <c r="Q8" s="3"/>
      <c r="R8" s="3"/>
      <c r="S8" s="3"/>
      <c r="T8" s="3"/>
      <c r="U8" s="3"/>
      <c r="V8" s="27">
        <f t="shared" si="0"/>
        <v>20.5</v>
      </c>
      <c r="W8" s="4"/>
    </row>
    <row r="9" spans="1:24" x14ac:dyDescent="0.25">
      <c r="A9" s="89"/>
      <c r="B9" s="1">
        <v>2010</v>
      </c>
      <c r="C9" s="3"/>
      <c r="D9" s="3"/>
      <c r="E9" s="3"/>
      <c r="F9" s="3"/>
      <c r="G9" s="3"/>
      <c r="H9" s="59"/>
      <c r="I9" s="3"/>
      <c r="J9" s="59"/>
      <c r="K9" s="3"/>
      <c r="L9" s="3">
        <v>35</v>
      </c>
      <c r="M9" s="3"/>
      <c r="N9" s="3"/>
      <c r="O9" s="3"/>
      <c r="P9" s="3"/>
      <c r="Q9" s="3"/>
      <c r="R9" s="3"/>
      <c r="S9" s="3"/>
      <c r="T9" s="3"/>
      <c r="U9" s="3"/>
      <c r="V9" s="27">
        <f t="shared" si="0"/>
        <v>35</v>
      </c>
      <c r="W9" s="4"/>
    </row>
    <row r="10" spans="1:24" x14ac:dyDescent="0.25">
      <c r="A10" s="89"/>
      <c r="B10" s="1">
        <v>2011</v>
      </c>
      <c r="C10" s="3"/>
      <c r="D10" s="3"/>
      <c r="E10" s="3"/>
      <c r="F10" s="3"/>
      <c r="G10" s="3"/>
      <c r="H10" s="59"/>
      <c r="I10" s="3"/>
      <c r="J10" s="79">
        <v>8</v>
      </c>
      <c r="K10" s="3"/>
      <c r="L10" s="3">
        <v>3</v>
      </c>
      <c r="M10" s="3"/>
      <c r="N10" s="3"/>
      <c r="O10" s="3"/>
      <c r="P10" s="3"/>
      <c r="Q10" s="3"/>
      <c r="R10" s="3"/>
      <c r="S10" s="3"/>
      <c r="T10" s="3"/>
      <c r="U10" s="3"/>
      <c r="V10" s="27">
        <f t="shared" si="0"/>
        <v>11</v>
      </c>
      <c r="W10" s="4"/>
    </row>
    <row r="11" spans="1:24" x14ac:dyDescent="0.25">
      <c r="A11" s="89"/>
      <c r="B11" s="1">
        <v>2012</v>
      </c>
      <c r="C11" s="3"/>
      <c r="D11" s="3"/>
      <c r="E11" s="3"/>
      <c r="F11" s="3"/>
      <c r="G11" s="3"/>
      <c r="H11" s="59"/>
      <c r="I11" s="3"/>
      <c r="J11" s="79">
        <v>48</v>
      </c>
      <c r="K11" s="3"/>
      <c r="L11" s="3">
        <v>14.5</v>
      </c>
      <c r="M11" s="3"/>
      <c r="N11" s="3"/>
      <c r="O11" s="3"/>
      <c r="P11" s="3"/>
      <c r="Q11" s="3"/>
      <c r="R11" s="3"/>
      <c r="S11" s="3"/>
      <c r="T11" s="3"/>
      <c r="U11" s="3"/>
      <c r="V11" s="27">
        <f t="shared" si="0"/>
        <v>62.5</v>
      </c>
      <c r="W11" s="4"/>
    </row>
    <row r="12" spans="1:24" x14ac:dyDescent="0.25">
      <c r="A12" s="89"/>
      <c r="B12" s="1">
        <v>2013</v>
      </c>
      <c r="C12" s="3"/>
      <c r="D12" s="3"/>
      <c r="E12" s="3"/>
      <c r="F12" s="3"/>
      <c r="G12" s="3"/>
      <c r="H12" s="59"/>
      <c r="I12" s="3"/>
      <c r="J12" s="79">
        <v>6</v>
      </c>
      <c r="K12" s="3"/>
      <c r="L12" s="3">
        <v>5</v>
      </c>
      <c r="M12" s="3"/>
      <c r="N12" s="3"/>
      <c r="O12" s="3"/>
      <c r="P12" s="3"/>
      <c r="Q12" s="3"/>
      <c r="R12" s="3"/>
      <c r="S12" s="3"/>
      <c r="T12" s="3"/>
      <c r="U12" s="3"/>
      <c r="V12" s="27">
        <f t="shared" si="0"/>
        <v>11</v>
      </c>
      <c r="W12" s="4"/>
    </row>
    <row r="13" spans="1:24" x14ac:dyDescent="0.25">
      <c r="A13" s="89"/>
      <c r="B13" s="1">
        <v>2014</v>
      </c>
      <c r="C13" s="3"/>
      <c r="D13" s="3"/>
      <c r="E13" s="3"/>
      <c r="F13" s="3"/>
      <c r="G13" s="3"/>
      <c r="H13" s="3"/>
      <c r="I13" s="3"/>
      <c r="J13" s="79">
        <v>9</v>
      </c>
      <c r="K13" s="3"/>
      <c r="L13" s="3">
        <v>6.5</v>
      </c>
      <c r="M13" s="3"/>
      <c r="N13" s="3"/>
      <c r="O13" s="3"/>
      <c r="P13" s="3"/>
      <c r="Q13" s="3"/>
      <c r="R13" s="3"/>
      <c r="S13" s="3"/>
      <c r="T13" s="3"/>
      <c r="U13" s="3"/>
      <c r="V13" s="27">
        <f t="shared" si="0"/>
        <v>15.5</v>
      </c>
      <c r="W13" s="4"/>
    </row>
    <row r="14" spans="1:24" x14ac:dyDescent="0.25">
      <c r="B14" s="1">
        <v>2015</v>
      </c>
      <c r="C14" s="3"/>
      <c r="D14" s="3"/>
      <c r="E14" s="3"/>
      <c r="F14" s="3"/>
      <c r="G14" s="3"/>
      <c r="H14" s="3"/>
      <c r="I14" s="3"/>
      <c r="J14" s="3">
        <v>0</v>
      </c>
      <c r="K14" s="3"/>
      <c r="L14" s="3">
        <v>0</v>
      </c>
      <c r="M14" s="3"/>
      <c r="N14" s="3"/>
      <c r="O14" s="3"/>
      <c r="P14" s="3"/>
      <c r="Q14" s="3"/>
      <c r="R14" s="3"/>
      <c r="S14" s="3"/>
      <c r="T14" s="3"/>
      <c r="U14" s="3"/>
      <c r="V14" s="27">
        <f t="shared" si="0"/>
        <v>0</v>
      </c>
    </row>
    <row r="15" spans="1:24" x14ac:dyDescent="0.25">
      <c r="B15" s="1">
        <v>2016</v>
      </c>
      <c r="C15" s="3"/>
      <c r="D15" s="3"/>
      <c r="E15" s="3"/>
      <c r="F15" s="3"/>
      <c r="G15" s="3"/>
      <c r="H15" s="3"/>
      <c r="I15" s="3"/>
      <c r="J15" s="3">
        <v>0</v>
      </c>
      <c r="K15" s="3"/>
      <c r="L15" s="3">
        <v>11.100000000000001</v>
      </c>
      <c r="M15" s="3"/>
      <c r="N15" s="3"/>
      <c r="O15" s="3"/>
      <c r="P15" s="3"/>
      <c r="Q15" s="3"/>
      <c r="R15" s="3"/>
      <c r="S15" s="3"/>
      <c r="T15" s="3"/>
      <c r="U15" s="3"/>
      <c r="V15" s="27">
        <f t="shared" si="0"/>
        <v>11.100000000000001</v>
      </c>
    </row>
    <row r="16" spans="1:24" x14ac:dyDescent="0.25">
      <c r="B16" s="1">
        <v>2017</v>
      </c>
      <c r="C16" s="3"/>
      <c r="D16" s="3"/>
      <c r="E16" s="3"/>
      <c r="F16" s="3"/>
      <c r="G16" s="3"/>
      <c r="H16" s="3"/>
      <c r="I16" s="3"/>
      <c r="J16" s="79">
        <v>2</v>
      </c>
      <c r="K16" s="3"/>
      <c r="L16" s="3">
        <v>23.2</v>
      </c>
      <c r="M16" s="3"/>
      <c r="N16" s="3"/>
      <c r="O16" s="3"/>
      <c r="P16" s="3"/>
      <c r="Q16" s="3"/>
      <c r="R16" s="3"/>
      <c r="S16" s="3"/>
      <c r="T16" s="3"/>
      <c r="U16" s="3"/>
      <c r="V16" s="27">
        <f t="shared" si="0"/>
        <v>25.2</v>
      </c>
    </row>
    <row r="17" spans="2:22" x14ac:dyDescent="0.25">
      <c r="B17" s="1">
        <v>2018</v>
      </c>
      <c r="C17" s="3"/>
      <c r="D17" s="3"/>
      <c r="E17" s="3"/>
      <c r="F17" s="3"/>
      <c r="G17" s="3"/>
      <c r="H17" s="3"/>
      <c r="I17" s="3"/>
      <c r="J17" s="79">
        <v>2</v>
      </c>
      <c r="K17" s="3"/>
      <c r="L17" s="3">
        <v>4.5</v>
      </c>
      <c r="M17" s="3"/>
      <c r="N17" s="3"/>
      <c r="O17" s="3"/>
      <c r="P17" s="3"/>
      <c r="Q17" s="3"/>
      <c r="R17" s="3"/>
      <c r="S17" s="3"/>
      <c r="T17" s="3"/>
      <c r="U17" s="3"/>
      <c r="V17" s="27">
        <f t="shared" si="0"/>
        <v>6.5</v>
      </c>
    </row>
    <row r="19" spans="2:22" x14ac:dyDescent="0.25">
      <c r="B19" s="2" t="s">
        <v>19</v>
      </c>
      <c r="C19" s="3" t="s">
        <v>20</v>
      </c>
      <c r="D19" s="3" t="s">
        <v>22</v>
      </c>
      <c r="E19" s="3" t="s">
        <v>22</v>
      </c>
      <c r="F19" s="3" t="s">
        <v>20</v>
      </c>
      <c r="G19" s="3" t="s">
        <v>22</v>
      </c>
      <c r="H19" s="3" t="s">
        <v>20</v>
      </c>
      <c r="I19" s="3" t="s">
        <v>20</v>
      </c>
      <c r="J19" s="3" t="s">
        <v>20</v>
      </c>
      <c r="K19" s="3" t="s">
        <v>20</v>
      </c>
      <c r="L19" s="3" t="s">
        <v>22</v>
      </c>
      <c r="M19" s="3" t="s">
        <v>20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22</v>
      </c>
      <c r="U19" s="3" t="s">
        <v>20</v>
      </c>
    </row>
  </sheetData>
  <mergeCells count="2">
    <mergeCell ref="B1:U1"/>
    <mergeCell ref="A2:A1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FF00"/>
  </sheetPr>
  <dimension ref="A1:K49"/>
  <sheetViews>
    <sheetView topLeftCell="A10" workbookViewId="0">
      <selection activeCell="E5" sqref="E5"/>
    </sheetView>
  </sheetViews>
  <sheetFormatPr defaultRowHeight="15" x14ac:dyDescent="0.25"/>
  <cols>
    <col min="2" max="2" width="21" customWidth="1"/>
    <col min="3" max="3" width="20.140625" customWidth="1"/>
    <col min="4" max="4" width="14.140625" customWidth="1"/>
    <col min="5" max="5" width="30.140625" customWidth="1"/>
    <col min="6" max="6" width="45.42578125" customWidth="1"/>
    <col min="7" max="7" width="12.28515625" customWidth="1"/>
    <col min="8" max="8" width="11.42578125" customWidth="1"/>
    <col min="9" max="9" width="15.85546875" customWidth="1"/>
    <col min="10" max="10" width="14.7109375" customWidth="1"/>
    <col min="11" max="11" width="16.7109375" customWidth="1"/>
  </cols>
  <sheetData>
    <row r="1" spans="1:11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ht="15" customHeight="1" x14ac:dyDescent="0.25">
      <c r="A2" s="11"/>
      <c r="B2" s="12"/>
      <c r="C2" s="11"/>
      <c r="D2" s="12"/>
      <c r="E2" s="11"/>
      <c r="F2" s="11"/>
      <c r="G2" s="11"/>
      <c r="H2" s="90" t="s">
        <v>25</v>
      </c>
      <c r="I2" s="91"/>
      <c r="J2" s="12"/>
      <c r="K2" s="13"/>
    </row>
    <row r="3" spans="1:11" x14ac:dyDescent="0.25">
      <c r="A3" s="11"/>
      <c r="B3" s="14" t="s">
        <v>26</v>
      </c>
      <c r="C3" s="14" t="s">
        <v>27</v>
      </c>
      <c r="D3" s="14" t="s">
        <v>28</v>
      </c>
      <c r="E3" s="14" t="s">
        <v>29</v>
      </c>
      <c r="F3" s="14" t="s">
        <v>30</v>
      </c>
      <c r="G3" s="11"/>
      <c r="H3" s="12"/>
      <c r="I3" s="12"/>
      <c r="J3" s="12"/>
      <c r="K3" s="13"/>
    </row>
    <row r="4" spans="1:11" x14ac:dyDescent="0.25">
      <c r="A4" s="11"/>
      <c r="B4" s="16">
        <v>1997</v>
      </c>
      <c r="C4" s="17"/>
      <c r="D4" s="18" t="s">
        <v>32</v>
      </c>
      <c r="E4" s="19">
        <v>0.32179999999999997</v>
      </c>
      <c r="F4" s="20">
        <f t="shared" ref="F4:F25" si="0">C4*E4</f>
        <v>0</v>
      </c>
      <c r="G4" s="11"/>
      <c r="H4" s="12"/>
      <c r="I4" s="12"/>
      <c r="J4" s="12"/>
      <c r="K4" s="13"/>
    </row>
    <row r="5" spans="1:11" x14ac:dyDescent="0.25">
      <c r="A5" s="11"/>
      <c r="B5" s="16">
        <v>1998</v>
      </c>
      <c r="C5" s="17"/>
      <c r="D5" s="18" t="s">
        <v>32</v>
      </c>
      <c r="E5" s="19">
        <f t="shared" ref="E5:E25" si="1">$E$4</f>
        <v>0.32179999999999997</v>
      </c>
      <c r="F5" s="20">
        <f t="shared" si="0"/>
        <v>0</v>
      </c>
      <c r="G5" s="11"/>
      <c r="H5" s="12"/>
      <c r="I5" s="12"/>
      <c r="J5" s="12"/>
      <c r="K5" s="13"/>
    </row>
    <row r="6" spans="1:11" x14ac:dyDescent="0.25">
      <c r="A6" s="11"/>
      <c r="B6" s="16">
        <v>1999</v>
      </c>
      <c r="C6" s="17"/>
      <c r="D6" s="18" t="s">
        <v>32</v>
      </c>
      <c r="E6" s="19">
        <f t="shared" si="1"/>
        <v>0.32179999999999997</v>
      </c>
      <c r="F6" s="20">
        <f t="shared" si="0"/>
        <v>0</v>
      </c>
      <c r="G6" s="11"/>
      <c r="H6" s="12"/>
      <c r="I6" s="12"/>
      <c r="J6" s="12"/>
      <c r="K6" s="13"/>
    </row>
    <row r="7" spans="1:11" x14ac:dyDescent="0.25">
      <c r="A7" s="11"/>
      <c r="B7" s="16">
        <v>2000</v>
      </c>
      <c r="C7" s="17"/>
      <c r="D7" s="18" t="s">
        <v>32</v>
      </c>
      <c r="E7" s="19">
        <f t="shared" si="1"/>
        <v>0.32179999999999997</v>
      </c>
      <c r="F7" s="20">
        <f t="shared" si="0"/>
        <v>0</v>
      </c>
      <c r="G7" s="11"/>
      <c r="H7" s="12"/>
      <c r="I7" s="12"/>
      <c r="J7" s="12"/>
      <c r="K7" s="13"/>
    </row>
    <row r="8" spans="1:11" x14ac:dyDescent="0.25">
      <c r="A8" s="11"/>
      <c r="B8" s="16">
        <v>2001</v>
      </c>
      <c r="C8" s="17"/>
      <c r="D8" s="18" t="s">
        <v>32</v>
      </c>
      <c r="E8" s="19">
        <f t="shared" si="1"/>
        <v>0.32179999999999997</v>
      </c>
      <c r="F8" s="20">
        <f t="shared" si="0"/>
        <v>0</v>
      </c>
      <c r="G8" s="11"/>
      <c r="H8" s="12"/>
      <c r="I8" s="12"/>
      <c r="J8" s="12"/>
      <c r="K8" s="13"/>
    </row>
    <row r="9" spans="1:11" x14ac:dyDescent="0.25">
      <c r="A9" s="11"/>
      <c r="B9" s="16">
        <v>2002</v>
      </c>
      <c r="C9" s="17"/>
      <c r="D9" s="18" t="s">
        <v>32</v>
      </c>
      <c r="E9" s="19">
        <f t="shared" si="1"/>
        <v>0.32179999999999997</v>
      </c>
      <c r="F9" s="20">
        <f t="shared" si="0"/>
        <v>0</v>
      </c>
      <c r="G9" s="11"/>
      <c r="H9" s="12"/>
      <c r="I9" s="12"/>
      <c r="J9" s="12"/>
      <c r="K9" s="13"/>
    </row>
    <row r="10" spans="1:11" x14ac:dyDescent="0.25">
      <c r="A10" s="11"/>
      <c r="B10" s="16">
        <v>2003</v>
      </c>
      <c r="C10" s="17"/>
      <c r="D10" s="18" t="s">
        <v>32</v>
      </c>
      <c r="E10" s="19">
        <f t="shared" si="1"/>
        <v>0.32179999999999997</v>
      </c>
      <c r="F10" s="20">
        <f t="shared" si="0"/>
        <v>0</v>
      </c>
      <c r="G10" s="11"/>
      <c r="H10" s="48" t="s">
        <v>27</v>
      </c>
      <c r="I10" s="48"/>
      <c r="J10" s="12"/>
      <c r="K10" s="13"/>
    </row>
    <row r="11" spans="1:11" x14ac:dyDescent="0.25">
      <c r="A11" s="11"/>
      <c r="B11" s="16">
        <v>2004</v>
      </c>
      <c r="C11" s="17">
        <f>H11</f>
        <v>0</v>
      </c>
      <c r="D11" s="18" t="s">
        <v>32</v>
      </c>
      <c r="E11" s="19">
        <f t="shared" si="1"/>
        <v>0.32179999999999997</v>
      </c>
      <c r="F11" s="20">
        <f t="shared" si="0"/>
        <v>0</v>
      </c>
      <c r="G11" s="11"/>
      <c r="H11" s="49">
        <f>'CO Summary Sheet CPS 412'!V3</f>
        <v>0</v>
      </c>
      <c r="I11" s="49"/>
      <c r="J11" s="12"/>
      <c r="K11" s="13"/>
    </row>
    <row r="12" spans="1:11" x14ac:dyDescent="0.25">
      <c r="A12" s="11"/>
      <c r="B12" s="16">
        <v>2005</v>
      </c>
      <c r="C12" s="17">
        <f t="shared" ref="C12:C25" si="2">H12</f>
        <v>0</v>
      </c>
      <c r="D12" s="18" t="s">
        <v>32</v>
      </c>
      <c r="E12" s="19">
        <f t="shared" si="1"/>
        <v>0.32179999999999997</v>
      </c>
      <c r="F12" s="20">
        <f t="shared" si="0"/>
        <v>0</v>
      </c>
      <c r="G12" s="11"/>
      <c r="H12" s="49">
        <f>'CO Summary Sheet CPS 412'!V4</f>
        <v>0</v>
      </c>
      <c r="I12" s="49"/>
      <c r="J12" s="12"/>
      <c r="K12" s="13"/>
    </row>
    <row r="13" spans="1:11" x14ac:dyDescent="0.25">
      <c r="A13" s="11"/>
      <c r="B13" s="16">
        <v>2006</v>
      </c>
      <c r="C13" s="17">
        <f t="shared" si="2"/>
        <v>3</v>
      </c>
      <c r="D13" s="18" t="s">
        <v>32</v>
      </c>
      <c r="E13" s="19">
        <f t="shared" si="1"/>
        <v>0.32179999999999997</v>
      </c>
      <c r="F13" s="20">
        <f t="shared" si="0"/>
        <v>0.96539999999999992</v>
      </c>
      <c r="G13" s="11"/>
      <c r="H13" s="49">
        <f>'CO Summary Sheet CPS 412'!V5</f>
        <v>3</v>
      </c>
      <c r="I13" s="49"/>
      <c r="J13" s="12"/>
      <c r="K13" s="13"/>
    </row>
    <row r="14" spans="1:11" x14ac:dyDescent="0.25">
      <c r="A14" s="11"/>
      <c r="B14" s="16">
        <v>2007</v>
      </c>
      <c r="C14" s="17">
        <f t="shared" si="2"/>
        <v>17.7</v>
      </c>
      <c r="D14" s="18" t="s">
        <v>32</v>
      </c>
      <c r="E14" s="19">
        <f t="shared" si="1"/>
        <v>0.32179999999999997</v>
      </c>
      <c r="F14" s="20">
        <f t="shared" si="0"/>
        <v>5.6958599999999997</v>
      </c>
      <c r="G14" s="11"/>
      <c r="H14" s="49">
        <f>'CO Summary Sheet CPS 412'!V6</f>
        <v>17.7</v>
      </c>
      <c r="I14" s="49"/>
      <c r="J14" s="12"/>
      <c r="K14" s="13"/>
    </row>
    <row r="15" spans="1:11" x14ac:dyDescent="0.25">
      <c r="A15" s="11"/>
      <c r="B15" s="16">
        <v>2008</v>
      </c>
      <c r="C15" s="17">
        <f t="shared" si="2"/>
        <v>19</v>
      </c>
      <c r="D15" s="18" t="s">
        <v>32</v>
      </c>
      <c r="E15" s="19">
        <f t="shared" si="1"/>
        <v>0.32179999999999997</v>
      </c>
      <c r="F15" s="20">
        <f t="shared" si="0"/>
        <v>6.1141999999999994</v>
      </c>
      <c r="G15" s="11"/>
      <c r="H15" s="49">
        <f>'CO Summary Sheet CPS 412'!V7</f>
        <v>19</v>
      </c>
      <c r="I15" s="49"/>
      <c r="J15" s="12"/>
      <c r="K15" s="13"/>
    </row>
    <row r="16" spans="1:11" x14ac:dyDescent="0.25">
      <c r="A16" s="11"/>
      <c r="B16" s="16">
        <v>2009</v>
      </c>
      <c r="C16" s="17">
        <f t="shared" si="2"/>
        <v>20.5</v>
      </c>
      <c r="D16" s="18" t="s">
        <v>32</v>
      </c>
      <c r="E16" s="19">
        <f t="shared" si="1"/>
        <v>0.32179999999999997</v>
      </c>
      <c r="F16" s="20">
        <f t="shared" si="0"/>
        <v>6.5968999999999998</v>
      </c>
      <c r="G16" s="11"/>
      <c r="H16" s="49">
        <f>'CO Summary Sheet CPS 412'!V8</f>
        <v>20.5</v>
      </c>
      <c r="I16" s="49"/>
      <c r="J16" s="12"/>
      <c r="K16" s="13"/>
    </row>
    <row r="17" spans="1:11" x14ac:dyDescent="0.25">
      <c r="A17" s="11"/>
      <c r="B17" s="16">
        <v>2010</v>
      </c>
      <c r="C17" s="17">
        <f t="shared" si="2"/>
        <v>35</v>
      </c>
      <c r="D17" s="18" t="s">
        <v>32</v>
      </c>
      <c r="E17" s="19">
        <f t="shared" si="1"/>
        <v>0.32179999999999997</v>
      </c>
      <c r="F17" s="20">
        <f t="shared" si="0"/>
        <v>11.263</v>
      </c>
      <c r="G17" s="11"/>
      <c r="H17" s="49">
        <f>'CO Summary Sheet CPS 412'!V9</f>
        <v>35</v>
      </c>
      <c r="I17" s="49"/>
      <c r="J17" s="12"/>
      <c r="K17" s="13"/>
    </row>
    <row r="18" spans="1:11" x14ac:dyDescent="0.25">
      <c r="A18" s="11"/>
      <c r="B18" s="16">
        <v>2011</v>
      </c>
      <c r="C18" s="17">
        <f t="shared" si="2"/>
        <v>11</v>
      </c>
      <c r="D18" s="18" t="s">
        <v>32</v>
      </c>
      <c r="E18" s="19">
        <f t="shared" si="1"/>
        <v>0.32179999999999997</v>
      </c>
      <c r="F18" s="20">
        <f t="shared" si="0"/>
        <v>3.5397999999999996</v>
      </c>
      <c r="G18" s="11"/>
      <c r="H18" s="49">
        <f>'CO Summary Sheet CPS 412'!V10</f>
        <v>11</v>
      </c>
      <c r="I18" s="49"/>
      <c r="J18" s="12"/>
      <c r="K18" s="13"/>
    </row>
    <row r="19" spans="1:11" x14ac:dyDescent="0.25">
      <c r="A19" s="11"/>
      <c r="B19" s="16">
        <v>2012</v>
      </c>
      <c r="C19" s="17">
        <f t="shared" si="2"/>
        <v>62.5</v>
      </c>
      <c r="D19" s="18" t="s">
        <v>32</v>
      </c>
      <c r="E19" s="19">
        <f t="shared" si="1"/>
        <v>0.32179999999999997</v>
      </c>
      <c r="F19" s="20">
        <f t="shared" si="0"/>
        <v>20.112499999999997</v>
      </c>
      <c r="G19" s="11"/>
      <c r="H19" s="49">
        <f>'CO Summary Sheet CPS 412'!V11</f>
        <v>62.5</v>
      </c>
      <c r="I19" s="49"/>
      <c r="J19" s="12"/>
      <c r="K19" s="13"/>
    </row>
    <row r="20" spans="1:11" s="22" customFormat="1" x14ac:dyDescent="0.25">
      <c r="A20" s="11"/>
      <c r="B20" s="16">
        <v>2013</v>
      </c>
      <c r="C20" s="17">
        <f t="shared" si="2"/>
        <v>11</v>
      </c>
      <c r="D20" s="18" t="s">
        <v>32</v>
      </c>
      <c r="E20" s="19">
        <f t="shared" si="1"/>
        <v>0.32179999999999997</v>
      </c>
      <c r="F20" s="20">
        <f t="shared" si="0"/>
        <v>3.5397999999999996</v>
      </c>
      <c r="G20" s="11"/>
      <c r="H20" s="49">
        <f>'CO Summary Sheet CPS 412'!V12</f>
        <v>11</v>
      </c>
      <c r="I20" s="49"/>
      <c r="J20" s="12"/>
      <c r="K20" s="13"/>
    </row>
    <row r="21" spans="1:11" x14ac:dyDescent="0.25">
      <c r="B21" s="16">
        <v>2014</v>
      </c>
      <c r="C21" s="17">
        <f t="shared" si="2"/>
        <v>15.5</v>
      </c>
      <c r="D21" s="18" t="s">
        <v>32</v>
      </c>
      <c r="E21" s="19">
        <f t="shared" si="1"/>
        <v>0.32179999999999997</v>
      </c>
      <c r="F21" s="20">
        <f t="shared" si="0"/>
        <v>4.9878999999999998</v>
      </c>
      <c r="H21" s="49">
        <f>'CO Summary Sheet CPS 412'!V13</f>
        <v>15.5</v>
      </c>
      <c r="I21" s="49"/>
    </row>
    <row r="22" spans="1:11" x14ac:dyDescent="0.25">
      <c r="B22" s="16">
        <v>2015</v>
      </c>
      <c r="C22" s="17">
        <f t="shared" si="2"/>
        <v>0</v>
      </c>
      <c r="D22" s="18" t="s">
        <v>32</v>
      </c>
      <c r="E22" s="19">
        <f t="shared" si="1"/>
        <v>0.32179999999999997</v>
      </c>
      <c r="F22" s="20">
        <f t="shared" si="0"/>
        <v>0</v>
      </c>
      <c r="H22" s="49">
        <f>'CO Summary Sheet CPS 412'!V14</f>
        <v>0</v>
      </c>
      <c r="I22" s="77"/>
    </row>
    <row r="23" spans="1:11" x14ac:dyDescent="0.25">
      <c r="B23" s="16">
        <v>2016</v>
      </c>
      <c r="C23" s="17">
        <f t="shared" si="2"/>
        <v>11.100000000000001</v>
      </c>
      <c r="D23" s="18" t="s">
        <v>32</v>
      </c>
      <c r="E23" s="19">
        <f t="shared" si="1"/>
        <v>0.32179999999999997</v>
      </c>
      <c r="F23" s="20">
        <f t="shared" si="0"/>
        <v>3.5719800000000004</v>
      </c>
      <c r="H23" s="49">
        <f>'CO Summary Sheet CPS 412'!V15</f>
        <v>11.100000000000001</v>
      </c>
      <c r="I23" s="77"/>
    </row>
    <row r="24" spans="1:11" x14ac:dyDescent="0.25">
      <c r="B24" s="16">
        <v>2017</v>
      </c>
      <c r="C24" s="17">
        <f t="shared" si="2"/>
        <v>25.2</v>
      </c>
      <c r="D24" s="18" t="s">
        <v>32</v>
      </c>
      <c r="E24" s="19">
        <f t="shared" si="1"/>
        <v>0.32179999999999997</v>
      </c>
      <c r="F24" s="20">
        <f t="shared" si="0"/>
        <v>8.1093599999999988</v>
      </c>
      <c r="H24" s="49">
        <f>'CO Summary Sheet CPS 412'!V16</f>
        <v>25.2</v>
      </c>
      <c r="I24" s="77"/>
    </row>
    <row r="25" spans="1:11" x14ac:dyDescent="0.25">
      <c r="B25" s="16">
        <v>2018</v>
      </c>
      <c r="C25" s="17">
        <f t="shared" si="2"/>
        <v>6.5</v>
      </c>
      <c r="D25" s="18" t="s">
        <v>32</v>
      </c>
      <c r="E25" s="19">
        <f t="shared" si="1"/>
        <v>0.32179999999999997</v>
      </c>
      <c r="F25" s="20">
        <f t="shared" si="0"/>
        <v>2.0916999999999999</v>
      </c>
      <c r="H25" s="49">
        <f>'CO Summary Sheet CPS 412'!V17</f>
        <v>6.5</v>
      </c>
      <c r="I25" s="77"/>
    </row>
    <row r="26" spans="1:11" x14ac:dyDescent="0.25">
      <c r="C26" s="17">
        <f>SUM(C11:C21)</f>
        <v>195.2</v>
      </c>
    </row>
    <row r="27" spans="1:11" ht="78.75" customHeight="1" x14ac:dyDescent="0.25">
      <c r="B27" s="23" t="s">
        <v>0</v>
      </c>
      <c r="C27" s="23" t="s">
        <v>33</v>
      </c>
      <c r="D27" s="23" t="s">
        <v>34</v>
      </c>
      <c r="E27" s="23" t="s">
        <v>35</v>
      </c>
      <c r="F27" s="23" t="s">
        <v>36</v>
      </c>
    </row>
    <row r="28" spans="1:11" x14ac:dyDescent="0.25">
      <c r="B28">
        <v>1997</v>
      </c>
      <c r="C28" s="5">
        <f>F4</f>
        <v>0</v>
      </c>
    </row>
    <row r="29" spans="1:11" x14ac:dyDescent="0.25">
      <c r="B29">
        <v>1998</v>
      </c>
      <c r="C29" s="5">
        <f t="shared" ref="C29:C44" si="3">F5</f>
        <v>0</v>
      </c>
    </row>
    <row r="30" spans="1:11" x14ac:dyDescent="0.25">
      <c r="B30">
        <v>1999</v>
      </c>
      <c r="C30" s="5">
        <f t="shared" si="3"/>
        <v>0</v>
      </c>
    </row>
    <row r="31" spans="1:11" x14ac:dyDescent="0.25">
      <c r="B31">
        <v>2000</v>
      </c>
      <c r="C31" s="5">
        <f t="shared" si="3"/>
        <v>0</v>
      </c>
      <c r="D31" s="5">
        <f>C31+(0.5*C28)</f>
        <v>0</v>
      </c>
      <c r="E31" s="5">
        <f>C31+(0.75*C28)</f>
        <v>0</v>
      </c>
      <c r="F31" s="5">
        <f>C31+(1*C28)</f>
        <v>0</v>
      </c>
    </row>
    <row r="32" spans="1:11" x14ac:dyDescent="0.25">
      <c r="B32">
        <v>2001</v>
      </c>
      <c r="C32" s="5">
        <f t="shared" si="3"/>
        <v>0</v>
      </c>
      <c r="D32" s="5">
        <f>C32+(0.5*(C29+C28))</f>
        <v>0</v>
      </c>
      <c r="E32" s="5">
        <f>C32+(0.75*(C29+C28))</f>
        <v>0</v>
      </c>
      <c r="F32" s="5">
        <f>C32+(1*(C29+C28))</f>
        <v>0</v>
      </c>
    </row>
    <row r="33" spans="2:6" x14ac:dyDescent="0.25">
      <c r="B33">
        <v>2002</v>
      </c>
      <c r="C33" s="5">
        <f t="shared" si="3"/>
        <v>0</v>
      </c>
      <c r="D33" s="5">
        <f>C33+(0.5*(C28+C30+C29))</f>
        <v>0</v>
      </c>
      <c r="E33" s="5">
        <f>C33+(0.75*(C28+C30+C29))</f>
        <v>0</v>
      </c>
      <c r="F33" s="5">
        <f>C33+(1*(C28+C30+C29))</f>
        <v>0</v>
      </c>
    </row>
    <row r="34" spans="2:6" x14ac:dyDescent="0.25">
      <c r="B34">
        <v>2003</v>
      </c>
      <c r="C34" s="5">
        <f t="shared" si="3"/>
        <v>0</v>
      </c>
      <c r="D34" s="5">
        <f>C34+(0.5*(C28+C29+C31+C30))</f>
        <v>0</v>
      </c>
      <c r="E34" s="5">
        <f>C34+(0.75*(C28+C29+C31+C30))</f>
        <v>0</v>
      </c>
      <c r="F34" s="5">
        <f>C34+(1*(C28+C29+C31+C30))</f>
        <v>0</v>
      </c>
    </row>
    <row r="35" spans="2:6" x14ac:dyDescent="0.25">
      <c r="B35">
        <v>2004</v>
      </c>
      <c r="C35" s="5">
        <f t="shared" si="3"/>
        <v>0</v>
      </c>
      <c r="D35" s="5">
        <f>C35+(0.5*(C28+C29+C30+C32+C31))</f>
        <v>0</v>
      </c>
      <c r="E35" s="5">
        <f>C35+(0.75*(C28+C29+C30+C32+C31))</f>
        <v>0</v>
      </c>
      <c r="F35" s="5">
        <f>'CO Summary Sheet CPS 412'!V3</f>
        <v>0</v>
      </c>
    </row>
    <row r="36" spans="2:6" x14ac:dyDescent="0.25">
      <c r="B36">
        <v>2005</v>
      </c>
      <c r="C36" s="5">
        <f t="shared" si="3"/>
        <v>0</v>
      </c>
      <c r="D36" s="5">
        <f>C36+(0.5*(C28+C29+C30+C31+C33+C32))</f>
        <v>0</v>
      </c>
      <c r="E36" s="5">
        <f>C36+(0.75*(C28+C29+C30+C31+C33+C32))</f>
        <v>0</v>
      </c>
      <c r="F36" s="5">
        <f>C36+(1*(C28+C29+C30+C31+C33+C32))</f>
        <v>0</v>
      </c>
    </row>
    <row r="37" spans="2:6" x14ac:dyDescent="0.25">
      <c r="B37">
        <v>2006</v>
      </c>
      <c r="C37" s="5">
        <f t="shared" si="3"/>
        <v>0.96539999999999992</v>
      </c>
      <c r="D37" s="5">
        <f>C37+(0.5*(C28+C29+C30+C31+C32+C34+C33))</f>
        <v>0.96539999999999992</v>
      </c>
      <c r="E37" s="5">
        <f>C37+(0.75*(C28+C29+C30+C31+C32+C34+C33))</f>
        <v>0.96539999999999992</v>
      </c>
      <c r="F37" s="5">
        <f>C37+(1*(C28+C29+C30+C31+C32+C34+C33))</f>
        <v>0.96539999999999992</v>
      </c>
    </row>
    <row r="38" spans="2:6" x14ac:dyDescent="0.25">
      <c r="B38">
        <v>2007</v>
      </c>
      <c r="C38" s="5">
        <f t="shared" si="3"/>
        <v>5.6958599999999997</v>
      </c>
      <c r="D38" s="5">
        <f>C38+(0.5*(C28+C29+C30+C31+C32+C33+C35+C34))</f>
        <v>5.6958599999999997</v>
      </c>
      <c r="E38" s="5">
        <f>C38+(0.75*(C28+C29+C30+C31+C32+C33+C35+C34))</f>
        <v>5.6958599999999997</v>
      </c>
      <c r="F38" s="5">
        <f>C38+(1*(C28+C29+C30+C31+C32+C33+C35+C34))</f>
        <v>5.6958599999999997</v>
      </c>
    </row>
    <row r="39" spans="2:6" x14ac:dyDescent="0.25">
      <c r="B39">
        <v>2008</v>
      </c>
      <c r="C39" s="5">
        <f t="shared" si="3"/>
        <v>6.1141999999999994</v>
      </c>
      <c r="D39" s="5">
        <f>C39+(0.5*(C28+C29+C30+C31+C32+C33+C34+C36+C35))</f>
        <v>6.1141999999999994</v>
      </c>
      <c r="E39" s="5">
        <f>C39+(0.75*(C28+C29+C30+C31+C32+C33+C34+C36+C35))</f>
        <v>6.1141999999999994</v>
      </c>
      <c r="F39" s="5">
        <f>C39+(1*(C28+C29+C30+C31+C32+C33+C34+C36+C35))</f>
        <v>6.1141999999999994</v>
      </c>
    </row>
    <row r="40" spans="2:6" x14ac:dyDescent="0.25">
      <c r="B40">
        <v>2009</v>
      </c>
      <c r="C40" s="5">
        <f t="shared" si="3"/>
        <v>6.5968999999999998</v>
      </c>
      <c r="D40" s="5">
        <f>C40+(0.5*(C28+C29+C30+C31+C32+C33+C34+C35+C37+C36))</f>
        <v>7.0796000000000001</v>
      </c>
      <c r="E40" s="5">
        <f>C40+(0.75*(C28+C29+C30+C31+C32+C33+C34+C35+C37+C36))</f>
        <v>7.3209499999999998</v>
      </c>
      <c r="F40" s="5">
        <f>C40+(1*(C28+C29+C30+C31+C32+C33+C34+C35+C37+C36))</f>
        <v>7.5622999999999996</v>
      </c>
    </row>
    <row r="41" spans="2:6" x14ac:dyDescent="0.25">
      <c r="B41">
        <v>2010</v>
      </c>
      <c r="C41" s="5">
        <f t="shared" si="3"/>
        <v>11.263</v>
      </c>
      <c r="D41" s="5">
        <f>C41+(0.5*(C28+C29+C30+C31+C32+C33+C34+C35+C36+C38+C37))</f>
        <v>14.593629999999999</v>
      </c>
      <c r="E41" s="5">
        <f>C41+(0.75*(C28+C29+C30+C31+C32+C33+C34+C35+C36+C38+C37))</f>
        <v>16.258945000000001</v>
      </c>
      <c r="F41" s="5">
        <f>C41+(1*(C28+C29+C30+C31+C32+C33+C34+C35+C36+C38+C37))</f>
        <v>17.92426</v>
      </c>
    </row>
    <row r="42" spans="2:6" x14ac:dyDescent="0.25">
      <c r="B42">
        <v>2011</v>
      </c>
      <c r="C42" s="5">
        <f t="shared" si="3"/>
        <v>3.5397999999999996</v>
      </c>
      <c r="D42" s="5">
        <f>C42+(0.5*(C28+C29+C30+C31+C32+C33+C34+C35+C36+C37+C39+C38))</f>
        <v>9.9275299999999991</v>
      </c>
      <c r="E42" s="5">
        <f>C42+(0.75*(C28+C29+C30+C31+C32+C33+C34+C35+C36+C37+C39+C38))</f>
        <v>13.121395</v>
      </c>
      <c r="F42" s="5">
        <f>C42+(1*(C28+C29+C30+C31+C32+C33+C34+C35+C36+C37+C39+C38))</f>
        <v>16.315259999999999</v>
      </c>
    </row>
    <row r="43" spans="2:6" x14ac:dyDescent="0.25">
      <c r="B43">
        <v>2012</v>
      </c>
      <c r="C43" s="5">
        <f t="shared" si="3"/>
        <v>20.112499999999997</v>
      </c>
      <c r="D43" s="5">
        <f>C43+(0.5*(C28+C29+C30+C31+C32+C33+C34+C35+C36+C37+C38+C40+C39))</f>
        <v>29.798679999999997</v>
      </c>
      <c r="E43" s="5">
        <f>C43+(0.75*(C28+C29+C30+C31+C32+C33+C34+C35+C36+C37+C38+C40+C39))</f>
        <v>34.641769999999994</v>
      </c>
      <c r="F43" s="5">
        <f>C43+(1*(C28+C29+C30+C31+C32+C33+C34+C35+C36+C37+C38+C40+C39))</f>
        <v>39.484859999999998</v>
      </c>
    </row>
    <row r="44" spans="2:6" x14ac:dyDescent="0.25">
      <c r="B44">
        <v>2013</v>
      </c>
      <c r="C44" s="5">
        <f t="shared" si="3"/>
        <v>3.5397999999999996</v>
      </c>
      <c r="D44" s="5">
        <f>C44+(0.5*(C28+C29+C30+C31+C32+C33+C34+C35+C36+C37+C38+C39+C41+C40))</f>
        <v>18.857479999999999</v>
      </c>
      <c r="E44" s="5">
        <f>C44+(0.75*(C28+C29+C30+C31+C32+C33+C34+C35+C36+C37+C38+C39+C41+C40))</f>
        <v>26.51632</v>
      </c>
      <c r="F44" s="5">
        <f>C44+(1*(C28+C29+C30+C31+C32+C33+C34+C35+C36+C37+C38+C39+C41+C40))</f>
        <v>34.175159999999998</v>
      </c>
    </row>
    <row r="45" spans="2:6" x14ac:dyDescent="0.25">
      <c r="B45">
        <v>2014</v>
      </c>
      <c r="C45" s="5">
        <f>F21</f>
        <v>4.9878999999999998</v>
      </c>
      <c r="D45" s="5">
        <f>C45+(0.5*(C28+C29+C30+C31+C32+C33+C34+C35+C36+C37+C38+C39+C40+C42+C41))</f>
        <v>22.075479999999999</v>
      </c>
      <c r="E45" s="5">
        <f>C45+(0.75*(C28+C29+C30+C31+C32+C33+C34+C35+C36+C37+C38+C39+C40+C42+C41))</f>
        <v>30.619269999999997</v>
      </c>
      <c r="F45" s="5">
        <f>C45+(1*(C28+C29+C30+C31+C32+C33+C34+C35+C36+C37+C38+C39+C40+C42+C41))</f>
        <v>39.163060000000002</v>
      </c>
    </row>
    <row r="46" spans="2:6" x14ac:dyDescent="0.25">
      <c r="B46">
        <v>2015</v>
      </c>
      <c r="C46" s="5">
        <f t="shared" ref="C46:C49" si="4">F22</f>
        <v>0</v>
      </c>
      <c r="D46" s="5">
        <f t="shared" ref="D46:D49" si="5">C46+(0.5*(C29+C30+C31+C32+C33+C34+C35+C36+C37+C38+C39+C40+C41+C43+C42))</f>
        <v>27.143829999999998</v>
      </c>
      <c r="E46" s="5">
        <f t="shared" ref="E46:E49" si="6">C46+(0.75*(C29+C30+C31+C32+C33+C34+C35+C36+C37+C38+C39+C40+C41+C43+C42))</f>
        <v>40.715744999999998</v>
      </c>
      <c r="F46" s="5">
        <f t="shared" ref="F46:F49" si="7">C46+(1*(C29+C30+C31+C32+C33+C34+C35+C36+C37+C38+C39+C40+C41+C43+C42))</f>
        <v>54.287659999999995</v>
      </c>
    </row>
    <row r="47" spans="2:6" x14ac:dyDescent="0.25">
      <c r="B47">
        <v>2016</v>
      </c>
      <c r="C47" s="5">
        <f t="shared" si="4"/>
        <v>3.5719800000000004</v>
      </c>
      <c r="D47" s="5">
        <f t="shared" si="5"/>
        <v>32.485709999999997</v>
      </c>
      <c r="E47" s="5">
        <f t="shared" si="6"/>
        <v>46.942574999999998</v>
      </c>
      <c r="F47" s="5">
        <f t="shared" si="7"/>
        <v>61.399439999999998</v>
      </c>
    </row>
    <row r="48" spans="2:6" x14ac:dyDescent="0.25">
      <c r="B48">
        <v>2017</v>
      </c>
      <c r="C48" s="5">
        <f t="shared" si="4"/>
        <v>8.1093599999999988</v>
      </c>
      <c r="D48" s="5">
        <f t="shared" si="5"/>
        <v>39.517039999999994</v>
      </c>
      <c r="E48" s="5">
        <f t="shared" si="6"/>
        <v>55.220879999999994</v>
      </c>
      <c r="F48" s="5">
        <f t="shared" si="7"/>
        <v>70.924719999999994</v>
      </c>
    </row>
    <row r="49" spans="2:6" x14ac:dyDescent="0.25">
      <c r="B49">
        <v>2018</v>
      </c>
      <c r="C49" s="5">
        <f t="shared" si="4"/>
        <v>2.0916999999999999</v>
      </c>
      <c r="D49" s="5">
        <f t="shared" si="5"/>
        <v>33.499380000000002</v>
      </c>
      <c r="E49" s="5">
        <f t="shared" si="6"/>
        <v>49.203220000000002</v>
      </c>
      <c r="F49" s="5">
        <f t="shared" si="7"/>
        <v>64.907060000000001</v>
      </c>
    </row>
  </sheetData>
  <mergeCells count="1">
    <mergeCell ref="H2:I2"/>
  </mergeCells>
  <pageMargins left="0.7" right="0.7" top="0.75" bottom="0.75" header="0.3" footer="0.3"/>
  <drawing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X19"/>
  <sheetViews>
    <sheetView workbookViewId="0">
      <selection activeCell="L13" sqref="L13"/>
    </sheetView>
  </sheetViews>
  <sheetFormatPr defaultRowHeight="15" x14ac:dyDescent="0.25"/>
  <cols>
    <col min="1" max="1" width="5" customWidth="1"/>
    <col min="2" max="2" width="12" bestFit="1" customWidth="1"/>
    <col min="8" max="8" width="11.28515625" customWidth="1"/>
    <col min="10" max="10" width="11.7109375" customWidth="1"/>
    <col min="12" max="12" width="12" bestFit="1" customWidth="1"/>
    <col min="19" max="19" width="13.28515625" bestFit="1" customWidth="1"/>
    <col min="21" max="21" width="12.28515625" bestFit="1" customWidth="1"/>
    <col min="22" max="22" width="14.140625" bestFit="1" customWidth="1"/>
    <col min="23" max="23" width="15.7109375" customWidth="1"/>
    <col min="24" max="24" width="27.42578125" customWidth="1"/>
  </cols>
  <sheetData>
    <row r="1" spans="1:24" x14ac:dyDescent="0.25">
      <c r="B1" s="88" t="s">
        <v>48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</row>
    <row r="2" spans="1:24" s="3" customFormat="1" x14ac:dyDescent="0.25">
      <c r="A2" s="89" t="s">
        <v>0</v>
      </c>
      <c r="B2" s="6"/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21</v>
      </c>
      <c r="I2" s="7" t="s">
        <v>6</v>
      </c>
      <c r="J2" s="7" t="s">
        <v>7</v>
      </c>
      <c r="K2" s="7" t="s">
        <v>8</v>
      </c>
      <c r="L2" s="7" t="s">
        <v>9</v>
      </c>
      <c r="M2" s="7" t="s">
        <v>10</v>
      </c>
      <c r="N2" s="7" t="s">
        <v>11</v>
      </c>
      <c r="O2" s="7" t="s">
        <v>12</v>
      </c>
      <c r="P2" s="7" t="s">
        <v>13</v>
      </c>
      <c r="Q2" s="7" t="s">
        <v>14</v>
      </c>
      <c r="R2" s="7" t="s">
        <v>15</v>
      </c>
      <c r="S2" s="7" t="s">
        <v>16</v>
      </c>
      <c r="T2" s="7" t="s">
        <v>17</v>
      </c>
      <c r="U2" s="7" t="s">
        <v>23</v>
      </c>
      <c r="V2" s="7" t="s">
        <v>18</v>
      </c>
      <c r="W2" s="7"/>
      <c r="X2" s="7"/>
    </row>
    <row r="3" spans="1:24" x14ac:dyDescent="0.25">
      <c r="A3" s="89"/>
      <c r="B3" s="1">
        <v>2004</v>
      </c>
      <c r="C3" s="3"/>
      <c r="D3" s="3"/>
      <c r="E3" s="3"/>
      <c r="F3" s="3"/>
      <c r="G3" s="3"/>
      <c r="H3" s="59"/>
      <c r="I3" s="3"/>
      <c r="J3" s="59"/>
      <c r="K3" s="3"/>
      <c r="L3" s="3">
        <v>0</v>
      </c>
      <c r="M3" s="3"/>
      <c r="N3" s="3"/>
      <c r="O3" s="3"/>
      <c r="P3" s="3"/>
      <c r="Q3" s="3"/>
      <c r="R3" s="59"/>
      <c r="S3" s="3"/>
      <c r="T3" s="3"/>
      <c r="U3" s="3"/>
      <c r="V3" s="27">
        <f t="shared" ref="V3:V17" si="0">SUM(C3:U3)</f>
        <v>0</v>
      </c>
      <c r="W3" s="4"/>
    </row>
    <row r="4" spans="1:24" x14ac:dyDescent="0.25">
      <c r="A4" s="89"/>
      <c r="B4" s="1">
        <v>2005</v>
      </c>
      <c r="C4" s="3"/>
      <c r="D4" s="3"/>
      <c r="E4" s="3"/>
      <c r="F4" s="3"/>
      <c r="G4" s="3"/>
      <c r="H4" s="59"/>
      <c r="I4" s="3"/>
      <c r="J4" s="59"/>
      <c r="K4" s="59"/>
      <c r="L4" s="3">
        <v>590.9</v>
      </c>
      <c r="M4" s="3"/>
      <c r="N4" s="3"/>
      <c r="O4" s="3"/>
      <c r="P4" s="3"/>
      <c r="Q4" s="3"/>
      <c r="R4" s="59"/>
      <c r="S4" s="3"/>
      <c r="T4" s="3"/>
      <c r="U4" s="3"/>
      <c r="V4" s="27">
        <f t="shared" si="0"/>
        <v>590.9</v>
      </c>
      <c r="W4" s="4"/>
    </row>
    <row r="5" spans="1:24" x14ac:dyDescent="0.25">
      <c r="A5" s="89"/>
      <c r="B5" s="1">
        <v>2006</v>
      </c>
      <c r="C5" s="3"/>
      <c r="D5" s="3"/>
      <c r="E5" s="3"/>
      <c r="F5" s="3"/>
      <c r="G5" s="3"/>
      <c r="H5" s="59"/>
      <c r="I5" s="3"/>
      <c r="J5" s="59"/>
      <c r="K5" s="59"/>
      <c r="L5" s="3">
        <v>323.10000000000002</v>
      </c>
      <c r="M5" s="3"/>
      <c r="N5" s="3"/>
      <c r="O5" s="3"/>
      <c r="P5" s="3"/>
      <c r="Q5" s="3"/>
      <c r="R5" s="3"/>
      <c r="S5" s="3"/>
      <c r="T5" s="3"/>
      <c r="U5" s="3"/>
      <c r="V5" s="27">
        <f t="shared" si="0"/>
        <v>323.10000000000002</v>
      </c>
      <c r="W5" s="4"/>
    </row>
    <row r="6" spans="1:24" x14ac:dyDescent="0.25">
      <c r="A6" s="89"/>
      <c r="B6" s="1">
        <v>2007</v>
      </c>
      <c r="C6" s="3"/>
      <c r="D6" s="3"/>
      <c r="E6" s="3"/>
      <c r="F6" s="3"/>
      <c r="G6" s="3"/>
      <c r="H6" s="59"/>
      <c r="I6" s="3"/>
      <c r="J6" s="59"/>
      <c r="K6" s="3"/>
      <c r="L6" s="3">
        <v>475</v>
      </c>
      <c r="M6" s="3"/>
      <c r="N6" s="3"/>
      <c r="O6" s="3"/>
      <c r="P6" s="3"/>
      <c r="Q6" s="3"/>
      <c r="R6" s="3"/>
      <c r="S6" s="3"/>
      <c r="T6" s="3"/>
      <c r="U6" s="3"/>
      <c r="V6" s="27">
        <f t="shared" si="0"/>
        <v>475</v>
      </c>
      <c r="W6" s="4"/>
    </row>
    <row r="7" spans="1:24" x14ac:dyDescent="0.25">
      <c r="A7" s="89"/>
      <c r="B7" s="1">
        <v>2008</v>
      </c>
      <c r="C7" s="3"/>
      <c r="D7" s="3"/>
      <c r="E7" s="3"/>
      <c r="F7" s="3"/>
      <c r="G7" s="3"/>
      <c r="H7" s="59"/>
      <c r="I7" s="3"/>
      <c r="J7" s="59"/>
      <c r="K7" s="3"/>
      <c r="L7" s="3">
        <v>1908.8</v>
      </c>
      <c r="M7" s="3"/>
      <c r="N7" s="3"/>
      <c r="O7" s="3"/>
      <c r="P7" s="3"/>
      <c r="Q7" s="3"/>
      <c r="R7" s="3"/>
      <c r="S7" s="3"/>
      <c r="T7" s="3"/>
      <c r="U7" s="3"/>
      <c r="V7" s="27">
        <f t="shared" si="0"/>
        <v>1908.8</v>
      </c>
      <c r="W7" s="4"/>
    </row>
    <row r="8" spans="1:24" x14ac:dyDescent="0.25">
      <c r="A8" s="89"/>
      <c r="B8" s="1">
        <v>2009</v>
      </c>
      <c r="C8" s="3"/>
      <c r="D8" s="3"/>
      <c r="E8" s="3"/>
      <c r="F8" s="3"/>
      <c r="G8" s="3"/>
      <c r="H8" s="59"/>
      <c r="I8" s="3"/>
      <c r="K8" s="3"/>
      <c r="L8" s="3">
        <v>0</v>
      </c>
      <c r="M8" s="3"/>
      <c r="N8" s="3"/>
      <c r="O8" s="3"/>
      <c r="P8" s="3"/>
      <c r="Q8" s="3"/>
      <c r="R8" s="3"/>
      <c r="S8" s="3"/>
      <c r="T8" s="3"/>
      <c r="U8" s="3"/>
      <c r="V8" s="27">
        <f t="shared" si="0"/>
        <v>0</v>
      </c>
      <c r="W8" s="4"/>
    </row>
    <row r="9" spans="1:24" x14ac:dyDescent="0.25">
      <c r="A9" s="89"/>
      <c r="B9" s="1">
        <v>2010</v>
      </c>
      <c r="C9" s="3"/>
      <c r="D9" s="3"/>
      <c r="E9" s="3"/>
      <c r="F9" s="3"/>
      <c r="G9" s="3"/>
      <c r="H9" s="59"/>
      <c r="I9" s="3"/>
      <c r="J9" s="59"/>
      <c r="K9" s="3"/>
      <c r="L9" s="3">
        <v>1946.4</v>
      </c>
      <c r="M9" s="3"/>
      <c r="N9" s="3"/>
      <c r="O9" s="3"/>
      <c r="P9" s="3"/>
      <c r="Q9" s="3"/>
      <c r="R9" s="3"/>
      <c r="S9" s="3"/>
      <c r="T9" s="3"/>
      <c r="U9" s="3"/>
      <c r="V9" s="27">
        <f t="shared" si="0"/>
        <v>1946.4</v>
      </c>
      <c r="W9" s="4"/>
    </row>
    <row r="10" spans="1:24" x14ac:dyDescent="0.25">
      <c r="A10" s="89"/>
      <c r="B10" s="1">
        <v>2011</v>
      </c>
      <c r="C10" s="3"/>
      <c r="D10" s="3"/>
      <c r="E10" s="3"/>
      <c r="F10" s="3"/>
      <c r="G10" s="3"/>
      <c r="H10" s="59"/>
      <c r="I10" s="3"/>
      <c r="J10" s="78">
        <v>4886</v>
      </c>
      <c r="K10" s="3"/>
      <c r="L10" s="3">
        <v>1189.0999999999999</v>
      </c>
      <c r="M10" s="3"/>
      <c r="N10" s="3"/>
      <c r="O10" s="3"/>
      <c r="P10" s="3"/>
      <c r="Q10" s="3"/>
      <c r="R10" s="3"/>
      <c r="S10" s="3"/>
      <c r="T10" s="3"/>
      <c r="U10" s="3"/>
      <c r="V10" s="27">
        <f t="shared" si="0"/>
        <v>6075.1</v>
      </c>
      <c r="W10" s="4"/>
    </row>
    <row r="11" spans="1:24" x14ac:dyDescent="0.25">
      <c r="A11" s="89"/>
      <c r="B11" s="1">
        <v>2012</v>
      </c>
      <c r="C11" s="3"/>
      <c r="D11" s="3"/>
      <c r="E11" s="3"/>
      <c r="F11" s="3"/>
      <c r="G11" s="3"/>
      <c r="H11" s="59"/>
      <c r="I11" s="3"/>
      <c r="J11" s="78">
        <v>1843</v>
      </c>
      <c r="K11" s="3"/>
      <c r="L11" s="3">
        <v>0</v>
      </c>
      <c r="M11" s="3"/>
      <c r="N11" s="3"/>
      <c r="O11" s="3"/>
      <c r="P11" s="3"/>
      <c r="Q11" s="3"/>
      <c r="R11" s="3"/>
      <c r="S11" s="3"/>
      <c r="T11" s="3"/>
      <c r="U11" s="3"/>
      <c r="V11" s="27">
        <f t="shared" si="0"/>
        <v>1843</v>
      </c>
      <c r="W11" s="4"/>
    </row>
    <row r="12" spans="1:24" x14ac:dyDescent="0.25">
      <c r="A12" s="89"/>
      <c r="B12" s="1">
        <v>2013</v>
      </c>
      <c r="C12" s="3"/>
      <c r="D12" s="3"/>
      <c r="E12" s="3"/>
      <c r="F12" s="3"/>
      <c r="G12" s="3"/>
      <c r="H12" s="59"/>
      <c r="I12" s="3"/>
      <c r="J12" s="78">
        <v>2753</v>
      </c>
      <c r="K12" s="3"/>
      <c r="L12" s="3">
        <v>295</v>
      </c>
      <c r="M12" s="3"/>
      <c r="N12" s="3"/>
      <c r="O12" s="3"/>
      <c r="P12" s="3"/>
      <c r="Q12" s="3"/>
      <c r="R12" s="3"/>
      <c r="S12" s="3"/>
      <c r="T12" s="3"/>
      <c r="U12" s="3"/>
      <c r="V12" s="27">
        <f t="shared" si="0"/>
        <v>3048</v>
      </c>
      <c r="W12" s="4"/>
    </row>
    <row r="13" spans="1:24" x14ac:dyDescent="0.25">
      <c r="A13" s="89"/>
      <c r="B13" s="1">
        <v>2014</v>
      </c>
      <c r="C13" s="3"/>
      <c r="D13" s="3"/>
      <c r="E13" s="3"/>
      <c r="F13" s="3"/>
      <c r="G13" s="3"/>
      <c r="H13" s="3"/>
      <c r="I13" s="3"/>
      <c r="J13" s="59">
        <v>0</v>
      </c>
      <c r="K13" s="3"/>
      <c r="L13" s="3">
        <v>210.8</v>
      </c>
      <c r="M13" s="3"/>
      <c r="N13" s="3"/>
      <c r="O13" s="3"/>
      <c r="P13" s="3"/>
      <c r="Q13" s="3"/>
      <c r="R13" s="3"/>
      <c r="S13" s="3"/>
      <c r="T13" s="3"/>
      <c r="U13" s="3"/>
      <c r="V13" s="27">
        <f t="shared" si="0"/>
        <v>210.8</v>
      </c>
      <c r="W13" s="4"/>
    </row>
    <row r="14" spans="1:24" x14ac:dyDescent="0.25">
      <c r="B14" s="1">
        <v>2015</v>
      </c>
      <c r="C14" s="3"/>
      <c r="D14" s="3"/>
      <c r="E14" s="3"/>
      <c r="F14" s="3"/>
      <c r="G14" s="3"/>
      <c r="H14" s="3"/>
      <c r="I14" s="3"/>
      <c r="J14" s="78">
        <v>2086</v>
      </c>
      <c r="K14" s="3"/>
      <c r="L14" s="3">
        <v>0</v>
      </c>
      <c r="M14" s="3"/>
      <c r="N14" s="3"/>
      <c r="O14" s="3"/>
      <c r="P14" s="3"/>
      <c r="Q14" s="3"/>
      <c r="R14" s="3"/>
      <c r="S14" s="3"/>
      <c r="T14" s="3"/>
      <c r="U14" s="3"/>
      <c r="V14" s="27">
        <f t="shared" si="0"/>
        <v>2086</v>
      </c>
    </row>
    <row r="15" spans="1:24" x14ac:dyDescent="0.25">
      <c r="B15" s="1">
        <v>2016</v>
      </c>
      <c r="C15" s="3"/>
      <c r="D15" s="3"/>
      <c r="E15" s="3"/>
      <c r="F15" s="3"/>
      <c r="G15" s="3"/>
      <c r="H15" s="3"/>
      <c r="I15" s="3"/>
      <c r="J15" s="3">
        <v>0</v>
      </c>
      <c r="K15" s="3"/>
      <c r="L15" s="3">
        <v>0</v>
      </c>
      <c r="M15" s="3"/>
      <c r="N15" s="3"/>
      <c r="O15" s="3"/>
      <c r="P15" s="3"/>
      <c r="Q15" s="3"/>
      <c r="R15" s="3"/>
      <c r="S15" s="3"/>
      <c r="T15" s="3"/>
      <c r="U15" s="3"/>
      <c r="V15" s="27">
        <f t="shared" si="0"/>
        <v>0</v>
      </c>
    </row>
    <row r="16" spans="1:24" x14ac:dyDescent="0.25">
      <c r="B16" s="1">
        <v>2017</v>
      </c>
      <c r="C16" s="3"/>
      <c r="D16" s="3"/>
      <c r="E16" s="3"/>
      <c r="F16" s="3"/>
      <c r="G16" s="3"/>
      <c r="H16" s="3"/>
      <c r="I16" s="3"/>
      <c r="J16" s="79">
        <v>812</v>
      </c>
      <c r="K16" s="3"/>
      <c r="L16" s="3">
        <v>0</v>
      </c>
      <c r="M16" s="3"/>
      <c r="N16" s="3"/>
      <c r="O16" s="3"/>
      <c r="P16" s="3"/>
      <c r="Q16" s="3"/>
      <c r="R16" s="3"/>
      <c r="S16" s="3"/>
      <c r="T16" s="3"/>
      <c r="U16" s="3"/>
      <c r="V16" s="27">
        <f t="shared" si="0"/>
        <v>812</v>
      </c>
    </row>
    <row r="17" spans="2:22" x14ac:dyDescent="0.25">
      <c r="B17" s="1">
        <v>2018</v>
      </c>
      <c r="C17" s="3"/>
      <c r="D17" s="3"/>
      <c r="E17" s="3"/>
      <c r="F17" s="3"/>
      <c r="G17" s="3"/>
      <c r="H17" s="3"/>
      <c r="I17" s="3"/>
      <c r="J17" s="3">
        <v>0</v>
      </c>
      <c r="K17" s="3"/>
      <c r="L17" s="3">
        <v>0</v>
      </c>
      <c r="M17" s="3"/>
      <c r="N17" s="3"/>
      <c r="O17" s="3"/>
      <c r="P17" s="3"/>
      <c r="Q17" s="3"/>
      <c r="R17" s="3"/>
      <c r="S17" s="3"/>
      <c r="T17" s="3"/>
      <c r="U17" s="3"/>
      <c r="V17" s="27">
        <f t="shared" si="0"/>
        <v>0</v>
      </c>
    </row>
    <row r="19" spans="2:22" x14ac:dyDescent="0.25">
      <c r="B19" s="2" t="s">
        <v>19</v>
      </c>
      <c r="C19" s="3" t="s">
        <v>20</v>
      </c>
      <c r="D19" s="3" t="s">
        <v>22</v>
      </c>
      <c r="E19" s="3" t="s">
        <v>22</v>
      </c>
      <c r="F19" s="3" t="s">
        <v>20</v>
      </c>
      <c r="G19" s="3" t="s">
        <v>22</v>
      </c>
      <c r="H19" s="3" t="s">
        <v>20</v>
      </c>
      <c r="I19" s="3" t="s">
        <v>20</v>
      </c>
      <c r="J19" s="3" t="s">
        <v>20</v>
      </c>
      <c r="K19" s="3" t="s">
        <v>20</v>
      </c>
      <c r="L19" s="3" t="s">
        <v>22</v>
      </c>
      <c r="M19" s="3" t="s">
        <v>20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22</v>
      </c>
      <c r="U19" s="3" t="s">
        <v>20</v>
      </c>
    </row>
  </sheetData>
  <mergeCells count="2">
    <mergeCell ref="B1:U1"/>
    <mergeCell ref="A2:A13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FF00"/>
  </sheetPr>
  <dimension ref="A1:M49"/>
  <sheetViews>
    <sheetView topLeftCell="A10" workbookViewId="0">
      <selection activeCell="H21" sqref="H21:H25"/>
    </sheetView>
  </sheetViews>
  <sheetFormatPr defaultRowHeight="15" x14ac:dyDescent="0.25"/>
  <cols>
    <col min="2" max="2" width="21" customWidth="1"/>
    <col min="3" max="3" width="20.140625" customWidth="1"/>
    <col min="4" max="4" width="14.140625" customWidth="1"/>
    <col min="5" max="5" width="30.140625" customWidth="1"/>
    <col min="6" max="6" width="45.42578125" customWidth="1"/>
    <col min="7" max="7" width="18.7109375" customWidth="1"/>
    <col min="8" max="8" width="14.7109375" customWidth="1"/>
    <col min="9" max="9" width="19.140625" customWidth="1"/>
    <col min="10" max="10" width="18.140625" customWidth="1"/>
    <col min="11" max="11" width="19.85546875" customWidth="1"/>
  </cols>
  <sheetData>
    <row r="1" spans="1:11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11"/>
      <c r="B2" s="12"/>
      <c r="C2" s="11"/>
      <c r="D2" s="12"/>
      <c r="E2" s="11"/>
      <c r="F2" s="11"/>
      <c r="G2" s="11"/>
      <c r="H2" s="90" t="s">
        <v>25</v>
      </c>
      <c r="I2" s="91"/>
      <c r="J2" s="12"/>
      <c r="K2" s="13"/>
    </row>
    <row r="3" spans="1:11" x14ac:dyDescent="0.25">
      <c r="A3" s="11"/>
      <c r="B3" s="14" t="s">
        <v>26</v>
      </c>
      <c r="C3" s="14" t="s">
        <v>27</v>
      </c>
      <c r="D3" s="14" t="s">
        <v>28</v>
      </c>
      <c r="E3" s="14" t="s">
        <v>29</v>
      </c>
      <c r="F3" s="14" t="s">
        <v>30</v>
      </c>
      <c r="G3" s="11"/>
      <c r="H3" s="38" t="s">
        <v>27</v>
      </c>
      <c r="I3" s="38"/>
      <c r="J3" s="12"/>
      <c r="K3" s="13"/>
    </row>
    <row r="4" spans="1:11" x14ac:dyDescent="0.25">
      <c r="A4" s="11"/>
      <c r="B4" s="16">
        <v>1997</v>
      </c>
      <c r="C4" s="17">
        <f>H4</f>
        <v>0</v>
      </c>
      <c r="D4" s="18" t="s">
        <v>32</v>
      </c>
      <c r="E4" s="19">
        <v>0.15379999999999999</v>
      </c>
      <c r="F4" s="20">
        <f t="shared" ref="F4:F25" si="0">C4*E4</f>
        <v>0</v>
      </c>
      <c r="G4" s="11"/>
      <c r="H4" s="39"/>
      <c r="I4" s="39"/>
      <c r="J4" s="12"/>
      <c r="K4" s="13"/>
    </row>
    <row r="5" spans="1:11" x14ac:dyDescent="0.25">
      <c r="A5" s="11"/>
      <c r="B5" s="16">
        <v>1998</v>
      </c>
      <c r="C5" s="17">
        <f t="shared" ref="C5:C25" si="1">H5</f>
        <v>0</v>
      </c>
      <c r="D5" s="18" t="s">
        <v>32</v>
      </c>
      <c r="E5" s="19">
        <f t="shared" ref="E5:E25" si="2">$E$4</f>
        <v>0.15379999999999999</v>
      </c>
      <c r="F5" s="20">
        <f t="shared" si="0"/>
        <v>0</v>
      </c>
      <c r="G5" s="11"/>
      <c r="H5" s="39"/>
      <c r="I5" s="39"/>
      <c r="J5" s="12"/>
      <c r="K5" s="13"/>
    </row>
    <row r="6" spans="1:11" x14ac:dyDescent="0.25">
      <c r="A6" s="11"/>
      <c r="B6" s="16">
        <v>1999</v>
      </c>
      <c r="C6" s="17">
        <f t="shared" si="1"/>
        <v>0</v>
      </c>
      <c r="D6" s="18" t="s">
        <v>32</v>
      </c>
      <c r="E6" s="19">
        <f t="shared" si="2"/>
        <v>0.15379999999999999</v>
      </c>
      <c r="F6" s="20">
        <f t="shared" si="0"/>
        <v>0</v>
      </c>
      <c r="G6" s="11"/>
      <c r="H6" s="39"/>
      <c r="I6" s="39"/>
      <c r="J6" s="12"/>
      <c r="K6" s="13"/>
    </row>
    <row r="7" spans="1:11" x14ac:dyDescent="0.25">
      <c r="A7" s="11"/>
      <c r="B7" s="16">
        <v>2000</v>
      </c>
      <c r="C7" s="17">
        <f t="shared" si="1"/>
        <v>0</v>
      </c>
      <c r="D7" s="18" t="s">
        <v>32</v>
      </c>
      <c r="E7" s="19">
        <f t="shared" si="2"/>
        <v>0.15379999999999999</v>
      </c>
      <c r="F7" s="20">
        <f t="shared" si="0"/>
        <v>0</v>
      </c>
      <c r="G7" s="11"/>
      <c r="H7" s="39"/>
      <c r="I7" s="39"/>
      <c r="J7" s="12"/>
      <c r="K7" s="13"/>
    </row>
    <row r="8" spans="1:11" x14ac:dyDescent="0.25">
      <c r="A8" s="11"/>
      <c r="B8" s="16">
        <v>2001</v>
      </c>
      <c r="C8" s="17">
        <f t="shared" si="1"/>
        <v>0</v>
      </c>
      <c r="D8" s="18" t="s">
        <v>32</v>
      </c>
      <c r="E8" s="19">
        <f t="shared" si="2"/>
        <v>0.15379999999999999</v>
      </c>
      <c r="F8" s="20">
        <f t="shared" si="0"/>
        <v>0</v>
      </c>
      <c r="G8" s="11"/>
      <c r="H8" s="39"/>
      <c r="I8" s="39"/>
      <c r="J8" s="12"/>
      <c r="K8" s="13"/>
    </row>
    <row r="9" spans="1:11" x14ac:dyDescent="0.25">
      <c r="A9" s="11"/>
      <c r="B9" s="16">
        <v>2002</v>
      </c>
      <c r="C9" s="17">
        <f t="shared" si="1"/>
        <v>0</v>
      </c>
      <c r="D9" s="18" t="s">
        <v>32</v>
      </c>
      <c r="E9" s="19">
        <f t="shared" si="2"/>
        <v>0.15379999999999999</v>
      </c>
      <c r="F9" s="20">
        <f t="shared" si="0"/>
        <v>0</v>
      </c>
      <c r="G9" s="11"/>
      <c r="H9" s="39"/>
      <c r="I9" s="39"/>
      <c r="J9" s="12"/>
      <c r="K9" s="13"/>
    </row>
    <row r="10" spans="1:11" x14ac:dyDescent="0.25">
      <c r="A10" s="11"/>
      <c r="B10" s="16">
        <v>2003</v>
      </c>
      <c r="C10" s="17">
        <f t="shared" si="1"/>
        <v>0</v>
      </c>
      <c r="D10" s="18" t="s">
        <v>32</v>
      </c>
      <c r="E10" s="19">
        <f t="shared" si="2"/>
        <v>0.15379999999999999</v>
      </c>
      <c r="F10" s="20">
        <f t="shared" si="0"/>
        <v>0</v>
      </c>
      <c r="G10" s="11"/>
      <c r="H10" s="39"/>
      <c r="I10" s="39"/>
      <c r="J10" s="12"/>
      <c r="K10" s="13"/>
    </row>
    <row r="11" spans="1:11" x14ac:dyDescent="0.25">
      <c r="A11" s="11"/>
      <c r="B11" s="16">
        <v>2004</v>
      </c>
      <c r="C11" s="17">
        <f t="shared" si="1"/>
        <v>0</v>
      </c>
      <c r="D11" s="18" t="s">
        <v>32</v>
      </c>
      <c r="E11" s="19">
        <f t="shared" si="2"/>
        <v>0.15379999999999999</v>
      </c>
      <c r="F11" s="20">
        <f t="shared" si="0"/>
        <v>0</v>
      </c>
      <c r="G11" s="11"/>
      <c r="H11" s="39">
        <f>'CO Summary Sheet CPS 585'!V3</f>
        <v>0</v>
      </c>
      <c r="I11" s="39"/>
      <c r="J11" s="12"/>
      <c r="K11" s="13"/>
    </row>
    <row r="12" spans="1:11" x14ac:dyDescent="0.25">
      <c r="A12" s="11"/>
      <c r="B12" s="16">
        <v>2005</v>
      </c>
      <c r="C12" s="17">
        <f t="shared" si="1"/>
        <v>590.9</v>
      </c>
      <c r="D12" s="18" t="s">
        <v>32</v>
      </c>
      <c r="E12" s="19">
        <f t="shared" si="2"/>
        <v>0.15379999999999999</v>
      </c>
      <c r="F12" s="20">
        <f t="shared" si="0"/>
        <v>90.880419999999987</v>
      </c>
      <c r="G12" s="11"/>
      <c r="H12" s="39">
        <f>'CO Summary Sheet CPS 585'!V4</f>
        <v>590.9</v>
      </c>
      <c r="I12" s="39"/>
      <c r="J12" s="12"/>
      <c r="K12" s="13"/>
    </row>
    <row r="13" spans="1:11" x14ac:dyDescent="0.25">
      <c r="A13" s="11"/>
      <c r="B13" s="16">
        <v>2006</v>
      </c>
      <c r="C13" s="17">
        <f t="shared" si="1"/>
        <v>323.10000000000002</v>
      </c>
      <c r="D13" s="18" t="s">
        <v>32</v>
      </c>
      <c r="E13" s="19">
        <f t="shared" si="2"/>
        <v>0.15379999999999999</v>
      </c>
      <c r="F13" s="20">
        <f t="shared" si="0"/>
        <v>49.692779999999999</v>
      </c>
      <c r="G13" s="11"/>
      <c r="H13" s="39">
        <f>'CO Summary Sheet CPS 585'!V5</f>
        <v>323.10000000000002</v>
      </c>
      <c r="I13" s="39"/>
      <c r="J13" s="12"/>
      <c r="K13" s="13"/>
    </row>
    <row r="14" spans="1:11" x14ac:dyDescent="0.25">
      <c r="A14" s="11"/>
      <c r="B14" s="16">
        <v>2007</v>
      </c>
      <c r="C14" s="17">
        <f t="shared" si="1"/>
        <v>475</v>
      </c>
      <c r="D14" s="18" t="s">
        <v>32</v>
      </c>
      <c r="E14" s="19">
        <f t="shared" si="2"/>
        <v>0.15379999999999999</v>
      </c>
      <c r="F14" s="20">
        <f t="shared" si="0"/>
        <v>73.054999999999993</v>
      </c>
      <c r="G14" s="11"/>
      <c r="H14" s="39">
        <f>'CO Summary Sheet CPS 585'!V6</f>
        <v>475</v>
      </c>
      <c r="I14" s="39"/>
      <c r="J14" s="12"/>
      <c r="K14" s="13"/>
    </row>
    <row r="15" spans="1:11" x14ac:dyDescent="0.25">
      <c r="A15" s="11"/>
      <c r="B15" s="16">
        <v>2008</v>
      </c>
      <c r="C15" s="17">
        <f t="shared" si="1"/>
        <v>1908.8</v>
      </c>
      <c r="D15" s="18" t="s">
        <v>32</v>
      </c>
      <c r="E15" s="19">
        <f t="shared" si="2"/>
        <v>0.15379999999999999</v>
      </c>
      <c r="F15" s="20">
        <f t="shared" si="0"/>
        <v>293.57344000000001</v>
      </c>
      <c r="G15" s="11"/>
      <c r="H15" s="39">
        <f>'CO Summary Sheet CPS 585'!V7</f>
        <v>1908.8</v>
      </c>
      <c r="I15" s="39"/>
      <c r="J15" s="12"/>
      <c r="K15" s="13"/>
    </row>
    <row r="16" spans="1:11" x14ac:dyDescent="0.25">
      <c r="A16" s="11"/>
      <c r="B16" s="16">
        <v>2009</v>
      </c>
      <c r="C16" s="17">
        <f t="shared" si="1"/>
        <v>0</v>
      </c>
      <c r="D16" s="18" t="s">
        <v>32</v>
      </c>
      <c r="E16" s="19">
        <f t="shared" si="2"/>
        <v>0.15379999999999999</v>
      </c>
      <c r="F16" s="20">
        <f t="shared" si="0"/>
        <v>0</v>
      </c>
      <c r="G16" s="11"/>
      <c r="H16" s="39">
        <f>'CO Summary Sheet CPS 585'!V8</f>
        <v>0</v>
      </c>
      <c r="I16" s="39"/>
      <c r="J16" s="12"/>
      <c r="K16" s="13"/>
    </row>
    <row r="17" spans="1:13" x14ac:dyDescent="0.25">
      <c r="A17" s="11"/>
      <c r="B17" s="16">
        <v>2010</v>
      </c>
      <c r="C17" s="17">
        <f t="shared" si="1"/>
        <v>1946.4</v>
      </c>
      <c r="D17" s="18" t="s">
        <v>32</v>
      </c>
      <c r="E17" s="19">
        <f t="shared" si="2"/>
        <v>0.15379999999999999</v>
      </c>
      <c r="F17" s="20">
        <f t="shared" si="0"/>
        <v>299.35631999999998</v>
      </c>
      <c r="G17" s="11"/>
      <c r="H17" s="39">
        <f>'CO Summary Sheet CPS 585'!V9</f>
        <v>1946.4</v>
      </c>
      <c r="I17" s="39"/>
      <c r="J17" s="12"/>
      <c r="K17" s="13"/>
    </row>
    <row r="18" spans="1:13" x14ac:dyDescent="0.25">
      <c r="A18" s="11"/>
      <c r="B18" s="16">
        <v>2011</v>
      </c>
      <c r="C18" s="17">
        <f t="shared" si="1"/>
        <v>6075.1</v>
      </c>
      <c r="D18" s="18" t="s">
        <v>32</v>
      </c>
      <c r="E18" s="19">
        <f t="shared" si="2"/>
        <v>0.15379999999999999</v>
      </c>
      <c r="F18" s="20">
        <f t="shared" si="0"/>
        <v>934.35037999999997</v>
      </c>
      <c r="G18" s="11"/>
      <c r="H18" s="39">
        <f>'CO Summary Sheet CPS 585'!V10</f>
        <v>6075.1</v>
      </c>
      <c r="I18" s="39"/>
      <c r="J18" s="12"/>
      <c r="K18" s="13"/>
    </row>
    <row r="19" spans="1:13" x14ac:dyDescent="0.25">
      <c r="A19" s="11"/>
      <c r="B19" s="16">
        <v>2012</v>
      </c>
      <c r="C19" s="17">
        <f t="shared" si="1"/>
        <v>1843</v>
      </c>
      <c r="D19" s="18" t="s">
        <v>32</v>
      </c>
      <c r="E19" s="19">
        <f t="shared" si="2"/>
        <v>0.15379999999999999</v>
      </c>
      <c r="F19" s="20">
        <f t="shared" si="0"/>
        <v>283.45339999999999</v>
      </c>
      <c r="G19" s="11"/>
      <c r="H19" s="39">
        <f>'CO Summary Sheet CPS 585'!V11</f>
        <v>1843</v>
      </c>
      <c r="I19" s="39"/>
      <c r="J19" s="12"/>
      <c r="K19" s="13"/>
    </row>
    <row r="20" spans="1:13" s="22" customFormat="1" x14ac:dyDescent="0.25">
      <c r="A20" s="11"/>
      <c r="B20" s="16">
        <v>2013</v>
      </c>
      <c r="C20" s="17">
        <f t="shared" si="1"/>
        <v>3048</v>
      </c>
      <c r="D20" s="18" t="s">
        <v>32</v>
      </c>
      <c r="E20" s="19">
        <f t="shared" si="2"/>
        <v>0.15379999999999999</v>
      </c>
      <c r="F20" s="20">
        <f t="shared" si="0"/>
        <v>468.7824</v>
      </c>
      <c r="G20" s="11"/>
      <c r="H20" s="39">
        <f>'CO Summary Sheet CPS 585'!V12</f>
        <v>3048</v>
      </c>
      <c r="I20" s="39"/>
      <c r="J20" s="12"/>
      <c r="K20" s="13"/>
    </row>
    <row r="21" spans="1:13" x14ac:dyDescent="0.25">
      <c r="B21" s="16">
        <v>2014</v>
      </c>
      <c r="C21" s="17">
        <f t="shared" si="1"/>
        <v>210.8</v>
      </c>
      <c r="D21" s="18" t="s">
        <v>32</v>
      </c>
      <c r="E21" s="19">
        <f t="shared" si="2"/>
        <v>0.15379999999999999</v>
      </c>
      <c r="F21" s="20">
        <f t="shared" si="0"/>
        <v>32.421039999999998</v>
      </c>
      <c r="H21" s="39">
        <f>'CO Summary Sheet CPS 585'!V13</f>
        <v>210.8</v>
      </c>
      <c r="I21" s="39"/>
    </row>
    <row r="22" spans="1:13" x14ac:dyDescent="0.25">
      <c r="B22" s="16">
        <v>2015</v>
      </c>
      <c r="C22" s="17">
        <f t="shared" si="1"/>
        <v>2086</v>
      </c>
      <c r="D22" s="18" t="s">
        <v>32</v>
      </c>
      <c r="E22" s="19">
        <f t="shared" si="2"/>
        <v>0.15379999999999999</v>
      </c>
      <c r="F22" s="20">
        <f t="shared" si="0"/>
        <v>320.82679999999999</v>
      </c>
      <c r="H22" s="39">
        <f>'CO Summary Sheet CPS 585'!V14</f>
        <v>2086</v>
      </c>
      <c r="I22" s="73"/>
    </row>
    <row r="23" spans="1:13" x14ac:dyDescent="0.25">
      <c r="B23" s="16">
        <v>2016</v>
      </c>
      <c r="C23" s="17">
        <f t="shared" si="1"/>
        <v>0</v>
      </c>
      <c r="D23" s="18" t="s">
        <v>32</v>
      </c>
      <c r="E23" s="19">
        <f t="shared" si="2"/>
        <v>0.15379999999999999</v>
      </c>
      <c r="F23" s="20">
        <f t="shared" si="0"/>
        <v>0</v>
      </c>
      <c r="H23" s="39">
        <f>'CO Summary Sheet CPS 585'!V15</f>
        <v>0</v>
      </c>
      <c r="I23" s="73"/>
    </row>
    <row r="24" spans="1:13" x14ac:dyDescent="0.25">
      <c r="B24" s="16">
        <v>2017</v>
      </c>
      <c r="C24" s="17">
        <f t="shared" si="1"/>
        <v>812</v>
      </c>
      <c r="D24" s="18" t="s">
        <v>32</v>
      </c>
      <c r="E24" s="19">
        <f t="shared" si="2"/>
        <v>0.15379999999999999</v>
      </c>
      <c r="F24" s="20">
        <f t="shared" si="0"/>
        <v>124.8856</v>
      </c>
      <c r="H24" s="39">
        <f>'CO Summary Sheet CPS 585'!V16</f>
        <v>812</v>
      </c>
      <c r="I24" s="73"/>
    </row>
    <row r="25" spans="1:13" x14ac:dyDescent="0.25">
      <c r="B25" s="16">
        <v>2018</v>
      </c>
      <c r="C25" s="17">
        <f t="shared" si="1"/>
        <v>0</v>
      </c>
      <c r="D25" s="18" t="s">
        <v>32</v>
      </c>
      <c r="E25" s="19">
        <f t="shared" si="2"/>
        <v>0.15379999999999999</v>
      </c>
      <c r="F25" s="20">
        <f t="shared" si="0"/>
        <v>0</v>
      </c>
      <c r="H25" s="39">
        <f>'CO Summary Sheet CPS 585'!V17</f>
        <v>0</v>
      </c>
      <c r="I25" s="73"/>
    </row>
    <row r="26" spans="1:13" x14ac:dyDescent="0.25">
      <c r="C26" s="17">
        <f>SUM(C11:C21)</f>
        <v>16421.100000000002</v>
      </c>
    </row>
    <row r="27" spans="1:13" ht="78.75" customHeight="1" x14ac:dyDescent="0.25">
      <c r="B27" s="23" t="s">
        <v>0</v>
      </c>
      <c r="C27" s="23" t="s">
        <v>33</v>
      </c>
      <c r="D27" s="23" t="s">
        <v>34</v>
      </c>
      <c r="E27" s="23" t="s">
        <v>35</v>
      </c>
      <c r="F27" s="23" t="s">
        <v>36</v>
      </c>
      <c r="M27" s="32"/>
    </row>
    <row r="28" spans="1:13" x14ac:dyDescent="0.25">
      <c r="B28">
        <v>1997</v>
      </c>
      <c r="C28" s="5">
        <f>F4</f>
        <v>0</v>
      </c>
      <c r="M28" s="32"/>
    </row>
    <row r="29" spans="1:13" x14ac:dyDescent="0.25">
      <c r="B29">
        <v>1998</v>
      </c>
      <c r="C29" s="5">
        <f t="shared" ref="C29:C44" si="3">F5</f>
        <v>0</v>
      </c>
      <c r="M29" s="32"/>
    </row>
    <row r="30" spans="1:13" x14ac:dyDescent="0.25">
      <c r="B30">
        <v>1999</v>
      </c>
      <c r="C30" s="5">
        <f t="shared" si="3"/>
        <v>0</v>
      </c>
      <c r="M30" s="32"/>
    </row>
    <row r="31" spans="1:13" x14ac:dyDescent="0.25">
      <c r="B31">
        <v>2000</v>
      </c>
      <c r="C31" s="5">
        <f t="shared" si="3"/>
        <v>0</v>
      </c>
      <c r="D31" s="5">
        <f>C31+(0.5*C28)</f>
        <v>0</v>
      </c>
      <c r="E31" s="5">
        <f>C31+(0.75*C28)</f>
        <v>0</v>
      </c>
      <c r="F31" s="5">
        <f>C31+(1*C28)</f>
        <v>0</v>
      </c>
      <c r="M31" s="32"/>
    </row>
    <row r="32" spans="1:13" x14ac:dyDescent="0.25">
      <c r="B32">
        <v>2001</v>
      </c>
      <c r="C32" s="5">
        <f t="shared" si="3"/>
        <v>0</v>
      </c>
      <c r="D32" s="5">
        <f>C32+(0.5*(C29+C28))</f>
        <v>0</v>
      </c>
      <c r="E32" s="5">
        <f>C32+(0.75*(C29+C28))</f>
        <v>0</v>
      </c>
      <c r="F32" s="5">
        <f>C32+(1*(C29+C28))</f>
        <v>0</v>
      </c>
      <c r="M32" s="32"/>
    </row>
    <row r="33" spans="2:13" x14ac:dyDescent="0.25">
      <c r="B33">
        <v>2002</v>
      </c>
      <c r="C33" s="5">
        <f t="shared" si="3"/>
        <v>0</v>
      </c>
      <c r="D33" s="5">
        <f>C33+(0.5*(C28+C30+C29))</f>
        <v>0</v>
      </c>
      <c r="E33" s="5">
        <f>C33+(0.75*(C28+C30+C29))</f>
        <v>0</v>
      </c>
      <c r="F33" s="5">
        <f>C33+(1*(C28+C30+C29))</f>
        <v>0</v>
      </c>
      <c r="M33" s="32"/>
    </row>
    <row r="34" spans="2:13" x14ac:dyDescent="0.25">
      <c r="B34">
        <v>2003</v>
      </c>
      <c r="C34" s="5">
        <f t="shared" si="3"/>
        <v>0</v>
      </c>
      <c r="D34" s="5">
        <f>C34+(0.5*(C28+C29+C31+C30))</f>
        <v>0</v>
      </c>
      <c r="E34" s="5">
        <f>C34+(0.75*(C28+C29+C31+C30))</f>
        <v>0</v>
      </c>
      <c r="F34" s="5">
        <f>C34+(1*(C28+C29+C31+C30))</f>
        <v>0</v>
      </c>
      <c r="M34" s="32"/>
    </row>
    <row r="35" spans="2:13" x14ac:dyDescent="0.25">
      <c r="B35">
        <v>2004</v>
      </c>
      <c r="C35" s="5">
        <f t="shared" si="3"/>
        <v>0</v>
      </c>
      <c r="D35" s="5">
        <f>C35+(0.5*(C28+C29+C30+C32+C31))</f>
        <v>0</v>
      </c>
      <c r="E35" s="5">
        <f>C35+(0.75*(C28+C29+C30+C32+C31))</f>
        <v>0</v>
      </c>
      <c r="F35" s="5">
        <f>C35+(1*(C28+C29+C30+C32+C31))</f>
        <v>0</v>
      </c>
      <c r="M35" s="32"/>
    </row>
    <row r="36" spans="2:13" x14ac:dyDescent="0.25">
      <c r="B36">
        <v>2005</v>
      </c>
      <c r="C36" s="5">
        <f t="shared" si="3"/>
        <v>90.880419999999987</v>
      </c>
      <c r="D36" s="5">
        <f>C36+(0.5*(C28+C29+C30+C31+C33+C32))</f>
        <v>90.880419999999987</v>
      </c>
      <c r="E36" s="5">
        <f>C36+(0.75*(C28+C29+C30+C31+C33+C32))</f>
        <v>90.880419999999987</v>
      </c>
      <c r="F36" s="5">
        <f>C36+(1*(C28+C29+C30+C31+C33+C32))</f>
        <v>90.880419999999987</v>
      </c>
      <c r="M36" s="32"/>
    </row>
    <row r="37" spans="2:13" x14ac:dyDescent="0.25">
      <c r="B37">
        <v>2006</v>
      </c>
      <c r="C37" s="5">
        <f t="shared" si="3"/>
        <v>49.692779999999999</v>
      </c>
      <c r="D37" s="5">
        <f>C37+(0.5*(C28+C29+C30+C31+C32+C34+C33))</f>
        <v>49.692779999999999</v>
      </c>
      <c r="E37" s="5">
        <f>C37+(0.75*(C28+C29+C30+C31+C32+C34+C33))</f>
        <v>49.692779999999999</v>
      </c>
      <c r="F37" s="5">
        <f>C37+(1*(C28+C29+C30+C31+C32+C34+C33))</f>
        <v>49.692779999999999</v>
      </c>
      <c r="M37" s="32"/>
    </row>
    <row r="38" spans="2:13" x14ac:dyDescent="0.25">
      <c r="B38">
        <v>2007</v>
      </c>
      <c r="C38" s="5">
        <f t="shared" si="3"/>
        <v>73.054999999999993</v>
      </c>
      <c r="D38" s="5">
        <f>C38+(0.5*(C28+C29+C30+C31+C32+C33+C35+C34))</f>
        <v>73.054999999999993</v>
      </c>
      <c r="E38" s="5">
        <f>C38+(0.75*(C28+C29+C30+C31+C32+C33+C35+C34))</f>
        <v>73.054999999999993</v>
      </c>
      <c r="F38" s="5">
        <f>C38+(1*(C28+C29+C30+C31+C32+C33+C35+C34))</f>
        <v>73.054999999999993</v>
      </c>
      <c r="M38" s="32"/>
    </row>
    <row r="39" spans="2:13" x14ac:dyDescent="0.25">
      <c r="B39">
        <v>2008</v>
      </c>
      <c r="C39" s="5">
        <f t="shared" si="3"/>
        <v>293.57344000000001</v>
      </c>
      <c r="D39" s="5">
        <f>C39+(0.5*(C28+C29+C30+C31+C32+C33+C34+C36+C35))</f>
        <v>339.01364999999998</v>
      </c>
      <c r="E39" s="5">
        <f>C39+(0.75*(C28+C29+C30+C31+C32+C33+C34+C36+C35))</f>
        <v>361.73375499999997</v>
      </c>
      <c r="F39" s="5">
        <f>C39+(1*(C28+C29+C30+C31+C32+C33+C34+C36+C35))</f>
        <v>384.45385999999996</v>
      </c>
      <c r="M39" s="32"/>
    </row>
    <row r="40" spans="2:13" x14ac:dyDescent="0.25">
      <c r="B40">
        <v>2009</v>
      </c>
      <c r="C40" s="5">
        <f t="shared" si="3"/>
        <v>0</v>
      </c>
      <c r="D40" s="5">
        <f>C40+(0.5*(C28+C29+C30+C31+C32+C33+C34+C35+C37+C36))</f>
        <v>70.286599999999993</v>
      </c>
      <c r="E40" s="5">
        <f>C40+(0.75*(C28+C29+C30+C31+C32+C33+C34+C35+C37+C36))</f>
        <v>105.42989999999999</v>
      </c>
      <c r="F40" s="5">
        <f>C40+(1*(C28+C29+C30+C31+C32+C33+C34+C35+C37+C36))</f>
        <v>140.57319999999999</v>
      </c>
      <c r="M40" s="32"/>
    </row>
    <row r="41" spans="2:13" x14ac:dyDescent="0.25">
      <c r="B41">
        <v>2010</v>
      </c>
      <c r="C41" s="5">
        <f t="shared" si="3"/>
        <v>299.35631999999998</v>
      </c>
      <c r="D41" s="5">
        <f>C41+(0.5*(C28+C29+C30+C31+C32+C33+C34+C35+C36+C38+C37))</f>
        <v>406.17041999999998</v>
      </c>
      <c r="E41" s="5">
        <f>C41+(0.75*(C28+C29+C30+C31+C32+C33+C34+C35+C36+C38+C37))</f>
        <v>459.57746999999995</v>
      </c>
      <c r="F41" s="5">
        <f>C41+(1*(C28+C29+C30+C31+C32+C33+C34+C35+C36+C38+C37))</f>
        <v>512.98451999999997</v>
      </c>
      <c r="M41" s="32"/>
    </row>
    <row r="42" spans="2:13" x14ac:dyDescent="0.25">
      <c r="B42">
        <v>2011</v>
      </c>
      <c r="C42" s="5">
        <f t="shared" si="3"/>
        <v>934.35037999999997</v>
      </c>
      <c r="D42" s="5">
        <f>C42+(0.5*(C28+C29+C30+C31+C32+C33+C34+C35+C36+C37+C39+C38))</f>
        <v>1187.9512</v>
      </c>
      <c r="E42" s="5">
        <f>C42+(0.75*(C28+C29+C30+C31+C32+C33+C34+C35+C36+C37+C39+C38))</f>
        <v>1314.75161</v>
      </c>
      <c r="F42" s="5">
        <f>C42+(1*(C28+C29+C30+C31+C32+C33+C34+C35+C36+C37+C39+C38))</f>
        <v>1441.5520200000001</v>
      </c>
      <c r="M42" s="32"/>
    </row>
    <row r="43" spans="2:13" x14ac:dyDescent="0.25">
      <c r="B43">
        <v>2012</v>
      </c>
      <c r="C43" s="5">
        <f t="shared" si="3"/>
        <v>283.45339999999999</v>
      </c>
      <c r="D43" s="5">
        <f>C43+(0.5*(C28+C29+C30+C31+C32+C33+C34+C35+C36+C37+C38+C40+C39))</f>
        <v>537.05421999999999</v>
      </c>
      <c r="E43" s="5">
        <f>C43+(0.75*(C28+C29+C30+C31+C32+C33+C34+C35+C36+C37+C38+C40+C39))</f>
        <v>663.85463000000004</v>
      </c>
      <c r="F43" s="5">
        <f>C43+(1*(C28+C29+C30+C31+C32+C33+C34+C35+C36+C37+C38+C40+C39))</f>
        <v>790.65503999999999</v>
      </c>
      <c r="M43" s="32"/>
    </row>
    <row r="44" spans="2:13" x14ac:dyDescent="0.25">
      <c r="B44">
        <v>2013</v>
      </c>
      <c r="C44" s="5">
        <f t="shared" si="3"/>
        <v>468.7824</v>
      </c>
      <c r="D44" s="5">
        <f>C44+(0.5*(C28+C29+C30+C31+C32+C33+C34+C35+C36+C37+C38+C39+C41+C40))</f>
        <v>872.06137999999999</v>
      </c>
      <c r="E44" s="5">
        <f>C44+(0.75*(C28+C29+C30+C31+C32+C33+C34+C35+C36+C37+C38+C39+C41+C40))</f>
        <v>1073.7008699999999</v>
      </c>
      <c r="F44" s="5">
        <f>C44+(1*(C28+C29+C30+C31+C32+C33+C34+C35+C36+C37+C38+C39+C41+C40))</f>
        <v>1275.3403599999999</v>
      </c>
      <c r="M44" s="32"/>
    </row>
    <row r="45" spans="2:13" x14ac:dyDescent="0.25">
      <c r="B45">
        <v>2014</v>
      </c>
      <c r="C45" s="5">
        <f>F21</f>
        <v>32.421039999999998</v>
      </c>
      <c r="D45" s="5">
        <f>C45+(0.5*(C28+C29+C30+C31+C32+C33+C34+C35+C36+C37+C38+C39+C40+C42+C41))</f>
        <v>902.87520999999992</v>
      </c>
      <c r="E45" s="5">
        <f>C45+(0.75*(C28+C29+C30+C31+C32+C33+C34+C35+C36+C37+C38+C39+C40+C42+C41))</f>
        <v>1338.1022949999999</v>
      </c>
      <c r="F45" s="5">
        <f>C45+(1*(C28+C29+C30+C31+C32+C33+C34+C35+C36+C37+C38+C39+C40+C42+C41))</f>
        <v>1773.3293799999999</v>
      </c>
      <c r="M45" s="32"/>
    </row>
    <row r="46" spans="2:13" x14ac:dyDescent="0.25">
      <c r="B46">
        <v>2015</v>
      </c>
      <c r="C46" s="5">
        <f t="shared" ref="C46:C49" si="4">F22</f>
        <v>320.82679999999999</v>
      </c>
      <c r="D46" s="5">
        <f t="shared" ref="D46:D49" si="5">C46+(0.5*(C29+C30+C31+C32+C33+C34+C35+C36+C37+C38+C39+C40+C41+C43+C42))</f>
        <v>1333.00767</v>
      </c>
      <c r="E46" s="5">
        <f t="shared" ref="E46:E49" si="6">C46+(0.75*(C29+C30+C31+C32+C33+C34+C35+C36+C37+C38+C39+C40+C41+C43+C42))</f>
        <v>1839.0981049999998</v>
      </c>
      <c r="F46" s="5">
        <f t="shared" ref="F46:F49" si="7">C46+(1*(C29+C30+C31+C32+C33+C34+C35+C36+C37+C38+C39+C40+C41+C43+C42))</f>
        <v>2345.1885399999996</v>
      </c>
      <c r="M46" s="32"/>
    </row>
    <row r="47" spans="2:13" x14ac:dyDescent="0.25">
      <c r="B47">
        <v>2016</v>
      </c>
      <c r="C47" s="5">
        <f t="shared" si="4"/>
        <v>0</v>
      </c>
      <c r="D47" s="5">
        <f t="shared" si="5"/>
        <v>1246.5720699999999</v>
      </c>
      <c r="E47" s="5">
        <f t="shared" si="6"/>
        <v>1869.8581049999998</v>
      </c>
      <c r="F47" s="5">
        <f t="shared" si="7"/>
        <v>2493.1441399999999</v>
      </c>
    </row>
    <row r="48" spans="2:13" x14ac:dyDescent="0.25">
      <c r="B48">
        <v>2017</v>
      </c>
      <c r="C48" s="5">
        <f t="shared" si="4"/>
        <v>124.8856</v>
      </c>
      <c r="D48" s="5">
        <f t="shared" si="5"/>
        <v>1387.6681900000001</v>
      </c>
      <c r="E48" s="5">
        <f t="shared" si="6"/>
        <v>2019.0594850000002</v>
      </c>
      <c r="F48" s="5">
        <f t="shared" si="7"/>
        <v>2650.4507800000001</v>
      </c>
    </row>
    <row r="49" spans="2:6" x14ac:dyDescent="0.25">
      <c r="B49">
        <v>2018</v>
      </c>
      <c r="C49" s="5">
        <f t="shared" si="4"/>
        <v>0</v>
      </c>
      <c r="D49" s="5">
        <f t="shared" si="5"/>
        <v>1423.1959899999999</v>
      </c>
      <c r="E49" s="5">
        <f t="shared" si="6"/>
        <v>2134.7939849999998</v>
      </c>
      <c r="F49" s="5">
        <f t="shared" si="7"/>
        <v>2846.3919799999999</v>
      </c>
    </row>
  </sheetData>
  <mergeCells count="1">
    <mergeCell ref="H2:I2"/>
  </mergeCells>
  <pageMargins left="0.7" right="0.7" top="0.75" bottom="0.75" header="0.3" footer="0.3"/>
  <drawing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X19"/>
  <sheetViews>
    <sheetView workbookViewId="0">
      <selection activeCell="L13" sqref="L13"/>
    </sheetView>
  </sheetViews>
  <sheetFormatPr defaultRowHeight="15" x14ac:dyDescent="0.25"/>
  <cols>
    <col min="1" max="1" width="5" customWidth="1"/>
    <col min="2" max="2" width="12" bestFit="1" customWidth="1"/>
    <col min="3" max="3" width="9.28515625" bestFit="1" customWidth="1"/>
    <col min="4" max="5" width="9.5703125" bestFit="1" customWidth="1"/>
    <col min="6" max="7" width="9.28515625" bestFit="1" customWidth="1"/>
    <col min="8" max="8" width="11.28515625" customWidth="1"/>
    <col min="9" max="9" width="9.28515625" bestFit="1" customWidth="1"/>
    <col min="10" max="10" width="11.7109375" customWidth="1"/>
    <col min="11" max="11" width="9.28515625" bestFit="1" customWidth="1"/>
    <col min="12" max="12" width="12.140625" bestFit="1" customWidth="1"/>
    <col min="13" max="18" width="9.28515625" bestFit="1" customWidth="1"/>
    <col min="19" max="19" width="13.42578125" bestFit="1" customWidth="1"/>
    <col min="20" max="20" width="9.28515625" bestFit="1" customWidth="1"/>
    <col min="21" max="21" width="12.42578125" bestFit="1" customWidth="1"/>
    <col min="22" max="22" width="14.28515625" bestFit="1" customWidth="1"/>
    <col min="23" max="23" width="15.7109375" customWidth="1"/>
    <col min="24" max="24" width="27.42578125" customWidth="1"/>
  </cols>
  <sheetData>
    <row r="1" spans="1:24" x14ac:dyDescent="0.25">
      <c r="B1" s="88" t="s">
        <v>49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</row>
    <row r="2" spans="1:24" s="3" customFormat="1" x14ac:dyDescent="0.25">
      <c r="A2" s="89" t="s">
        <v>0</v>
      </c>
      <c r="B2" s="6"/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21</v>
      </c>
      <c r="I2" s="7" t="s">
        <v>6</v>
      </c>
      <c r="J2" s="7" t="s">
        <v>7</v>
      </c>
      <c r="K2" s="7" t="s">
        <v>8</v>
      </c>
      <c r="L2" s="7" t="s">
        <v>9</v>
      </c>
      <c r="M2" s="7" t="s">
        <v>10</v>
      </c>
      <c r="N2" s="7" t="s">
        <v>11</v>
      </c>
      <c r="O2" s="7" t="s">
        <v>12</v>
      </c>
      <c r="P2" s="7" t="s">
        <v>13</v>
      </c>
      <c r="Q2" s="7" t="s">
        <v>14</v>
      </c>
      <c r="R2" s="7" t="s">
        <v>15</v>
      </c>
      <c r="S2" s="7" t="s">
        <v>16</v>
      </c>
      <c r="T2" s="7" t="s">
        <v>17</v>
      </c>
      <c r="U2" s="7" t="s">
        <v>23</v>
      </c>
      <c r="V2" s="7" t="s">
        <v>18</v>
      </c>
      <c r="W2" s="7"/>
      <c r="X2" s="7"/>
    </row>
    <row r="3" spans="1:24" x14ac:dyDescent="0.25">
      <c r="A3" s="89"/>
      <c r="B3" s="1">
        <v>2004</v>
      </c>
      <c r="C3" s="3"/>
      <c r="D3" s="3"/>
      <c r="E3" s="3"/>
      <c r="F3" s="3"/>
      <c r="G3" s="3"/>
      <c r="H3" s="59"/>
      <c r="I3" s="3"/>
      <c r="J3" s="59"/>
      <c r="K3" s="3"/>
      <c r="L3">
        <v>0</v>
      </c>
      <c r="M3" s="3"/>
      <c r="N3" s="3"/>
      <c r="O3" s="3"/>
      <c r="P3" s="3"/>
      <c r="Q3" s="3"/>
      <c r="R3" s="59"/>
      <c r="S3" s="3"/>
      <c r="T3" s="3"/>
      <c r="U3" s="3"/>
      <c r="V3" s="27">
        <f t="shared" ref="V3:V17" si="0">SUM(C3:U3)</f>
        <v>0</v>
      </c>
      <c r="W3" s="4"/>
    </row>
    <row r="4" spans="1:24" x14ac:dyDescent="0.25">
      <c r="A4" s="89"/>
      <c r="B4" s="1">
        <v>2005</v>
      </c>
      <c r="C4" s="3"/>
      <c r="D4" s="3"/>
      <c r="E4" s="3"/>
      <c r="F4" s="3"/>
      <c r="G4" s="3"/>
      <c r="H4" s="59"/>
      <c r="I4" s="3"/>
      <c r="J4" s="59"/>
      <c r="K4" s="59"/>
      <c r="L4">
        <v>0</v>
      </c>
      <c r="M4" s="3"/>
      <c r="N4" s="3"/>
      <c r="O4" s="3"/>
      <c r="P4" s="3"/>
      <c r="Q4" s="3"/>
      <c r="R4" s="59"/>
      <c r="S4" s="3"/>
      <c r="T4" s="3"/>
      <c r="U4" s="3"/>
      <c r="V4" s="27">
        <f t="shared" si="0"/>
        <v>0</v>
      </c>
      <c r="W4" s="4"/>
    </row>
    <row r="5" spans="1:24" x14ac:dyDescent="0.25">
      <c r="A5" s="89"/>
      <c r="B5" s="1">
        <v>2006</v>
      </c>
      <c r="C5" s="3"/>
      <c r="D5" s="3"/>
      <c r="E5" s="3"/>
      <c r="F5" s="3"/>
      <c r="G5" s="3"/>
      <c r="H5" s="59"/>
      <c r="I5" s="3"/>
      <c r="J5" s="59"/>
      <c r="K5" s="59"/>
      <c r="L5">
        <v>0</v>
      </c>
      <c r="M5" s="3"/>
      <c r="N5" s="3"/>
      <c r="O5" s="3"/>
      <c r="P5" s="3"/>
      <c r="Q5" s="3"/>
      <c r="R5" s="3"/>
      <c r="S5" s="3"/>
      <c r="T5" s="3"/>
      <c r="U5" s="3"/>
      <c r="V5" s="27">
        <f t="shared" si="0"/>
        <v>0</v>
      </c>
      <c r="W5" s="4"/>
    </row>
    <row r="6" spans="1:24" x14ac:dyDescent="0.25">
      <c r="A6" s="89"/>
      <c r="B6" s="1">
        <v>2007</v>
      </c>
      <c r="C6" s="3"/>
      <c r="D6" s="3"/>
      <c r="E6" s="3"/>
      <c r="F6" s="3"/>
      <c r="G6" s="3"/>
      <c r="H6" s="59"/>
      <c r="I6" s="3"/>
      <c r="J6" s="59"/>
      <c r="K6" s="3"/>
      <c r="L6">
        <v>0</v>
      </c>
      <c r="M6" s="3"/>
      <c r="N6" s="3"/>
      <c r="O6" s="3"/>
      <c r="P6" s="3"/>
      <c r="Q6" s="3"/>
      <c r="R6" s="3"/>
      <c r="S6" s="3"/>
      <c r="T6" s="3"/>
      <c r="U6" s="3"/>
      <c r="V6" s="27">
        <f t="shared" si="0"/>
        <v>0</v>
      </c>
      <c r="W6" s="4"/>
    </row>
    <row r="7" spans="1:24" x14ac:dyDescent="0.25">
      <c r="A7" s="89"/>
      <c r="B7" s="1">
        <v>2008</v>
      </c>
      <c r="C7" s="3"/>
      <c r="D7" s="3"/>
      <c r="E7" s="3"/>
      <c r="F7" s="3"/>
      <c r="G7" s="3"/>
      <c r="H7" s="59"/>
      <c r="I7" s="3"/>
      <c r="J7" s="59"/>
      <c r="K7" s="3"/>
      <c r="L7">
        <v>0</v>
      </c>
      <c r="M7" s="3"/>
      <c r="N7" s="3"/>
      <c r="O7" s="3"/>
      <c r="P7" s="3"/>
      <c r="Q7" s="3"/>
      <c r="R7" s="3"/>
      <c r="S7" s="3"/>
      <c r="T7" s="3"/>
      <c r="U7" s="3"/>
      <c r="V7" s="27">
        <f t="shared" si="0"/>
        <v>0</v>
      </c>
      <c r="W7" s="4"/>
    </row>
    <row r="8" spans="1:24" x14ac:dyDescent="0.25">
      <c r="A8" s="89"/>
      <c r="B8" s="1">
        <v>2009</v>
      </c>
      <c r="C8" s="3"/>
      <c r="D8" s="3"/>
      <c r="E8" s="3"/>
      <c r="F8" s="3"/>
      <c r="G8" s="3"/>
      <c r="H8" s="59"/>
      <c r="I8" s="3"/>
      <c r="J8" s="59"/>
      <c r="K8" s="3"/>
      <c r="L8">
        <v>0</v>
      </c>
      <c r="M8" s="3"/>
      <c r="N8" s="3"/>
      <c r="O8" s="3"/>
      <c r="P8" s="3"/>
      <c r="Q8" s="3"/>
      <c r="R8" s="3"/>
      <c r="S8" s="3"/>
      <c r="T8" s="3"/>
      <c r="U8" s="3"/>
      <c r="V8" s="27">
        <f t="shared" si="0"/>
        <v>0</v>
      </c>
      <c r="W8" s="4"/>
    </row>
    <row r="9" spans="1:24" x14ac:dyDescent="0.25">
      <c r="A9" s="89"/>
      <c r="B9" s="1">
        <v>2010</v>
      </c>
      <c r="C9" s="3"/>
      <c r="D9" s="3"/>
      <c r="E9" s="3"/>
      <c r="F9" s="3"/>
      <c r="G9" s="3"/>
      <c r="H9" s="59"/>
      <c r="I9" s="3"/>
      <c r="J9" s="59"/>
      <c r="K9" s="3"/>
      <c r="L9">
        <v>0</v>
      </c>
      <c r="M9" s="3"/>
      <c r="N9" s="3"/>
      <c r="O9" s="3"/>
      <c r="P9" s="3"/>
      <c r="Q9" s="3"/>
      <c r="R9" s="3"/>
      <c r="S9" s="3"/>
      <c r="T9" s="3"/>
      <c r="U9" s="3"/>
      <c r="V9" s="27">
        <f t="shared" si="0"/>
        <v>0</v>
      </c>
      <c r="W9" s="4"/>
    </row>
    <row r="10" spans="1:24" x14ac:dyDescent="0.25">
      <c r="A10" s="89"/>
      <c r="B10" s="1">
        <v>2011</v>
      </c>
      <c r="C10" s="3"/>
      <c r="D10" s="3"/>
      <c r="E10" s="3"/>
      <c r="F10" s="3"/>
      <c r="G10" s="3"/>
      <c r="H10" s="59"/>
      <c r="I10" s="3"/>
      <c r="J10" s="59">
        <v>0</v>
      </c>
      <c r="K10" s="3"/>
      <c r="L10">
        <v>0</v>
      </c>
      <c r="M10" s="3"/>
      <c r="N10" s="3"/>
      <c r="O10" s="3"/>
      <c r="P10" s="3"/>
      <c r="Q10" s="3"/>
      <c r="R10" s="3"/>
      <c r="S10" s="3"/>
      <c r="T10" s="3"/>
      <c r="U10" s="3"/>
      <c r="V10" s="27">
        <f t="shared" si="0"/>
        <v>0</v>
      </c>
      <c r="W10" s="4"/>
    </row>
    <row r="11" spans="1:24" x14ac:dyDescent="0.25">
      <c r="A11" s="89"/>
      <c r="B11" s="1">
        <v>2012</v>
      </c>
      <c r="C11" s="3"/>
      <c r="D11" s="3"/>
      <c r="F11" s="3"/>
      <c r="G11" s="3"/>
      <c r="H11" s="59"/>
      <c r="I11" s="3"/>
      <c r="J11" s="59">
        <v>0</v>
      </c>
      <c r="K11" s="3"/>
      <c r="L11">
        <v>0</v>
      </c>
      <c r="M11" s="3"/>
      <c r="N11" s="3"/>
      <c r="O11" s="3"/>
      <c r="P11" s="3"/>
      <c r="Q11" s="3"/>
      <c r="R11" s="3"/>
      <c r="S11" s="3"/>
      <c r="T11" s="3"/>
      <c r="U11" s="3"/>
      <c r="V11" s="27">
        <f t="shared" si="0"/>
        <v>0</v>
      </c>
      <c r="W11" s="4"/>
    </row>
    <row r="12" spans="1:24" x14ac:dyDescent="0.25">
      <c r="A12" s="89"/>
      <c r="B12" s="1">
        <v>2013</v>
      </c>
      <c r="C12" s="3"/>
      <c r="D12" s="3"/>
      <c r="E12" s="3"/>
      <c r="F12" s="3"/>
      <c r="G12" s="3"/>
      <c r="H12" s="59"/>
      <c r="I12" s="3"/>
      <c r="J12" s="59">
        <v>0</v>
      </c>
      <c r="K12" s="3"/>
      <c r="L12">
        <v>0</v>
      </c>
      <c r="M12" s="3"/>
      <c r="N12" s="3"/>
      <c r="O12" s="3"/>
      <c r="P12" s="3"/>
      <c r="Q12" s="3"/>
      <c r="R12" s="3"/>
      <c r="S12" s="3"/>
      <c r="T12" s="3"/>
      <c r="U12" s="3"/>
      <c r="V12" s="27">
        <f t="shared" si="0"/>
        <v>0</v>
      </c>
      <c r="W12" s="4"/>
    </row>
    <row r="13" spans="1:24" x14ac:dyDescent="0.25">
      <c r="A13" s="89"/>
      <c r="B13" s="1">
        <v>2014</v>
      </c>
      <c r="C13" s="3"/>
      <c r="D13" s="3"/>
      <c r="E13" s="3"/>
      <c r="F13" s="3"/>
      <c r="G13" s="3"/>
      <c r="H13" s="3"/>
      <c r="I13" s="3"/>
      <c r="J13" s="59">
        <v>0</v>
      </c>
      <c r="K13" s="3"/>
      <c r="L13">
        <v>0</v>
      </c>
      <c r="M13" s="3"/>
      <c r="N13" s="3"/>
      <c r="O13" s="3"/>
      <c r="P13" s="3"/>
      <c r="Q13" s="3"/>
      <c r="R13" s="3"/>
      <c r="S13" s="3"/>
      <c r="T13" s="3"/>
      <c r="U13" s="3"/>
      <c r="V13" s="27">
        <f t="shared" si="0"/>
        <v>0</v>
      </c>
      <c r="W13" s="4"/>
    </row>
    <row r="14" spans="1:24" x14ac:dyDescent="0.25">
      <c r="B14" s="1">
        <v>2015</v>
      </c>
      <c r="C14" s="3"/>
      <c r="D14" s="3"/>
      <c r="E14" s="3"/>
      <c r="F14" s="3"/>
      <c r="G14" s="3"/>
      <c r="H14" s="3"/>
      <c r="I14" s="3"/>
      <c r="J14" s="3">
        <v>0</v>
      </c>
      <c r="K14" s="3"/>
      <c r="L14" s="3">
        <v>0</v>
      </c>
      <c r="M14" s="3"/>
      <c r="N14" s="3"/>
      <c r="O14" s="3"/>
      <c r="P14" s="3"/>
      <c r="Q14" s="3"/>
      <c r="R14" s="3"/>
      <c r="S14" s="3"/>
      <c r="T14" s="3"/>
      <c r="U14" s="3"/>
      <c r="V14" s="27">
        <f t="shared" si="0"/>
        <v>0</v>
      </c>
    </row>
    <row r="15" spans="1:24" x14ac:dyDescent="0.25">
      <c r="B15" s="1">
        <v>2016</v>
      </c>
      <c r="C15" s="3"/>
      <c r="D15" s="3"/>
      <c r="E15" s="3"/>
      <c r="F15" s="3"/>
      <c r="G15" s="3"/>
      <c r="H15" s="3"/>
      <c r="I15" s="3"/>
      <c r="J15" s="3">
        <v>0</v>
      </c>
      <c r="K15" s="3"/>
      <c r="L15" s="3">
        <v>0</v>
      </c>
      <c r="M15" s="3"/>
      <c r="N15" s="3"/>
      <c r="O15" s="3"/>
      <c r="P15" s="3"/>
      <c r="Q15" s="3"/>
      <c r="R15" s="3"/>
      <c r="S15" s="3"/>
      <c r="T15" s="3"/>
      <c r="U15" s="3"/>
      <c r="V15" s="27">
        <f t="shared" si="0"/>
        <v>0</v>
      </c>
    </row>
    <row r="16" spans="1:24" x14ac:dyDescent="0.25">
      <c r="B16" s="1">
        <v>2017</v>
      </c>
      <c r="C16" s="3"/>
      <c r="D16" s="3"/>
      <c r="E16" s="3"/>
      <c r="F16" s="3"/>
      <c r="G16" s="3"/>
      <c r="H16" s="3"/>
      <c r="I16" s="3"/>
      <c r="J16" s="3">
        <v>0</v>
      </c>
      <c r="K16" s="3"/>
      <c r="L16" s="3">
        <v>0</v>
      </c>
      <c r="M16" s="3"/>
      <c r="N16" s="3"/>
      <c r="O16" s="3"/>
      <c r="P16" s="3"/>
      <c r="Q16" s="3"/>
      <c r="R16" s="3"/>
      <c r="S16" s="3"/>
      <c r="T16" s="3"/>
      <c r="U16" s="3"/>
      <c r="V16" s="27">
        <f t="shared" si="0"/>
        <v>0</v>
      </c>
    </row>
    <row r="17" spans="2:22" x14ac:dyDescent="0.25">
      <c r="B17" s="1">
        <v>2018</v>
      </c>
      <c r="C17" s="3"/>
      <c r="D17" s="3"/>
      <c r="E17" s="3"/>
      <c r="F17" s="3"/>
      <c r="G17" s="3"/>
      <c r="H17" s="3"/>
      <c r="I17" s="3"/>
      <c r="J17" s="3">
        <v>0</v>
      </c>
      <c r="K17" s="3"/>
      <c r="L17" s="3">
        <v>0</v>
      </c>
      <c r="M17" s="3"/>
      <c r="N17" s="3"/>
      <c r="O17" s="3"/>
      <c r="P17" s="3"/>
      <c r="Q17" s="3"/>
      <c r="R17" s="3"/>
      <c r="S17" s="3"/>
      <c r="T17" s="3"/>
      <c r="U17" s="3"/>
      <c r="V17" s="27">
        <f t="shared" si="0"/>
        <v>0</v>
      </c>
    </row>
    <row r="18" spans="2:22" x14ac:dyDescent="0.25">
      <c r="J18" s="3">
        <v>0</v>
      </c>
    </row>
    <row r="19" spans="2:22" x14ac:dyDescent="0.25">
      <c r="B19" s="2" t="s">
        <v>19</v>
      </c>
      <c r="C19" s="3" t="s">
        <v>20</v>
      </c>
      <c r="D19" s="3" t="s">
        <v>22</v>
      </c>
      <c r="E19" s="3" t="s">
        <v>22</v>
      </c>
      <c r="F19" s="3" t="s">
        <v>20</v>
      </c>
      <c r="G19" s="3" t="s">
        <v>22</v>
      </c>
      <c r="H19" s="3" t="s">
        <v>20</v>
      </c>
      <c r="I19" s="3" t="s">
        <v>20</v>
      </c>
      <c r="J19" s="3" t="s">
        <v>20</v>
      </c>
      <c r="K19" s="3" t="s">
        <v>20</v>
      </c>
      <c r="L19" s="3" t="s">
        <v>22</v>
      </c>
      <c r="M19" s="3" t="s">
        <v>20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22</v>
      </c>
      <c r="U19" s="3" t="s">
        <v>20</v>
      </c>
    </row>
  </sheetData>
  <mergeCells count="2">
    <mergeCell ref="B1:U1"/>
    <mergeCell ref="A2:A13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FFF00"/>
  </sheetPr>
  <dimension ref="A1:K49"/>
  <sheetViews>
    <sheetView workbookViewId="0">
      <selection activeCell="E5" sqref="E5"/>
    </sheetView>
  </sheetViews>
  <sheetFormatPr defaultRowHeight="15" x14ac:dyDescent="0.25"/>
  <cols>
    <col min="2" max="2" width="21" customWidth="1"/>
    <col min="3" max="3" width="20.140625" customWidth="1"/>
    <col min="4" max="4" width="14.140625" customWidth="1"/>
    <col min="5" max="5" width="30.140625" customWidth="1"/>
    <col min="6" max="6" width="45.42578125" customWidth="1"/>
    <col min="7" max="7" width="12.28515625" customWidth="1"/>
    <col min="8" max="8" width="11.42578125" customWidth="1"/>
    <col min="9" max="9" width="15.85546875" customWidth="1"/>
    <col min="10" max="10" width="14.7109375" customWidth="1"/>
    <col min="11" max="11" width="16.7109375" customWidth="1"/>
  </cols>
  <sheetData>
    <row r="1" spans="1:11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ht="15" customHeight="1" x14ac:dyDescent="0.25">
      <c r="A2" s="11"/>
      <c r="B2" s="12"/>
      <c r="C2" s="11"/>
      <c r="D2" s="12"/>
      <c r="E2" s="11"/>
      <c r="F2" s="11"/>
      <c r="G2" s="11"/>
      <c r="H2" s="90" t="s">
        <v>25</v>
      </c>
      <c r="I2" s="91"/>
      <c r="J2" s="12"/>
      <c r="K2" s="13"/>
    </row>
    <row r="3" spans="1:11" x14ac:dyDescent="0.25">
      <c r="A3" s="11"/>
      <c r="B3" s="14" t="s">
        <v>26</v>
      </c>
      <c r="C3" s="14" t="s">
        <v>27</v>
      </c>
      <c r="D3" s="14" t="s">
        <v>28</v>
      </c>
      <c r="E3" s="14" t="s">
        <v>29</v>
      </c>
      <c r="F3" s="14" t="s">
        <v>30</v>
      </c>
      <c r="G3" s="11"/>
      <c r="H3" s="12"/>
      <c r="I3" s="12"/>
      <c r="J3" s="12"/>
      <c r="K3" s="13"/>
    </row>
    <row r="4" spans="1:11" x14ac:dyDescent="0.25">
      <c r="A4" s="11"/>
      <c r="B4" s="16">
        <v>1997</v>
      </c>
      <c r="C4" s="17"/>
      <c r="D4" s="18" t="s">
        <v>32</v>
      </c>
      <c r="E4" s="19">
        <v>0.32179999999999997</v>
      </c>
      <c r="F4" s="20">
        <f t="shared" ref="F4:F25" si="0">C4*E4</f>
        <v>0</v>
      </c>
      <c r="G4" s="11"/>
      <c r="H4" s="12"/>
      <c r="I4" s="12"/>
      <c r="J4" s="12"/>
      <c r="K4" s="13"/>
    </row>
    <row r="5" spans="1:11" x14ac:dyDescent="0.25">
      <c r="A5" s="11"/>
      <c r="B5" s="16">
        <v>1998</v>
      </c>
      <c r="C5" s="17"/>
      <c r="D5" s="18" t="s">
        <v>32</v>
      </c>
      <c r="E5" s="19">
        <f t="shared" ref="E5:E25" si="1">$E$4</f>
        <v>0.32179999999999997</v>
      </c>
      <c r="F5" s="20">
        <f t="shared" si="0"/>
        <v>0</v>
      </c>
      <c r="G5" s="11"/>
      <c r="H5" s="12"/>
      <c r="I5" s="12"/>
      <c r="J5" s="12"/>
      <c r="K5" s="13"/>
    </row>
    <row r="6" spans="1:11" x14ac:dyDescent="0.25">
      <c r="A6" s="11"/>
      <c r="B6" s="16">
        <v>1999</v>
      </c>
      <c r="C6" s="17"/>
      <c r="D6" s="18" t="s">
        <v>32</v>
      </c>
      <c r="E6" s="19">
        <f t="shared" si="1"/>
        <v>0.32179999999999997</v>
      </c>
      <c r="F6" s="20">
        <f t="shared" si="0"/>
        <v>0</v>
      </c>
      <c r="G6" s="11"/>
      <c r="H6" s="12"/>
      <c r="I6" s="12"/>
      <c r="J6" s="12"/>
      <c r="K6" s="13"/>
    </row>
    <row r="7" spans="1:11" x14ac:dyDescent="0.25">
      <c r="A7" s="11"/>
      <c r="B7" s="16">
        <v>2000</v>
      </c>
      <c r="C7" s="17"/>
      <c r="D7" s="18" t="s">
        <v>32</v>
      </c>
      <c r="E7" s="19">
        <f t="shared" si="1"/>
        <v>0.32179999999999997</v>
      </c>
      <c r="F7" s="20">
        <f t="shared" si="0"/>
        <v>0</v>
      </c>
      <c r="G7" s="11"/>
      <c r="H7" s="12"/>
      <c r="I7" s="12"/>
      <c r="J7" s="12"/>
      <c r="K7" s="13"/>
    </row>
    <row r="8" spans="1:11" x14ac:dyDescent="0.25">
      <c r="A8" s="11"/>
      <c r="B8" s="16">
        <v>2001</v>
      </c>
      <c r="C8" s="17"/>
      <c r="D8" s="18" t="s">
        <v>32</v>
      </c>
      <c r="E8" s="19">
        <f t="shared" si="1"/>
        <v>0.32179999999999997</v>
      </c>
      <c r="F8" s="20">
        <f t="shared" si="0"/>
        <v>0</v>
      </c>
      <c r="G8" s="11"/>
      <c r="H8" s="12"/>
      <c r="I8" s="12"/>
      <c r="J8" s="12"/>
      <c r="K8" s="13"/>
    </row>
    <row r="9" spans="1:11" x14ac:dyDescent="0.25">
      <c r="A9" s="11"/>
      <c r="B9" s="16">
        <v>2002</v>
      </c>
      <c r="C9" s="17"/>
      <c r="D9" s="18" t="s">
        <v>32</v>
      </c>
      <c r="E9" s="19">
        <f t="shared" si="1"/>
        <v>0.32179999999999997</v>
      </c>
      <c r="F9" s="20">
        <f t="shared" si="0"/>
        <v>0</v>
      </c>
      <c r="G9" s="11"/>
      <c r="H9" s="12"/>
      <c r="I9" s="12"/>
      <c r="J9" s="12"/>
      <c r="K9" s="13"/>
    </row>
    <row r="10" spans="1:11" x14ac:dyDescent="0.25">
      <c r="A10" s="11"/>
      <c r="B10" s="16">
        <v>2003</v>
      </c>
      <c r="C10" s="17"/>
      <c r="D10" s="18" t="s">
        <v>32</v>
      </c>
      <c r="E10" s="19">
        <f t="shared" si="1"/>
        <v>0.32179999999999997</v>
      </c>
      <c r="F10" s="20">
        <f t="shared" si="0"/>
        <v>0</v>
      </c>
      <c r="G10" s="11"/>
      <c r="H10" s="48" t="s">
        <v>27</v>
      </c>
      <c r="I10" s="48"/>
      <c r="J10" s="12"/>
      <c r="K10" s="13"/>
    </row>
    <row r="11" spans="1:11" x14ac:dyDescent="0.25">
      <c r="A11" s="11"/>
      <c r="B11" s="16">
        <v>2004</v>
      </c>
      <c r="C11" s="17">
        <f>H11*30/43560</f>
        <v>0</v>
      </c>
      <c r="D11" s="18" t="s">
        <v>32</v>
      </c>
      <c r="E11" s="19">
        <f t="shared" si="1"/>
        <v>0.32179999999999997</v>
      </c>
      <c r="F11" s="20">
        <f t="shared" si="0"/>
        <v>0</v>
      </c>
      <c r="G11" s="11"/>
      <c r="H11">
        <f>'CO Summary Sheet CPS 601'!V3</f>
        <v>0</v>
      </c>
      <c r="I11" s="49"/>
      <c r="J11" s="12"/>
      <c r="K11" s="13"/>
    </row>
    <row r="12" spans="1:11" x14ac:dyDescent="0.25">
      <c r="A12" s="11"/>
      <c r="B12" s="16">
        <v>2005</v>
      </c>
      <c r="C12" s="17">
        <f t="shared" ref="C12:C25" si="2">H12*30/43560</f>
        <v>0</v>
      </c>
      <c r="D12" s="18" t="s">
        <v>32</v>
      </c>
      <c r="E12" s="19">
        <f t="shared" si="1"/>
        <v>0.32179999999999997</v>
      </c>
      <c r="F12" s="20">
        <f t="shared" si="0"/>
        <v>0</v>
      </c>
      <c r="G12" s="11"/>
      <c r="H12">
        <f>'CO Summary Sheet CPS 601'!V4</f>
        <v>0</v>
      </c>
      <c r="I12" s="49"/>
      <c r="J12" s="12"/>
      <c r="K12" s="13"/>
    </row>
    <row r="13" spans="1:11" x14ac:dyDescent="0.25">
      <c r="A13" s="11"/>
      <c r="B13" s="16">
        <v>2006</v>
      </c>
      <c r="C13" s="17">
        <f t="shared" si="2"/>
        <v>0</v>
      </c>
      <c r="D13" s="18" t="s">
        <v>32</v>
      </c>
      <c r="E13" s="19">
        <f t="shared" si="1"/>
        <v>0.32179999999999997</v>
      </c>
      <c r="F13" s="20">
        <f t="shared" si="0"/>
        <v>0</v>
      </c>
      <c r="G13" s="11"/>
      <c r="H13">
        <f>'CO Summary Sheet CPS 601'!V5</f>
        <v>0</v>
      </c>
      <c r="I13" s="49"/>
      <c r="J13" s="12"/>
      <c r="K13" s="13"/>
    </row>
    <row r="14" spans="1:11" x14ac:dyDescent="0.25">
      <c r="A14" s="11"/>
      <c r="B14" s="16">
        <v>2007</v>
      </c>
      <c r="C14" s="17">
        <f t="shared" si="2"/>
        <v>0</v>
      </c>
      <c r="D14" s="18" t="s">
        <v>32</v>
      </c>
      <c r="E14" s="19">
        <f t="shared" si="1"/>
        <v>0.32179999999999997</v>
      </c>
      <c r="F14" s="20">
        <f t="shared" si="0"/>
        <v>0</v>
      </c>
      <c r="G14" s="11"/>
      <c r="H14">
        <f>'CO Summary Sheet CPS 601'!V6</f>
        <v>0</v>
      </c>
      <c r="I14" s="49"/>
      <c r="J14" s="12"/>
      <c r="K14" s="13"/>
    </row>
    <row r="15" spans="1:11" x14ac:dyDescent="0.25">
      <c r="A15" s="11"/>
      <c r="B15" s="16">
        <v>2008</v>
      </c>
      <c r="C15" s="17">
        <f t="shared" si="2"/>
        <v>0</v>
      </c>
      <c r="D15" s="18" t="s">
        <v>32</v>
      </c>
      <c r="E15" s="19">
        <f t="shared" si="1"/>
        <v>0.32179999999999997</v>
      </c>
      <c r="F15" s="20">
        <f t="shared" si="0"/>
        <v>0</v>
      </c>
      <c r="G15" s="11"/>
      <c r="H15">
        <f>'CO Summary Sheet CPS 601'!V7</f>
        <v>0</v>
      </c>
      <c r="I15" s="49"/>
      <c r="J15" s="12"/>
      <c r="K15" s="13"/>
    </row>
    <row r="16" spans="1:11" x14ac:dyDescent="0.25">
      <c r="A16" s="11"/>
      <c r="B16" s="16">
        <v>2009</v>
      </c>
      <c r="C16" s="17">
        <f t="shared" si="2"/>
        <v>0</v>
      </c>
      <c r="D16" s="18" t="s">
        <v>32</v>
      </c>
      <c r="E16" s="19">
        <f t="shared" si="1"/>
        <v>0.32179999999999997</v>
      </c>
      <c r="F16" s="20">
        <f t="shared" si="0"/>
        <v>0</v>
      </c>
      <c r="G16" s="11"/>
      <c r="H16">
        <f>'CO Summary Sheet CPS 601'!V8</f>
        <v>0</v>
      </c>
      <c r="I16" s="49"/>
      <c r="J16" s="12"/>
      <c r="K16" s="13"/>
    </row>
    <row r="17" spans="1:11" x14ac:dyDescent="0.25">
      <c r="A17" s="11"/>
      <c r="B17" s="16">
        <v>2010</v>
      </c>
      <c r="C17" s="17">
        <f t="shared" si="2"/>
        <v>0</v>
      </c>
      <c r="D17" s="18" t="s">
        <v>32</v>
      </c>
      <c r="E17" s="19">
        <f t="shared" si="1"/>
        <v>0.32179999999999997</v>
      </c>
      <c r="F17" s="20">
        <f t="shared" si="0"/>
        <v>0</v>
      </c>
      <c r="G17" s="11"/>
      <c r="H17">
        <f>'CO Summary Sheet CPS 601'!V9</f>
        <v>0</v>
      </c>
      <c r="I17" s="49"/>
      <c r="J17" s="12"/>
      <c r="K17" s="13"/>
    </row>
    <row r="18" spans="1:11" x14ac:dyDescent="0.25">
      <c r="A18" s="11"/>
      <c r="B18" s="16">
        <v>2011</v>
      </c>
      <c r="C18" s="17">
        <f t="shared" si="2"/>
        <v>0</v>
      </c>
      <c r="D18" s="18" t="s">
        <v>32</v>
      </c>
      <c r="E18" s="19">
        <f t="shared" si="1"/>
        <v>0.32179999999999997</v>
      </c>
      <c r="F18" s="20">
        <f t="shared" si="0"/>
        <v>0</v>
      </c>
      <c r="G18" s="11"/>
      <c r="H18">
        <f>'CO Summary Sheet CPS 601'!V10</f>
        <v>0</v>
      </c>
      <c r="I18" s="49"/>
      <c r="J18" s="12"/>
      <c r="K18" s="13"/>
    </row>
    <row r="19" spans="1:11" x14ac:dyDescent="0.25">
      <c r="A19" s="11"/>
      <c r="B19" s="16">
        <v>2012</v>
      </c>
      <c r="C19" s="17">
        <f t="shared" si="2"/>
        <v>0</v>
      </c>
      <c r="D19" s="18" t="s">
        <v>32</v>
      </c>
      <c r="E19" s="19">
        <f t="shared" si="1"/>
        <v>0.32179999999999997</v>
      </c>
      <c r="F19" s="20">
        <f t="shared" si="0"/>
        <v>0</v>
      </c>
      <c r="G19" s="11"/>
      <c r="H19">
        <f>'CO Summary Sheet CPS 601'!V11</f>
        <v>0</v>
      </c>
      <c r="I19" s="49"/>
      <c r="J19" s="12"/>
      <c r="K19" s="13"/>
    </row>
    <row r="20" spans="1:11" s="22" customFormat="1" x14ac:dyDescent="0.25">
      <c r="A20" s="11"/>
      <c r="B20" s="16">
        <v>2013</v>
      </c>
      <c r="C20" s="17">
        <f t="shared" si="2"/>
        <v>0</v>
      </c>
      <c r="D20" s="18" t="s">
        <v>32</v>
      </c>
      <c r="E20" s="19">
        <f t="shared" si="1"/>
        <v>0.32179999999999997</v>
      </c>
      <c r="F20" s="20">
        <f t="shared" si="0"/>
        <v>0</v>
      </c>
      <c r="G20" s="11"/>
      <c r="H20">
        <f>'CO Summary Sheet CPS 601'!V12</f>
        <v>0</v>
      </c>
      <c r="I20" s="49"/>
      <c r="J20" s="12"/>
      <c r="K20" s="13"/>
    </row>
    <row r="21" spans="1:11" x14ac:dyDescent="0.25">
      <c r="B21" s="16">
        <v>2014</v>
      </c>
      <c r="C21" s="17">
        <f t="shared" si="2"/>
        <v>0</v>
      </c>
      <c r="D21" s="18" t="s">
        <v>32</v>
      </c>
      <c r="E21" s="19">
        <f t="shared" si="1"/>
        <v>0.32179999999999997</v>
      </c>
      <c r="F21" s="20">
        <f t="shared" si="0"/>
        <v>0</v>
      </c>
      <c r="H21">
        <f>'CO Summary Sheet CPS 601'!V13</f>
        <v>0</v>
      </c>
      <c r="I21" s="49"/>
      <c r="J21" s="12"/>
    </row>
    <row r="22" spans="1:11" x14ac:dyDescent="0.25">
      <c r="B22" s="16">
        <v>2015</v>
      </c>
      <c r="C22" s="17">
        <f t="shared" si="2"/>
        <v>0</v>
      </c>
      <c r="D22" s="18" t="s">
        <v>32</v>
      </c>
      <c r="E22" s="19">
        <f t="shared" si="1"/>
        <v>0.32179999999999997</v>
      </c>
      <c r="F22" s="20">
        <f t="shared" si="0"/>
        <v>0</v>
      </c>
      <c r="H22">
        <f>'CO Summary Sheet CPS 601'!V14</f>
        <v>0</v>
      </c>
      <c r="I22" s="77"/>
      <c r="J22" s="68"/>
    </row>
    <row r="23" spans="1:11" x14ac:dyDescent="0.25">
      <c r="B23" s="16">
        <v>2016</v>
      </c>
      <c r="C23" s="17">
        <f t="shared" si="2"/>
        <v>0</v>
      </c>
      <c r="D23" s="18" t="s">
        <v>32</v>
      </c>
      <c r="E23" s="19">
        <f t="shared" si="1"/>
        <v>0.32179999999999997</v>
      </c>
      <c r="F23" s="20">
        <f t="shared" si="0"/>
        <v>0</v>
      </c>
      <c r="H23">
        <f>'CO Summary Sheet CPS 601'!V15</f>
        <v>0</v>
      </c>
      <c r="I23" s="77"/>
      <c r="J23" s="68"/>
    </row>
    <row r="24" spans="1:11" x14ac:dyDescent="0.25">
      <c r="B24" s="16">
        <v>2017</v>
      </c>
      <c r="C24" s="17">
        <f t="shared" si="2"/>
        <v>0</v>
      </c>
      <c r="D24" s="18" t="s">
        <v>32</v>
      </c>
      <c r="E24" s="19">
        <f t="shared" si="1"/>
        <v>0.32179999999999997</v>
      </c>
      <c r="F24" s="20">
        <f t="shared" si="0"/>
        <v>0</v>
      </c>
      <c r="H24">
        <f>'CO Summary Sheet CPS 601'!V16</f>
        <v>0</v>
      </c>
      <c r="I24" s="77"/>
      <c r="J24" s="68"/>
    </row>
    <row r="25" spans="1:11" x14ac:dyDescent="0.25">
      <c r="B25" s="16">
        <v>2018</v>
      </c>
      <c r="C25" s="17">
        <f t="shared" si="2"/>
        <v>0</v>
      </c>
      <c r="D25" s="18" t="s">
        <v>32</v>
      </c>
      <c r="E25" s="19">
        <f t="shared" si="1"/>
        <v>0.32179999999999997</v>
      </c>
      <c r="F25" s="20">
        <f t="shared" si="0"/>
        <v>0</v>
      </c>
      <c r="H25">
        <f>'CO Summary Sheet CPS 601'!V17</f>
        <v>0</v>
      </c>
      <c r="I25" s="77"/>
      <c r="J25" s="68"/>
    </row>
    <row r="26" spans="1:11" x14ac:dyDescent="0.25">
      <c r="C26" s="17">
        <f>SUM(C11:C21)</f>
        <v>0</v>
      </c>
    </row>
    <row r="27" spans="1:11" ht="78.75" customHeight="1" x14ac:dyDescent="0.25">
      <c r="B27" s="23" t="s">
        <v>0</v>
      </c>
      <c r="C27" s="23" t="s">
        <v>33</v>
      </c>
      <c r="D27" s="23" t="s">
        <v>34</v>
      </c>
      <c r="E27" s="23" t="s">
        <v>35</v>
      </c>
      <c r="F27" s="23" t="s">
        <v>36</v>
      </c>
    </row>
    <row r="28" spans="1:11" x14ac:dyDescent="0.25">
      <c r="B28">
        <v>1997</v>
      </c>
      <c r="C28" s="5">
        <f>F4</f>
        <v>0</v>
      </c>
    </row>
    <row r="29" spans="1:11" x14ac:dyDescent="0.25">
      <c r="B29">
        <v>1998</v>
      </c>
      <c r="C29" s="5">
        <f t="shared" ref="C29:C44" si="3">F5</f>
        <v>0</v>
      </c>
    </row>
    <row r="30" spans="1:11" x14ac:dyDescent="0.25">
      <c r="B30">
        <v>1999</v>
      </c>
      <c r="C30" s="5">
        <f t="shared" si="3"/>
        <v>0</v>
      </c>
    </row>
    <row r="31" spans="1:11" x14ac:dyDescent="0.25">
      <c r="B31">
        <v>2000</v>
      </c>
      <c r="C31" s="5">
        <f t="shared" si="3"/>
        <v>0</v>
      </c>
      <c r="D31" s="5">
        <f>C31+(0.5*C28)</f>
        <v>0</v>
      </c>
      <c r="E31" s="5">
        <f>C31+(0.75*C28)</f>
        <v>0</v>
      </c>
      <c r="F31" s="5">
        <f>C31+(1*C28)</f>
        <v>0</v>
      </c>
    </row>
    <row r="32" spans="1:11" x14ac:dyDescent="0.25">
      <c r="B32">
        <v>2001</v>
      </c>
      <c r="C32" s="5">
        <f t="shared" si="3"/>
        <v>0</v>
      </c>
      <c r="D32" s="5">
        <f>C32+(0.5*(C29+C28))</f>
        <v>0</v>
      </c>
      <c r="E32" s="5">
        <f>C32+(0.75*(C29+C28))</f>
        <v>0</v>
      </c>
      <c r="F32" s="5">
        <f>C32+(1*(C29+C28))</f>
        <v>0</v>
      </c>
    </row>
    <row r="33" spans="2:6" x14ac:dyDescent="0.25">
      <c r="B33">
        <v>2002</v>
      </c>
      <c r="C33" s="5">
        <f t="shared" si="3"/>
        <v>0</v>
      </c>
      <c r="D33" s="5">
        <f>C33+(0.5*(C28+C30+C29))</f>
        <v>0</v>
      </c>
      <c r="E33" s="5">
        <f>C33+(0.75*(C28+C30+C29))</f>
        <v>0</v>
      </c>
      <c r="F33" s="5">
        <f>C33+(1*(C28+C30+C29))</f>
        <v>0</v>
      </c>
    </row>
    <row r="34" spans="2:6" x14ac:dyDescent="0.25">
      <c r="B34">
        <v>2003</v>
      </c>
      <c r="C34" s="5">
        <f t="shared" si="3"/>
        <v>0</v>
      </c>
      <c r="D34" s="5">
        <f>C34+(0.5*(C28+C29+C31+C30))</f>
        <v>0</v>
      </c>
      <c r="E34" s="5">
        <f>C34+(0.75*(C28+C29+C31+C30))</f>
        <v>0</v>
      </c>
      <c r="F34" s="5">
        <f>C34+(1*(C28+C29+C31+C30))</f>
        <v>0</v>
      </c>
    </row>
    <row r="35" spans="2:6" x14ac:dyDescent="0.25">
      <c r="B35">
        <v>2004</v>
      </c>
      <c r="C35" s="5">
        <f t="shared" si="3"/>
        <v>0</v>
      </c>
      <c r="D35" s="5">
        <f>C35+(0.5*(C28+C29+C30+C32+C31))</f>
        <v>0</v>
      </c>
      <c r="E35" s="5">
        <f>C35+(0.75*(C28+C29+C30+C32+C31))</f>
        <v>0</v>
      </c>
      <c r="F35" s="5">
        <f>C35+(1*(C28+C29+C30+C32+C31))</f>
        <v>0</v>
      </c>
    </row>
    <row r="36" spans="2:6" x14ac:dyDescent="0.25">
      <c r="B36">
        <v>2005</v>
      </c>
      <c r="C36" s="5">
        <f t="shared" si="3"/>
        <v>0</v>
      </c>
      <c r="D36" s="5">
        <f>C36+(0.5*(C28+C29+C30+C31+C33+C32))</f>
        <v>0</v>
      </c>
      <c r="E36" s="5">
        <f>C36+(0.75*(C28+C29+C30+C31+C33+C32))</f>
        <v>0</v>
      </c>
      <c r="F36" s="5">
        <f>C36+(1*(C28+C29+C30+C31+C33+C32))</f>
        <v>0</v>
      </c>
    </row>
    <row r="37" spans="2:6" x14ac:dyDescent="0.25">
      <c r="B37">
        <v>2006</v>
      </c>
      <c r="C37" s="5">
        <f t="shared" si="3"/>
        <v>0</v>
      </c>
      <c r="D37" s="5">
        <f>C37+(0.5*(C28+C29+C30+C31+C32+C34+C33))</f>
        <v>0</v>
      </c>
      <c r="E37" s="5">
        <f>C37+(0.75*(C28+C29+C30+C31+C32+C34+C33))</f>
        <v>0</v>
      </c>
      <c r="F37" s="5">
        <f>C37+(1*(C28+C29+C30+C31+C32+C34+C33))</f>
        <v>0</v>
      </c>
    </row>
    <row r="38" spans="2:6" x14ac:dyDescent="0.25">
      <c r="B38">
        <v>2007</v>
      </c>
      <c r="C38" s="5">
        <f t="shared" si="3"/>
        <v>0</v>
      </c>
      <c r="D38" s="5">
        <f>C38+(0.5*(C28+C29+C30+C31+C32+C33+C35+C34))</f>
        <v>0</v>
      </c>
      <c r="E38" s="5">
        <f>C38+(0.75*(C28+C29+C30+C31+C32+C33+C35+C34))</f>
        <v>0</v>
      </c>
      <c r="F38" s="5">
        <f>C38+(1*(C28+C29+C30+C31+C32+C33+C35+C34))</f>
        <v>0</v>
      </c>
    </row>
    <row r="39" spans="2:6" x14ac:dyDescent="0.25">
      <c r="B39">
        <v>2008</v>
      </c>
      <c r="C39" s="5">
        <f t="shared" si="3"/>
        <v>0</v>
      </c>
      <c r="D39" s="5">
        <f>C39+(0.5*(C28+C29+C30+C31+C32+C33+C34+C36+C35))</f>
        <v>0</v>
      </c>
      <c r="E39" s="5">
        <f>C39+(0.75*(C28+C29+C30+C31+C32+C33+C34+C36+C35))</f>
        <v>0</v>
      </c>
      <c r="F39" s="5">
        <f>C39+(1*(C28+C29+C30+C31+C32+C33+C34+C36+C35))</f>
        <v>0</v>
      </c>
    </row>
    <row r="40" spans="2:6" x14ac:dyDescent="0.25">
      <c r="B40">
        <v>2009</v>
      </c>
      <c r="C40" s="5">
        <f t="shared" si="3"/>
        <v>0</v>
      </c>
      <c r="D40" s="5">
        <f>C40+(0.5*(C28+C29+C30+C31+C32+C33+C34+C35+C37+C36))</f>
        <v>0</v>
      </c>
      <c r="E40" s="5">
        <f>C40+(0.75*(C28+C29+C30+C31+C32+C33+C34+C35+C37+C36))</f>
        <v>0</v>
      </c>
      <c r="F40" s="5">
        <f>C40+(1*(C28+C29+C30+C31+C32+C33+C34+C35+C37+C36))</f>
        <v>0</v>
      </c>
    </row>
    <row r="41" spans="2:6" x14ac:dyDescent="0.25">
      <c r="B41">
        <v>2010</v>
      </c>
      <c r="C41" s="5">
        <f t="shared" si="3"/>
        <v>0</v>
      </c>
      <c r="D41" s="5">
        <f>C41+(0.5*(C28+C29+C30+C31+C32+C33+C34+C35+C36+C38+C37))</f>
        <v>0</v>
      </c>
      <c r="E41" s="5">
        <f>C41+(0.75*(C28+C29+C30+C31+C32+C33+C34+C35+C36+C38+C37))</f>
        <v>0</v>
      </c>
      <c r="F41" s="5">
        <f>C41+(1*(C28+C29+C30+C31+C32+C33+C34+C35+C36+C38+C37))</f>
        <v>0</v>
      </c>
    </row>
    <row r="42" spans="2:6" x14ac:dyDescent="0.25">
      <c r="B42">
        <v>2011</v>
      </c>
      <c r="C42" s="5">
        <f t="shared" si="3"/>
        <v>0</v>
      </c>
      <c r="D42" s="5">
        <f>C42+(0.5*(C28+C29+C30+C31+C32+C33+C34+C35+C36+C37+C39+C38))</f>
        <v>0</v>
      </c>
      <c r="E42" s="5">
        <f>C42+(0.75*(C28+C29+C30+C31+C32+C33+C34+C35+C36+C37+C39+C38))</f>
        <v>0</v>
      </c>
      <c r="F42" s="5">
        <f>C42+(1*(C28+C29+C30+C31+C32+C33+C34+C35+C36+C37+C39+C38))</f>
        <v>0</v>
      </c>
    </row>
    <row r="43" spans="2:6" x14ac:dyDescent="0.25">
      <c r="B43">
        <v>2012</v>
      </c>
      <c r="C43" s="5">
        <f t="shared" si="3"/>
        <v>0</v>
      </c>
      <c r="D43" s="5">
        <f>C43+(0.5*(C28+C29+C30+C31+C32+C33+C34+C35+C36+C37+C38+C40+C39))</f>
        <v>0</v>
      </c>
      <c r="E43" s="5">
        <f>C43+(0.75*(C28+C29+C30+C31+C32+C33+C34+C35+C36+C37+C38+C40+C39))</f>
        <v>0</v>
      </c>
      <c r="F43" s="5">
        <f>C43+(1*(C28+C29+C30+C31+C32+C33+C34+C35+C36+C37+C38+C40+C39))</f>
        <v>0</v>
      </c>
    </row>
    <row r="44" spans="2:6" x14ac:dyDescent="0.25">
      <c r="B44">
        <v>2013</v>
      </c>
      <c r="C44" s="5">
        <f t="shared" si="3"/>
        <v>0</v>
      </c>
      <c r="D44" s="5">
        <f>C44+(0.5*(C28+C29+C30+C31+C32+C33+C34+C35+C36+C37+C38+C39+C41+C40))</f>
        <v>0</v>
      </c>
      <c r="E44" s="5">
        <f>C44+(0.75*(C28+C29+C30+C31+C32+C33+C34+C35+C36+C37+C38+C39+C41+C40))</f>
        <v>0</v>
      </c>
      <c r="F44" s="5">
        <f>C44+(1*(C28+C29+C30+C31+C32+C33+C34+C35+C36+C37+C38+C39+C41+C40))</f>
        <v>0</v>
      </c>
    </row>
    <row r="45" spans="2:6" x14ac:dyDescent="0.25">
      <c r="B45">
        <v>2014</v>
      </c>
      <c r="C45" s="5">
        <f>F21</f>
        <v>0</v>
      </c>
      <c r="D45" s="5">
        <f>C45+(0.5*(C28+C29+C30+C31+C32+C33+C34+C35+C36+C37+C38+C39+C40+C42+C41))</f>
        <v>0</v>
      </c>
      <c r="E45" s="5">
        <f>C45+(0.75*(C28+C29+C30+C31+C32+C33+C34+C35+C36+C37+C38+C39+C40+C42+C41))</f>
        <v>0</v>
      </c>
      <c r="F45" s="5">
        <f>C45+(1*(C28+C29+C30+C31+C32+C33+C34+C35+C36+C37+C38+C39+C40+C42+C41))</f>
        <v>0</v>
      </c>
    </row>
    <row r="46" spans="2:6" x14ac:dyDescent="0.25">
      <c r="B46">
        <v>2015</v>
      </c>
      <c r="C46" s="5">
        <f t="shared" ref="C46:C49" si="4">F22</f>
        <v>0</v>
      </c>
      <c r="D46" s="5">
        <f t="shared" ref="D46:D49" si="5">C46+(0.5*(C29+C30+C31+C32+C33+C34+C35+C36+C37+C38+C39+C40+C41+C43+C42))</f>
        <v>0</v>
      </c>
      <c r="E46" s="5">
        <f t="shared" ref="E46:E49" si="6">C46+(0.75*(C29+C30+C31+C32+C33+C34+C35+C36+C37+C38+C39+C40+C41+C43+C42))</f>
        <v>0</v>
      </c>
      <c r="F46" s="5">
        <f t="shared" ref="F46:F49" si="7">C46+(1*(C29+C30+C31+C32+C33+C34+C35+C36+C37+C38+C39+C40+C41+C43+C42))</f>
        <v>0</v>
      </c>
    </row>
    <row r="47" spans="2:6" x14ac:dyDescent="0.25">
      <c r="B47">
        <v>2016</v>
      </c>
      <c r="C47" s="5">
        <f t="shared" si="4"/>
        <v>0</v>
      </c>
      <c r="D47" s="5">
        <f t="shared" si="5"/>
        <v>0</v>
      </c>
      <c r="E47" s="5">
        <f t="shared" si="6"/>
        <v>0</v>
      </c>
      <c r="F47" s="5">
        <f t="shared" si="7"/>
        <v>0</v>
      </c>
    </row>
    <row r="48" spans="2:6" x14ac:dyDescent="0.25">
      <c r="B48">
        <v>2017</v>
      </c>
      <c r="C48" s="5">
        <f t="shared" si="4"/>
        <v>0</v>
      </c>
      <c r="D48" s="5">
        <f t="shared" si="5"/>
        <v>0</v>
      </c>
      <c r="E48" s="5">
        <f t="shared" si="6"/>
        <v>0</v>
      </c>
      <c r="F48" s="5">
        <f t="shared" si="7"/>
        <v>0</v>
      </c>
    </row>
    <row r="49" spans="2:6" x14ac:dyDescent="0.25">
      <c r="B49">
        <v>2018</v>
      </c>
      <c r="C49" s="5">
        <f t="shared" si="4"/>
        <v>0</v>
      </c>
      <c r="D49" s="5">
        <f t="shared" si="5"/>
        <v>0</v>
      </c>
      <c r="E49" s="5">
        <f t="shared" si="6"/>
        <v>0</v>
      </c>
      <c r="F49" s="5">
        <f t="shared" si="7"/>
        <v>0</v>
      </c>
    </row>
  </sheetData>
  <mergeCells count="1">
    <mergeCell ref="H2:I2"/>
  </mergeCells>
  <pageMargins left="0.7" right="0.7" top="0.75" bottom="0.75" header="0.3" footer="0.3"/>
  <drawing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X19"/>
  <sheetViews>
    <sheetView workbookViewId="0">
      <selection activeCell="L13" sqref="L13"/>
    </sheetView>
  </sheetViews>
  <sheetFormatPr defaultRowHeight="15" x14ac:dyDescent="0.25"/>
  <cols>
    <col min="1" max="1" width="5" customWidth="1"/>
    <col min="2" max="2" width="12" bestFit="1" customWidth="1"/>
    <col min="3" max="3" width="9.28515625" bestFit="1" customWidth="1"/>
    <col min="4" max="4" width="9.5703125" bestFit="1" customWidth="1"/>
    <col min="5" max="5" width="10.5703125" bestFit="1" customWidth="1"/>
    <col min="6" max="7" width="9.28515625" bestFit="1" customWidth="1"/>
    <col min="8" max="8" width="11.28515625" customWidth="1"/>
    <col min="9" max="9" width="9.28515625" bestFit="1" customWidth="1"/>
    <col min="10" max="10" width="11.7109375" customWidth="1"/>
    <col min="11" max="11" width="9.28515625" bestFit="1" customWidth="1"/>
    <col min="12" max="12" width="12.140625" bestFit="1" customWidth="1"/>
    <col min="13" max="18" width="9.28515625" bestFit="1" customWidth="1"/>
    <col min="19" max="19" width="13.42578125" bestFit="1" customWidth="1"/>
    <col min="20" max="20" width="9.5703125" bestFit="1" customWidth="1"/>
    <col min="21" max="21" width="12.42578125" bestFit="1" customWidth="1"/>
    <col min="22" max="22" width="14.28515625" bestFit="1" customWidth="1"/>
    <col min="23" max="23" width="15.7109375" customWidth="1"/>
    <col min="24" max="24" width="27.42578125" customWidth="1"/>
  </cols>
  <sheetData>
    <row r="1" spans="1:24" x14ac:dyDescent="0.25">
      <c r="B1" s="88" t="s">
        <v>50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</row>
    <row r="2" spans="1:24" s="3" customFormat="1" x14ac:dyDescent="0.25">
      <c r="A2" s="89" t="s">
        <v>0</v>
      </c>
      <c r="B2" s="6"/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21</v>
      </c>
      <c r="I2" s="7" t="s">
        <v>6</v>
      </c>
      <c r="J2" s="7" t="s">
        <v>7</v>
      </c>
      <c r="K2" s="7" t="s">
        <v>8</v>
      </c>
      <c r="L2" s="7" t="s">
        <v>9</v>
      </c>
      <c r="M2" s="7" t="s">
        <v>10</v>
      </c>
      <c r="N2" s="7" t="s">
        <v>11</v>
      </c>
      <c r="O2" s="7" t="s">
        <v>12</v>
      </c>
      <c r="P2" s="7" t="s">
        <v>13</v>
      </c>
      <c r="Q2" s="7" t="s">
        <v>14</v>
      </c>
      <c r="R2" s="7" t="s">
        <v>15</v>
      </c>
      <c r="S2" s="7" t="s">
        <v>16</v>
      </c>
      <c r="T2" s="7" t="s">
        <v>17</v>
      </c>
      <c r="U2" s="7" t="s">
        <v>23</v>
      </c>
      <c r="V2" s="7" t="s">
        <v>18</v>
      </c>
      <c r="W2" s="7"/>
      <c r="X2" s="7"/>
    </row>
    <row r="3" spans="1:24" x14ac:dyDescent="0.25">
      <c r="A3" s="89"/>
      <c r="B3" s="1">
        <v>2004</v>
      </c>
      <c r="C3" s="3"/>
      <c r="D3" s="3"/>
      <c r="E3" s="3"/>
      <c r="F3" s="3"/>
      <c r="G3" s="3"/>
      <c r="H3" s="59"/>
      <c r="I3" s="3"/>
      <c r="J3" s="59"/>
      <c r="K3" s="3"/>
      <c r="L3" s="3">
        <v>0</v>
      </c>
      <c r="M3" s="3"/>
      <c r="N3" s="3"/>
      <c r="O3" s="3"/>
      <c r="P3" s="3"/>
      <c r="Q3" s="3"/>
      <c r="R3" s="59"/>
      <c r="S3" s="3"/>
      <c r="T3" s="3"/>
      <c r="U3" s="3"/>
      <c r="V3" s="27">
        <f t="shared" ref="V3:V16" si="0">SUM(C3:U3)</f>
        <v>0</v>
      </c>
      <c r="W3" s="4"/>
    </row>
    <row r="4" spans="1:24" x14ac:dyDescent="0.25">
      <c r="A4" s="89"/>
      <c r="B4" s="1">
        <v>2005</v>
      </c>
      <c r="C4" s="3"/>
      <c r="D4" s="3"/>
      <c r="E4" s="3"/>
      <c r="F4" s="3"/>
      <c r="G4" s="3"/>
      <c r="H4" s="59"/>
      <c r="I4" s="3"/>
      <c r="J4" s="59"/>
      <c r="K4" s="59"/>
      <c r="L4" s="3">
        <v>0</v>
      </c>
      <c r="M4" s="3"/>
      <c r="N4" s="3"/>
      <c r="O4" s="3"/>
      <c r="P4" s="3"/>
      <c r="Q4" s="3"/>
      <c r="R4" s="59"/>
      <c r="S4" s="3"/>
      <c r="T4" s="3"/>
      <c r="U4" s="3"/>
      <c r="V4" s="27">
        <f t="shared" si="0"/>
        <v>0</v>
      </c>
      <c r="W4" s="4"/>
    </row>
    <row r="5" spans="1:24" x14ac:dyDescent="0.25">
      <c r="A5" s="89"/>
      <c r="B5" s="1">
        <v>2006</v>
      </c>
      <c r="C5" s="3"/>
      <c r="D5" s="3"/>
      <c r="E5" s="3"/>
      <c r="F5" s="3"/>
      <c r="G5" s="3"/>
      <c r="H5" s="59"/>
      <c r="I5" s="3"/>
      <c r="J5" s="59"/>
      <c r="K5" s="59"/>
      <c r="L5" s="3">
        <v>0</v>
      </c>
      <c r="M5" s="3"/>
      <c r="N5" s="3"/>
      <c r="O5" s="3"/>
      <c r="P5" s="3"/>
      <c r="Q5" s="3"/>
      <c r="R5" s="3"/>
      <c r="S5" s="3"/>
      <c r="T5" s="3"/>
      <c r="U5" s="3"/>
      <c r="V5" s="27">
        <f t="shared" si="0"/>
        <v>0</v>
      </c>
      <c r="W5" s="4"/>
    </row>
    <row r="6" spans="1:24" x14ac:dyDescent="0.25">
      <c r="A6" s="89"/>
      <c r="B6" s="1">
        <v>2007</v>
      </c>
      <c r="C6" s="3"/>
      <c r="D6" s="3"/>
      <c r="E6" s="3"/>
      <c r="F6" s="3"/>
      <c r="G6" s="3"/>
      <c r="H6" s="59"/>
      <c r="I6" s="3"/>
      <c r="J6" s="59"/>
      <c r="K6" s="3"/>
      <c r="L6" s="3">
        <v>0</v>
      </c>
      <c r="M6" s="3"/>
      <c r="N6" s="3"/>
      <c r="O6" s="3"/>
      <c r="P6" s="3"/>
      <c r="Q6" s="3"/>
      <c r="R6" s="3"/>
      <c r="S6" s="3"/>
      <c r="T6" s="3"/>
      <c r="U6" s="3"/>
      <c r="V6" s="27">
        <f t="shared" si="0"/>
        <v>0</v>
      </c>
      <c r="W6" s="4"/>
    </row>
    <row r="7" spans="1:24" x14ac:dyDescent="0.25">
      <c r="A7" s="89"/>
      <c r="B7" s="1">
        <v>2008</v>
      </c>
      <c r="C7" s="3"/>
      <c r="D7" s="3"/>
      <c r="E7" s="3"/>
      <c r="F7" s="3"/>
      <c r="G7" s="3"/>
      <c r="H7" s="59"/>
      <c r="I7" s="3"/>
      <c r="J7" s="59"/>
      <c r="K7" s="3"/>
      <c r="L7" s="3">
        <v>0</v>
      </c>
      <c r="M7" s="3"/>
      <c r="N7" s="3"/>
      <c r="O7" s="3"/>
      <c r="P7" s="3"/>
      <c r="Q7" s="3"/>
      <c r="R7" s="3"/>
      <c r="S7" s="3"/>
      <c r="T7" s="3"/>
      <c r="U7" s="3"/>
      <c r="V7" s="27">
        <f t="shared" si="0"/>
        <v>0</v>
      </c>
      <c r="W7" s="4"/>
    </row>
    <row r="8" spans="1:24" x14ac:dyDescent="0.25">
      <c r="A8" s="89"/>
      <c r="B8" s="1">
        <v>2009</v>
      </c>
      <c r="C8" s="3"/>
      <c r="D8" s="3"/>
      <c r="E8" s="3"/>
      <c r="F8" s="3"/>
      <c r="G8" s="3"/>
      <c r="H8" s="59"/>
      <c r="I8" s="3"/>
      <c r="J8" s="59"/>
      <c r="K8" s="3"/>
      <c r="L8" s="3">
        <v>0</v>
      </c>
      <c r="M8" s="3"/>
      <c r="N8" s="3"/>
      <c r="O8" s="3"/>
      <c r="P8" s="3"/>
      <c r="Q8" s="3"/>
      <c r="R8" s="3"/>
      <c r="S8" s="3"/>
      <c r="T8" s="3"/>
      <c r="U8" s="3"/>
      <c r="V8" s="27">
        <f t="shared" si="0"/>
        <v>0</v>
      </c>
      <c r="W8" s="4"/>
    </row>
    <row r="9" spans="1:24" x14ac:dyDescent="0.25">
      <c r="A9" s="89"/>
      <c r="B9" s="1">
        <v>2010</v>
      </c>
      <c r="C9" s="3"/>
      <c r="D9" s="3"/>
      <c r="E9" s="3"/>
      <c r="F9" s="3"/>
      <c r="G9" s="3"/>
      <c r="H9" s="59"/>
      <c r="I9" s="3"/>
      <c r="J9" s="59"/>
      <c r="K9" s="3"/>
      <c r="L9" s="3">
        <v>0</v>
      </c>
      <c r="M9" s="3"/>
      <c r="N9" s="3"/>
      <c r="O9" s="3"/>
      <c r="P9" s="3"/>
      <c r="Q9" s="3"/>
      <c r="R9" s="3"/>
      <c r="S9" s="3"/>
      <c r="T9" s="3"/>
      <c r="U9" s="3"/>
      <c r="V9" s="27">
        <f t="shared" si="0"/>
        <v>0</v>
      </c>
      <c r="W9" s="4"/>
    </row>
    <row r="10" spans="1:24" x14ac:dyDescent="0.25">
      <c r="A10" s="89"/>
      <c r="B10" s="1">
        <v>2011</v>
      </c>
      <c r="C10" s="3"/>
      <c r="D10" s="3"/>
      <c r="E10" s="3"/>
      <c r="F10" s="3"/>
      <c r="G10" s="3"/>
      <c r="H10" s="59"/>
      <c r="I10" s="3"/>
      <c r="J10" s="59">
        <v>0</v>
      </c>
      <c r="K10" s="3"/>
      <c r="L10" s="3">
        <v>0</v>
      </c>
      <c r="M10" s="3"/>
      <c r="N10" s="3"/>
      <c r="O10" s="3"/>
      <c r="P10" s="3"/>
      <c r="Q10" s="3"/>
      <c r="R10" s="3"/>
      <c r="S10" s="3"/>
      <c r="T10" s="3"/>
      <c r="U10" s="3"/>
      <c r="V10" s="27">
        <f t="shared" si="0"/>
        <v>0</v>
      </c>
      <c r="W10" s="4"/>
    </row>
    <row r="11" spans="1:24" x14ac:dyDescent="0.25">
      <c r="A11" s="89"/>
      <c r="B11" s="1">
        <v>2012</v>
      </c>
      <c r="C11" s="3"/>
      <c r="D11" s="3"/>
      <c r="E11" s="3"/>
      <c r="F11" s="3"/>
      <c r="G11" s="3"/>
      <c r="H11" s="59"/>
      <c r="I11" s="3"/>
      <c r="J11" s="59">
        <v>0</v>
      </c>
      <c r="K11" s="3"/>
      <c r="L11" s="3">
        <v>0</v>
      </c>
      <c r="M11" s="3"/>
      <c r="N11" s="3"/>
      <c r="O11" s="3"/>
      <c r="P11" s="3"/>
      <c r="Q11" s="3"/>
      <c r="R11" s="3"/>
      <c r="S11" s="3"/>
      <c r="T11" s="3"/>
      <c r="U11" s="3"/>
      <c r="V11" s="27">
        <f t="shared" si="0"/>
        <v>0</v>
      </c>
      <c r="W11" s="4"/>
    </row>
    <row r="12" spans="1:24" x14ac:dyDescent="0.25">
      <c r="A12" s="89"/>
      <c r="B12" s="1">
        <v>2013</v>
      </c>
      <c r="C12" s="3"/>
      <c r="D12" s="3"/>
      <c r="E12" s="3"/>
      <c r="F12" s="3"/>
      <c r="G12" s="3"/>
      <c r="H12" s="59"/>
      <c r="I12" s="3"/>
      <c r="J12" s="59">
        <v>0</v>
      </c>
      <c r="K12" s="3"/>
      <c r="L12" s="3">
        <v>0</v>
      </c>
      <c r="M12" s="3"/>
      <c r="N12" s="3"/>
      <c r="O12" s="3"/>
      <c r="P12" s="3"/>
      <c r="Q12" s="3"/>
      <c r="R12" s="3"/>
      <c r="S12" s="3"/>
      <c r="T12" s="3"/>
      <c r="U12" s="3"/>
      <c r="V12" s="27">
        <f t="shared" si="0"/>
        <v>0</v>
      </c>
      <c r="W12" s="4"/>
    </row>
    <row r="13" spans="1:24" x14ac:dyDescent="0.25">
      <c r="A13" s="89"/>
      <c r="B13" s="1">
        <v>2014</v>
      </c>
      <c r="C13" s="3"/>
      <c r="D13" s="3"/>
      <c r="E13" s="3"/>
      <c r="F13" s="3"/>
      <c r="G13" s="3"/>
      <c r="H13" s="3"/>
      <c r="I13" s="3"/>
      <c r="J13" s="59">
        <v>0</v>
      </c>
      <c r="K13" s="3"/>
      <c r="L13" s="3">
        <v>0</v>
      </c>
      <c r="M13" s="3"/>
      <c r="N13" s="3"/>
      <c r="O13" s="3"/>
      <c r="P13" s="3"/>
      <c r="Q13" s="3"/>
      <c r="R13" s="3"/>
      <c r="S13" s="3"/>
      <c r="T13" s="3"/>
      <c r="U13" s="3"/>
      <c r="V13" s="27">
        <f t="shared" si="0"/>
        <v>0</v>
      </c>
      <c r="W13" s="4"/>
    </row>
    <row r="14" spans="1:24" x14ac:dyDescent="0.25">
      <c r="B14" s="1">
        <v>2015</v>
      </c>
      <c r="C14" s="3"/>
      <c r="D14" s="3"/>
      <c r="E14" s="3"/>
      <c r="F14" s="3"/>
      <c r="G14" s="3"/>
      <c r="H14" s="3"/>
      <c r="I14" s="3"/>
      <c r="J14" s="3">
        <v>0</v>
      </c>
      <c r="K14" s="3"/>
      <c r="L14" s="3">
        <v>0</v>
      </c>
      <c r="M14" s="3"/>
      <c r="N14" s="3"/>
      <c r="O14" s="3"/>
      <c r="P14" s="3"/>
      <c r="Q14" s="3"/>
      <c r="R14" s="3"/>
      <c r="S14" s="3"/>
      <c r="T14" s="3"/>
      <c r="U14" s="3"/>
      <c r="V14" s="27">
        <f t="shared" si="0"/>
        <v>0</v>
      </c>
    </row>
    <row r="15" spans="1:24" x14ac:dyDescent="0.25">
      <c r="B15" s="1">
        <v>2016</v>
      </c>
      <c r="C15" s="3"/>
      <c r="D15" s="3"/>
      <c r="E15" s="3"/>
      <c r="F15" s="3"/>
      <c r="G15" s="3"/>
      <c r="H15" s="3"/>
      <c r="I15" s="3"/>
      <c r="J15" s="3">
        <v>0</v>
      </c>
      <c r="K15" s="3"/>
      <c r="L15" s="3">
        <v>0</v>
      </c>
      <c r="M15" s="3"/>
      <c r="N15" s="3"/>
      <c r="O15" s="3"/>
      <c r="P15" s="3"/>
      <c r="Q15" s="3"/>
      <c r="R15" s="3"/>
      <c r="S15" s="3"/>
      <c r="T15" s="3"/>
      <c r="U15" s="3"/>
      <c r="V15" s="27">
        <f t="shared" si="0"/>
        <v>0</v>
      </c>
    </row>
    <row r="16" spans="1:24" x14ac:dyDescent="0.25">
      <c r="B16" s="1">
        <v>2017</v>
      </c>
      <c r="C16" s="3"/>
      <c r="D16" s="3"/>
      <c r="E16" s="3"/>
      <c r="F16" s="3"/>
      <c r="G16" s="3"/>
      <c r="H16" s="3"/>
      <c r="I16" s="3"/>
      <c r="J16" s="3">
        <v>0</v>
      </c>
      <c r="K16" s="3"/>
      <c r="L16" s="3">
        <v>0</v>
      </c>
      <c r="M16" s="3"/>
      <c r="N16" s="3"/>
      <c r="O16" s="3"/>
      <c r="P16" s="3"/>
      <c r="Q16" s="3"/>
      <c r="R16" s="3"/>
      <c r="S16" s="3"/>
      <c r="T16" s="3"/>
      <c r="U16" s="3"/>
      <c r="V16" s="27">
        <f t="shared" si="0"/>
        <v>0</v>
      </c>
    </row>
    <row r="17" spans="2:22" x14ac:dyDescent="0.25">
      <c r="B17" s="1">
        <v>2018</v>
      </c>
      <c r="C17" s="3"/>
      <c r="D17" s="3"/>
      <c r="E17" s="3"/>
      <c r="F17" s="3"/>
      <c r="G17" s="3"/>
      <c r="H17" s="3"/>
      <c r="I17" s="3"/>
      <c r="J17" s="3"/>
      <c r="K17" s="3"/>
      <c r="L17" s="3">
        <v>0</v>
      </c>
      <c r="M17" s="3"/>
      <c r="N17" s="3"/>
      <c r="O17" s="3"/>
      <c r="P17" s="3"/>
      <c r="Q17" s="3"/>
      <c r="R17" s="3"/>
      <c r="S17" s="3"/>
      <c r="T17" s="3"/>
      <c r="U17" s="3"/>
      <c r="V17" s="27"/>
    </row>
    <row r="19" spans="2:22" x14ac:dyDescent="0.25">
      <c r="B19" s="2" t="s">
        <v>19</v>
      </c>
      <c r="C19" s="3" t="s">
        <v>20</v>
      </c>
      <c r="D19" s="3" t="s">
        <v>22</v>
      </c>
      <c r="E19" s="3" t="s">
        <v>22</v>
      </c>
      <c r="F19" s="3" t="s">
        <v>20</v>
      </c>
      <c r="G19" s="3" t="s">
        <v>22</v>
      </c>
      <c r="H19" s="3" t="s">
        <v>20</v>
      </c>
      <c r="I19" s="3" t="s">
        <v>20</v>
      </c>
      <c r="J19" s="3" t="s">
        <v>20</v>
      </c>
      <c r="K19" s="3" t="s">
        <v>20</v>
      </c>
      <c r="L19" s="3" t="s">
        <v>22</v>
      </c>
      <c r="M19" s="3" t="s">
        <v>20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22</v>
      </c>
      <c r="U19" s="3" t="s">
        <v>20</v>
      </c>
    </row>
  </sheetData>
  <mergeCells count="2">
    <mergeCell ref="B1:U1"/>
    <mergeCell ref="A2:A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9"/>
  <sheetViews>
    <sheetView topLeftCell="B1" workbookViewId="0">
      <selection activeCell="L12" sqref="L12"/>
    </sheetView>
  </sheetViews>
  <sheetFormatPr defaultRowHeight="15" x14ac:dyDescent="0.25"/>
  <cols>
    <col min="1" max="1" width="5" customWidth="1"/>
    <col min="2" max="2" width="12" bestFit="1" customWidth="1"/>
    <col min="3" max="4" width="9.28515625" bestFit="1" customWidth="1"/>
    <col min="5" max="5" width="10.5703125" bestFit="1" customWidth="1"/>
    <col min="6" max="6" width="9.28515625" bestFit="1" customWidth="1"/>
    <col min="7" max="7" width="10.5703125" bestFit="1" customWidth="1"/>
    <col min="8" max="8" width="11.28515625" customWidth="1"/>
    <col min="9" max="9" width="11.5703125" bestFit="1" customWidth="1"/>
    <col min="10" max="10" width="13.28515625" bestFit="1" customWidth="1"/>
    <col min="11" max="11" width="10.5703125" bestFit="1" customWidth="1"/>
    <col min="12" max="12" width="12.140625" bestFit="1" customWidth="1"/>
    <col min="13" max="13" width="9.28515625" bestFit="1" customWidth="1"/>
    <col min="14" max="14" width="9.5703125" bestFit="1" customWidth="1"/>
    <col min="15" max="17" width="9.28515625" bestFit="1" customWidth="1"/>
    <col min="18" max="18" width="9.5703125" bestFit="1" customWidth="1"/>
    <col min="19" max="19" width="13.42578125" bestFit="1" customWidth="1"/>
    <col min="20" max="20" width="9.5703125" bestFit="1" customWidth="1"/>
    <col min="21" max="21" width="12.42578125" bestFit="1" customWidth="1"/>
    <col min="22" max="22" width="14.28515625" bestFit="1" customWidth="1"/>
    <col min="23" max="23" width="15.7109375" customWidth="1"/>
    <col min="24" max="24" width="27.42578125" customWidth="1"/>
  </cols>
  <sheetData>
    <row r="1" spans="1:24" x14ac:dyDescent="0.25">
      <c r="B1" s="88" t="s">
        <v>37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</row>
    <row r="2" spans="1:24" s="3" customFormat="1" x14ac:dyDescent="0.25">
      <c r="A2" s="89" t="s">
        <v>0</v>
      </c>
      <c r="B2" s="6"/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21</v>
      </c>
      <c r="I2" s="7" t="s">
        <v>6</v>
      </c>
      <c r="J2" s="7" t="s">
        <v>7</v>
      </c>
      <c r="K2" s="7" t="s">
        <v>8</v>
      </c>
      <c r="L2" s="7" t="s">
        <v>9</v>
      </c>
      <c r="M2" s="7" t="s">
        <v>10</v>
      </c>
      <c r="N2" s="7" t="s">
        <v>11</v>
      </c>
      <c r="O2" s="7" t="s">
        <v>12</v>
      </c>
      <c r="P2" s="7" t="s">
        <v>13</v>
      </c>
      <c r="Q2" s="7" t="s">
        <v>14</v>
      </c>
      <c r="R2" s="7" t="s">
        <v>15</v>
      </c>
      <c r="S2" s="7" t="s">
        <v>16</v>
      </c>
      <c r="T2" s="7" t="s">
        <v>17</v>
      </c>
      <c r="U2" s="7" t="s">
        <v>23</v>
      </c>
      <c r="V2" s="7" t="s">
        <v>18</v>
      </c>
      <c r="W2" s="7"/>
      <c r="X2" s="7"/>
    </row>
    <row r="3" spans="1:24" x14ac:dyDescent="0.25">
      <c r="A3" s="89"/>
      <c r="B3" s="1">
        <v>2004</v>
      </c>
      <c r="C3" s="3"/>
      <c r="D3" s="3"/>
      <c r="E3" s="3"/>
      <c r="F3" s="3"/>
      <c r="G3" s="3"/>
      <c r="H3" s="59"/>
      <c r="I3" s="3"/>
      <c r="J3" s="59"/>
      <c r="K3" s="3"/>
      <c r="L3" s="3">
        <v>22929.599999999999</v>
      </c>
      <c r="M3" s="3"/>
      <c r="N3" s="3"/>
      <c r="O3" s="3"/>
      <c r="P3" s="3"/>
      <c r="Q3" s="3"/>
      <c r="R3" s="59"/>
      <c r="S3" s="3"/>
      <c r="T3" s="3"/>
      <c r="U3" s="3"/>
      <c r="V3" s="27">
        <f t="shared" ref="V3:V16" si="0">SUM(C3:U3)</f>
        <v>22929.599999999999</v>
      </c>
      <c r="W3" s="4"/>
    </row>
    <row r="4" spans="1:24" x14ac:dyDescent="0.25">
      <c r="A4" s="89"/>
      <c r="B4" s="1">
        <v>2005</v>
      </c>
      <c r="C4" s="3"/>
      <c r="D4" s="3"/>
      <c r="E4" s="3"/>
      <c r="F4" s="3"/>
      <c r="G4" s="3"/>
      <c r="H4" s="59"/>
      <c r="I4" s="3"/>
      <c r="J4" s="59"/>
      <c r="K4" s="59"/>
      <c r="L4" s="3">
        <v>66708.899999999994</v>
      </c>
      <c r="M4" s="3"/>
      <c r="N4" s="3"/>
      <c r="O4" s="3"/>
      <c r="P4" s="3"/>
      <c r="Q4" s="3"/>
      <c r="R4" s="59"/>
      <c r="S4" s="3"/>
      <c r="T4" s="3"/>
      <c r="U4" s="3"/>
      <c r="V4" s="27">
        <f t="shared" si="0"/>
        <v>66708.899999999994</v>
      </c>
      <c r="W4" s="4"/>
    </row>
    <row r="5" spans="1:24" x14ac:dyDescent="0.25">
      <c r="A5" s="89"/>
      <c r="B5" s="1">
        <v>2006</v>
      </c>
      <c r="C5" s="3"/>
      <c r="D5" s="3"/>
      <c r="E5" s="3"/>
      <c r="F5" s="3"/>
      <c r="G5" s="3"/>
      <c r="H5" s="59"/>
      <c r="I5" s="3"/>
      <c r="J5" s="59"/>
      <c r="K5" s="59"/>
      <c r="L5" s="3">
        <v>22530.9</v>
      </c>
      <c r="M5" s="3"/>
      <c r="N5" s="3"/>
      <c r="O5" s="3"/>
      <c r="P5" s="3"/>
      <c r="Q5" s="3"/>
      <c r="R5" s="3"/>
      <c r="S5" s="3"/>
      <c r="T5" s="3"/>
      <c r="U5" s="3"/>
      <c r="V5" s="27">
        <f t="shared" si="0"/>
        <v>22530.9</v>
      </c>
      <c r="W5" s="4"/>
    </row>
    <row r="6" spans="1:24" x14ac:dyDescent="0.25">
      <c r="A6" s="89"/>
      <c r="B6" s="1">
        <v>2007</v>
      </c>
      <c r="C6" s="3"/>
      <c r="D6" s="3"/>
      <c r="E6" s="3"/>
      <c r="F6" s="3"/>
      <c r="G6" s="3"/>
      <c r="H6" s="59"/>
      <c r="I6" s="3"/>
      <c r="J6" s="59"/>
      <c r="K6" s="3"/>
      <c r="L6" s="3">
        <v>45296.3</v>
      </c>
      <c r="M6" s="3"/>
      <c r="N6" s="3"/>
      <c r="O6" s="3"/>
      <c r="P6" s="3"/>
      <c r="Q6" s="3"/>
      <c r="R6" s="3"/>
      <c r="S6" s="3"/>
      <c r="T6" s="3"/>
      <c r="U6" s="3"/>
      <c r="V6" s="27">
        <f t="shared" si="0"/>
        <v>45296.3</v>
      </c>
      <c r="W6" s="4"/>
    </row>
    <row r="7" spans="1:24" x14ac:dyDescent="0.25">
      <c r="A7" s="89"/>
      <c r="B7" s="1">
        <v>2008</v>
      </c>
      <c r="C7" s="3"/>
      <c r="D7" s="3"/>
      <c r="E7" s="3"/>
      <c r="F7" s="3"/>
      <c r="G7" s="3"/>
      <c r="H7" s="59"/>
      <c r="I7" s="3"/>
      <c r="J7" s="59"/>
      <c r="K7" s="3"/>
      <c r="L7" s="3">
        <v>45342.65</v>
      </c>
      <c r="M7" s="3"/>
      <c r="N7" s="3"/>
      <c r="O7" s="3"/>
      <c r="P7" s="3"/>
      <c r="Q7" s="3"/>
      <c r="R7" s="3"/>
      <c r="S7" s="3"/>
      <c r="T7" s="3"/>
      <c r="U7" s="3"/>
      <c r="V7" s="27">
        <f t="shared" si="0"/>
        <v>45342.65</v>
      </c>
      <c r="W7" s="4"/>
    </row>
    <row r="8" spans="1:24" x14ac:dyDescent="0.25">
      <c r="A8" s="89"/>
      <c r="B8" s="1">
        <v>2009</v>
      </c>
      <c r="C8" s="3"/>
      <c r="D8" s="3"/>
      <c r="E8" s="3"/>
      <c r="F8" s="3"/>
      <c r="G8" s="3"/>
      <c r="H8" s="59"/>
      <c r="I8" s="3"/>
      <c r="J8" s="59"/>
      <c r="K8" s="3"/>
      <c r="L8" s="3">
        <v>22149.75</v>
      </c>
      <c r="M8" s="3"/>
      <c r="N8" s="3"/>
      <c r="O8" s="3"/>
      <c r="P8" s="3"/>
      <c r="Q8" s="3"/>
      <c r="R8" s="3"/>
      <c r="S8" s="3"/>
      <c r="T8" s="3"/>
      <c r="U8" s="3"/>
      <c r="V8" s="27">
        <f t="shared" si="0"/>
        <v>22149.75</v>
      </c>
      <c r="W8" s="4"/>
    </row>
    <row r="9" spans="1:24" x14ac:dyDescent="0.25">
      <c r="A9" s="89"/>
      <c r="B9" s="1">
        <v>2010</v>
      </c>
      <c r="C9" s="3"/>
      <c r="D9" s="3"/>
      <c r="E9" s="3"/>
      <c r="F9" s="3"/>
      <c r="G9" s="3"/>
      <c r="H9" s="59"/>
      <c r="I9" s="3"/>
      <c r="J9" s="59"/>
      <c r="K9" s="3"/>
      <c r="L9" s="3">
        <v>13336.65</v>
      </c>
      <c r="M9" s="3"/>
      <c r="N9" s="3"/>
      <c r="O9" s="3"/>
      <c r="P9" s="3"/>
      <c r="Q9" s="3"/>
      <c r="R9" s="3"/>
      <c r="S9" s="3"/>
      <c r="T9" s="3"/>
      <c r="U9" s="3"/>
      <c r="V9" s="27">
        <f t="shared" si="0"/>
        <v>13336.65</v>
      </c>
      <c r="W9" s="4"/>
    </row>
    <row r="10" spans="1:24" x14ac:dyDescent="0.25">
      <c r="A10" s="89"/>
      <c r="B10" s="1">
        <v>2011</v>
      </c>
      <c r="C10" s="3"/>
      <c r="D10" s="3"/>
      <c r="E10" s="3"/>
      <c r="F10" s="3"/>
      <c r="G10" s="3"/>
      <c r="H10" s="59"/>
      <c r="I10" s="3"/>
      <c r="J10" s="78">
        <v>223704</v>
      </c>
      <c r="K10" s="3"/>
      <c r="L10" s="3">
        <v>2025.2</v>
      </c>
      <c r="M10" s="3"/>
      <c r="N10" s="3"/>
      <c r="O10" s="3"/>
      <c r="P10" s="3"/>
      <c r="Q10" s="3"/>
      <c r="R10" s="3"/>
      <c r="S10" s="3"/>
      <c r="T10" s="3"/>
      <c r="U10" s="3"/>
      <c r="V10" s="27">
        <f t="shared" si="0"/>
        <v>225729.2</v>
      </c>
      <c r="W10" s="4"/>
    </row>
    <row r="11" spans="1:24" x14ac:dyDescent="0.25">
      <c r="A11" s="89"/>
      <c r="B11" s="1">
        <v>2012</v>
      </c>
      <c r="C11" s="3"/>
      <c r="D11" s="3"/>
      <c r="E11" s="3"/>
      <c r="F11" s="3"/>
      <c r="G11" s="3"/>
      <c r="H11" s="59"/>
      <c r="I11" s="3"/>
      <c r="J11" s="78">
        <v>339169</v>
      </c>
      <c r="K11" s="3"/>
      <c r="L11" s="3">
        <v>2783.2</v>
      </c>
      <c r="M11" s="3"/>
      <c r="N11" s="3"/>
      <c r="O11" s="3"/>
      <c r="P11" s="3"/>
      <c r="Q11" s="3"/>
      <c r="R11" s="3"/>
      <c r="S11" s="3"/>
      <c r="T11" s="3"/>
      <c r="U11" s="3"/>
      <c r="V11" s="27">
        <f t="shared" si="0"/>
        <v>341952.2</v>
      </c>
      <c r="W11" s="4"/>
    </row>
    <row r="12" spans="1:24" x14ac:dyDescent="0.25">
      <c r="A12" s="89"/>
      <c r="B12" s="1">
        <v>2013</v>
      </c>
      <c r="C12" s="3"/>
      <c r="D12" s="3"/>
      <c r="E12" s="3"/>
      <c r="F12" s="3"/>
      <c r="G12" s="3"/>
      <c r="H12" s="59"/>
      <c r="I12" s="3"/>
      <c r="J12" s="78">
        <v>238885</v>
      </c>
      <c r="K12" s="3"/>
      <c r="L12" s="3">
        <v>3906.4</v>
      </c>
      <c r="M12" s="3"/>
      <c r="N12" s="3"/>
      <c r="O12" s="3"/>
      <c r="P12" s="3"/>
      <c r="Q12" s="3"/>
      <c r="R12" s="3"/>
      <c r="S12" s="3"/>
      <c r="T12" s="3"/>
      <c r="U12" s="3"/>
      <c r="V12" s="27">
        <f t="shared" si="0"/>
        <v>242791.4</v>
      </c>
      <c r="W12" s="4"/>
    </row>
    <row r="13" spans="1:24" x14ac:dyDescent="0.25">
      <c r="A13" s="89"/>
      <c r="B13" s="1">
        <v>2014</v>
      </c>
      <c r="C13" s="3"/>
      <c r="D13" s="3"/>
      <c r="E13" s="3">
        <v>242.8</v>
      </c>
      <c r="F13" s="3"/>
      <c r="G13" s="3"/>
      <c r="H13" s="3"/>
      <c r="I13" s="3"/>
      <c r="J13" s="78">
        <v>178347</v>
      </c>
      <c r="K13" s="3"/>
      <c r="L13" s="3">
        <v>5833.5999999999995</v>
      </c>
      <c r="M13" s="3"/>
      <c r="N13" s="3"/>
      <c r="O13" s="3"/>
      <c r="P13" s="3"/>
      <c r="Q13" s="3"/>
      <c r="R13" s="3"/>
      <c r="S13" s="3"/>
      <c r="T13" s="3"/>
      <c r="U13" s="3"/>
      <c r="V13" s="27">
        <f t="shared" si="0"/>
        <v>184423.4</v>
      </c>
      <c r="W13" s="4"/>
    </row>
    <row r="14" spans="1:24" x14ac:dyDescent="0.25">
      <c r="B14" s="1">
        <v>2015</v>
      </c>
      <c r="C14" s="3"/>
      <c r="D14" s="3"/>
      <c r="E14" s="3"/>
      <c r="F14" s="3"/>
      <c r="G14" s="3"/>
      <c r="H14" s="3"/>
      <c r="I14" s="3"/>
      <c r="J14" s="78">
        <v>120227</v>
      </c>
      <c r="K14" s="3"/>
      <c r="L14" s="3">
        <v>5575.9999999999991</v>
      </c>
      <c r="M14" s="3"/>
      <c r="N14" s="3"/>
      <c r="O14" s="3"/>
      <c r="P14" s="3"/>
      <c r="Q14" s="3"/>
      <c r="R14" s="3"/>
      <c r="S14" s="3"/>
      <c r="T14" s="3"/>
      <c r="U14" s="3"/>
      <c r="V14" s="27">
        <f t="shared" si="0"/>
        <v>125803</v>
      </c>
    </row>
    <row r="15" spans="1:24" x14ac:dyDescent="0.25">
      <c r="B15" s="1">
        <v>2016</v>
      </c>
      <c r="C15" s="3"/>
      <c r="D15" s="3"/>
      <c r="E15" s="3"/>
      <c r="F15" s="3"/>
      <c r="G15" s="3"/>
      <c r="H15" s="3"/>
      <c r="I15" s="3"/>
      <c r="J15" s="78">
        <v>326887</v>
      </c>
      <c r="K15" s="3"/>
      <c r="L15" s="3">
        <v>3608.1000000000004</v>
      </c>
      <c r="M15" s="3"/>
      <c r="N15" s="3"/>
      <c r="O15" s="3"/>
      <c r="P15" s="3"/>
      <c r="Q15" s="3"/>
      <c r="R15" s="3"/>
      <c r="S15" s="3"/>
      <c r="T15" s="3"/>
      <c r="U15" s="3"/>
      <c r="V15" s="27">
        <f t="shared" si="0"/>
        <v>330495.09999999998</v>
      </c>
    </row>
    <row r="16" spans="1:24" x14ac:dyDescent="0.25">
      <c r="B16" s="1">
        <v>2017</v>
      </c>
      <c r="C16" s="3"/>
      <c r="D16" s="3"/>
      <c r="E16" s="3"/>
      <c r="F16" s="3"/>
      <c r="G16" s="3"/>
      <c r="H16" s="3"/>
      <c r="I16" s="3"/>
      <c r="J16" s="78">
        <v>157417</v>
      </c>
      <c r="K16" s="3"/>
      <c r="L16" s="3">
        <v>1758.8</v>
      </c>
      <c r="M16" s="3"/>
      <c r="N16" s="3"/>
      <c r="O16" s="3"/>
      <c r="P16" s="3"/>
      <c r="Q16" s="3"/>
      <c r="R16" s="3"/>
      <c r="S16" s="3"/>
      <c r="T16" s="3"/>
      <c r="U16" s="3"/>
      <c r="V16" s="27">
        <f t="shared" si="0"/>
        <v>159175.79999999999</v>
      </c>
    </row>
    <row r="17" spans="2:22" x14ac:dyDescent="0.25">
      <c r="B17" s="1">
        <v>2018</v>
      </c>
      <c r="C17" s="3"/>
      <c r="D17" s="3"/>
      <c r="E17" s="3"/>
      <c r="F17" s="3"/>
      <c r="G17" s="3"/>
      <c r="H17" s="3"/>
      <c r="I17" s="3"/>
      <c r="J17" s="78">
        <v>149359</v>
      </c>
      <c r="K17" s="3"/>
      <c r="L17" s="3">
        <v>1550.9</v>
      </c>
      <c r="M17" s="3"/>
      <c r="N17" s="3"/>
      <c r="O17" s="3"/>
      <c r="P17" s="3"/>
      <c r="Q17" s="3"/>
      <c r="R17" s="3"/>
      <c r="S17" s="3"/>
      <c r="T17" s="3"/>
      <c r="U17" s="3"/>
      <c r="V17" s="27">
        <f>SUM(C17:U17)</f>
        <v>150909.9</v>
      </c>
    </row>
    <row r="19" spans="2:22" x14ac:dyDescent="0.25">
      <c r="B19" s="2" t="s">
        <v>19</v>
      </c>
      <c r="C19" s="3" t="s">
        <v>20</v>
      </c>
      <c r="D19" s="3" t="s">
        <v>22</v>
      </c>
      <c r="E19" s="3" t="s">
        <v>22</v>
      </c>
      <c r="F19" s="3" t="s">
        <v>20</v>
      </c>
      <c r="G19" s="3" t="s">
        <v>22</v>
      </c>
      <c r="H19" s="3" t="s">
        <v>20</v>
      </c>
      <c r="I19" s="3" t="s">
        <v>20</v>
      </c>
      <c r="J19" s="3" t="s">
        <v>20</v>
      </c>
      <c r="K19" s="3" t="s">
        <v>20</v>
      </c>
      <c r="L19" s="3" t="s">
        <v>22</v>
      </c>
      <c r="M19" s="3" t="s">
        <v>20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22</v>
      </c>
      <c r="U19" s="3" t="s">
        <v>20</v>
      </c>
    </row>
  </sheetData>
  <mergeCells count="2">
    <mergeCell ref="B1:U1"/>
    <mergeCell ref="A2:A13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FF00"/>
  </sheetPr>
  <dimension ref="A1:K49"/>
  <sheetViews>
    <sheetView topLeftCell="B7" workbookViewId="0">
      <selection activeCell="E5" sqref="E5"/>
    </sheetView>
  </sheetViews>
  <sheetFormatPr defaultRowHeight="15" x14ac:dyDescent="0.25"/>
  <cols>
    <col min="2" max="2" width="21" customWidth="1"/>
    <col min="3" max="3" width="20.140625" customWidth="1"/>
    <col min="4" max="4" width="14.140625" customWidth="1"/>
    <col min="5" max="5" width="30.140625" customWidth="1"/>
    <col min="6" max="6" width="45.42578125" customWidth="1"/>
    <col min="7" max="7" width="12.28515625" customWidth="1"/>
    <col min="8" max="8" width="11.42578125" customWidth="1"/>
    <col min="9" max="9" width="15.85546875" customWidth="1"/>
    <col min="10" max="10" width="14.7109375" customWidth="1"/>
    <col min="11" max="11" width="16.7109375" customWidth="1"/>
  </cols>
  <sheetData>
    <row r="1" spans="1:11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ht="15" customHeight="1" x14ac:dyDescent="0.25">
      <c r="A2" s="11"/>
      <c r="B2" s="12"/>
      <c r="C2" s="11"/>
      <c r="D2" s="12"/>
      <c r="E2" s="11"/>
      <c r="F2" s="11"/>
      <c r="G2" s="11"/>
      <c r="H2" s="90" t="s">
        <v>25</v>
      </c>
      <c r="I2" s="91"/>
      <c r="J2" s="12"/>
      <c r="K2" s="13"/>
    </row>
    <row r="3" spans="1:11" x14ac:dyDescent="0.25">
      <c r="A3" s="11"/>
      <c r="B3" s="14" t="s">
        <v>26</v>
      </c>
      <c r="C3" s="14" t="s">
        <v>27</v>
      </c>
      <c r="D3" s="14" t="s">
        <v>28</v>
      </c>
      <c r="E3" s="14" t="s">
        <v>29</v>
      </c>
      <c r="F3" s="14" t="s">
        <v>30</v>
      </c>
      <c r="G3" s="11"/>
      <c r="H3" s="12"/>
      <c r="I3" s="12"/>
      <c r="J3" s="12"/>
      <c r="K3" s="13"/>
    </row>
    <row r="4" spans="1:11" x14ac:dyDescent="0.25">
      <c r="A4" s="11"/>
      <c r="B4" s="16">
        <v>1997</v>
      </c>
      <c r="C4" s="17"/>
      <c r="D4" s="18" t="s">
        <v>32</v>
      </c>
      <c r="E4" s="19">
        <v>0.32179999999999997</v>
      </c>
      <c r="F4" s="20">
        <f t="shared" ref="F4:F25" si="0">C4*E4</f>
        <v>0</v>
      </c>
      <c r="G4" s="11"/>
      <c r="H4" s="12"/>
      <c r="I4" s="12"/>
      <c r="J4" s="12"/>
      <c r="K4" s="13"/>
    </row>
    <row r="5" spans="1:11" x14ac:dyDescent="0.25">
      <c r="A5" s="11"/>
      <c r="B5" s="16">
        <v>1998</v>
      </c>
      <c r="C5" s="17"/>
      <c r="D5" s="18" t="s">
        <v>32</v>
      </c>
      <c r="E5" s="19">
        <f t="shared" ref="E5:E25" si="1">$E$4</f>
        <v>0.32179999999999997</v>
      </c>
      <c r="F5" s="20">
        <f t="shared" si="0"/>
        <v>0</v>
      </c>
      <c r="G5" s="11"/>
      <c r="H5" s="12"/>
      <c r="I5" s="12"/>
      <c r="J5" s="12"/>
      <c r="K5" s="13"/>
    </row>
    <row r="6" spans="1:11" x14ac:dyDescent="0.25">
      <c r="A6" s="11"/>
      <c r="B6" s="16">
        <v>1999</v>
      </c>
      <c r="C6" s="17"/>
      <c r="D6" s="18" t="s">
        <v>32</v>
      </c>
      <c r="E6" s="19">
        <f t="shared" si="1"/>
        <v>0.32179999999999997</v>
      </c>
      <c r="F6" s="20">
        <f t="shared" si="0"/>
        <v>0</v>
      </c>
      <c r="G6" s="11"/>
      <c r="H6" s="12"/>
      <c r="I6" s="12"/>
      <c r="J6" s="12"/>
      <c r="K6" s="13"/>
    </row>
    <row r="7" spans="1:11" x14ac:dyDescent="0.25">
      <c r="A7" s="11"/>
      <c r="B7" s="16">
        <v>2000</v>
      </c>
      <c r="C7" s="17"/>
      <c r="D7" s="18" t="s">
        <v>32</v>
      </c>
      <c r="E7" s="19">
        <f t="shared" si="1"/>
        <v>0.32179999999999997</v>
      </c>
      <c r="F7" s="20">
        <f t="shared" si="0"/>
        <v>0</v>
      </c>
      <c r="G7" s="11"/>
      <c r="H7" s="12"/>
      <c r="I7" s="12"/>
      <c r="J7" s="12"/>
      <c r="K7" s="13"/>
    </row>
    <row r="8" spans="1:11" x14ac:dyDescent="0.25">
      <c r="A8" s="11"/>
      <c r="B8" s="16">
        <v>2001</v>
      </c>
      <c r="C8" s="17"/>
      <c r="D8" s="18" t="s">
        <v>32</v>
      </c>
      <c r="E8" s="19">
        <f t="shared" si="1"/>
        <v>0.32179999999999997</v>
      </c>
      <c r="F8" s="20">
        <f t="shared" si="0"/>
        <v>0</v>
      </c>
      <c r="G8" s="11"/>
      <c r="H8" s="12"/>
      <c r="I8" s="12"/>
      <c r="J8" s="12"/>
      <c r="K8" s="13"/>
    </row>
    <row r="9" spans="1:11" x14ac:dyDescent="0.25">
      <c r="A9" s="11"/>
      <c r="B9" s="16">
        <v>2002</v>
      </c>
      <c r="C9" s="17"/>
      <c r="D9" s="18" t="s">
        <v>32</v>
      </c>
      <c r="E9" s="19">
        <f t="shared" si="1"/>
        <v>0.32179999999999997</v>
      </c>
      <c r="F9" s="20">
        <f t="shared" si="0"/>
        <v>0</v>
      </c>
      <c r="G9" s="11"/>
      <c r="H9" s="12"/>
      <c r="I9" s="12"/>
      <c r="J9" s="12"/>
      <c r="K9" s="13"/>
    </row>
    <row r="10" spans="1:11" x14ac:dyDescent="0.25">
      <c r="A10" s="11"/>
      <c r="B10" s="16">
        <v>2003</v>
      </c>
      <c r="C10" s="17"/>
      <c r="D10" s="18" t="s">
        <v>32</v>
      </c>
      <c r="E10" s="19">
        <f t="shared" si="1"/>
        <v>0.32179999999999997</v>
      </c>
      <c r="F10" s="20">
        <f t="shared" si="0"/>
        <v>0</v>
      </c>
      <c r="G10" s="11"/>
      <c r="H10" s="48" t="s">
        <v>27</v>
      </c>
      <c r="I10" s="48"/>
      <c r="J10" s="12"/>
      <c r="K10" s="13"/>
    </row>
    <row r="11" spans="1:11" x14ac:dyDescent="0.25">
      <c r="A11" s="11"/>
      <c r="B11" s="16">
        <v>2004</v>
      </c>
      <c r="C11" s="17">
        <f>H11*30/43560</f>
        <v>0</v>
      </c>
      <c r="D11" s="18" t="s">
        <v>32</v>
      </c>
      <c r="E11" s="19">
        <f t="shared" si="1"/>
        <v>0.32179999999999997</v>
      </c>
      <c r="F11" s="20">
        <f t="shared" si="0"/>
        <v>0</v>
      </c>
      <c r="G11" s="11"/>
      <c r="H11" s="49">
        <f>'CO Summary Sheet CPS 603'!V3</f>
        <v>0</v>
      </c>
      <c r="I11" s="49"/>
      <c r="J11" s="12"/>
      <c r="K11" s="13"/>
    </row>
    <row r="12" spans="1:11" x14ac:dyDescent="0.25">
      <c r="A12" s="11"/>
      <c r="B12" s="16">
        <v>2005</v>
      </c>
      <c r="C12" s="17">
        <f t="shared" ref="C12:C25" si="2">H12*30/43560</f>
        <v>0</v>
      </c>
      <c r="D12" s="18" t="s">
        <v>32</v>
      </c>
      <c r="E12" s="19">
        <f t="shared" si="1"/>
        <v>0.32179999999999997</v>
      </c>
      <c r="F12" s="20">
        <f t="shared" si="0"/>
        <v>0</v>
      </c>
      <c r="G12" s="11"/>
      <c r="H12" s="49">
        <f>'CO Summary Sheet CPS 603'!V4</f>
        <v>0</v>
      </c>
      <c r="I12" s="49"/>
      <c r="J12" s="12"/>
      <c r="K12" s="13"/>
    </row>
    <row r="13" spans="1:11" x14ac:dyDescent="0.25">
      <c r="A13" s="11"/>
      <c r="B13" s="16">
        <v>2006</v>
      </c>
      <c r="C13" s="17">
        <f t="shared" si="2"/>
        <v>0</v>
      </c>
      <c r="D13" s="18" t="s">
        <v>32</v>
      </c>
      <c r="E13" s="19">
        <f t="shared" si="1"/>
        <v>0.32179999999999997</v>
      </c>
      <c r="F13" s="20">
        <f t="shared" si="0"/>
        <v>0</v>
      </c>
      <c r="G13" s="11"/>
      <c r="H13" s="49">
        <f>'CO Summary Sheet CPS 603'!V5</f>
        <v>0</v>
      </c>
      <c r="I13" s="49"/>
      <c r="J13" s="12"/>
      <c r="K13" s="13"/>
    </row>
    <row r="14" spans="1:11" x14ac:dyDescent="0.25">
      <c r="A14" s="11"/>
      <c r="B14" s="16">
        <v>2007</v>
      </c>
      <c r="C14" s="17">
        <f t="shared" si="2"/>
        <v>0</v>
      </c>
      <c r="D14" s="18" t="s">
        <v>32</v>
      </c>
      <c r="E14" s="19">
        <f t="shared" si="1"/>
        <v>0.32179999999999997</v>
      </c>
      <c r="F14" s="20">
        <f t="shared" si="0"/>
        <v>0</v>
      </c>
      <c r="G14" s="11"/>
      <c r="H14" s="49">
        <f>'CO Summary Sheet CPS 603'!V6</f>
        <v>0</v>
      </c>
      <c r="I14" s="49"/>
      <c r="J14" s="12"/>
      <c r="K14" s="13"/>
    </row>
    <row r="15" spans="1:11" x14ac:dyDescent="0.25">
      <c r="A15" s="11"/>
      <c r="B15" s="16">
        <v>2008</v>
      </c>
      <c r="C15" s="17">
        <f t="shared" si="2"/>
        <v>0</v>
      </c>
      <c r="D15" s="18" t="s">
        <v>32</v>
      </c>
      <c r="E15" s="19">
        <f t="shared" si="1"/>
        <v>0.32179999999999997</v>
      </c>
      <c r="F15" s="20">
        <f t="shared" si="0"/>
        <v>0</v>
      </c>
      <c r="G15" s="11"/>
      <c r="H15" s="49">
        <f>'CO Summary Sheet CPS 603'!V7</f>
        <v>0</v>
      </c>
      <c r="I15" s="49"/>
      <c r="J15" s="12"/>
      <c r="K15" s="13"/>
    </row>
    <row r="16" spans="1:11" x14ac:dyDescent="0.25">
      <c r="A16" s="11"/>
      <c r="B16" s="16">
        <v>2009</v>
      </c>
      <c r="C16" s="17">
        <f t="shared" si="2"/>
        <v>0</v>
      </c>
      <c r="D16" s="18" t="s">
        <v>32</v>
      </c>
      <c r="E16" s="19">
        <f t="shared" si="1"/>
        <v>0.32179999999999997</v>
      </c>
      <c r="F16" s="20">
        <f t="shared" si="0"/>
        <v>0</v>
      </c>
      <c r="G16" s="11"/>
      <c r="H16" s="49">
        <f>'CO Summary Sheet CPS 603'!V8</f>
        <v>0</v>
      </c>
      <c r="I16" s="49"/>
      <c r="J16" s="12"/>
      <c r="K16" s="13"/>
    </row>
    <row r="17" spans="1:11" x14ac:dyDescent="0.25">
      <c r="A17" s="11"/>
      <c r="B17" s="16">
        <v>2010</v>
      </c>
      <c r="C17" s="17">
        <f t="shared" si="2"/>
        <v>0</v>
      </c>
      <c r="D17" s="18" t="s">
        <v>32</v>
      </c>
      <c r="E17" s="19">
        <f t="shared" si="1"/>
        <v>0.32179999999999997</v>
      </c>
      <c r="F17" s="20">
        <f t="shared" si="0"/>
        <v>0</v>
      </c>
      <c r="G17" s="11"/>
      <c r="H17" s="49">
        <f>'CO Summary Sheet CPS 603'!V9</f>
        <v>0</v>
      </c>
      <c r="I17" s="49"/>
      <c r="J17" s="12"/>
      <c r="K17" s="13"/>
    </row>
    <row r="18" spans="1:11" x14ac:dyDescent="0.25">
      <c r="A18" s="11"/>
      <c r="B18" s="16">
        <v>2011</v>
      </c>
      <c r="C18" s="17">
        <f t="shared" si="2"/>
        <v>0</v>
      </c>
      <c r="D18" s="18" t="s">
        <v>32</v>
      </c>
      <c r="E18" s="19">
        <f t="shared" si="1"/>
        <v>0.32179999999999997</v>
      </c>
      <c r="F18" s="20">
        <f t="shared" si="0"/>
        <v>0</v>
      </c>
      <c r="G18" s="11"/>
      <c r="H18" s="49">
        <f>'CO Summary Sheet CPS 603'!V10</f>
        <v>0</v>
      </c>
      <c r="I18" s="49"/>
      <c r="J18" s="12"/>
      <c r="K18" s="13"/>
    </row>
    <row r="19" spans="1:11" x14ac:dyDescent="0.25">
      <c r="A19" s="11"/>
      <c r="B19" s="16">
        <v>2012</v>
      </c>
      <c r="C19" s="17">
        <f t="shared" si="2"/>
        <v>0</v>
      </c>
      <c r="D19" s="18" t="s">
        <v>32</v>
      </c>
      <c r="E19" s="19">
        <f t="shared" si="1"/>
        <v>0.32179999999999997</v>
      </c>
      <c r="F19" s="20">
        <f t="shared" si="0"/>
        <v>0</v>
      </c>
      <c r="G19" s="11"/>
      <c r="H19" s="49">
        <f>'CO Summary Sheet CPS 603'!V11</f>
        <v>0</v>
      </c>
      <c r="I19" s="49"/>
      <c r="J19" s="12"/>
      <c r="K19" s="13"/>
    </row>
    <row r="20" spans="1:11" s="22" customFormat="1" x14ac:dyDescent="0.25">
      <c r="A20" s="11"/>
      <c r="B20" s="16">
        <v>2013</v>
      </c>
      <c r="C20" s="17">
        <f t="shared" si="2"/>
        <v>0</v>
      </c>
      <c r="D20" s="18" t="s">
        <v>32</v>
      </c>
      <c r="E20" s="19">
        <f t="shared" si="1"/>
        <v>0.32179999999999997</v>
      </c>
      <c r="F20" s="20">
        <f t="shared" si="0"/>
        <v>0</v>
      </c>
      <c r="G20" s="11"/>
      <c r="H20" s="49">
        <f>'CO Summary Sheet CPS 603'!V12</f>
        <v>0</v>
      </c>
      <c r="I20" s="49"/>
      <c r="J20" s="12"/>
      <c r="K20" s="13"/>
    </row>
    <row r="21" spans="1:11" x14ac:dyDescent="0.25">
      <c r="B21" s="16">
        <v>2014</v>
      </c>
      <c r="C21" s="17">
        <f t="shared" si="2"/>
        <v>0</v>
      </c>
      <c r="D21" s="18" t="s">
        <v>32</v>
      </c>
      <c r="E21" s="19">
        <f t="shared" si="1"/>
        <v>0.32179999999999997</v>
      </c>
      <c r="F21" s="20">
        <f t="shared" si="0"/>
        <v>0</v>
      </c>
      <c r="H21" s="49">
        <f>'CO Summary Sheet CPS 603'!V13</f>
        <v>0</v>
      </c>
      <c r="I21" s="49"/>
    </row>
    <row r="22" spans="1:11" x14ac:dyDescent="0.25">
      <c r="B22" s="16">
        <v>2015</v>
      </c>
      <c r="C22" s="17">
        <f t="shared" si="2"/>
        <v>0</v>
      </c>
      <c r="D22" s="18" t="s">
        <v>32</v>
      </c>
      <c r="E22" s="19">
        <f t="shared" si="1"/>
        <v>0.32179999999999997</v>
      </c>
      <c r="F22" s="20">
        <f t="shared" si="0"/>
        <v>0</v>
      </c>
      <c r="H22" s="49">
        <f>'CO Summary Sheet CPS 603'!V14</f>
        <v>0</v>
      </c>
      <c r="I22" s="77"/>
    </row>
    <row r="23" spans="1:11" x14ac:dyDescent="0.25">
      <c r="B23" s="16">
        <v>2016</v>
      </c>
      <c r="C23" s="17">
        <f t="shared" si="2"/>
        <v>0</v>
      </c>
      <c r="D23" s="18" t="s">
        <v>32</v>
      </c>
      <c r="E23" s="19">
        <f t="shared" si="1"/>
        <v>0.32179999999999997</v>
      </c>
      <c r="F23" s="20">
        <f t="shared" si="0"/>
        <v>0</v>
      </c>
      <c r="H23" s="49">
        <f>'CO Summary Sheet CPS 603'!V15</f>
        <v>0</v>
      </c>
      <c r="I23" s="77"/>
    </row>
    <row r="24" spans="1:11" x14ac:dyDescent="0.25">
      <c r="B24" s="16">
        <v>2017</v>
      </c>
      <c r="C24" s="17">
        <f t="shared" si="2"/>
        <v>0</v>
      </c>
      <c r="D24" s="18" t="s">
        <v>32</v>
      </c>
      <c r="E24" s="19">
        <f t="shared" si="1"/>
        <v>0.32179999999999997</v>
      </c>
      <c r="F24" s="20">
        <f t="shared" si="0"/>
        <v>0</v>
      </c>
      <c r="H24" s="49">
        <f>'CO Summary Sheet CPS 603'!V16</f>
        <v>0</v>
      </c>
      <c r="I24" s="77"/>
    </row>
    <row r="25" spans="1:11" x14ac:dyDescent="0.25">
      <c r="B25" s="16">
        <v>2018</v>
      </c>
      <c r="C25" s="17">
        <f t="shared" si="2"/>
        <v>0</v>
      </c>
      <c r="D25" s="18" t="s">
        <v>32</v>
      </c>
      <c r="E25" s="19">
        <f t="shared" si="1"/>
        <v>0.32179999999999997</v>
      </c>
      <c r="F25" s="20">
        <f t="shared" si="0"/>
        <v>0</v>
      </c>
      <c r="H25" s="49">
        <f>'CO Summary Sheet CPS 603'!V17</f>
        <v>0</v>
      </c>
      <c r="I25" s="77"/>
    </row>
    <row r="26" spans="1:11" x14ac:dyDescent="0.25">
      <c r="C26" s="17">
        <f>SUM(C11:C21)</f>
        <v>0</v>
      </c>
    </row>
    <row r="27" spans="1:11" ht="78.75" customHeight="1" x14ac:dyDescent="0.25">
      <c r="B27" s="23" t="s">
        <v>0</v>
      </c>
      <c r="C27" s="23" t="s">
        <v>33</v>
      </c>
      <c r="D27" s="23" t="s">
        <v>34</v>
      </c>
      <c r="E27" s="23" t="s">
        <v>35</v>
      </c>
      <c r="F27" s="23" t="s">
        <v>36</v>
      </c>
    </row>
    <row r="28" spans="1:11" x14ac:dyDescent="0.25">
      <c r="B28">
        <v>1997</v>
      </c>
      <c r="C28" s="5">
        <f>F4</f>
        <v>0</v>
      </c>
    </row>
    <row r="29" spans="1:11" x14ac:dyDescent="0.25">
      <c r="B29">
        <v>1998</v>
      </c>
      <c r="C29" s="5">
        <f t="shared" ref="C29:C44" si="3">F5</f>
        <v>0</v>
      </c>
    </row>
    <row r="30" spans="1:11" x14ac:dyDescent="0.25">
      <c r="B30">
        <v>1999</v>
      </c>
      <c r="C30" s="5">
        <f t="shared" si="3"/>
        <v>0</v>
      </c>
    </row>
    <row r="31" spans="1:11" x14ac:dyDescent="0.25">
      <c r="B31">
        <v>2000</v>
      </c>
      <c r="C31" s="5">
        <f t="shared" si="3"/>
        <v>0</v>
      </c>
      <c r="D31" s="5">
        <f>C31+(0.5*C28)</f>
        <v>0</v>
      </c>
      <c r="E31" s="5">
        <f>C31+(0.75*C28)</f>
        <v>0</v>
      </c>
      <c r="F31" s="5">
        <f>C31+(1*C28)</f>
        <v>0</v>
      </c>
    </row>
    <row r="32" spans="1:11" x14ac:dyDescent="0.25">
      <c r="B32">
        <v>2001</v>
      </c>
      <c r="C32" s="5">
        <f t="shared" si="3"/>
        <v>0</v>
      </c>
      <c r="D32" s="5">
        <f>C32+(0.5*(C29+C28))</f>
        <v>0</v>
      </c>
      <c r="E32" s="5">
        <f>C32+(0.75*(C29+C28))</f>
        <v>0</v>
      </c>
      <c r="F32" s="5">
        <f>C32+(1*(C29+C28))</f>
        <v>0</v>
      </c>
    </row>
    <row r="33" spans="2:6" x14ac:dyDescent="0.25">
      <c r="B33">
        <v>2002</v>
      </c>
      <c r="C33" s="5">
        <f t="shared" si="3"/>
        <v>0</v>
      </c>
      <c r="D33" s="5">
        <f>C33+(0.5*(C28+C30+C29))</f>
        <v>0</v>
      </c>
      <c r="E33" s="5">
        <f>C33+(0.75*(C28+C30+C29))</f>
        <v>0</v>
      </c>
      <c r="F33" s="5">
        <f>C33+(1*(C28+C30+C29))</f>
        <v>0</v>
      </c>
    </row>
    <row r="34" spans="2:6" x14ac:dyDescent="0.25">
      <c r="B34">
        <v>2003</v>
      </c>
      <c r="C34" s="5">
        <f t="shared" si="3"/>
        <v>0</v>
      </c>
      <c r="D34" s="5">
        <f>C34+(0.5*(C28+C29+C31+C30))</f>
        <v>0</v>
      </c>
      <c r="E34" s="5">
        <f>C34+(0.75*(C28+C29+C31+C30))</f>
        <v>0</v>
      </c>
      <c r="F34" s="5">
        <f>C34+(1*(C28+C29+C31+C30))</f>
        <v>0</v>
      </c>
    </row>
    <row r="35" spans="2:6" x14ac:dyDescent="0.25">
      <c r="B35">
        <v>2004</v>
      </c>
      <c r="C35" s="5">
        <f t="shared" si="3"/>
        <v>0</v>
      </c>
      <c r="D35" s="5">
        <f>C35+(0.5*(C28+C29+C30+C32+C31))</f>
        <v>0</v>
      </c>
      <c r="E35" s="5">
        <f>C35+(0.75*(C28+C29+C30+C32+C31))</f>
        <v>0</v>
      </c>
      <c r="F35" s="5">
        <f>C35+(1*(C28+C29+C30+C32+C31))</f>
        <v>0</v>
      </c>
    </row>
    <row r="36" spans="2:6" x14ac:dyDescent="0.25">
      <c r="B36">
        <v>2005</v>
      </c>
      <c r="C36" s="5">
        <f t="shared" si="3"/>
        <v>0</v>
      </c>
      <c r="D36" s="5">
        <f>C36+(0.5*(C28+C29+C30+C31+C33+C32))</f>
        <v>0</v>
      </c>
      <c r="E36" s="5">
        <f>C36+(0.75*(C28+C29+C30+C31+C33+C32))</f>
        <v>0</v>
      </c>
      <c r="F36" s="5">
        <f>C36+(1*(C28+C29+C30+C31+C33+C32))</f>
        <v>0</v>
      </c>
    </row>
    <row r="37" spans="2:6" x14ac:dyDescent="0.25">
      <c r="B37">
        <v>2006</v>
      </c>
      <c r="C37" s="5">
        <f t="shared" si="3"/>
        <v>0</v>
      </c>
      <c r="D37" s="5">
        <f>C37+(0.5*(C28+C29+C30+C31+C32+C34+C33))</f>
        <v>0</v>
      </c>
      <c r="E37" s="5">
        <f>C37+(0.75*(C28+C29+C30+C31+C32+C34+C33))</f>
        <v>0</v>
      </c>
      <c r="F37" s="5">
        <f>C37+(1*(C28+C29+C30+C31+C32+C34+C33))</f>
        <v>0</v>
      </c>
    </row>
    <row r="38" spans="2:6" x14ac:dyDescent="0.25">
      <c r="B38">
        <v>2007</v>
      </c>
      <c r="C38" s="5">
        <f t="shared" si="3"/>
        <v>0</v>
      </c>
      <c r="D38" s="5">
        <f>C38+(0.5*(C28+C29+C30+C31+C32+C33+C35+C34))</f>
        <v>0</v>
      </c>
      <c r="E38" s="5">
        <f>C38+(0.75*(C28+C29+C30+C31+C32+C33+C35+C34))</f>
        <v>0</v>
      </c>
      <c r="F38" s="5">
        <f>C38+(1*(C28+C29+C30+C31+C32+C33+C35+C34))</f>
        <v>0</v>
      </c>
    </row>
    <row r="39" spans="2:6" x14ac:dyDescent="0.25">
      <c r="B39">
        <v>2008</v>
      </c>
      <c r="C39" s="5">
        <f t="shared" si="3"/>
        <v>0</v>
      </c>
      <c r="D39" s="5">
        <f>C39+(0.5*(C28+C29+C30+C31+C32+C33+C34+C36+C35))</f>
        <v>0</v>
      </c>
      <c r="E39" s="5">
        <f>C39+(0.75*(C28+C29+C30+C31+C32+C33+C34+C36+C35))</f>
        <v>0</v>
      </c>
      <c r="F39" s="5">
        <f>C39+(1*(C28+C29+C30+C31+C32+C33+C34+C36+C35))</f>
        <v>0</v>
      </c>
    </row>
    <row r="40" spans="2:6" x14ac:dyDescent="0.25">
      <c r="B40">
        <v>2009</v>
      </c>
      <c r="C40" s="5">
        <f t="shared" si="3"/>
        <v>0</v>
      </c>
      <c r="D40" s="5">
        <f>C40+(0.5*(C28+C29+C30+C31+C32+C33+C34+C35+C37+C36))</f>
        <v>0</v>
      </c>
      <c r="E40" s="5">
        <f>C40+(0.75*(C28+C29+C30+C31+C32+C33+C34+C35+C37+C36))</f>
        <v>0</v>
      </c>
      <c r="F40" s="5">
        <f>C40+(1*(C28+C29+C30+C31+C32+C33+C34+C35+C37+C36))</f>
        <v>0</v>
      </c>
    </row>
    <row r="41" spans="2:6" x14ac:dyDescent="0.25">
      <c r="B41">
        <v>2010</v>
      </c>
      <c r="C41" s="5">
        <f t="shared" si="3"/>
        <v>0</v>
      </c>
      <c r="D41" s="5">
        <f>C41+(0.5*(C28+C29+C30+C31+C32+C33+C34+C35+C36+C38+C37))</f>
        <v>0</v>
      </c>
      <c r="E41" s="5">
        <f>C41+(0.75*(C28+C29+C30+C31+C32+C33+C34+C35+C36+C38+C37))</f>
        <v>0</v>
      </c>
      <c r="F41" s="5">
        <f>C41+(1*(C28+C29+C30+C31+C32+C33+C34+C35+C36+C38+C37))</f>
        <v>0</v>
      </c>
    </row>
    <row r="42" spans="2:6" x14ac:dyDescent="0.25">
      <c r="B42">
        <v>2011</v>
      </c>
      <c r="C42" s="5">
        <f t="shared" si="3"/>
        <v>0</v>
      </c>
      <c r="D42" s="5">
        <f>C42+(0.5*(C28+C29+C30+C31+C32+C33+C34+C35+C36+C37+C39+C38))</f>
        <v>0</v>
      </c>
      <c r="E42" s="5">
        <f>C42+(0.75*(C28+C29+C30+C31+C32+C33+C34+C35+C36+C37+C39+C38))</f>
        <v>0</v>
      </c>
      <c r="F42" s="5">
        <f>C42+(1*(C28+C29+C30+C31+C32+C33+C34+C35+C36+C37+C39+C38))</f>
        <v>0</v>
      </c>
    </row>
    <row r="43" spans="2:6" x14ac:dyDescent="0.25">
      <c r="B43">
        <v>2012</v>
      </c>
      <c r="C43" s="5">
        <f t="shared" si="3"/>
        <v>0</v>
      </c>
      <c r="D43" s="5">
        <f>C43+(0.5*(C28+C29+C30+C31+C32+C33+C34+C35+C36+C37+C38+C40+C39))</f>
        <v>0</v>
      </c>
      <c r="E43" s="5">
        <f>C43+(0.75*(C28+C29+C30+C31+C32+C33+C34+C35+C36+C37+C38+C40+C39))</f>
        <v>0</v>
      </c>
      <c r="F43" s="5">
        <f>C43+(1*(C28+C29+C30+C31+C32+C33+C34+C35+C36+C37+C38+C40+C39))</f>
        <v>0</v>
      </c>
    </row>
    <row r="44" spans="2:6" x14ac:dyDescent="0.25">
      <c r="B44">
        <v>2013</v>
      </c>
      <c r="C44" s="5">
        <f t="shared" si="3"/>
        <v>0</v>
      </c>
      <c r="D44" s="5">
        <f>C44+(0.5*(C28+C29+C30+C31+C32+C33+C34+C35+C36+C37+C38+C39+C41+C40))</f>
        <v>0</v>
      </c>
      <c r="E44" s="5">
        <f>C44+(0.75*(C28+C29+C30+C31+C32+C33+C34+C35+C36+C37+C38+C39+C41+C40))</f>
        <v>0</v>
      </c>
      <c r="F44" s="5">
        <f>C44+(1*(C28+C29+C30+C31+C32+C33+C34+C35+C36+C37+C38+C39+C41+C40))</f>
        <v>0</v>
      </c>
    </row>
    <row r="45" spans="2:6" x14ac:dyDescent="0.25">
      <c r="B45">
        <v>2014</v>
      </c>
      <c r="C45" s="5">
        <f>F21</f>
        <v>0</v>
      </c>
      <c r="D45" s="5">
        <f>C45+(0.5*(C28+C29+C30+C31+C32+C33+C34+C35+C36+C37+C38+C39+C40+C42+C41))</f>
        <v>0</v>
      </c>
      <c r="E45" s="5">
        <f>C45+(0.75*(C28+C29+C30+C31+C32+C33+C34+C35+C36+C37+C38+C39+C40+C42+C41))</f>
        <v>0</v>
      </c>
      <c r="F45" s="5">
        <f>C45+(1*(C28+C29+C30+C31+C32+C33+C34+C35+C36+C37+C38+C39+C40+C42+C41))</f>
        <v>0</v>
      </c>
    </row>
    <row r="46" spans="2:6" x14ac:dyDescent="0.25">
      <c r="B46">
        <v>2015</v>
      </c>
      <c r="C46" s="5">
        <f t="shared" ref="C46:C49" si="4">F22</f>
        <v>0</v>
      </c>
      <c r="D46" s="5">
        <f t="shared" ref="D46:D49" si="5">C46+(0.5*(C29+C30+C31+C32+C33+C34+C35+C36+C37+C38+C39+C40+C41+C43+C42))</f>
        <v>0</v>
      </c>
      <c r="E46" s="5">
        <f t="shared" ref="E46:E49" si="6">C46+(0.75*(C29+C30+C31+C32+C33+C34+C35+C36+C37+C38+C39+C40+C41+C43+C42))</f>
        <v>0</v>
      </c>
      <c r="F46" s="5">
        <f t="shared" ref="F46:F49" si="7">C46+(1*(C29+C30+C31+C32+C33+C34+C35+C36+C37+C38+C39+C40+C41+C43+C42))</f>
        <v>0</v>
      </c>
    </row>
    <row r="47" spans="2:6" x14ac:dyDescent="0.25">
      <c r="B47">
        <v>2016</v>
      </c>
      <c r="C47" s="5">
        <f t="shared" si="4"/>
        <v>0</v>
      </c>
      <c r="D47" s="5">
        <f t="shared" si="5"/>
        <v>0</v>
      </c>
      <c r="E47" s="5">
        <f t="shared" si="6"/>
        <v>0</v>
      </c>
      <c r="F47" s="5">
        <f t="shared" si="7"/>
        <v>0</v>
      </c>
    </row>
    <row r="48" spans="2:6" x14ac:dyDescent="0.25">
      <c r="B48">
        <v>2017</v>
      </c>
      <c r="C48" s="5">
        <f t="shared" si="4"/>
        <v>0</v>
      </c>
      <c r="D48" s="5">
        <f t="shared" si="5"/>
        <v>0</v>
      </c>
      <c r="E48" s="5">
        <f t="shared" si="6"/>
        <v>0</v>
      </c>
      <c r="F48" s="5">
        <f t="shared" si="7"/>
        <v>0</v>
      </c>
    </row>
    <row r="49" spans="2:6" x14ac:dyDescent="0.25">
      <c r="B49">
        <v>2018</v>
      </c>
      <c r="C49" s="5">
        <f t="shared" si="4"/>
        <v>0</v>
      </c>
      <c r="D49" s="5">
        <f t="shared" si="5"/>
        <v>0</v>
      </c>
      <c r="E49" s="5">
        <f t="shared" si="6"/>
        <v>0</v>
      </c>
      <c r="F49" s="5">
        <f t="shared" si="7"/>
        <v>0</v>
      </c>
    </row>
  </sheetData>
  <mergeCells count="1">
    <mergeCell ref="H2:I2"/>
  </mergeCells>
  <pageMargins left="0.7" right="0.7" top="0.75" bottom="0.75" header="0.3" footer="0.3"/>
  <drawing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1:S39"/>
  <sheetViews>
    <sheetView zoomScale="60" zoomScaleNormal="60" workbookViewId="0">
      <selection activeCell="B3" sqref="B3:B17"/>
    </sheetView>
  </sheetViews>
  <sheetFormatPr defaultRowHeight="15" x14ac:dyDescent="0.25"/>
  <cols>
    <col min="1" max="1" width="2.28515625" customWidth="1"/>
    <col min="2" max="2" width="38" customWidth="1"/>
    <col min="3" max="3" width="5.5703125" bestFit="1" customWidth="1"/>
    <col min="4" max="4" width="27.5703125" customWidth="1"/>
    <col min="5" max="5" width="12.28515625" bestFit="1" customWidth="1"/>
    <col min="6" max="6" width="12.140625" bestFit="1" customWidth="1"/>
    <col min="7" max="8" width="11.140625" bestFit="1" customWidth="1"/>
    <col min="9" max="14" width="11.5703125" bestFit="1" customWidth="1"/>
    <col min="15" max="15" width="12.140625" customWidth="1"/>
    <col min="16" max="16" width="13" customWidth="1"/>
    <col min="17" max="17" width="11.7109375" customWidth="1"/>
    <col min="18" max="18" width="10.5703125" bestFit="1" customWidth="1"/>
    <col min="19" max="19" width="10.5703125" customWidth="1"/>
  </cols>
  <sheetData>
    <row r="1" spans="2:19" ht="15.75" thickBot="1" x14ac:dyDescent="0.3">
      <c r="E1" s="92" t="s">
        <v>76</v>
      </c>
      <c r="F1" s="92"/>
      <c r="G1" s="92"/>
      <c r="H1" s="92"/>
      <c r="I1" s="92"/>
      <c r="J1" s="92"/>
      <c r="K1" s="92"/>
      <c r="L1" s="92"/>
      <c r="M1" s="92"/>
      <c r="N1" s="92"/>
      <c r="O1" s="92"/>
    </row>
    <row r="2" spans="2:19" ht="16.5" thickTop="1" thickBot="1" x14ac:dyDescent="0.3">
      <c r="B2" s="50" t="s">
        <v>91</v>
      </c>
      <c r="C2" s="93" t="s">
        <v>52</v>
      </c>
      <c r="D2" s="94"/>
      <c r="E2" s="53">
        <v>2004</v>
      </c>
      <c r="F2" s="53">
        <v>2005</v>
      </c>
      <c r="G2" s="53">
        <v>2006</v>
      </c>
      <c r="H2" s="53">
        <v>2007</v>
      </c>
      <c r="I2" s="53">
        <v>2008</v>
      </c>
      <c r="J2" s="53">
        <v>2009</v>
      </c>
      <c r="K2" s="53">
        <v>2010</v>
      </c>
      <c r="L2" s="53">
        <v>2011</v>
      </c>
      <c r="M2" s="53">
        <v>2012</v>
      </c>
      <c r="N2" s="53">
        <v>2013</v>
      </c>
      <c r="O2" s="53">
        <v>2014</v>
      </c>
      <c r="P2" s="53">
        <v>2015</v>
      </c>
      <c r="Q2" s="53">
        <v>2016</v>
      </c>
      <c r="R2" s="53">
        <v>2017</v>
      </c>
      <c r="S2" s="53">
        <v>2018</v>
      </c>
    </row>
    <row r="3" spans="2:19" ht="16.5" thickTop="1" thickBot="1" x14ac:dyDescent="0.3">
      <c r="B3" s="95" t="s">
        <v>53</v>
      </c>
      <c r="C3" s="51">
        <v>327</v>
      </c>
      <c r="D3" s="52" t="s">
        <v>54</v>
      </c>
      <c r="E3" s="61">
        <f>'Emissions Calcs 327 Cons Cover'!C35</f>
        <v>0</v>
      </c>
      <c r="F3" s="61">
        <f>'Emissions Calcs 327 Cons Cover'!C36</f>
        <v>81.962459999999993</v>
      </c>
      <c r="G3" s="61">
        <f>'Emissions Calcs 327 Cons Cover'!C37</f>
        <v>57.66655999999999</v>
      </c>
      <c r="H3" s="61">
        <f>'Emissions Calcs 327 Cons Cover'!C38</f>
        <v>0</v>
      </c>
      <c r="I3" s="61">
        <f>'Emissions Calcs 327 Cons Cover'!C39</f>
        <v>31.085879999999996</v>
      </c>
      <c r="J3" s="61">
        <f>'Emissions Calcs 327 Cons Cover'!C40</f>
        <v>0</v>
      </c>
      <c r="K3" s="61">
        <f>'Emissions Calcs 327 Cons Cover'!C41</f>
        <v>34.883119999999998</v>
      </c>
      <c r="L3" s="61">
        <f>'Emissions Calcs 327 Cons Cover'!C42</f>
        <v>11491.928519999999</v>
      </c>
      <c r="M3" s="61">
        <f>'Emissions Calcs 327 Cons Cover'!C43</f>
        <v>23495.261599999998</v>
      </c>
      <c r="N3" s="61">
        <f>'Emissions Calcs 327 Cons Cover'!C44</f>
        <v>22299.420619999997</v>
      </c>
      <c r="O3" s="61">
        <f>'Emissions Calcs 327 Cons Cover'!C45</f>
        <v>3116.85826</v>
      </c>
      <c r="P3" s="61">
        <f>'Emissions Calcs 327 Cons Cover'!C46</f>
        <v>3085.0322399999995</v>
      </c>
      <c r="Q3" s="61">
        <f>'Emissions Calcs 327 Cons Cover'!C47</f>
        <v>4345.2332199999992</v>
      </c>
      <c r="R3" s="61">
        <f>'Emissions Calcs 327 Cons Cover'!C48</f>
        <v>3608.0215999999996</v>
      </c>
      <c r="S3" s="61">
        <f>'Emissions Calcs 327 Cons Cover'!C49</f>
        <v>7456.3956200000002</v>
      </c>
    </row>
    <row r="4" spans="2:19" ht="24" thickTop="1" thickBot="1" x14ac:dyDescent="0.3">
      <c r="B4" s="96"/>
      <c r="C4" s="51">
        <v>328</v>
      </c>
      <c r="D4" s="52" t="s">
        <v>55</v>
      </c>
      <c r="E4" s="61">
        <f>'Emissions Calcs 328 ConsCropRot'!C35</f>
        <v>5890.6142399999999</v>
      </c>
      <c r="F4" s="61">
        <f>'Emissions Calcs 328 ConsCropRot'!C36</f>
        <v>17137.51641</v>
      </c>
      <c r="G4" s="61">
        <f>'Emissions Calcs 328 ConsCropRot'!C37</f>
        <v>5788.1882100000012</v>
      </c>
      <c r="H4" s="61">
        <f>'Emissions Calcs 328 ConsCropRot'!C38</f>
        <v>11636.619470000001</v>
      </c>
      <c r="I4" s="61">
        <f>'Emissions Calcs 328 ConsCropRot'!C39</f>
        <v>11648.526785000002</v>
      </c>
      <c r="J4" s="61">
        <f>'Emissions Calcs 328 ConsCropRot'!C40</f>
        <v>5690.270775</v>
      </c>
      <c r="K4" s="61">
        <f>'Emissions Calcs 328 ConsCropRot'!C41</f>
        <v>3426.1853850000002</v>
      </c>
      <c r="L4" s="61">
        <f>'Emissions Calcs 328 ConsCropRot'!C42</f>
        <v>57989.831480000008</v>
      </c>
      <c r="M4" s="61">
        <f>'Emissions Calcs 328 ConsCropRot'!C43</f>
        <v>87847.520180000007</v>
      </c>
      <c r="N4" s="61">
        <f>'Emissions Calcs 328 ConsCropRot'!C44</f>
        <v>62373.110660000006</v>
      </c>
      <c r="O4" s="61">
        <f>'Emissions Calcs 328 ConsCropRot'!C45</f>
        <v>47378.371460000002</v>
      </c>
      <c r="P4" s="61">
        <f>'Emissions Calcs 328 ConsCropRot'!C46</f>
        <v>32318.790700000001</v>
      </c>
      <c r="Q4" s="61">
        <f>'Emissions Calcs 328 ConsCropRot'!C47</f>
        <v>84904.191189999998</v>
      </c>
      <c r="R4" s="61">
        <f>'Emissions Calcs 328 ConsCropRot'!C48</f>
        <v>40892.263019999999</v>
      </c>
      <c r="S4" s="61">
        <f>'Emissions Calcs 328 ConsCropRot'!C49</f>
        <v>38768.75331</v>
      </c>
    </row>
    <row r="5" spans="2:19" ht="24" thickTop="1" thickBot="1" x14ac:dyDescent="0.3">
      <c r="B5" s="96"/>
      <c r="C5" s="51">
        <v>329</v>
      </c>
      <c r="D5" s="52" t="s">
        <v>56</v>
      </c>
      <c r="E5" s="61">
        <f>'EmissionCalcs 329 No-till'!C35</f>
        <v>0</v>
      </c>
      <c r="F5" s="61">
        <f>'EmissionCalcs 329 No-till'!C36</f>
        <v>0</v>
      </c>
      <c r="G5" s="61">
        <f>'EmissionCalcs 329 No-till'!C37</f>
        <v>1972.3959</v>
      </c>
      <c r="H5" s="61">
        <f>'EmissionCalcs 329 No-till'!C38</f>
        <v>3515.25972</v>
      </c>
      <c r="I5" s="61">
        <f>'EmissionCalcs 329 No-till'!C39</f>
        <v>8342.1532800000004</v>
      </c>
      <c r="J5" s="61">
        <f>'EmissionCalcs 329 No-till'!C40</f>
        <v>4293.3347999999996</v>
      </c>
      <c r="K5" s="61">
        <f>'EmissionCalcs 329 No-till'!C41</f>
        <v>8187.5829000000003</v>
      </c>
      <c r="L5" s="61">
        <f>'EmissionCalcs 329 No-till'!C42</f>
        <v>20857.686960000003</v>
      </c>
      <c r="M5" s="61">
        <f>'EmissionCalcs 329 No-till'!C43</f>
        <v>26275.137479999998</v>
      </c>
      <c r="N5" s="61">
        <f>'EmissionCalcs 329 No-till'!C44</f>
        <v>14916.46866</v>
      </c>
      <c r="O5" s="61">
        <f>'EmissionCalcs 329 No-till'!C45</f>
        <v>18423.903539999999</v>
      </c>
      <c r="P5" s="61">
        <f>'EmissionCalcs 329 No-till'!C46</f>
        <v>12841.35684</v>
      </c>
      <c r="Q5" s="61">
        <f>'EmissionCalcs 329 No-till'!C47</f>
        <v>23176.600139999999</v>
      </c>
      <c r="R5" s="61">
        <f>'EmissionCalcs 329 No-till'!C48</f>
        <v>6720.3658199999991</v>
      </c>
      <c r="S5" s="61">
        <f>'EmissionCalcs 329 No-till'!C49</f>
        <v>9584.7736199999999</v>
      </c>
    </row>
    <row r="6" spans="2:19" ht="16.5" thickTop="1" thickBot="1" x14ac:dyDescent="0.3">
      <c r="B6" s="96"/>
      <c r="C6" s="51" t="s">
        <v>57</v>
      </c>
      <c r="D6" s="52" t="s">
        <v>58</v>
      </c>
      <c r="E6" s="61">
        <f>'EmissionCalcs 329A'!C35</f>
        <v>1138.9608999999998</v>
      </c>
      <c r="F6" s="61">
        <f>'EmissionCalcs 329A'!C36</f>
        <v>2667.9047999999998</v>
      </c>
      <c r="G6" s="61">
        <f>'EmissionCalcs 329A'!C37</f>
        <v>3271.114</v>
      </c>
      <c r="H6" s="61">
        <f>'EmissionCalcs 329A'!C38</f>
        <v>2524.5682000000002</v>
      </c>
      <c r="I6" s="61">
        <f>'EmissionCalcs 329A'!C39</f>
        <v>1614.4304</v>
      </c>
      <c r="J6" s="61">
        <f>'EmissionCalcs 329A'!C40</f>
        <v>410.57719999999995</v>
      </c>
      <c r="K6" s="61">
        <f>'EmissionCalcs 329A'!C41</f>
        <v>49.537399999999998</v>
      </c>
      <c r="L6" s="61">
        <f>'EmissionCalcs 329A'!C42</f>
        <v>38.72</v>
      </c>
      <c r="M6" s="61">
        <f>'EmissionCalcs 329A'!C43</f>
        <v>0</v>
      </c>
      <c r="N6" s="61">
        <f>'EmissionCalcs 329A'!C44</f>
        <v>178.596</v>
      </c>
      <c r="O6" s="61">
        <f>'EmissionCalcs 329A'!C45</f>
        <v>0</v>
      </c>
      <c r="P6" s="61">
        <f>'EmissionCalcs 329A'!C46</f>
        <v>27.224999999999998</v>
      </c>
      <c r="Q6" s="61">
        <f>'EmissionCalcs 329A'!C47</f>
        <v>420.596</v>
      </c>
      <c r="R6" s="61">
        <f>'EmissionCalcs 329A'!C48</f>
        <v>0</v>
      </c>
      <c r="S6" s="61">
        <f>'EmissionCalcs 329A'!C49</f>
        <v>56.385999999999996</v>
      </c>
    </row>
    <row r="7" spans="2:19" ht="16.5" thickTop="1" thickBot="1" x14ac:dyDescent="0.3">
      <c r="B7" s="96"/>
      <c r="C7" s="51" t="s">
        <v>59</v>
      </c>
      <c r="D7" s="52" t="s">
        <v>60</v>
      </c>
      <c r="E7" s="61">
        <f>'EmissionCalcs 329B Mulch Till'!C35</f>
        <v>1646.3622999999998</v>
      </c>
      <c r="F7" s="61">
        <f>'EmissionCalcs 329B Mulch Till'!C36</f>
        <v>3917.6412</v>
      </c>
      <c r="G7" s="61">
        <f>'EmissionCalcs 329B Mulch Till'!C37</f>
        <v>4464.6216999999997</v>
      </c>
      <c r="H7" s="61">
        <f>'EmissionCalcs 329B Mulch Till'!C38</f>
        <v>1962.62</v>
      </c>
      <c r="I7" s="61">
        <f>'EmissionCalcs 329B Mulch Till'!C39</f>
        <v>712.02449999999999</v>
      </c>
      <c r="J7" s="61">
        <f>'EmissionCalcs 329B Mulch Till'!C40</f>
        <v>112.44529999999999</v>
      </c>
      <c r="K7" s="61">
        <f>'EmissionCalcs 329B Mulch Till'!C41</f>
        <v>0</v>
      </c>
      <c r="L7" s="61">
        <f>'EmissionCalcs 329B Mulch Till'!C42</f>
        <v>50.723199999999999</v>
      </c>
      <c r="M7" s="61">
        <f>'EmissionCalcs 329B Mulch Till'!C43</f>
        <v>232.19899999999998</v>
      </c>
      <c r="N7" s="61">
        <f>'EmissionCalcs 329B Mulch Till'!C44</f>
        <v>302.25799999999998</v>
      </c>
      <c r="O7" s="61">
        <f>'EmissionCalcs 329B Mulch Till'!C45</f>
        <v>39.082999999999998</v>
      </c>
      <c r="P7" s="61">
        <f>'EmissionCalcs 329B Mulch Till'!C46</f>
        <v>0</v>
      </c>
      <c r="Q7" s="61">
        <f>'EmissionCalcs 329B Mulch Till'!C47</f>
        <v>1770.1089999999999</v>
      </c>
      <c r="R7" s="61">
        <f>'EmissionCalcs 329B Mulch Till'!C48</f>
        <v>55.902000000000001</v>
      </c>
      <c r="S7" s="61">
        <f>'EmissionCalcs 329B Mulch Till'!C49</f>
        <v>104.06</v>
      </c>
    </row>
    <row r="8" spans="2:19" ht="16.5" thickTop="1" thickBot="1" x14ac:dyDescent="0.3">
      <c r="B8" s="96"/>
      <c r="C8" s="51">
        <v>330</v>
      </c>
      <c r="D8" s="52" t="s">
        <v>61</v>
      </c>
      <c r="E8" s="61">
        <f>'Emission Calcs 330 Contour Farm'!C35</f>
        <v>0</v>
      </c>
      <c r="F8" s="61">
        <f>'Emission Calcs 330 Contour Farm'!C36</f>
        <v>38.955000000000005</v>
      </c>
      <c r="G8" s="61">
        <f>'Emission Calcs 330 Contour Farm'!C37</f>
        <v>0</v>
      </c>
      <c r="H8" s="61">
        <f>'Emission Calcs 330 Contour Farm'!C38</f>
        <v>61.124000000000009</v>
      </c>
      <c r="I8" s="61">
        <f>'Emission Calcs 330 Contour Farm'!C39</f>
        <v>72.968000000000018</v>
      </c>
      <c r="J8" s="61">
        <f>'Emission Calcs 330 Contour Farm'!C40</f>
        <v>11.844000000000001</v>
      </c>
      <c r="K8" s="61">
        <f>'Emission Calcs 330 Contour Farm'!C41</f>
        <v>11.844000000000001</v>
      </c>
      <c r="L8" s="61">
        <f>'Emission Calcs 330 Contour Farm'!C42</f>
        <v>23.17</v>
      </c>
      <c r="M8" s="61">
        <f>'Emission Calcs 330 Contour Farm'!C43</f>
        <v>0</v>
      </c>
      <c r="N8" s="61">
        <f>'Emission Calcs 330 Contour Farm'!C44</f>
        <v>0.18200000000000002</v>
      </c>
      <c r="O8" s="61">
        <f>'Emission Calcs 330 Contour Farm'!C45</f>
        <v>0.18200000000000002</v>
      </c>
      <c r="P8" s="61">
        <f>'Emission Calcs 330 Contour Farm'!C46</f>
        <v>0.18200000000000002</v>
      </c>
      <c r="Q8" s="61">
        <f>'Emission Calcs 330 Contour Farm'!C47</f>
        <v>21.000000000000004</v>
      </c>
      <c r="R8" s="61">
        <f>'Emission Calcs 330 Contour Farm'!C48</f>
        <v>21.21</v>
      </c>
      <c r="S8" s="61">
        <f>'Emission Calcs 330 Contour Farm'!C49</f>
        <v>0</v>
      </c>
    </row>
    <row r="9" spans="2:19" ht="16.5" thickTop="1" thickBot="1" x14ac:dyDescent="0.3">
      <c r="B9" s="96"/>
      <c r="C9" s="51">
        <v>332</v>
      </c>
      <c r="D9" s="52" t="s">
        <v>62</v>
      </c>
      <c r="E9" s="61">
        <f>'Emission Calcs 332 Ctr Bufr Str'!C35</f>
        <v>0</v>
      </c>
      <c r="F9" s="61">
        <f>'Emission Calcs 332 Ctr Bufr Str'!C36</f>
        <v>0</v>
      </c>
      <c r="G9" s="61">
        <f>'Emission Calcs 332 Ctr Bufr Str'!C37</f>
        <v>0</v>
      </c>
      <c r="H9" s="61">
        <f>'Emission Calcs 332 Ctr Bufr Str'!C38</f>
        <v>0</v>
      </c>
      <c r="I9" s="61">
        <f>'Emission Calcs 332 Ctr Bufr Str'!C39</f>
        <v>0</v>
      </c>
      <c r="J9" s="61">
        <f>'Emission Calcs 332 Ctr Bufr Str'!C40</f>
        <v>0</v>
      </c>
      <c r="K9" s="61">
        <f>'Emission Calcs 332 Ctr Bufr Str'!C41</f>
        <v>0</v>
      </c>
      <c r="L9" s="61">
        <f>'Emission Calcs 332 Ctr Bufr Str'!C42</f>
        <v>0</v>
      </c>
      <c r="M9" s="61">
        <f>'Emission Calcs 332 Ctr Bufr Str'!C43</f>
        <v>0</v>
      </c>
      <c r="N9" s="61">
        <f>'Emission Calcs 332 Ctr Bufr Str'!C44</f>
        <v>0</v>
      </c>
      <c r="O9" s="61">
        <f>'Emission Calcs 332 Ctr Bufr Str'!C45</f>
        <v>0</v>
      </c>
      <c r="P9" s="61">
        <f>'Emission Calcs 332 Ctr Bufr Str'!C46</f>
        <v>0</v>
      </c>
      <c r="Q9" s="61">
        <f>'Emission Calcs 332 Ctr Bufr Str'!C47</f>
        <v>0</v>
      </c>
      <c r="R9" s="61">
        <f>'Emission Calcs 332 Ctr Bufr Str'!C48</f>
        <v>0</v>
      </c>
      <c r="S9" s="61">
        <f>'Emission Calcs 332 Ctr Bufr Str'!C49</f>
        <v>0</v>
      </c>
    </row>
    <row r="10" spans="2:19" ht="16.5" thickTop="1" thickBot="1" x14ac:dyDescent="0.3">
      <c r="B10" s="96"/>
      <c r="C10" s="51">
        <v>340</v>
      </c>
      <c r="D10" s="52" t="s">
        <v>63</v>
      </c>
      <c r="E10" s="61">
        <f>'Emissions Calcs 340 Cover Crop'!C35</f>
        <v>10.033750000000001</v>
      </c>
      <c r="F10" s="61">
        <f>'Emissions Calcs 340 Cover Crop'!C36</f>
        <v>40.468499999999999</v>
      </c>
      <c r="G10" s="61">
        <f>'Emissions Calcs 340 Cover Crop'!C37</f>
        <v>954.86800000000017</v>
      </c>
      <c r="H10" s="61">
        <f>'Emissions Calcs 340 Cover Crop'!C38</f>
        <v>156.63575</v>
      </c>
      <c r="I10" s="61">
        <f>'Emissions Calcs 340 Cover Crop'!C39</f>
        <v>63.908375000000007</v>
      </c>
      <c r="J10" s="61">
        <f>'Emissions Calcs 340 Cover Crop'!C40</f>
        <v>17.434000000000001</v>
      </c>
      <c r="K10" s="61">
        <f>'Emissions Calcs 340 Cover Crop'!C41</f>
        <v>59.926500000000004</v>
      </c>
      <c r="L10" s="61">
        <f>'Emissions Calcs 340 Cover Crop'!C42</f>
        <v>470.15450000000004</v>
      </c>
      <c r="M10" s="61">
        <f>'Emissions Calcs 340 Cover Crop'!C43</f>
        <v>588.58150000000012</v>
      </c>
      <c r="N10" s="61">
        <f>'Emissions Calcs 340 Cover Crop'!C44</f>
        <v>381.45730000000003</v>
      </c>
      <c r="O10" s="61">
        <f>'Emissions Calcs 340 Cover Crop'!C45</f>
        <v>553.54674999999997</v>
      </c>
      <c r="P10" s="61">
        <f>'Emissions Calcs 340 Cover Crop'!C46</f>
        <v>549.37800000000016</v>
      </c>
      <c r="Q10" s="61">
        <f>'Emissions Calcs 340 Cover Crop'!C47</f>
        <v>948.73850000000016</v>
      </c>
      <c r="R10" s="61">
        <f>'Emissions Calcs 340 Cover Crop'!C48</f>
        <v>709.51549999999997</v>
      </c>
      <c r="S10" s="61">
        <f>'Emissions Calcs 340 Cover Crop'!C49</f>
        <v>443.60100000000006</v>
      </c>
    </row>
    <row r="11" spans="2:19" ht="35.25" thickTop="1" thickBot="1" x14ac:dyDescent="0.3">
      <c r="B11" s="96"/>
      <c r="C11" s="51">
        <v>345</v>
      </c>
      <c r="D11" s="52" t="s">
        <v>64</v>
      </c>
      <c r="E11" s="61">
        <f>'EmissionCalcs 345 ReducedTill'!C35</f>
        <v>0</v>
      </c>
      <c r="F11" s="61">
        <f>'EmissionCalcs 345 ReducedTill'!C36</f>
        <v>0</v>
      </c>
      <c r="G11" s="61">
        <f>'EmissionCalcs 345 ReducedTill'!C37</f>
        <v>0</v>
      </c>
      <c r="H11" s="61">
        <f>'EmissionCalcs 345 ReducedTill'!C38</f>
        <v>79.385283999999999</v>
      </c>
      <c r="I11" s="61">
        <f>'EmissionCalcs 345 ReducedTill'!C39</f>
        <v>23.497017400000001</v>
      </c>
      <c r="J11" s="61">
        <f>'EmissionCalcs 345 ReducedTill'!C40</f>
        <v>94.838087000000002</v>
      </c>
      <c r="K11" s="61">
        <f>'EmissionCalcs 345 ReducedTill'!C41</f>
        <v>376.94421700000004</v>
      </c>
      <c r="L11" s="61">
        <f>'EmissionCalcs 345 ReducedTill'!C42</f>
        <v>2415.4686280000001</v>
      </c>
      <c r="M11" s="61">
        <f>'EmissionCalcs 345 ReducedTill'!C43</f>
        <v>4501.9065420000006</v>
      </c>
      <c r="N11" s="61">
        <f>'EmissionCalcs 345 ReducedTill'!C44</f>
        <v>3789.9905479999998</v>
      </c>
      <c r="O11" s="61">
        <f>'EmissionCalcs 345 ReducedTill'!C45</f>
        <v>3636.3834960000004</v>
      </c>
      <c r="P11" s="61">
        <f>'EmissionCalcs 345 ReducedTill'!C46</f>
        <v>2668.1789520000002</v>
      </c>
      <c r="Q11" s="61">
        <f>'EmissionCalcs 345 ReducedTill'!C47</f>
        <v>14621.107023</v>
      </c>
      <c r="R11" s="61">
        <f>'EmissionCalcs 345 ReducedTill'!C48</f>
        <v>7647.5974890000007</v>
      </c>
      <c r="S11" s="61">
        <f>'EmissionCalcs 345 ReducedTill'!C49</f>
        <v>8870.9959780000008</v>
      </c>
    </row>
    <row r="12" spans="2:19" ht="16.5" thickTop="1" thickBot="1" x14ac:dyDescent="0.3">
      <c r="B12" s="96"/>
      <c r="C12" s="51">
        <v>386</v>
      </c>
      <c r="D12" s="52" t="s">
        <v>65</v>
      </c>
      <c r="E12" s="62">
        <f>'Emission Calcs 386 Field Border'!C35</f>
        <v>0</v>
      </c>
      <c r="F12" s="62">
        <f>'Emission Calcs 386 Field Border'!C36</f>
        <v>4.4515151515151516E-4</v>
      </c>
      <c r="G12" s="62">
        <f>'Emission Calcs 386 Field Border'!C37</f>
        <v>7.5068732782369143E-3</v>
      </c>
      <c r="H12" s="62">
        <f>'Emission Calcs 386 Field Border'!C38</f>
        <v>2.0638842975206611E-3</v>
      </c>
      <c r="I12" s="62">
        <f>'Emission Calcs 386 Field Border'!C39</f>
        <v>0</v>
      </c>
      <c r="J12" s="62">
        <f>'Emission Calcs 386 Field Border'!C40</f>
        <v>8.0936639118457294E-5</v>
      </c>
      <c r="K12" s="62">
        <f>'Emission Calcs 386 Field Border'!C41</f>
        <v>1.5782644628099174E-3</v>
      </c>
      <c r="L12" s="62">
        <f>'Emission Calcs 386 Field Border'!C42</f>
        <v>2.0573486639118457</v>
      </c>
      <c r="M12" s="62">
        <f>'Emission Calcs 386 Field Border'!C43</f>
        <v>4.5745995454545456</v>
      </c>
      <c r="N12" s="62">
        <f>'Emission Calcs 386 Field Border'!C44</f>
        <v>6.3130578512396701E-2</v>
      </c>
      <c r="O12" s="62">
        <f>'Emission Calcs 386 Field Border'!C45</f>
        <v>21.153600000000001</v>
      </c>
      <c r="P12" s="62">
        <f>'Emission Calcs 386 Field Border'!C46</f>
        <v>1.1752</v>
      </c>
      <c r="Q12" s="62">
        <f>'Emission Calcs 386 Field Border'!C47</f>
        <v>0</v>
      </c>
      <c r="R12" s="62">
        <f>'Emission Calcs 386 Field Border'!C48</f>
        <v>1.0870600000000001</v>
      </c>
      <c r="S12" s="62">
        <f>'Emission Calcs 386 Field Border'!C49</f>
        <v>0</v>
      </c>
    </row>
    <row r="13" spans="2:19" ht="16.5" thickTop="1" thickBot="1" x14ac:dyDescent="0.3">
      <c r="B13" s="96"/>
      <c r="C13" s="51">
        <v>393</v>
      </c>
      <c r="D13" s="52" t="s">
        <v>66</v>
      </c>
      <c r="E13" s="61">
        <f>'Emission Calcs 393 Filter Strip'!C35</f>
        <v>0</v>
      </c>
      <c r="F13" s="61">
        <f>'Emission Calcs 393 Filter Strip'!C36</f>
        <v>0.35949999999999999</v>
      </c>
      <c r="G13" s="61">
        <f>'Emission Calcs 393 Filter Strip'!C37</f>
        <v>6.1114999999999995</v>
      </c>
      <c r="H13" s="61">
        <f>'Emission Calcs 393 Filter Strip'!C38</f>
        <v>10.96475</v>
      </c>
      <c r="I13" s="61">
        <f>'Emission Calcs 393 Filter Strip'!C39</f>
        <v>5.0329999999999995</v>
      </c>
      <c r="J13" s="61">
        <f>'Emission Calcs 393 Filter Strip'!C40</f>
        <v>24.2303</v>
      </c>
      <c r="K13" s="61">
        <f>'Emission Calcs 393 Filter Strip'!C41</f>
        <v>1.5099</v>
      </c>
      <c r="L13" s="61">
        <f>'Emission Calcs 393 Filter Strip'!C42</f>
        <v>116.80154999999999</v>
      </c>
      <c r="M13" s="61">
        <f>'Emission Calcs 393 Filter Strip'!C43</f>
        <v>0</v>
      </c>
      <c r="N13" s="61">
        <f>'Emission Calcs 393 Filter Strip'!C44</f>
        <v>0.35949999999999999</v>
      </c>
      <c r="O13" s="61">
        <f>'Emission Calcs 393 Filter Strip'!C45</f>
        <v>2.26485</v>
      </c>
      <c r="P13" s="61">
        <f>'Emission Calcs 393 Filter Strip'!C46</f>
        <v>0</v>
      </c>
      <c r="Q13" s="61">
        <f>'Emission Calcs 393 Filter Strip'!C47</f>
        <v>0</v>
      </c>
      <c r="R13" s="61">
        <f>'Emission Calcs 393 Filter Strip'!C48</f>
        <v>0</v>
      </c>
      <c r="S13" s="61">
        <f>'Emission Calcs 393 Filter Strip'!C49</f>
        <v>0</v>
      </c>
    </row>
    <row r="14" spans="2:19" ht="16.5" thickTop="1" thickBot="1" x14ac:dyDescent="0.3">
      <c r="B14" s="96"/>
      <c r="C14" s="51">
        <v>412</v>
      </c>
      <c r="D14" s="52" t="s">
        <v>67</v>
      </c>
      <c r="E14" s="61">
        <f>'Emission Calcs 412 Gr WaterWay'!C35</f>
        <v>0</v>
      </c>
      <c r="F14" s="61">
        <f>'Emission Calcs 412 Gr WaterWay'!C36</f>
        <v>0</v>
      </c>
      <c r="G14" s="61">
        <f>'Emission Calcs 412 Gr WaterWay'!C37</f>
        <v>0.96539999999999992</v>
      </c>
      <c r="H14" s="61">
        <f>'Emission Calcs 412 Gr WaterWay'!C38</f>
        <v>5.6958599999999997</v>
      </c>
      <c r="I14" s="61">
        <f>'Emission Calcs 412 Gr WaterWay'!C39</f>
        <v>6.1141999999999994</v>
      </c>
      <c r="J14" s="61">
        <f>'Emission Calcs 412 Gr WaterWay'!C40</f>
        <v>6.5968999999999998</v>
      </c>
      <c r="K14" s="61">
        <f>'Emission Calcs 412 Gr WaterWay'!C41</f>
        <v>11.263</v>
      </c>
      <c r="L14" s="61">
        <f>'Emission Calcs 412 Gr WaterWay'!C42</f>
        <v>3.5397999999999996</v>
      </c>
      <c r="M14" s="61">
        <f>'Emission Calcs 412 Gr WaterWay'!C43</f>
        <v>20.112499999999997</v>
      </c>
      <c r="N14" s="61">
        <f>'Emission Calcs 412 Gr WaterWay'!C44</f>
        <v>3.5397999999999996</v>
      </c>
      <c r="O14" s="61">
        <f>'Emission Calcs 412 Gr WaterWay'!C45</f>
        <v>4.9878999999999998</v>
      </c>
      <c r="P14" s="61">
        <f>'Emission Calcs 412 Gr WaterWay'!C46</f>
        <v>0</v>
      </c>
      <c r="Q14" s="61">
        <f>'Emission Calcs 412 Gr WaterWay'!C47</f>
        <v>3.5719800000000004</v>
      </c>
      <c r="R14" s="61">
        <f>'Emission Calcs 412 Gr WaterWay'!C48</f>
        <v>8.1093599999999988</v>
      </c>
      <c r="S14" s="61">
        <f>'Emission Calcs 412 Gr WaterWay'!C49</f>
        <v>2.0916999999999999</v>
      </c>
    </row>
    <row r="15" spans="2:19" ht="16.5" thickTop="1" thickBot="1" x14ac:dyDescent="0.3">
      <c r="B15" s="96"/>
      <c r="C15" s="51">
        <v>585</v>
      </c>
      <c r="D15" s="52" t="s">
        <v>68</v>
      </c>
      <c r="E15" s="61">
        <f>'EmissionCalcs 585 Strip Croppin'!C35</f>
        <v>0</v>
      </c>
      <c r="F15" s="61">
        <f>'EmissionCalcs 585 Strip Croppin'!C36</f>
        <v>90.880419999999987</v>
      </c>
      <c r="G15" s="61">
        <f>'EmissionCalcs 585 Strip Croppin'!C37</f>
        <v>49.692779999999999</v>
      </c>
      <c r="H15" s="61">
        <f>'EmissionCalcs 585 Strip Croppin'!C38</f>
        <v>73.054999999999993</v>
      </c>
      <c r="I15" s="61">
        <f>'EmissionCalcs 585 Strip Croppin'!C39</f>
        <v>293.57344000000001</v>
      </c>
      <c r="J15" s="61">
        <f>'EmissionCalcs 585 Strip Croppin'!C40</f>
        <v>0</v>
      </c>
      <c r="K15" s="61">
        <f>'EmissionCalcs 585 Strip Croppin'!C41</f>
        <v>299.35631999999998</v>
      </c>
      <c r="L15" s="61">
        <f>'EmissionCalcs 585 Strip Croppin'!C42</f>
        <v>934.35037999999997</v>
      </c>
      <c r="M15" s="61">
        <f>'EmissionCalcs 585 Strip Croppin'!C43</f>
        <v>283.45339999999999</v>
      </c>
      <c r="N15" s="61">
        <f>'EmissionCalcs 585 Strip Croppin'!C44</f>
        <v>468.7824</v>
      </c>
      <c r="O15" s="61">
        <f>'EmissionCalcs 585 Strip Croppin'!C45</f>
        <v>32.421039999999998</v>
      </c>
      <c r="P15" s="61">
        <f>'EmissionCalcs 585 Strip Croppin'!C46</f>
        <v>320.82679999999999</v>
      </c>
      <c r="Q15" s="61">
        <f>'EmissionCalcs 585 Strip Croppin'!C47</f>
        <v>0</v>
      </c>
      <c r="R15" s="61">
        <f>'EmissionCalcs 585 Strip Croppin'!C48</f>
        <v>124.8856</v>
      </c>
      <c r="S15" s="61">
        <f>'EmissionCalcs 585 Strip Croppin'!C49</f>
        <v>0</v>
      </c>
    </row>
    <row r="16" spans="2:19" ht="16.5" thickTop="1" thickBot="1" x14ac:dyDescent="0.3">
      <c r="B16" s="96"/>
      <c r="C16" s="51">
        <v>601</v>
      </c>
      <c r="D16" s="52" t="s">
        <v>69</v>
      </c>
      <c r="E16" s="61">
        <f>'Emission Calcs 601 Veg. Barrier'!C35</f>
        <v>0</v>
      </c>
      <c r="F16" s="61">
        <f>'Emission Calcs 601 Veg. Barrier'!C36</f>
        <v>0</v>
      </c>
      <c r="G16" s="61">
        <f>'Emission Calcs 601 Veg. Barrier'!C37</f>
        <v>0</v>
      </c>
      <c r="H16" s="61">
        <f>'Emission Calcs 601 Veg. Barrier'!C38</f>
        <v>0</v>
      </c>
      <c r="I16" s="61">
        <f>'Emission Calcs 601 Veg. Barrier'!C39</f>
        <v>0</v>
      </c>
      <c r="J16" s="61">
        <f>'Emission Calcs 601 Veg. Barrier'!C40</f>
        <v>0</v>
      </c>
      <c r="K16" s="61">
        <f>'Emission Calcs 601 Veg. Barrier'!C41</f>
        <v>0</v>
      </c>
      <c r="L16" s="61">
        <f>'Emission Calcs 601 Veg. Barrier'!C42</f>
        <v>0</v>
      </c>
      <c r="M16" s="61">
        <f>'Emission Calcs 601 Veg. Barrier'!C43</f>
        <v>0</v>
      </c>
      <c r="N16" s="61">
        <f>'Emission Calcs 601 Veg. Barrier'!C44</f>
        <v>0</v>
      </c>
      <c r="O16" s="61">
        <f>'Emission Calcs 601 Veg. Barrier'!C45</f>
        <v>0</v>
      </c>
      <c r="P16" s="61">
        <f>'Emission Calcs 601 Veg. Barrier'!C46</f>
        <v>0</v>
      </c>
      <c r="Q16" s="61">
        <f>'Emission Calcs 601 Veg. Barrier'!C47</f>
        <v>0</v>
      </c>
      <c r="R16" s="61">
        <f>'Emission Calcs 601 Veg. Barrier'!C48</f>
        <v>0</v>
      </c>
      <c r="S16" s="61">
        <f>'Emission Calcs 601 Veg. Barrier'!C49</f>
        <v>0</v>
      </c>
    </row>
    <row r="17" spans="2:19" ht="24" thickTop="1" thickBot="1" x14ac:dyDescent="0.3">
      <c r="B17" s="97"/>
      <c r="C17" s="51">
        <v>603</v>
      </c>
      <c r="D17" s="52" t="s">
        <v>70</v>
      </c>
      <c r="E17" s="61">
        <f>'Emission Calcs 603 Herb Wnd Bar'!C35</f>
        <v>0</v>
      </c>
      <c r="F17" s="61">
        <f>'Emission Calcs 603 Herb Wnd Bar'!C36</f>
        <v>0</v>
      </c>
      <c r="G17" s="61">
        <f>'Emission Calcs 603 Herb Wnd Bar'!C37</f>
        <v>0</v>
      </c>
      <c r="H17" s="61">
        <f>'Emission Calcs 603 Herb Wnd Bar'!C38</f>
        <v>0</v>
      </c>
      <c r="I17" s="61">
        <f>'Emission Calcs 603 Herb Wnd Bar'!C39</f>
        <v>0</v>
      </c>
      <c r="J17" s="61">
        <f>'Emission Calcs 603 Herb Wnd Bar'!C40</f>
        <v>0</v>
      </c>
      <c r="K17" s="61">
        <f>'Emission Calcs 603 Herb Wnd Bar'!C41</f>
        <v>0</v>
      </c>
      <c r="L17" s="61">
        <f>'Emission Calcs 603 Herb Wnd Bar'!C42</f>
        <v>0</v>
      </c>
      <c r="M17" s="61">
        <f>'Emission Calcs 603 Herb Wnd Bar'!C43</f>
        <v>0</v>
      </c>
      <c r="N17" s="61">
        <f>'Emission Calcs 603 Herb Wnd Bar'!C44</f>
        <v>0</v>
      </c>
      <c r="O17" s="61">
        <f>'Emission Calcs 603 Herb Wnd Bar'!C45</f>
        <v>0</v>
      </c>
      <c r="P17" s="61">
        <f>'Emission Calcs 603 Herb Wnd Bar'!C46</f>
        <v>0</v>
      </c>
      <c r="Q17" s="61">
        <f>'Emission Calcs 603 Herb Wnd Bar'!C47</f>
        <v>0</v>
      </c>
      <c r="R17" s="61">
        <f>'Emission Calcs 603 Herb Wnd Bar'!C48</f>
        <v>0</v>
      </c>
      <c r="S17" s="61">
        <f>'Emission Calcs 603 Herb Wnd Bar'!C49</f>
        <v>0</v>
      </c>
    </row>
    <row r="18" spans="2:19" ht="57" customHeight="1" thickTop="1" x14ac:dyDescent="0.25">
      <c r="D18" s="55" t="s">
        <v>71</v>
      </c>
      <c r="E18" s="63">
        <f>SUM(E3:E17)</f>
        <v>8685.9711900000002</v>
      </c>
      <c r="F18" s="63">
        <f t="shared" ref="F18:S18" si="0">SUM(F3:F17)</f>
        <v>23975.688735151518</v>
      </c>
      <c r="G18" s="63">
        <f t="shared" si="0"/>
        <v>16565.631556873279</v>
      </c>
      <c r="H18" s="63">
        <f t="shared" si="0"/>
        <v>20025.930097884298</v>
      </c>
      <c r="I18" s="63">
        <f t="shared" si="0"/>
        <v>22813.314877400004</v>
      </c>
      <c r="J18" s="63">
        <f t="shared" si="0"/>
        <v>10661.571442936636</v>
      </c>
      <c r="K18" s="63">
        <f t="shared" si="0"/>
        <v>12459.034320264462</v>
      </c>
      <c r="L18" s="63">
        <f t="shared" si="0"/>
        <v>94394.432366663939</v>
      </c>
      <c r="M18" s="63">
        <f t="shared" si="0"/>
        <v>143248.74680154544</v>
      </c>
      <c r="N18" s="63">
        <f t="shared" si="0"/>
        <v>104714.22861857851</v>
      </c>
      <c r="O18" s="63">
        <f t="shared" si="0"/>
        <v>73209.155895999997</v>
      </c>
      <c r="P18" s="63">
        <f t="shared" si="0"/>
        <v>51812.145731999997</v>
      </c>
      <c r="Q18" s="63">
        <f t="shared" si="0"/>
        <v>130211.14705299999</v>
      </c>
      <c r="R18" s="63">
        <f t="shared" si="0"/>
        <v>59788.957449000001</v>
      </c>
      <c r="S18" s="63">
        <f t="shared" si="0"/>
        <v>65287.057227999998</v>
      </c>
    </row>
    <row r="19" spans="2:19" x14ac:dyDescent="0.25">
      <c r="D19" s="54" t="s">
        <v>80</v>
      </c>
      <c r="P19" s="61">
        <f>'Emissions Calcs 327 Cons Cover'!C26+'Emissions Calcs 328 ConsCropRot'!C26+'EmissionCalcs 329 No-till'!C26+'EmissionCalcs 329A'!C26+'EmissionCalcs 329B Mulch Till'!C26+'Emission Calcs 330 Contour Farm'!C26+'Emission Calcs 332 Ctr Bufr Str'!C26+'Emissions Calcs 340 Cover Crop'!C26+'EmissionCalcs 345 ReducedTill'!C26+'Emission Calcs 386 Field Border'!C26+'Emission Calcs 393 Filter Strip'!C26+'EmissionCalcs 585 Strip Croppin'!C26+'Emission Calcs 601 Veg. Barrier'!C26+'Emission Calcs 603 Herb Wnd Bar'!C26</f>
        <v>2443682.7276170803</v>
      </c>
    </row>
    <row r="20" spans="2:19" ht="15.75" thickBot="1" x14ac:dyDescent="0.3">
      <c r="E20" s="92" t="s">
        <v>77</v>
      </c>
      <c r="F20" s="92"/>
      <c r="G20" s="92"/>
      <c r="H20" s="92"/>
      <c r="I20" s="92"/>
      <c r="J20" s="92"/>
      <c r="K20" s="92"/>
      <c r="L20" s="92"/>
      <c r="M20" s="92"/>
      <c r="N20" s="92"/>
      <c r="O20" s="92"/>
    </row>
    <row r="21" spans="2:19" ht="16.5" thickTop="1" thickBot="1" x14ac:dyDescent="0.3">
      <c r="B21" s="50"/>
      <c r="C21" s="93" t="s">
        <v>52</v>
      </c>
      <c r="D21" s="94"/>
      <c r="E21" s="53">
        <v>2004</v>
      </c>
      <c r="F21" s="53">
        <v>2005</v>
      </c>
      <c r="G21" s="53">
        <v>2006</v>
      </c>
      <c r="H21" s="53">
        <v>2007</v>
      </c>
      <c r="I21" s="53">
        <v>2008</v>
      </c>
      <c r="J21" s="53">
        <v>2009</v>
      </c>
      <c r="K21" s="53">
        <v>2010</v>
      </c>
      <c r="L21" s="53">
        <v>2011</v>
      </c>
      <c r="M21" s="53">
        <v>2012</v>
      </c>
      <c r="N21" s="53">
        <v>2013</v>
      </c>
      <c r="O21" s="53">
        <v>2014</v>
      </c>
      <c r="P21" s="53">
        <v>2015</v>
      </c>
      <c r="Q21" s="53">
        <v>2016</v>
      </c>
      <c r="R21" s="53">
        <v>2017</v>
      </c>
      <c r="S21" s="53">
        <v>2018</v>
      </c>
    </row>
    <row r="22" spans="2:19" ht="16.5" thickTop="1" thickBot="1" x14ac:dyDescent="0.3">
      <c r="B22" s="95" t="s">
        <v>53</v>
      </c>
      <c r="C22" s="51">
        <v>327</v>
      </c>
      <c r="D22" s="52" t="s">
        <v>54</v>
      </c>
      <c r="E22" s="5">
        <f>(E3*(12/44))</f>
        <v>0</v>
      </c>
      <c r="F22" s="5">
        <f>(F3*(12/44))</f>
        <v>22.353398181818179</v>
      </c>
      <c r="G22" s="5">
        <f>(G3*(12/44))</f>
        <v>15.727243636363632</v>
      </c>
      <c r="H22" s="5">
        <f>(H3*(12/44))</f>
        <v>0</v>
      </c>
      <c r="I22" s="5">
        <f t="shared" ref="I22:S22" si="1">(I3*(12/44))</f>
        <v>8.4779672727272715</v>
      </c>
      <c r="J22" s="5">
        <f t="shared" si="1"/>
        <v>0</v>
      </c>
      <c r="K22" s="5">
        <f t="shared" si="1"/>
        <v>9.5135781818181808</v>
      </c>
      <c r="L22" s="5">
        <f t="shared" si="1"/>
        <v>3134.1623236363635</v>
      </c>
      <c r="M22" s="5">
        <f t="shared" si="1"/>
        <v>6407.7986181818169</v>
      </c>
      <c r="N22" s="5">
        <f t="shared" si="1"/>
        <v>6081.6601690909083</v>
      </c>
      <c r="O22" s="5">
        <f t="shared" si="1"/>
        <v>850.05225272727262</v>
      </c>
      <c r="P22" s="5">
        <f t="shared" si="1"/>
        <v>841.37242909090889</v>
      </c>
      <c r="Q22" s="5">
        <f t="shared" si="1"/>
        <v>1185.063605454545</v>
      </c>
      <c r="R22" s="5">
        <f t="shared" si="1"/>
        <v>984.00589090909068</v>
      </c>
      <c r="S22" s="5">
        <f t="shared" si="1"/>
        <v>2033.5624418181817</v>
      </c>
    </row>
    <row r="23" spans="2:19" ht="24" thickTop="1" thickBot="1" x14ac:dyDescent="0.3">
      <c r="B23" s="96"/>
      <c r="C23" s="51">
        <v>328</v>
      </c>
      <c r="D23" s="52" t="s">
        <v>55</v>
      </c>
      <c r="E23" s="5">
        <f t="shared" ref="E23:G26" si="2">(E4*(12/44))</f>
        <v>1606.5311563636362</v>
      </c>
      <c r="F23" s="5">
        <f t="shared" si="2"/>
        <v>4673.8681118181812</v>
      </c>
      <c r="G23" s="5">
        <f t="shared" si="2"/>
        <v>1578.5967845454547</v>
      </c>
      <c r="H23" s="5">
        <f t="shared" ref="H23:S36" si="3">(H4*(12/44))</f>
        <v>3173.6234918181822</v>
      </c>
      <c r="I23" s="5">
        <f t="shared" si="3"/>
        <v>3176.8709413636366</v>
      </c>
      <c r="J23" s="5">
        <f t="shared" si="3"/>
        <v>1551.8920295454543</v>
      </c>
      <c r="K23" s="5">
        <f t="shared" si="3"/>
        <v>934.41419590909095</v>
      </c>
      <c r="L23" s="5">
        <f t="shared" si="3"/>
        <v>15815.408585454546</v>
      </c>
      <c r="M23" s="5">
        <f t="shared" si="3"/>
        <v>23958.414594545455</v>
      </c>
      <c r="N23" s="5">
        <f t="shared" si="3"/>
        <v>17010.848361818182</v>
      </c>
      <c r="O23" s="5">
        <f t="shared" si="3"/>
        <v>12921.374034545453</v>
      </c>
      <c r="P23" s="5">
        <f t="shared" si="3"/>
        <v>8814.2156454545457</v>
      </c>
      <c r="Q23" s="5">
        <f t="shared" si="3"/>
        <v>23155.688506363633</v>
      </c>
      <c r="R23" s="5">
        <f t="shared" si="3"/>
        <v>11152.435369090908</v>
      </c>
      <c r="S23" s="5">
        <f t="shared" si="3"/>
        <v>10573.296357272726</v>
      </c>
    </row>
    <row r="24" spans="2:19" ht="24" thickTop="1" thickBot="1" x14ac:dyDescent="0.3">
      <c r="B24" s="96"/>
      <c r="C24" s="51">
        <v>329</v>
      </c>
      <c r="D24" s="52" t="s">
        <v>56</v>
      </c>
      <c r="E24" s="5">
        <f t="shared" si="2"/>
        <v>0</v>
      </c>
      <c r="F24" s="5">
        <f t="shared" si="2"/>
        <v>0</v>
      </c>
      <c r="G24" s="5">
        <f t="shared" si="2"/>
        <v>537.92615454545455</v>
      </c>
      <c r="H24" s="5">
        <f t="shared" si="3"/>
        <v>958.70719636363629</v>
      </c>
      <c r="I24" s="5">
        <f t="shared" si="3"/>
        <v>2275.1327127272725</v>
      </c>
      <c r="J24" s="5">
        <f t="shared" si="3"/>
        <v>1170.9094909090907</v>
      </c>
      <c r="K24" s="5">
        <f t="shared" si="3"/>
        <v>2232.9771545454546</v>
      </c>
      <c r="L24" s="5">
        <f t="shared" si="3"/>
        <v>5688.4600800000007</v>
      </c>
      <c r="M24" s="5">
        <f t="shared" si="3"/>
        <v>7165.9465854545442</v>
      </c>
      <c r="N24" s="5">
        <f t="shared" si="3"/>
        <v>4068.1278163636362</v>
      </c>
      <c r="O24" s="5">
        <f t="shared" si="3"/>
        <v>5024.7009654545445</v>
      </c>
      <c r="P24" s="5">
        <f t="shared" si="3"/>
        <v>3502.1882290909089</v>
      </c>
      <c r="Q24" s="5">
        <f t="shared" si="3"/>
        <v>6320.8909472727264</v>
      </c>
      <c r="R24" s="5">
        <f t="shared" si="3"/>
        <v>1832.8270418181814</v>
      </c>
      <c r="S24" s="5">
        <f t="shared" si="3"/>
        <v>2614.0291690909089</v>
      </c>
    </row>
    <row r="25" spans="2:19" ht="16.5" thickTop="1" thickBot="1" x14ac:dyDescent="0.3">
      <c r="B25" s="96"/>
      <c r="C25" s="51" t="s">
        <v>57</v>
      </c>
      <c r="D25" s="52" t="s">
        <v>58</v>
      </c>
      <c r="E25" s="5">
        <f t="shared" si="2"/>
        <v>310.62569999999994</v>
      </c>
      <c r="F25" s="5">
        <f t="shared" si="2"/>
        <v>727.61039999999991</v>
      </c>
      <c r="G25" s="5">
        <f t="shared" si="2"/>
        <v>892.12199999999996</v>
      </c>
      <c r="H25" s="5">
        <f t="shared" si="3"/>
        <v>688.51859999999999</v>
      </c>
      <c r="I25" s="5">
        <f t="shared" si="3"/>
        <v>440.29919999999998</v>
      </c>
      <c r="J25" s="5">
        <f t="shared" si="3"/>
        <v>111.97559999999997</v>
      </c>
      <c r="K25" s="5">
        <f t="shared" si="3"/>
        <v>13.510199999999999</v>
      </c>
      <c r="L25" s="5">
        <f t="shared" si="3"/>
        <v>10.559999999999999</v>
      </c>
      <c r="M25" s="5">
        <f t="shared" si="3"/>
        <v>0</v>
      </c>
      <c r="N25" s="5">
        <f t="shared" si="3"/>
        <v>48.707999999999998</v>
      </c>
      <c r="O25" s="5">
        <f t="shared" si="3"/>
        <v>0</v>
      </c>
      <c r="P25" s="5">
        <f t="shared" si="3"/>
        <v>7.4249999999999989</v>
      </c>
      <c r="Q25" s="5">
        <f t="shared" si="3"/>
        <v>114.708</v>
      </c>
      <c r="R25" s="5">
        <f t="shared" si="3"/>
        <v>0</v>
      </c>
      <c r="S25" s="5">
        <f t="shared" si="3"/>
        <v>15.377999999999998</v>
      </c>
    </row>
    <row r="26" spans="2:19" ht="16.5" thickTop="1" thickBot="1" x14ac:dyDescent="0.3">
      <c r="B26" s="96"/>
      <c r="C26" s="51" t="s">
        <v>59</v>
      </c>
      <c r="D26" s="52" t="s">
        <v>60</v>
      </c>
      <c r="E26" s="5">
        <f t="shared" si="2"/>
        <v>449.00789999999989</v>
      </c>
      <c r="F26" s="5">
        <f t="shared" si="2"/>
        <v>1068.4476</v>
      </c>
      <c r="G26" s="5">
        <f t="shared" si="2"/>
        <v>1217.6240999999998</v>
      </c>
      <c r="H26" s="5">
        <f t="shared" si="3"/>
        <v>535.25999999999988</v>
      </c>
      <c r="I26" s="5">
        <f t="shared" si="3"/>
        <v>194.18849999999998</v>
      </c>
      <c r="J26" s="5">
        <f t="shared" si="3"/>
        <v>30.666899999999995</v>
      </c>
      <c r="K26" s="5">
        <f t="shared" si="3"/>
        <v>0</v>
      </c>
      <c r="L26" s="5">
        <f t="shared" si="3"/>
        <v>13.833599999999999</v>
      </c>
      <c r="M26" s="5">
        <f t="shared" si="3"/>
        <v>63.326999999999991</v>
      </c>
      <c r="N26" s="5">
        <f t="shared" si="3"/>
        <v>82.433999999999983</v>
      </c>
      <c r="O26" s="5">
        <f t="shared" si="3"/>
        <v>10.658999999999999</v>
      </c>
      <c r="P26" s="5">
        <f t="shared" si="3"/>
        <v>0</v>
      </c>
      <c r="Q26" s="5">
        <f t="shared" si="3"/>
        <v>482.75699999999995</v>
      </c>
      <c r="R26" s="5">
        <f t="shared" si="3"/>
        <v>15.245999999999999</v>
      </c>
      <c r="S26" s="5">
        <f t="shared" si="3"/>
        <v>28.38</v>
      </c>
    </row>
    <row r="27" spans="2:19" ht="16.5" thickTop="1" thickBot="1" x14ac:dyDescent="0.3">
      <c r="B27" s="96"/>
      <c r="C27" s="51">
        <v>330</v>
      </c>
      <c r="D27" s="52" t="s">
        <v>61</v>
      </c>
      <c r="E27" s="5">
        <f t="shared" ref="E27:F36" si="4">(E8*(12/44))</f>
        <v>0</v>
      </c>
      <c r="F27" s="5">
        <f t="shared" si="4"/>
        <v>10.62409090909091</v>
      </c>
      <c r="G27" s="5">
        <f t="shared" ref="G27:G36" si="5">(G8*(12/44))</f>
        <v>0</v>
      </c>
      <c r="H27" s="5">
        <f t="shared" si="3"/>
        <v>16.67018181818182</v>
      </c>
      <c r="I27" s="5">
        <f t="shared" si="3"/>
        <v>19.90036363636364</v>
      </c>
      <c r="J27" s="5">
        <f t="shared" si="3"/>
        <v>3.2301818181818183</v>
      </c>
      <c r="K27" s="5">
        <f t="shared" si="3"/>
        <v>3.2301818181818183</v>
      </c>
      <c r="L27" s="5">
        <f t="shared" si="3"/>
        <v>6.3190909090909093</v>
      </c>
      <c r="M27" s="5">
        <f t="shared" si="3"/>
        <v>0</v>
      </c>
      <c r="N27" s="5">
        <f t="shared" si="3"/>
        <v>4.9636363636363638E-2</v>
      </c>
      <c r="O27" s="5">
        <f t="shared" si="3"/>
        <v>4.9636363636363638E-2</v>
      </c>
      <c r="P27" s="5">
        <f t="shared" si="3"/>
        <v>4.9636363636363638E-2</v>
      </c>
      <c r="Q27" s="5">
        <f t="shared" si="3"/>
        <v>5.7272727272727275</v>
      </c>
      <c r="R27" s="5">
        <f t="shared" si="3"/>
        <v>5.7845454545454542</v>
      </c>
      <c r="S27" s="5">
        <f t="shared" si="3"/>
        <v>0</v>
      </c>
    </row>
    <row r="28" spans="2:19" ht="16.5" thickTop="1" thickBot="1" x14ac:dyDescent="0.3">
      <c r="B28" s="96"/>
      <c r="C28" s="51">
        <v>332</v>
      </c>
      <c r="D28" s="52" t="s">
        <v>62</v>
      </c>
      <c r="E28" s="5">
        <f t="shared" si="4"/>
        <v>0</v>
      </c>
      <c r="F28" s="5">
        <f t="shared" si="4"/>
        <v>0</v>
      </c>
      <c r="G28" s="5">
        <f t="shared" si="5"/>
        <v>0</v>
      </c>
      <c r="H28" s="5">
        <f t="shared" si="3"/>
        <v>0</v>
      </c>
      <c r="I28" s="5">
        <f t="shared" si="3"/>
        <v>0</v>
      </c>
      <c r="J28" s="5">
        <f t="shared" si="3"/>
        <v>0</v>
      </c>
      <c r="K28" s="5">
        <f t="shared" si="3"/>
        <v>0</v>
      </c>
      <c r="L28" s="5">
        <f t="shared" si="3"/>
        <v>0</v>
      </c>
      <c r="M28" s="5">
        <f t="shared" si="3"/>
        <v>0</v>
      </c>
      <c r="N28" s="5">
        <f t="shared" si="3"/>
        <v>0</v>
      </c>
      <c r="O28" s="5">
        <f t="shared" si="3"/>
        <v>0</v>
      </c>
      <c r="P28" s="5">
        <f t="shared" si="3"/>
        <v>0</v>
      </c>
      <c r="Q28" s="5">
        <f t="shared" si="3"/>
        <v>0</v>
      </c>
      <c r="R28" s="5">
        <f t="shared" si="3"/>
        <v>0</v>
      </c>
      <c r="S28" s="5">
        <f t="shared" si="3"/>
        <v>0</v>
      </c>
    </row>
    <row r="29" spans="2:19" ht="16.5" thickTop="1" thickBot="1" x14ac:dyDescent="0.3">
      <c r="B29" s="96"/>
      <c r="C29" s="51">
        <v>340</v>
      </c>
      <c r="D29" s="52" t="s">
        <v>63</v>
      </c>
      <c r="E29" s="5">
        <f t="shared" si="4"/>
        <v>2.736477272727273</v>
      </c>
      <c r="F29" s="5">
        <f t="shared" si="4"/>
        <v>11.036863636363636</v>
      </c>
      <c r="G29" s="5">
        <f t="shared" si="5"/>
        <v>260.41854545454549</v>
      </c>
      <c r="H29" s="5">
        <f t="shared" si="3"/>
        <v>42.718840909090908</v>
      </c>
      <c r="I29" s="5">
        <f t="shared" si="3"/>
        <v>17.429556818181819</v>
      </c>
      <c r="J29" s="5">
        <f t="shared" si="3"/>
        <v>4.7547272727272727</v>
      </c>
      <c r="K29" s="5">
        <f t="shared" si="3"/>
        <v>16.34359090909091</v>
      </c>
      <c r="L29" s="5">
        <f t="shared" si="3"/>
        <v>128.22395454545455</v>
      </c>
      <c r="M29" s="5">
        <f t="shared" si="3"/>
        <v>160.52222727272729</v>
      </c>
      <c r="N29" s="5">
        <f t="shared" si="3"/>
        <v>104.03380909090909</v>
      </c>
      <c r="O29" s="5">
        <f t="shared" si="3"/>
        <v>150.96729545454545</v>
      </c>
      <c r="P29" s="5">
        <f t="shared" si="3"/>
        <v>149.83036363636367</v>
      </c>
      <c r="Q29" s="5">
        <f t="shared" si="3"/>
        <v>258.74686363636368</v>
      </c>
      <c r="R29" s="5">
        <f t="shared" si="3"/>
        <v>193.50422727272726</v>
      </c>
      <c r="S29" s="5">
        <f t="shared" si="3"/>
        <v>120.98209090909091</v>
      </c>
    </row>
    <row r="30" spans="2:19" ht="35.25" thickTop="1" thickBot="1" x14ac:dyDescent="0.3">
      <c r="B30" s="96"/>
      <c r="C30" s="51">
        <v>345</v>
      </c>
      <c r="D30" s="52" t="s">
        <v>64</v>
      </c>
      <c r="E30" s="5">
        <f t="shared" si="4"/>
        <v>0</v>
      </c>
      <c r="F30" s="5">
        <f t="shared" si="4"/>
        <v>0</v>
      </c>
      <c r="G30" s="5">
        <f t="shared" si="5"/>
        <v>0</v>
      </c>
      <c r="H30" s="5">
        <f t="shared" si="3"/>
        <v>21.650531999999998</v>
      </c>
      <c r="I30" s="5">
        <f t="shared" si="3"/>
        <v>6.4082774727272724</v>
      </c>
      <c r="J30" s="5">
        <f t="shared" si="3"/>
        <v>25.864932818181817</v>
      </c>
      <c r="K30" s="5">
        <f t="shared" si="3"/>
        <v>102.80296827272727</v>
      </c>
      <c r="L30" s="5">
        <f t="shared" si="3"/>
        <v>658.76417127272725</v>
      </c>
      <c r="M30" s="5">
        <f t="shared" si="3"/>
        <v>1227.7926932727273</v>
      </c>
      <c r="N30" s="5">
        <f t="shared" si="3"/>
        <v>1033.6337858181817</v>
      </c>
      <c r="O30" s="5">
        <f t="shared" si="3"/>
        <v>991.74095345454543</v>
      </c>
      <c r="P30" s="5">
        <f t="shared" si="3"/>
        <v>727.68516872727275</v>
      </c>
      <c r="Q30" s="5">
        <f t="shared" si="3"/>
        <v>3987.5746426363635</v>
      </c>
      <c r="R30" s="5">
        <f t="shared" si="3"/>
        <v>2085.7084060909092</v>
      </c>
      <c r="S30" s="5">
        <f t="shared" si="3"/>
        <v>2419.3625394545456</v>
      </c>
    </row>
    <row r="31" spans="2:19" ht="16.5" thickTop="1" thickBot="1" x14ac:dyDescent="0.3">
      <c r="B31" s="96"/>
      <c r="C31" s="51">
        <v>386</v>
      </c>
      <c r="D31" s="52" t="s">
        <v>65</v>
      </c>
      <c r="E31" s="5">
        <f t="shared" si="4"/>
        <v>0</v>
      </c>
      <c r="F31" s="5">
        <f t="shared" si="4"/>
        <v>1.2140495867768595E-4</v>
      </c>
      <c r="G31" s="5">
        <f t="shared" si="5"/>
        <v>2.0473290758827945E-3</v>
      </c>
      <c r="H31" s="5">
        <f t="shared" si="3"/>
        <v>5.6287753568745299E-4</v>
      </c>
      <c r="I31" s="5">
        <f t="shared" si="3"/>
        <v>0</v>
      </c>
      <c r="J31" s="5">
        <f t="shared" si="3"/>
        <v>2.2073628850488352E-5</v>
      </c>
      <c r="K31" s="5">
        <f t="shared" si="3"/>
        <v>4.3043576258452288E-4</v>
      </c>
      <c r="L31" s="5">
        <f t="shared" si="3"/>
        <v>0.56109509015777603</v>
      </c>
      <c r="M31" s="5">
        <f t="shared" si="3"/>
        <v>1.2476180578512397</v>
      </c>
      <c r="N31" s="5">
        <f t="shared" si="3"/>
        <v>1.7217430503380916E-2</v>
      </c>
      <c r="O31" s="5">
        <f t="shared" si="3"/>
        <v>5.7691636363636363</v>
      </c>
      <c r="P31" s="5">
        <f t="shared" si="3"/>
        <v>0.32050909090909091</v>
      </c>
      <c r="Q31" s="5">
        <f t="shared" si="3"/>
        <v>0</v>
      </c>
      <c r="R31" s="5">
        <f t="shared" si="3"/>
        <v>0.29647090909090912</v>
      </c>
      <c r="S31" s="5">
        <f t="shared" si="3"/>
        <v>0</v>
      </c>
    </row>
    <row r="32" spans="2:19" ht="16.5" thickTop="1" thickBot="1" x14ac:dyDescent="0.3">
      <c r="B32" s="96"/>
      <c r="C32" s="51">
        <v>393</v>
      </c>
      <c r="D32" s="52" t="s">
        <v>66</v>
      </c>
      <c r="E32" s="5">
        <f t="shared" si="4"/>
        <v>0</v>
      </c>
      <c r="F32" s="5">
        <f t="shared" si="4"/>
        <v>9.8045454545454533E-2</v>
      </c>
      <c r="G32" s="5">
        <f t="shared" si="5"/>
        <v>1.6667727272727271</v>
      </c>
      <c r="H32" s="5">
        <f t="shared" si="3"/>
        <v>2.9903863636363637</v>
      </c>
      <c r="I32" s="5">
        <f t="shared" si="3"/>
        <v>1.3726363636363634</v>
      </c>
      <c r="J32" s="5">
        <f t="shared" si="3"/>
        <v>6.6082636363636356</v>
      </c>
      <c r="K32" s="5">
        <f t="shared" si="3"/>
        <v>0.41179090909090904</v>
      </c>
      <c r="L32" s="5">
        <f t="shared" si="3"/>
        <v>31.854968181818176</v>
      </c>
      <c r="M32" s="5">
        <f t="shared" si="3"/>
        <v>0</v>
      </c>
      <c r="N32" s="5">
        <f t="shared" si="3"/>
        <v>9.8045454545454533E-2</v>
      </c>
      <c r="O32" s="5">
        <f t="shared" si="3"/>
        <v>0.61768636363636364</v>
      </c>
      <c r="P32" s="5">
        <f t="shared" si="3"/>
        <v>0</v>
      </c>
      <c r="Q32" s="5">
        <f t="shared" si="3"/>
        <v>0</v>
      </c>
      <c r="R32" s="5">
        <f t="shared" si="3"/>
        <v>0</v>
      </c>
      <c r="S32" s="5">
        <f t="shared" si="3"/>
        <v>0</v>
      </c>
    </row>
    <row r="33" spans="2:19" ht="16.5" thickTop="1" thickBot="1" x14ac:dyDescent="0.3">
      <c r="B33" s="96"/>
      <c r="C33" s="51">
        <v>412</v>
      </c>
      <c r="D33" s="52" t="s">
        <v>67</v>
      </c>
      <c r="E33" s="5">
        <f t="shared" si="4"/>
        <v>0</v>
      </c>
      <c r="F33" s="5">
        <f t="shared" si="4"/>
        <v>0</v>
      </c>
      <c r="G33" s="5">
        <f t="shared" si="5"/>
        <v>0.26329090909090908</v>
      </c>
      <c r="H33" s="5">
        <f t="shared" si="3"/>
        <v>1.5534163636363634</v>
      </c>
      <c r="I33" s="5">
        <f t="shared" si="3"/>
        <v>1.6675090909090906</v>
      </c>
      <c r="J33" s="5">
        <f t="shared" si="3"/>
        <v>1.7991545454545452</v>
      </c>
      <c r="K33" s="5">
        <f t="shared" si="3"/>
        <v>3.0717272727272724</v>
      </c>
      <c r="L33" s="5">
        <f t="shared" si="3"/>
        <v>0.96539999999999981</v>
      </c>
      <c r="M33" s="5">
        <f t="shared" si="3"/>
        <v>5.485227272727272</v>
      </c>
      <c r="N33" s="5">
        <f t="shared" si="3"/>
        <v>0.96539999999999981</v>
      </c>
      <c r="O33" s="5">
        <f t="shared" si="3"/>
        <v>1.3603363636363635</v>
      </c>
      <c r="P33" s="5">
        <f t="shared" si="3"/>
        <v>0</v>
      </c>
      <c r="Q33" s="5">
        <f t="shared" si="3"/>
        <v>0.97417636363636362</v>
      </c>
      <c r="R33" s="5">
        <f t="shared" si="3"/>
        <v>2.211643636363636</v>
      </c>
      <c r="S33" s="5">
        <f t="shared" si="3"/>
        <v>0.57046363636363628</v>
      </c>
    </row>
    <row r="34" spans="2:19" ht="16.5" thickTop="1" thickBot="1" x14ac:dyDescent="0.3">
      <c r="B34" s="96"/>
      <c r="C34" s="51">
        <v>585</v>
      </c>
      <c r="D34" s="52" t="s">
        <v>68</v>
      </c>
      <c r="E34" s="5">
        <f t="shared" si="4"/>
        <v>0</v>
      </c>
      <c r="F34" s="5">
        <f t="shared" si="4"/>
        <v>24.785569090909085</v>
      </c>
      <c r="G34" s="5">
        <f t="shared" si="5"/>
        <v>13.552576363636362</v>
      </c>
      <c r="H34" s="5">
        <f t="shared" si="3"/>
        <v>19.924090909090907</v>
      </c>
      <c r="I34" s="5">
        <f t="shared" si="3"/>
        <v>80.065483636363638</v>
      </c>
      <c r="J34" s="5">
        <f t="shared" si="3"/>
        <v>0</v>
      </c>
      <c r="K34" s="5">
        <f t="shared" si="3"/>
        <v>81.642632727272712</v>
      </c>
      <c r="L34" s="5">
        <f t="shared" si="3"/>
        <v>254.8228309090909</v>
      </c>
      <c r="M34" s="5">
        <f t="shared" si="3"/>
        <v>77.305472727272715</v>
      </c>
      <c r="N34" s="5">
        <f t="shared" si="3"/>
        <v>127.84974545454544</v>
      </c>
      <c r="O34" s="5">
        <f t="shared" si="3"/>
        <v>8.842101818181817</v>
      </c>
      <c r="P34" s="5">
        <f t="shared" si="3"/>
        <v>87.498218181818174</v>
      </c>
      <c r="Q34" s="5">
        <f t="shared" si="3"/>
        <v>0</v>
      </c>
      <c r="R34" s="5">
        <f t="shared" si="3"/>
        <v>34.059709090909088</v>
      </c>
      <c r="S34" s="5">
        <f t="shared" si="3"/>
        <v>0</v>
      </c>
    </row>
    <row r="35" spans="2:19" ht="16.5" thickTop="1" thickBot="1" x14ac:dyDescent="0.3">
      <c r="B35" s="96"/>
      <c r="C35" s="51">
        <v>601</v>
      </c>
      <c r="D35" s="52" t="s">
        <v>69</v>
      </c>
      <c r="E35" s="5">
        <f t="shared" si="4"/>
        <v>0</v>
      </c>
      <c r="F35" s="5">
        <f t="shared" si="4"/>
        <v>0</v>
      </c>
      <c r="G35" s="5">
        <f t="shared" si="5"/>
        <v>0</v>
      </c>
      <c r="H35" s="5">
        <f t="shared" si="3"/>
        <v>0</v>
      </c>
      <c r="I35" s="5">
        <f t="shared" si="3"/>
        <v>0</v>
      </c>
      <c r="J35" s="5">
        <f t="shared" si="3"/>
        <v>0</v>
      </c>
      <c r="K35" s="5">
        <f t="shared" si="3"/>
        <v>0</v>
      </c>
      <c r="L35" s="5">
        <f t="shared" si="3"/>
        <v>0</v>
      </c>
      <c r="M35" s="5">
        <f t="shared" si="3"/>
        <v>0</v>
      </c>
      <c r="N35" s="5">
        <f t="shared" si="3"/>
        <v>0</v>
      </c>
      <c r="O35" s="5">
        <f t="shared" si="3"/>
        <v>0</v>
      </c>
      <c r="P35" s="5">
        <f t="shared" si="3"/>
        <v>0</v>
      </c>
      <c r="Q35" s="5">
        <f t="shared" si="3"/>
        <v>0</v>
      </c>
      <c r="R35" s="5">
        <f t="shared" si="3"/>
        <v>0</v>
      </c>
      <c r="S35" s="5">
        <f t="shared" si="3"/>
        <v>0</v>
      </c>
    </row>
    <row r="36" spans="2:19" ht="24" thickTop="1" thickBot="1" x14ac:dyDescent="0.3">
      <c r="B36" s="97"/>
      <c r="C36" s="51">
        <v>603</v>
      </c>
      <c r="D36" s="52" t="s">
        <v>70</v>
      </c>
      <c r="E36" s="5">
        <f t="shared" si="4"/>
        <v>0</v>
      </c>
      <c r="F36" s="5">
        <f t="shared" si="4"/>
        <v>0</v>
      </c>
      <c r="G36" s="5">
        <f t="shared" si="5"/>
        <v>0</v>
      </c>
      <c r="H36" s="5">
        <f t="shared" si="3"/>
        <v>0</v>
      </c>
      <c r="I36" s="5">
        <f t="shared" si="3"/>
        <v>0</v>
      </c>
      <c r="J36" s="5">
        <f t="shared" si="3"/>
        <v>0</v>
      </c>
      <c r="K36" s="5">
        <f t="shared" si="3"/>
        <v>0</v>
      </c>
      <c r="L36" s="5">
        <f t="shared" si="3"/>
        <v>0</v>
      </c>
      <c r="M36" s="5">
        <f t="shared" si="3"/>
        <v>0</v>
      </c>
      <c r="N36" s="5">
        <f t="shared" si="3"/>
        <v>0</v>
      </c>
      <c r="O36" s="5">
        <f t="shared" si="3"/>
        <v>0</v>
      </c>
      <c r="P36" s="5">
        <f t="shared" si="3"/>
        <v>0</v>
      </c>
      <c r="Q36" s="5">
        <f t="shared" si="3"/>
        <v>0</v>
      </c>
      <c r="R36" s="5">
        <f t="shared" si="3"/>
        <v>0</v>
      </c>
      <c r="S36" s="5">
        <f t="shared" si="3"/>
        <v>0</v>
      </c>
    </row>
    <row r="37" spans="2:19" ht="28.5" customHeight="1" thickTop="1" x14ac:dyDescent="0.25">
      <c r="D37" s="55" t="s">
        <v>71</v>
      </c>
      <c r="E37" s="56">
        <f>SUM(E22:E36)</f>
        <v>2368.9012336363635</v>
      </c>
      <c r="F37" s="56">
        <f t="shared" ref="F37:S37" si="6">SUM(F22:F36)</f>
        <v>6538.8242004958665</v>
      </c>
      <c r="G37" s="56">
        <f t="shared" si="6"/>
        <v>4517.8995155108942</v>
      </c>
      <c r="H37" s="56">
        <f t="shared" si="6"/>
        <v>5461.6172994229928</v>
      </c>
      <c r="I37" s="56">
        <f t="shared" si="6"/>
        <v>6221.8131483818197</v>
      </c>
      <c r="J37" s="56">
        <f t="shared" si="6"/>
        <v>2907.701302619083</v>
      </c>
      <c r="K37" s="56">
        <f t="shared" si="6"/>
        <v>3397.9184509812176</v>
      </c>
      <c r="L37" s="56">
        <f t="shared" si="6"/>
        <v>25743.936099999257</v>
      </c>
      <c r="M37" s="56">
        <f t="shared" si="6"/>
        <v>39067.840036785121</v>
      </c>
      <c r="N37" s="56">
        <f t="shared" si="6"/>
        <v>28558.425986885053</v>
      </c>
      <c r="O37" s="56">
        <f t="shared" si="6"/>
        <v>19966.133426181816</v>
      </c>
      <c r="P37" s="56">
        <f t="shared" si="6"/>
        <v>14130.58519963636</v>
      </c>
      <c r="Q37" s="56">
        <f t="shared" si="6"/>
        <v>35512.131014454542</v>
      </c>
      <c r="R37" s="56">
        <f t="shared" si="6"/>
        <v>16306.079304272725</v>
      </c>
      <c r="S37" s="56">
        <f t="shared" si="6"/>
        <v>17805.561062181816</v>
      </c>
    </row>
    <row r="39" spans="2:19" x14ac:dyDescent="0.25">
      <c r="O39" t="s">
        <v>86</v>
      </c>
      <c r="P39" s="5">
        <f>'CO Summary Sheet CPS 327'!V14+'CO Summary Sheet CPS 328'!V14+'CO Summary Sheet CPS 329'!V14+'CO Summary Sheet CPS 329A'!V14+'CO Summary Sheet CPS 329B'!V14+'CO Summary Sheet CPS 330'!V14+'CO Summary Sheet CPS 332'!V14+'CO Summary Sheet CPS 340'!V14+'CO Summary Sheet CPS 345'!V14+'CO Summary Sheet CPS 386'!V14+'CO Summary Sheet CPS 393'!V14+'CO Summary Sheet CPS 412'!V14+'CO Summary Sheet CPS 585'!V14</f>
        <v>247266</v>
      </c>
    </row>
  </sheetData>
  <mergeCells count="6">
    <mergeCell ref="E1:O1"/>
    <mergeCell ref="E20:O20"/>
    <mergeCell ref="C21:D21"/>
    <mergeCell ref="B22:B36"/>
    <mergeCell ref="C2:D2"/>
    <mergeCell ref="B3:B17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S41"/>
  <sheetViews>
    <sheetView topLeftCell="S2" zoomScale="170" zoomScaleNormal="170" workbookViewId="0">
      <selection activeCell="L2" sqref="L2:S2"/>
    </sheetView>
  </sheetViews>
  <sheetFormatPr defaultRowHeight="15" x14ac:dyDescent="0.25"/>
  <cols>
    <col min="1" max="1" width="2.28515625" customWidth="1"/>
    <col min="2" max="2" width="38" customWidth="1"/>
    <col min="3" max="3" width="5.5703125" bestFit="1" customWidth="1"/>
    <col min="4" max="4" width="27.5703125" customWidth="1"/>
    <col min="5" max="5" width="14.28515625" bestFit="1" customWidth="1"/>
    <col min="6" max="8" width="14.5703125" bestFit="1" customWidth="1"/>
    <col min="9" max="9" width="15" bestFit="1" customWidth="1"/>
    <col min="10" max="10" width="14.5703125" bestFit="1" customWidth="1"/>
    <col min="11" max="13" width="16" bestFit="1" customWidth="1"/>
    <col min="14" max="14" width="15.28515625" bestFit="1" customWidth="1"/>
    <col min="15" max="15" width="16.7109375" bestFit="1" customWidth="1"/>
    <col min="16" max="19" width="15.85546875" bestFit="1" customWidth="1"/>
    <col min="26" max="26" width="32.5703125" customWidth="1"/>
  </cols>
  <sheetData>
    <row r="1" spans="2:19" ht="15.75" thickBot="1" x14ac:dyDescent="0.3">
      <c r="E1" s="92" t="s">
        <v>78</v>
      </c>
      <c r="F1" s="92"/>
      <c r="G1" s="92"/>
      <c r="H1" s="92"/>
      <c r="I1" s="92"/>
      <c r="J1" s="92"/>
      <c r="K1" s="92"/>
      <c r="L1" s="92"/>
      <c r="M1" s="92"/>
      <c r="N1" s="92"/>
      <c r="O1" s="92"/>
    </row>
    <row r="2" spans="2:19" ht="16.5" thickTop="1" thickBot="1" x14ac:dyDescent="0.3">
      <c r="B2" s="50" t="s">
        <v>51</v>
      </c>
      <c r="C2" s="93" t="s">
        <v>52</v>
      </c>
      <c r="D2" s="94"/>
      <c r="E2" s="53">
        <v>2004</v>
      </c>
      <c r="F2" s="53">
        <v>2005</v>
      </c>
      <c r="G2" s="53">
        <v>2006</v>
      </c>
      <c r="H2" s="53">
        <v>2007</v>
      </c>
      <c r="I2" s="53">
        <v>2008</v>
      </c>
      <c r="J2" s="53">
        <v>2009</v>
      </c>
      <c r="K2" s="53">
        <v>2010</v>
      </c>
      <c r="L2" s="53">
        <v>2011</v>
      </c>
      <c r="M2" s="53">
        <v>2012</v>
      </c>
      <c r="N2" s="53">
        <v>2013</v>
      </c>
      <c r="O2" s="53">
        <v>2014</v>
      </c>
      <c r="P2" s="53">
        <v>2015</v>
      </c>
      <c r="Q2" s="53">
        <v>2016</v>
      </c>
      <c r="R2" s="53">
        <v>2017</v>
      </c>
      <c r="S2" s="53">
        <v>2018</v>
      </c>
    </row>
    <row r="3" spans="2:19" ht="16.5" thickTop="1" thickBot="1" x14ac:dyDescent="0.3">
      <c r="B3" s="95" t="s">
        <v>53</v>
      </c>
      <c r="C3" s="51">
        <v>327</v>
      </c>
      <c r="D3" s="52" t="s">
        <v>54</v>
      </c>
      <c r="E3" s="61">
        <f>'Emissions Calcs 327 Cons Cover'!E35</f>
        <v>0</v>
      </c>
      <c r="F3" s="61">
        <f>'Emissions Calcs 327 Cons Cover'!F36</f>
        <v>81.962459999999993</v>
      </c>
      <c r="G3" s="61">
        <f>'Emissions Calcs 327 Cons Cover'!E37</f>
        <v>57.66655999999999</v>
      </c>
      <c r="H3" s="61">
        <f>'Emissions Calcs 327 Cons Cover'!E38</f>
        <v>0</v>
      </c>
      <c r="I3" s="61">
        <f>'Emissions Calcs 327 Cons Cover'!E39</f>
        <v>92.557724999999991</v>
      </c>
      <c r="J3" s="61">
        <f>'Emissions Calcs 327 Cons Cover'!E40</f>
        <v>104.72176499999998</v>
      </c>
      <c r="K3" s="61">
        <f>'Emissions Calcs 327 Cons Cover'!E41</f>
        <v>139.60488499999997</v>
      </c>
      <c r="L3" s="61">
        <f>'Emissions Calcs 327 Cons Cover'!E42</f>
        <v>11619.964694999999</v>
      </c>
      <c r="M3" s="61">
        <f>'Emissions Calcs 327 Cons Cover'!E43</f>
        <v>23623.297774999999</v>
      </c>
      <c r="N3" s="61">
        <f>'Emissions Calcs 327 Cons Cover'!E44</f>
        <v>22453.619134999997</v>
      </c>
      <c r="O3" s="61">
        <f>'Emissions Calcs 327 Cons Cover'!E45</f>
        <v>11890.003165000002</v>
      </c>
      <c r="P3" s="61">
        <f>'Emissions Calcs 327 Cons Cover'!E46</f>
        <v>29479.623345</v>
      </c>
      <c r="Q3" s="61">
        <f>'Emissions Calcs 327 Cons Cover'!E47</f>
        <v>47464.389789999994</v>
      </c>
      <c r="R3" s="61">
        <f>'Emissions Calcs 327 Cons Cover'!E48</f>
        <v>49064.821864999998</v>
      </c>
      <c r="S3" s="61">
        <f>'Emissions Calcs 327 Cons Cover'!E49</f>
        <v>55226.970065000001</v>
      </c>
    </row>
    <row r="4" spans="2:19" ht="24" thickTop="1" thickBot="1" x14ac:dyDescent="0.3">
      <c r="B4" s="96"/>
      <c r="C4" s="51">
        <v>328</v>
      </c>
      <c r="D4" s="52" t="s">
        <v>55</v>
      </c>
      <c r="E4" s="61">
        <f>'Emissions Calcs 328 ConsCropRot'!E35</f>
        <v>5890.6142399999999</v>
      </c>
      <c r="F4" s="61">
        <f>'Emissions Calcs 328 ConsCropRot'!E36</f>
        <v>17137.51641</v>
      </c>
      <c r="G4" s="61">
        <f>'Emissions Calcs 328 ConsCropRot'!E37</f>
        <v>5788.1882100000012</v>
      </c>
      <c r="H4" s="61">
        <f>'Emissions Calcs 328 ConsCropRot'!E38</f>
        <v>16054.580150000002</v>
      </c>
      <c r="I4" s="61">
        <f>'Emissions Calcs 328 ConsCropRot'!E39</f>
        <v>28919.624772499999</v>
      </c>
      <c r="J4" s="61">
        <f>'Emissions Calcs 328 ConsCropRot'!E40</f>
        <v>27302.50992</v>
      </c>
      <c r="K4" s="61">
        <f>'Emissions Calcs 328 ConsCropRot'!E41</f>
        <v>33765.889132499993</v>
      </c>
      <c r="L4" s="61">
        <f>'Emissions Calcs 328 ConsCropRot'!E42</f>
        <v>97065.930316250015</v>
      </c>
      <c r="M4" s="61">
        <f>'Emissions Calcs 328 ConsCropRot'!E43</f>
        <v>131191.3220975</v>
      </c>
      <c r="N4" s="61">
        <f>'Emissions Calcs 328 ConsCropRot'!E44</f>
        <v>108286.55161625001</v>
      </c>
      <c r="O4" s="61">
        <f>'Emissions Calcs 328 ConsCropRot'!E45</f>
        <v>136784.18602625001</v>
      </c>
      <c r="P4" s="61">
        <f>'Emissions Calcs 328 ConsCropRot'!E46</f>
        <v>187610.24540125002</v>
      </c>
      <c r="Q4" s="61">
        <f>'Emissions Calcs 328 ConsCropRot'!E47</f>
        <v>286975.47888625</v>
      </c>
      <c r="R4" s="61">
        <f>'Emissions Calcs 328 ConsCropRot'!E48</f>
        <v>278497.32931125001</v>
      </c>
      <c r="S4" s="61">
        <f>'Emissions Calcs 328 ConsCropRot'!E49</f>
        <v>300612.91262625001</v>
      </c>
    </row>
    <row r="5" spans="2:19" ht="24" thickTop="1" thickBot="1" x14ac:dyDescent="0.3">
      <c r="B5" s="96"/>
      <c r="C5" s="51">
        <v>329</v>
      </c>
      <c r="D5" s="52" t="s">
        <v>56</v>
      </c>
      <c r="E5" s="61">
        <f>'EmissionCalcs 329 No-till'!D35</f>
        <v>0</v>
      </c>
      <c r="F5" s="61">
        <f>'EmissionCalcs 329 No-till'!D36</f>
        <v>0</v>
      </c>
      <c r="G5" s="61">
        <f>'EmissionCalcs 329 No-till'!D37</f>
        <v>1972.3959</v>
      </c>
      <c r="H5" s="61">
        <f>'EmissionCalcs 329 No-till'!D38</f>
        <v>3515.25972</v>
      </c>
      <c r="I5" s="61">
        <f>'EmissionCalcs 329 No-till'!D39</f>
        <v>8342.1532800000004</v>
      </c>
      <c r="J5" s="61">
        <f>'EmissionCalcs 329 No-till'!D40</f>
        <v>5279.5327499999994</v>
      </c>
      <c r="K5" s="61">
        <f>'EmissionCalcs 329 No-till'!D41</f>
        <v>10931.41071</v>
      </c>
      <c r="L5" s="61">
        <f>'EmissionCalcs 329 No-till'!D42</f>
        <v>27772.591410000001</v>
      </c>
      <c r="M5" s="61">
        <f>'EmissionCalcs 329 No-till'!D43</f>
        <v>35336.709329999998</v>
      </c>
      <c r="N5" s="61">
        <f>'EmissionCalcs 329 No-till'!D44</f>
        <v>28071.831960000003</v>
      </c>
      <c r="O5" s="61">
        <f>'EmissionCalcs 329 No-till'!D45</f>
        <v>42008.110320000007</v>
      </c>
      <c r="P5" s="61">
        <f>'EmissionCalcs 329 No-till'!D46</f>
        <v>49563.132360000003</v>
      </c>
      <c r="Q5" s="61">
        <f>'EmissionCalcs 329 No-till'!D47</f>
        <v>67356.609989999997</v>
      </c>
      <c r="R5" s="61">
        <f>'EmissionCalcs 329 No-till'!D48</f>
        <v>60112.327439999994</v>
      </c>
      <c r="S5" s="61">
        <f>'EmissionCalcs 329 No-till'!D49</f>
        <v>69397.413659999991</v>
      </c>
    </row>
    <row r="6" spans="2:19" ht="16.5" thickTop="1" thickBot="1" x14ac:dyDescent="0.3">
      <c r="B6" s="96"/>
      <c r="C6" s="51" t="s">
        <v>57</v>
      </c>
      <c r="D6" s="52" t="s">
        <v>58</v>
      </c>
      <c r="E6" s="61">
        <f>'EmissionCalcs 329A'!D35</f>
        <v>1138.9608999999998</v>
      </c>
      <c r="F6" s="61">
        <f>'EmissionCalcs 329A'!D36</f>
        <v>2667.9047999999998</v>
      </c>
      <c r="G6" s="61">
        <f>'EmissionCalcs 329A'!D37</f>
        <v>3271.114</v>
      </c>
      <c r="H6" s="61">
        <f>'EmissionCalcs 329A'!D38</f>
        <v>3094.0486500000002</v>
      </c>
      <c r="I6" s="61">
        <f>'EmissionCalcs 329A'!D39</f>
        <v>3517.8632499999994</v>
      </c>
      <c r="J6" s="61">
        <f>'EmissionCalcs 329A'!D40</f>
        <v>3949.5670499999997</v>
      </c>
      <c r="K6" s="61">
        <f>'EmissionCalcs 329A'!D41</f>
        <v>4850.8113499999999</v>
      </c>
      <c r="L6" s="61">
        <f>'EmissionCalcs 329A'!D42</f>
        <v>5647.2091499999997</v>
      </c>
      <c r="M6" s="61">
        <f>'EmissionCalcs 329A'!D43</f>
        <v>5813.7777499999993</v>
      </c>
      <c r="N6" s="61">
        <f>'EmissionCalcs 329A'!D44</f>
        <v>6017.1424499999994</v>
      </c>
      <c r="O6" s="61">
        <f>'EmissionCalcs 329A'!D45</f>
        <v>5857.9064499999986</v>
      </c>
      <c r="P6" s="61">
        <f>'EmissionCalcs 329A'!D46</f>
        <v>5885.1314499999989</v>
      </c>
      <c r="Q6" s="61">
        <f>'EmissionCalcs 329A'!D47</f>
        <v>6367.8004499999988</v>
      </c>
      <c r="R6" s="61">
        <f>'EmissionCalcs 329A'!D48</f>
        <v>5947.2044499999984</v>
      </c>
      <c r="S6" s="61">
        <f>'EmissionCalcs 329A'!D49</f>
        <v>6017.202949999999</v>
      </c>
    </row>
    <row r="7" spans="2:19" ht="16.5" thickTop="1" thickBot="1" x14ac:dyDescent="0.3">
      <c r="B7" s="96"/>
      <c r="C7" s="51" t="s">
        <v>59</v>
      </c>
      <c r="D7" s="52" t="s">
        <v>60</v>
      </c>
      <c r="E7" s="61">
        <f>'EmissionCalcs 329B Mulch Till'!D35</f>
        <v>1646.3622999999998</v>
      </c>
      <c r="F7" s="61">
        <f>'EmissionCalcs 329B Mulch Till'!D36</f>
        <v>3917.6412</v>
      </c>
      <c r="G7" s="61">
        <f>'EmissionCalcs 329B Mulch Till'!D37</f>
        <v>4464.6216999999997</v>
      </c>
      <c r="H7" s="61">
        <f>'EmissionCalcs 329B Mulch Till'!D38</f>
        <v>2785.8011499999998</v>
      </c>
      <c r="I7" s="61">
        <f>'EmissionCalcs 329B Mulch Till'!D39</f>
        <v>3494.0262499999999</v>
      </c>
      <c r="J7" s="61">
        <f>'EmissionCalcs 329B Mulch Till'!D40</f>
        <v>5126.7578999999996</v>
      </c>
      <c r="K7" s="61">
        <f>'EmissionCalcs 329B Mulch Till'!D41</f>
        <v>5995.6225999999997</v>
      </c>
      <c r="L7" s="61">
        <f>'EmissionCalcs 329B Mulch Till'!D42</f>
        <v>6402.3580499999989</v>
      </c>
      <c r="M7" s="61">
        <f>'EmissionCalcs 329B Mulch Till'!D43</f>
        <v>6640.0564999999979</v>
      </c>
      <c r="N7" s="61">
        <f>'EmissionCalcs 329B Mulch Till'!D44</f>
        <v>6710.1154999999981</v>
      </c>
      <c r="O7" s="61">
        <f>'EmissionCalcs 329B Mulch Till'!D45</f>
        <v>6472.3020999999981</v>
      </c>
      <c r="P7" s="61">
        <f>'EmissionCalcs 329B Mulch Till'!D46</f>
        <v>6549.3185999999987</v>
      </c>
      <c r="Q7" s="61">
        <f>'EmissionCalcs 329B Mulch Till'!D47</f>
        <v>8470.5565999999981</v>
      </c>
      <c r="R7" s="61">
        <f>'EmissionCalcs 329B Mulch Till'!D48</f>
        <v>6775.8910999999989</v>
      </c>
      <c r="S7" s="61">
        <f>'EmissionCalcs 329B Mulch Till'!D49</f>
        <v>6824.0490999999993</v>
      </c>
    </row>
    <row r="8" spans="2:19" ht="16.5" thickTop="1" thickBot="1" x14ac:dyDescent="0.3">
      <c r="B8" s="96"/>
      <c r="C8" s="51">
        <v>330</v>
      </c>
      <c r="D8" s="52" t="s">
        <v>61</v>
      </c>
      <c r="E8" s="61">
        <f>'Emission Calcs 330 Contour Farm'!E35</f>
        <v>0</v>
      </c>
      <c r="F8" s="61">
        <f>'Emission Calcs 330 Contour Farm'!E36</f>
        <v>38.955000000000005</v>
      </c>
      <c r="G8" s="61">
        <f>'Emission Calcs 330 Contour Farm'!E37</f>
        <v>0</v>
      </c>
      <c r="H8" s="61">
        <f>'Emission Calcs 330 Contour Farm'!E38</f>
        <v>61.124000000000009</v>
      </c>
      <c r="I8" s="61">
        <f>'Emission Calcs 330 Contour Farm'!E39</f>
        <v>102.18425000000002</v>
      </c>
      <c r="J8" s="61">
        <f>'Emission Calcs 330 Contour Farm'!E40</f>
        <v>41.060250000000003</v>
      </c>
      <c r="K8" s="61">
        <f>'Emission Calcs 330 Contour Farm'!E41</f>
        <v>86.903250000000014</v>
      </c>
      <c r="L8" s="61">
        <f>'Emission Calcs 330 Contour Farm'!E42</f>
        <v>152.95525000000004</v>
      </c>
      <c r="M8" s="61">
        <f>'Emission Calcs 330 Contour Farm'!E43</f>
        <v>138.66825</v>
      </c>
      <c r="N8" s="61">
        <f>'Emission Calcs 330 Contour Farm'!E44</f>
        <v>147.73325</v>
      </c>
      <c r="O8" s="61">
        <f>'Emission Calcs 330 Contour Farm'!E45</f>
        <v>165.11075000000002</v>
      </c>
      <c r="P8" s="61">
        <f>'Emission Calcs 330 Contour Farm'!E46</f>
        <v>165.11075000000002</v>
      </c>
      <c r="Q8" s="61">
        <f>'Emission Calcs 330 Contour Farm'!E47</f>
        <v>186.06525000000002</v>
      </c>
      <c r="R8" s="61">
        <f>'Emission Calcs 330 Contour Farm'!E48</f>
        <v>186.41175000000001</v>
      </c>
      <c r="S8" s="61">
        <f>'Emission Calcs 330 Contour Farm'!E49</f>
        <v>165.33824999999999</v>
      </c>
    </row>
    <row r="9" spans="2:19" ht="16.5" thickTop="1" thickBot="1" x14ac:dyDescent="0.3">
      <c r="B9" s="96"/>
      <c r="C9" s="51">
        <v>332</v>
      </c>
      <c r="D9" s="52" t="s">
        <v>62</v>
      </c>
      <c r="E9" s="61">
        <f>'Emission Calcs 332 Ctr Bufr Str'!E35</f>
        <v>0</v>
      </c>
      <c r="F9" s="61">
        <f>'Emission Calcs 332 Ctr Bufr Str'!E36</f>
        <v>0</v>
      </c>
      <c r="G9" s="61">
        <f>'Emission Calcs 332 Ctr Bufr Str'!E37</f>
        <v>0</v>
      </c>
      <c r="H9" s="61">
        <f>'Emission Calcs 332 Ctr Bufr Str'!E38</f>
        <v>0</v>
      </c>
      <c r="I9" s="61">
        <f>'Emission Calcs 332 Ctr Bufr Str'!E39</f>
        <v>0</v>
      </c>
      <c r="J9" s="61">
        <f>'Emission Calcs 332 Ctr Bufr Str'!E40</f>
        <v>0</v>
      </c>
      <c r="K9" s="61">
        <f>'Emission Calcs 332 Ctr Bufr Str'!E41</f>
        <v>0</v>
      </c>
      <c r="L9" s="61">
        <f>'Emission Calcs 332 Ctr Bufr Str'!E42</f>
        <v>0</v>
      </c>
      <c r="M9" s="61">
        <f>'Emission Calcs 332 Ctr Bufr Str'!E43</f>
        <v>0</v>
      </c>
      <c r="N9" s="61">
        <f>'Emission Calcs 332 Ctr Bufr Str'!E44</f>
        <v>0</v>
      </c>
      <c r="O9" s="61">
        <f>'Emission Calcs 332 Ctr Bufr Str'!E45</f>
        <v>0</v>
      </c>
      <c r="P9" s="61">
        <f>'Emission Calcs 332 Ctr Bufr Str'!E46</f>
        <v>0</v>
      </c>
      <c r="Q9" s="61">
        <f>'Emission Calcs 332 Ctr Bufr Str'!E47</f>
        <v>0</v>
      </c>
      <c r="R9" s="61">
        <f>'Emission Calcs 332 Ctr Bufr Str'!E48</f>
        <v>0</v>
      </c>
      <c r="S9" s="61">
        <f>'Emission Calcs 332 Ctr Bufr Str'!E49</f>
        <v>0</v>
      </c>
    </row>
    <row r="10" spans="2:19" ht="16.5" thickTop="1" thickBot="1" x14ac:dyDescent="0.3">
      <c r="B10" s="96"/>
      <c r="C10" s="51">
        <v>340</v>
      </c>
      <c r="D10" s="52" t="s">
        <v>63</v>
      </c>
      <c r="E10" s="61">
        <f>'Emissions Calcs 340 Cover Crop'!D35</f>
        <v>10.033750000000001</v>
      </c>
      <c r="F10" s="61">
        <f>'Emissions Calcs 340 Cover Crop'!D36</f>
        <v>40.468499999999999</v>
      </c>
      <c r="G10" s="61">
        <f>'Emissions Calcs 340 Cover Crop'!D37</f>
        <v>954.86800000000017</v>
      </c>
      <c r="H10" s="61">
        <f>'Emissions Calcs 340 Cover Crop'!D38</f>
        <v>157.63912500000001</v>
      </c>
      <c r="I10" s="61">
        <f>'Emissions Calcs 340 Cover Crop'!D39</f>
        <v>68.958600000000004</v>
      </c>
      <c r="J10" s="61">
        <f>'Emissions Calcs 340 Cover Crop'!D40</f>
        <v>117.97102500000003</v>
      </c>
      <c r="K10" s="61">
        <f>'Emissions Calcs 340 Cover Crop'!D41</f>
        <v>176.12710000000001</v>
      </c>
      <c r="L10" s="61">
        <f>'Emissions Calcs 340 Cover Crop'!D42</f>
        <v>592.74593750000008</v>
      </c>
      <c r="M10" s="61">
        <f>'Emissions Calcs 340 Cover Crop'!D43</f>
        <v>712.91633750000017</v>
      </c>
      <c r="N10" s="61">
        <f>'Emissions Calcs 340 Cover Crop'!D44</f>
        <v>511.78478750000005</v>
      </c>
      <c r="O10" s="61">
        <f>'Emissions Calcs 340 Cover Crop'!D45</f>
        <v>730.88968750000004</v>
      </c>
      <c r="P10" s="61">
        <f>'Emissions Calcs 340 Cover Crop'!D46</f>
        <v>785.57908750000024</v>
      </c>
      <c r="Q10" s="61">
        <f>'Emissions Calcs 340 Cover Crop'!D47</f>
        <v>1223.0853175000002</v>
      </c>
      <c r="R10" s="61">
        <f>'Emissions Calcs 340 Cover Crop'!D48</f>
        <v>1039.2169925000001</v>
      </c>
      <c r="S10" s="61">
        <f>'Emissions Calcs 340 Cover Crop'!D49</f>
        <v>828.24029250000012</v>
      </c>
    </row>
    <row r="11" spans="2:19" ht="35.25" thickTop="1" thickBot="1" x14ac:dyDescent="0.3">
      <c r="B11" s="96"/>
      <c r="C11" s="51">
        <v>345</v>
      </c>
      <c r="D11" s="52" t="s">
        <v>64</v>
      </c>
      <c r="E11" s="61">
        <f>'EmissionCalcs 345 ReducedTill'!E35</f>
        <v>0</v>
      </c>
      <c r="F11" s="61">
        <f>'EmissionCalcs 345 ReducedTill'!E36</f>
        <v>0</v>
      </c>
      <c r="G11" s="61">
        <f>'EmissionCalcs 345 ReducedTill'!E37</f>
        <v>0</v>
      </c>
      <c r="H11" s="61">
        <f>'EmissionCalcs 345 ReducedTill'!E38</f>
        <v>79.385283999999999</v>
      </c>
      <c r="I11" s="61">
        <f>'EmissionCalcs 345 ReducedTill'!E39</f>
        <v>23.497017400000001</v>
      </c>
      <c r="J11" s="61">
        <f>'EmissionCalcs 345 ReducedTill'!E40</f>
        <v>94.838087000000002</v>
      </c>
      <c r="K11" s="61">
        <f>'EmissionCalcs 345 ReducedTill'!E41</f>
        <v>436.48318000000006</v>
      </c>
      <c r="L11" s="61">
        <f>'EmissionCalcs 345 ReducedTill'!E42</f>
        <v>2492.6303540500003</v>
      </c>
      <c r="M11" s="61">
        <f>'EmissionCalcs 345 ReducedTill'!E43</f>
        <v>4650.1968333000004</v>
      </c>
      <c r="N11" s="61">
        <f>'EmissionCalcs 345 ReducedTill'!E44</f>
        <v>4220.9890020499997</v>
      </c>
      <c r="O11" s="61">
        <f>'EmissionCalcs 345 ReducedTill'!E45</f>
        <v>5878.9834210500012</v>
      </c>
      <c r="P11" s="61">
        <f>'EmissionCalcs 345 ReducedTill'!E46</f>
        <v>8287.2087835500006</v>
      </c>
      <c r="Q11" s="61">
        <f>'EmissionCalcs 345 ReducedTill'!E47</f>
        <v>23082.629765550002</v>
      </c>
      <c r="R11" s="61">
        <f>'EmissionCalcs 345 ReducedTill'!E48</f>
        <v>18836.407853550001</v>
      </c>
      <c r="S11" s="61">
        <f>'EmissionCalcs 345 ReducedTill'!E49</f>
        <v>22060.940556549998</v>
      </c>
    </row>
    <row r="12" spans="2:19" ht="16.5" thickTop="1" thickBot="1" x14ac:dyDescent="0.3">
      <c r="B12" s="96"/>
      <c r="C12" s="51">
        <v>386</v>
      </c>
      <c r="D12" s="52" t="s">
        <v>65</v>
      </c>
      <c r="E12" s="62">
        <f>'Emission Calcs 386 Field Border'!E35</f>
        <v>0</v>
      </c>
      <c r="F12" s="62">
        <f>'Emission Calcs 386 Field Border'!E36</f>
        <v>4.4515151515151516E-4</v>
      </c>
      <c r="G12" s="62">
        <f>'Emission Calcs 386 Field Border'!E37</f>
        <v>7.5068732782369143E-3</v>
      </c>
      <c r="H12" s="62">
        <f>'Emission Calcs 386 Field Border'!E38</f>
        <v>2.0638842975206611E-3</v>
      </c>
      <c r="I12" s="62">
        <f>'Emission Calcs 386 Field Border'!E39</f>
        <v>3.3386363636363637E-4</v>
      </c>
      <c r="J12" s="62">
        <f>'Emission Calcs 386 Field Border'!E40</f>
        <v>6.0449552341597795E-3</v>
      </c>
      <c r="K12" s="62">
        <f>'Emission Calcs 386 Field Border'!E41</f>
        <v>9.0901962809917351E-3</v>
      </c>
      <c r="L12" s="62">
        <f>'Emission Calcs 386 Field Border'!E42</f>
        <v>2.0648605957300274</v>
      </c>
      <c r="M12" s="62">
        <f>'Emission Calcs 386 Field Border'!E43</f>
        <v>4.5821721797520665</v>
      </c>
      <c r="N12" s="62">
        <f>'Emission Calcs 386 Field Border'!E44</f>
        <v>7.1886911157024808E-2</v>
      </c>
      <c r="O12" s="62">
        <f>'Emission Calcs 386 Field Border'!E45</f>
        <v>22.705367830578513</v>
      </c>
      <c r="P12" s="62">
        <f>'Emission Calcs 386 Field Border'!E46</f>
        <v>6.1579174896694218</v>
      </c>
      <c r="Q12" s="62">
        <f>'Emission Calcs 386 Field Border'!E47</f>
        <v>5.0300654235537188</v>
      </c>
      <c r="R12" s="62">
        <f>'Emission Calcs 386 Field Border'!E48</f>
        <v>21.982325423553721</v>
      </c>
      <c r="S12" s="62">
        <f>'Emission Calcs 386 Field Border'!E49</f>
        <v>21.77666542355372</v>
      </c>
    </row>
    <row r="13" spans="2:19" ht="16.5" thickTop="1" thickBot="1" x14ac:dyDescent="0.3">
      <c r="B13" s="96"/>
      <c r="C13" s="51">
        <v>393</v>
      </c>
      <c r="D13" s="52" t="s">
        <v>66</v>
      </c>
      <c r="E13" s="61">
        <f>'Emission Calcs 393 Filter Strip'!E35</f>
        <v>0</v>
      </c>
      <c r="F13" s="61">
        <f>'Emission Calcs 393 Filter Strip'!E36</f>
        <v>0.35949999999999999</v>
      </c>
      <c r="G13" s="61">
        <f>'Emission Calcs 393 Filter Strip'!E37</f>
        <v>6.1114999999999995</v>
      </c>
      <c r="H13" s="61">
        <f>'Emission Calcs 393 Filter Strip'!E38</f>
        <v>10.96475</v>
      </c>
      <c r="I13" s="61">
        <f>'Emission Calcs 393 Filter Strip'!E39</f>
        <v>5.302624999999999</v>
      </c>
      <c r="J13" s="61">
        <f>'Emission Calcs 393 Filter Strip'!E40</f>
        <v>29.083549999999999</v>
      </c>
      <c r="K13" s="61">
        <f>'Emission Calcs 393 Filter Strip'!E41</f>
        <v>14.586712499999999</v>
      </c>
      <c r="L13" s="61">
        <f>'Emission Calcs 393 Filter Strip'!E42</f>
        <v>133.65311249999999</v>
      </c>
      <c r="M13" s="61">
        <f>'Emission Calcs 393 Filter Strip'!E43</f>
        <v>35.0242875</v>
      </c>
      <c r="N13" s="61">
        <f>'Emission Calcs 393 Filter Strip'!E44</f>
        <v>36.516212499999995</v>
      </c>
      <c r="O13" s="61">
        <f>'Emission Calcs 393 Filter Strip'!E45</f>
        <v>126.02272499999998</v>
      </c>
      <c r="P13" s="61">
        <f>'Emission Calcs 393 Filter Strip'!E46</f>
        <v>123.75787499999998</v>
      </c>
      <c r="Q13" s="61">
        <f>'Emission Calcs 393 Filter Strip'!E47</f>
        <v>124.02749999999997</v>
      </c>
      <c r="R13" s="61">
        <f>'Emission Calcs 393 Filter Strip'!E48</f>
        <v>125.72613749999998</v>
      </c>
      <c r="S13" s="61">
        <f>'Emission Calcs 393 Filter Strip'!E49</f>
        <v>125.72613749999998</v>
      </c>
    </row>
    <row r="14" spans="2:19" ht="16.5" thickTop="1" thickBot="1" x14ac:dyDescent="0.3">
      <c r="B14" s="96"/>
      <c r="C14" s="51">
        <v>412</v>
      </c>
      <c r="D14" s="52" t="s">
        <v>67</v>
      </c>
      <c r="E14" s="61">
        <f>'Emission Calcs 412 Gr WaterWay'!E35</f>
        <v>0</v>
      </c>
      <c r="F14" s="61">
        <f>'Emission Calcs 412 Gr WaterWay'!E36</f>
        <v>0</v>
      </c>
      <c r="G14" s="61">
        <f>'Emission Calcs 412 Gr WaterWay'!E37</f>
        <v>0.96539999999999992</v>
      </c>
      <c r="H14" s="61">
        <f>'Emission Calcs 412 Gr WaterWay'!E38</f>
        <v>5.6958599999999997</v>
      </c>
      <c r="I14" s="61">
        <f>'Emission Calcs 412 Gr WaterWay'!E39</f>
        <v>6.1141999999999994</v>
      </c>
      <c r="J14" s="61">
        <f>'Emission Calcs 412 Gr WaterWay'!E40</f>
        <v>7.3209499999999998</v>
      </c>
      <c r="K14" s="61">
        <f>'Emission Calcs 412 Gr WaterWay'!E41</f>
        <v>16.258945000000001</v>
      </c>
      <c r="L14" s="61">
        <f>'Emission Calcs 412 Gr WaterWay'!E42</f>
        <v>13.121395</v>
      </c>
      <c r="M14" s="61">
        <f>'Emission Calcs 412 Gr WaterWay'!E43</f>
        <v>34.641769999999994</v>
      </c>
      <c r="N14" s="61">
        <f>'Emission Calcs 412 Gr WaterWay'!E44</f>
        <v>26.51632</v>
      </c>
      <c r="O14" s="61">
        <f>'Emission Calcs 412 Gr WaterWay'!E45</f>
        <v>30.619269999999997</v>
      </c>
      <c r="P14" s="61">
        <f>'Emission Calcs 412 Gr WaterWay'!E46</f>
        <v>40.715744999999998</v>
      </c>
      <c r="Q14" s="61">
        <f>'Emission Calcs 412 Gr WaterWay'!E47</f>
        <v>46.942574999999998</v>
      </c>
      <c r="R14" s="61">
        <f>'Emission Calcs 412 Gr WaterWay'!E48</f>
        <v>55.220879999999994</v>
      </c>
      <c r="S14" s="61">
        <f>'Emission Calcs 412 Gr WaterWay'!E49</f>
        <v>49.203220000000002</v>
      </c>
    </row>
    <row r="15" spans="2:19" ht="16.5" thickTop="1" thickBot="1" x14ac:dyDescent="0.3">
      <c r="B15" s="96"/>
      <c r="C15" s="51">
        <v>585</v>
      </c>
      <c r="D15" s="52" t="s">
        <v>68</v>
      </c>
      <c r="E15" s="61">
        <f>'EmissionCalcs 585 Strip Croppin'!D35</f>
        <v>0</v>
      </c>
      <c r="F15" s="61">
        <f>'EmissionCalcs 585 Strip Croppin'!D36</f>
        <v>90.880419999999987</v>
      </c>
      <c r="G15" s="61">
        <f>'EmissionCalcs 585 Strip Croppin'!D37</f>
        <v>49.692779999999999</v>
      </c>
      <c r="H15" s="61">
        <f>'EmissionCalcs 585 Strip Croppin'!D38</f>
        <v>73.054999999999993</v>
      </c>
      <c r="I15" s="61">
        <f>'EmissionCalcs 585 Strip Croppin'!D39</f>
        <v>339.01364999999998</v>
      </c>
      <c r="J15" s="61">
        <f>'EmissionCalcs 585 Strip Croppin'!D40</f>
        <v>70.286599999999993</v>
      </c>
      <c r="K15" s="61">
        <f>'EmissionCalcs 585 Strip Croppin'!D41</f>
        <v>406.17041999999998</v>
      </c>
      <c r="L15" s="61">
        <f>'EmissionCalcs 585 Strip Croppin'!D42</f>
        <v>1187.9512</v>
      </c>
      <c r="M15" s="61">
        <f>'EmissionCalcs 585 Strip Croppin'!D43</f>
        <v>537.05421999999999</v>
      </c>
      <c r="N15" s="61">
        <f>'EmissionCalcs 585 Strip Croppin'!D44</f>
        <v>872.06137999999999</v>
      </c>
      <c r="O15" s="61">
        <f>'EmissionCalcs 585 Strip Croppin'!D45</f>
        <v>902.87520999999992</v>
      </c>
      <c r="P15" s="61">
        <f>'EmissionCalcs 585 Strip Croppin'!D46</f>
        <v>1333.00767</v>
      </c>
      <c r="Q15" s="61">
        <f>'EmissionCalcs 585 Strip Croppin'!D47</f>
        <v>1246.5720699999999</v>
      </c>
      <c r="R15" s="61">
        <f>'EmissionCalcs 585 Strip Croppin'!D48</f>
        <v>1387.6681900000001</v>
      </c>
      <c r="S15" s="61">
        <f>'EmissionCalcs 585 Strip Croppin'!D49</f>
        <v>1423.1959899999999</v>
      </c>
    </row>
    <row r="16" spans="2:19" ht="16.5" thickTop="1" thickBot="1" x14ac:dyDescent="0.3">
      <c r="B16" s="96"/>
      <c r="C16" s="51">
        <v>601</v>
      </c>
      <c r="D16" s="52" t="s">
        <v>69</v>
      </c>
      <c r="E16" s="61">
        <f>'Emission Calcs 601 Veg. Barrier'!E35</f>
        <v>0</v>
      </c>
      <c r="F16" s="61">
        <f>'Emission Calcs 601 Veg. Barrier'!E36</f>
        <v>0</v>
      </c>
      <c r="G16" s="61">
        <f>'Emission Calcs 601 Veg. Barrier'!E37</f>
        <v>0</v>
      </c>
      <c r="H16" s="61">
        <f>'Emission Calcs 601 Veg. Barrier'!E38</f>
        <v>0</v>
      </c>
      <c r="I16" s="61">
        <f>'Emission Calcs 601 Veg. Barrier'!E39</f>
        <v>0</v>
      </c>
      <c r="J16" s="61">
        <f>'Emission Calcs 601 Veg. Barrier'!E40</f>
        <v>0</v>
      </c>
      <c r="K16" s="61">
        <f>'Emission Calcs 601 Veg. Barrier'!E41</f>
        <v>0</v>
      </c>
      <c r="L16" s="61">
        <f>'Emission Calcs 601 Veg. Barrier'!E42</f>
        <v>0</v>
      </c>
      <c r="M16" s="61">
        <f>'Emission Calcs 601 Veg. Barrier'!E43</f>
        <v>0</v>
      </c>
      <c r="N16" s="61">
        <f>'Emission Calcs 601 Veg. Barrier'!E44</f>
        <v>0</v>
      </c>
      <c r="O16" s="61">
        <f>'Emission Calcs 601 Veg. Barrier'!E45</f>
        <v>0</v>
      </c>
      <c r="P16" s="61">
        <f>'Emission Calcs 601 Veg. Barrier'!E46</f>
        <v>0</v>
      </c>
      <c r="Q16" s="61">
        <f>'Emission Calcs 601 Veg. Barrier'!E47</f>
        <v>0</v>
      </c>
      <c r="R16" s="61">
        <f>'Emission Calcs 601 Veg. Barrier'!E48</f>
        <v>0</v>
      </c>
      <c r="S16" s="61">
        <f>'Emission Calcs 601 Veg. Barrier'!E49</f>
        <v>0</v>
      </c>
    </row>
    <row r="17" spans="2:19" ht="24" thickTop="1" thickBot="1" x14ac:dyDescent="0.3">
      <c r="B17" s="97"/>
      <c r="C17" s="51">
        <v>603</v>
      </c>
      <c r="D17" s="52" t="s">
        <v>70</v>
      </c>
      <c r="E17" s="61">
        <f>'Emission Calcs 603 Herb Wnd Bar'!E35</f>
        <v>0</v>
      </c>
      <c r="F17" s="61">
        <f>'Emission Calcs 603 Herb Wnd Bar'!E36</f>
        <v>0</v>
      </c>
      <c r="G17" s="61">
        <f>'Emission Calcs 603 Herb Wnd Bar'!E37</f>
        <v>0</v>
      </c>
      <c r="H17" s="61">
        <f>'Emission Calcs 603 Herb Wnd Bar'!E38</f>
        <v>0</v>
      </c>
      <c r="I17" s="61">
        <f>'Emission Calcs 603 Herb Wnd Bar'!E39</f>
        <v>0</v>
      </c>
      <c r="J17" s="61">
        <f>'Emission Calcs 603 Herb Wnd Bar'!E40</f>
        <v>0</v>
      </c>
      <c r="K17" s="61">
        <f>'Emission Calcs 603 Herb Wnd Bar'!E41</f>
        <v>0</v>
      </c>
      <c r="L17" s="61">
        <f>'Emission Calcs 603 Herb Wnd Bar'!E42</f>
        <v>0</v>
      </c>
      <c r="M17" s="61">
        <f>'Emission Calcs 603 Herb Wnd Bar'!E43</f>
        <v>0</v>
      </c>
      <c r="N17" s="61">
        <f>'Emission Calcs 603 Herb Wnd Bar'!E44</f>
        <v>0</v>
      </c>
      <c r="O17" s="61">
        <f>'Emission Calcs 603 Herb Wnd Bar'!E45</f>
        <v>0</v>
      </c>
      <c r="P17" s="61">
        <f>'Emission Calcs 603 Herb Wnd Bar'!E46</f>
        <v>0</v>
      </c>
      <c r="Q17" s="61">
        <f>'Emission Calcs 603 Herb Wnd Bar'!E47</f>
        <v>0</v>
      </c>
      <c r="R17" s="61">
        <f>'Emission Calcs 603 Herb Wnd Bar'!E48</f>
        <v>0</v>
      </c>
      <c r="S17" s="61">
        <f>'Emission Calcs 603 Herb Wnd Bar'!E49</f>
        <v>0</v>
      </c>
    </row>
    <row r="18" spans="2:19" ht="57" customHeight="1" thickTop="1" x14ac:dyDescent="0.25">
      <c r="D18" s="55" t="s">
        <v>79</v>
      </c>
      <c r="E18" s="63">
        <f>SUM(E3:E17)</f>
        <v>8685.9711900000002</v>
      </c>
      <c r="F18" s="63">
        <f t="shared" ref="F18:S18" si="0">SUM(F3:F17)</f>
        <v>23975.688735151518</v>
      </c>
      <c r="G18" s="63">
        <f t="shared" si="0"/>
        <v>16565.631556873279</v>
      </c>
      <c r="H18" s="63">
        <f t="shared" si="0"/>
        <v>25837.555752884302</v>
      </c>
      <c r="I18" s="63">
        <f t="shared" si="0"/>
        <v>44911.295953763634</v>
      </c>
      <c r="J18" s="63">
        <f t="shared" si="0"/>
        <v>42123.655891955226</v>
      </c>
      <c r="K18" s="63">
        <f t="shared" si="0"/>
        <v>56819.877375196287</v>
      </c>
      <c r="L18" s="63">
        <f t="shared" si="0"/>
        <v>153083.17573089577</v>
      </c>
      <c r="M18" s="63">
        <f t="shared" si="0"/>
        <v>208718.24732297973</v>
      </c>
      <c r="N18" s="63">
        <f t="shared" si="0"/>
        <v>177354.9335002111</v>
      </c>
      <c r="O18" s="64">
        <f t="shared" si="0"/>
        <v>210869.71449263059</v>
      </c>
      <c r="P18" s="64">
        <f t="shared" si="0"/>
        <v>289828.9889847897</v>
      </c>
      <c r="Q18" s="64">
        <f t="shared" si="0"/>
        <v>442549.1882597236</v>
      </c>
      <c r="R18" s="64">
        <f t="shared" si="0"/>
        <v>422050.20829522359</v>
      </c>
      <c r="S18" s="64">
        <f t="shared" si="0"/>
        <v>462752.96951322356</v>
      </c>
    </row>
    <row r="19" spans="2:19" x14ac:dyDescent="0.25">
      <c r="D19" s="54" t="s">
        <v>73</v>
      </c>
      <c r="E19" s="61">
        <f>'Soil Health Master'!E18</f>
        <v>8685.9711900000002</v>
      </c>
      <c r="F19" s="61">
        <f>'Soil Health Master'!F18</f>
        <v>23975.688735151518</v>
      </c>
      <c r="G19" s="61">
        <f>'Soil Health Master'!G18</f>
        <v>16565.631556873279</v>
      </c>
      <c r="H19" s="61">
        <f>'Soil Health Master'!H18</f>
        <v>20025.930097884298</v>
      </c>
      <c r="I19" s="61">
        <f>'Soil Health Master'!I18</f>
        <v>22813.314877400004</v>
      </c>
      <c r="J19" s="61">
        <f>'Soil Health Master'!J18</f>
        <v>10661.571442936636</v>
      </c>
      <c r="K19" s="61">
        <f>'Soil Health Master'!K18</f>
        <v>12459.034320264462</v>
      </c>
      <c r="L19" s="61">
        <f>'Soil Health Master'!L18</f>
        <v>94394.432366663939</v>
      </c>
      <c r="M19" s="61">
        <f>'Soil Health Master'!M18</f>
        <v>143248.74680154544</v>
      </c>
      <c r="N19" s="61">
        <f>'Soil Health Master'!N18</f>
        <v>104714.22861857851</v>
      </c>
      <c r="O19" s="61">
        <f>'Soil Health Master'!O18</f>
        <v>73209.155895999997</v>
      </c>
      <c r="P19" s="61">
        <f>'Soil Health Master'!P18</f>
        <v>51812.145731999997</v>
      </c>
      <c r="Q19" s="61">
        <f>'Soil Health Master'!Q18</f>
        <v>130211.14705299999</v>
      </c>
      <c r="R19" s="61">
        <f>'Soil Health Master'!R18</f>
        <v>59788.957449000001</v>
      </c>
      <c r="S19" s="61">
        <f>'Soil Health Master'!S18</f>
        <v>65287.057227999998</v>
      </c>
    </row>
    <row r="20" spans="2:19" x14ac:dyDescent="0.25">
      <c r="D20" s="58" t="s">
        <v>74</v>
      </c>
      <c r="E20" s="35">
        <f>E18/E19</f>
        <v>1</v>
      </c>
      <c r="F20" s="35">
        <f t="shared" ref="F20:S20" si="1">F18/F19</f>
        <v>1</v>
      </c>
      <c r="G20" s="35">
        <f t="shared" si="1"/>
        <v>1</v>
      </c>
      <c r="H20" s="35">
        <f t="shared" si="1"/>
        <v>1.2902050305076211</v>
      </c>
      <c r="I20" s="35">
        <f t="shared" si="1"/>
        <v>1.9686440219283952</v>
      </c>
      <c r="J20" s="35">
        <f t="shared" si="1"/>
        <v>3.9509800330477955</v>
      </c>
      <c r="K20" s="35">
        <f t="shared" si="1"/>
        <v>4.5605362273366143</v>
      </c>
      <c r="L20" s="35">
        <f t="shared" si="1"/>
        <v>1.6217394595505632</v>
      </c>
      <c r="M20" s="35">
        <f t="shared" si="1"/>
        <v>1.4570336703338473</v>
      </c>
      <c r="N20" s="35">
        <f t="shared" si="1"/>
        <v>1.6937042447805857</v>
      </c>
      <c r="O20" s="35">
        <f t="shared" si="1"/>
        <v>2.8803735258495462</v>
      </c>
      <c r="P20" s="35">
        <f t="shared" si="1"/>
        <v>5.593842619140684</v>
      </c>
      <c r="Q20" s="35">
        <f t="shared" si="1"/>
        <v>3.3987043219855231</v>
      </c>
      <c r="R20" s="35">
        <f t="shared" si="1"/>
        <v>7.0589992918881812</v>
      </c>
      <c r="S20" s="35">
        <f t="shared" si="1"/>
        <v>7.0879740818638144</v>
      </c>
    </row>
    <row r="22" spans="2:19" ht="15.75" thickBot="1" x14ac:dyDescent="0.3">
      <c r="E22" s="92" t="s">
        <v>72</v>
      </c>
      <c r="F22" s="92"/>
      <c r="G22" s="92"/>
      <c r="H22" s="92"/>
      <c r="I22" s="92"/>
      <c r="J22" s="92"/>
      <c r="K22" s="92"/>
      <c r="L22" s="92"/>
      <c r="M22" s="92"/>
      <c r="N22" s="92"/>
      <c r="O22" s="92"/>
    </row>
    <row r="23" spans="2:19" ht="16.5" thickTop="1" thickBot="1" x14ac:dyDescent="0.3">
      <c r="B23" s="50" t="s">
        <v>51</v>
      </c>
      <c r="C23" s="93" t="s">
        <v>52</v>
      </c>
      <c r="D23" s="94"/>
      <c r="E23" s="53">
        <v>2004</v>
      </c>
      <c r="F23" s="53">
        <v>2005</v>
      </c>
      <c r="G23" s="53">
        <v>2006</v>
      </c>
      <c r="H23" s="53">
        <v>2007</v>
      </c>
      <c r="I23" s="53">
        <v>2008</v>
      </c>
      <c r="J23" s="53">
        <v>2009</v>
      </c>
      <c r="K23" s="53">
        <v>2010</v>
      </c>
      <c r="L23" s="53">
        <v>2011</v>
      </c>
      <c r="M23" s="53">
        <v>2012</v>
      </c>
      <c r="N23" s="53">
        <v>2013</v>
      </c>
      <c r="O23" s="53">
        <v>2014</v>
      </c>
      <c r="P23" s="53">
        <v>2015</v>
      </c>
      <c r="Q23" s="53">
        <v>2016</v>
      </c>
      <c r="R23" s="53">
        <v>2017</v>
      </c>
      <c r="S23" s="53">
        <v>2018</v>
      </c>
    </row>
    <row r="24" spans="2:19" ht="16.5" thickTop="1" thickBot="1" x14ac:dyDescent="0.3">
      <c r="B24" s="95" t="s">
        <v>53</v>
      </c>
      <c r="C24" s="51">
        <v>327</v>
      </c>
      <c r="D24" s="52" t="s">
        <v>54</v>
      </c>
      <c r="E24" s="57">
        <f>(E3*(12/44))</f>
        <v>0</v>
      </c>
      <c r="F24" s="57">
        <f t="shared" ref="F24:S24" si="2">(F3*(12/44))</f>
        <v>22.353398181818179</v>
      </c>
      <c r="G24" s="57">
        <f t="shared" si="2"/>
        <v>15.727243636363632</v>
      </c>
      <c r="H24" s="57">
        <f t="shared" si="2"/>
        <v>0</v>
      </c>
      <c r="I24" s="57">
        <f t="shared" si="2"/>
        <v>25.243015909090904</v>
      </c>
      <c r="J24" s="57">
        <f t="shared" si="2"/>
        <v>28.560481363636356</v>
      </c>
      <c r="K24" s="57">
        <f t="shared" si="2"/>
        <v>38.074059545454531</v>
      </c>
      <c r="L24" s="57">
        <f t="shared" si="2"/>
        <v>3169.0812804545449</v>
      </c>
      <c r="M24" s="57">
        <f t="shared" si="2"/>
        <v>6442.7175749999997</v>
      </c>
      <c r="N24" s="57">
        <f t="shared" si="2"/>
        <v>6123.714309545453</v>
      </c>
      <c r="O24" s="57">
        <f t="shared" si="2"/>
        <v>3242.7281359090912</v>
      </c>
      <c r="P24" s="57">
        <f t="shared" si="2"/>
        <v>8039.8972759090902</v>
      </c>
      <c r="Q24" s="57">
        <f t="shared" si="2"/>
        <v>12944.833579090906</v>
      </c>
      <c r="R24" s="57">
        <f t="shared" si="2"/>
        <v>13381.315054090908</v>
      </c>
      <c r="S24" s="57">
        <f t="shared" si="2"/>
        <v>15061.900926818182</v>
      </c>
    </row>
    <row r="25" spans="2:19" ht="24" thickTop="1" thickBot="1" x14ac:dyDescent="0.3">
      <c r="B25" s="96"/>
      <c r="C25" s="51">
        <v>328</v>
      </c>
      <c r="D25" s="52" t="s">
        <v>55</v>
      </c>
      <c r="E25" s="57">
        <f t="shared" ref="E25:S25" si="3">(E4*(12/44))</f>
        <v>1606.5311563636362</v>
      </c>
      <c r="F25" s="57">
        <f t="shared" si="3"/>
        <v>4673.8681118181812</v>
      </c>
      <c r="G25" s="57">
        <f t="shared" si="3"/>
        <v>1578.5967845454547</v>
      </c>
      <c r="H25" s="57">
        <f t="shared" si="3"/>
        <v>4378.5218590909089</v>
      </c>
      <c r="I25" s="57">
        <f t="shared" si="3"/>
        <v>7887.1703924999993</v>
      </c>
      <c r="J25" s="57">
        <f t="shared" si="3"/>
        <v>7446.1390690909084</v>
      </c>
      <c r="K25" s="57">
        <f t="shared" si="3"/>
        <v>9208.8788543181799</v>
      </c>
      <c r="L25" s="57">
        <f t="shared" si="3"/>
        <v>26472.526449886365</v>
      </c>
      <c r="M25" s="57">
        <f t="shared" si="3"/>
        <v>35779.451481136362</v>
      </c>
      <c r="N25" s="57">
        <f t="shared" si="3"/>
        <v>29532.695895340912</v>
      </c>
      <c r="O25" s="57">
        <f t="shared" si="3"/>
        <v>37304.77800715909</v>
      </c>
      <c r="P25" s="57">
        <f t="shared" si="3"/>
        <v>51166.430563977272</v>
      </c>
      <c r="Q25" s="57">
        <f t="shared" si="3"/>
        <v>78266.039696249994</v>
      </c>
      <c r="R25" s="57">
        <f t="shared" si="3"/>
        <v>75953.817084886367</v>
      </c>
      <c r="S25" s="57">
        <f t="shared" si="3"/>
        <v>81985.339807159093</v>
      </c>
    </row>
    <row r="26" spans="2:19" ht="24" thickTop="1" thickBot="1" x14ac:dyDescent="0.3">
      <c r="B26" s="96"/>
      <c r="C26" s="51">
        <v>329</v>
      </c>
      <c r="D26" s="52" t="s">
        <v>56</v>
      </c>
      <c r="E26" s="57">
        <f t="shared" ref="E26:S26" si="4">(E5*(12/44))</f>
        <v>0</v>
      </c>
      <c r="F26" s="57">
        <f t="shared" si="4"/>
        <v>0</v>
      </c>
      <c r="G26" s="57">
        <f t="shared" si="4"/>
        <v>537.92615454545455</v>
      </c>
      <c r="H26" s="57">
        <f t="shared" si="4"/>
        <v>958.70719636363629</v>
      </c>
      <c r="I26" s="57">
        <f t="shared" si="4"/>
        <v>2275.1327127272725</v>
      </c>
      <c r="J26" s="57">
        <f t="shared" si="4"/>
        <v>1439.872568181818</v>
      </c>
      <c r="K26" s="57">
        <f t="shared" si="4"/>
        <v>2981.2938299999996</v>
      </c>
      <c r="L26" s="57">
        <f t="shared" si="4"/>
        <v>7574.3431118181816</v>
      </c>
      <c r="M26" s="57">
        <f t="shared" si="4"/>
        <v>9637.2843627272723</v>
      </c>
      <c r="N26" s="57">
        <f t="shared" si="4"/>
        <v>7655.9541709090909</v>
      </c>
      <c r="O26" s="57">
        <f t="shared" si="4"/>
        <v>11456.757360000001</v>
      </c>
      <c r="P26" s="57">
        <f t="shared" si="4"/>
        <v>13517.217916363636</v>
      </c>
      <c r="Q26" s="57">
        <f t="shared" si="4"/>
        <v>18369.98454272727</v>
      </c>
      <c r="R26" s="57">
        <f t="shared" si="4"/>
        <v>16394.271119999998</v>
      </c>
      <c r="S26" s="57">
        <f t="shared" si="4"/>
        <v>18926.567361818179</v>
      </c>
    </row>
    <row r="27" spans="2:19" ht="16.5" thickTop="1" thickBot="1" x14ac:dyDescent="0.3">
      <c r="B27" s="96"/>
      <c r="C27" s="51" t="s">
        <v>57</v>
      </c>
      <c r="D27" s="52" t="s">
        <v>58</v>
      </c>
      <c r="E27" s="57">
        <f t="shared" ref="E27:S27" si="5">(E6*(12/44))</f>
        <v>310.62569999999994</v>
      </c>
      <c r="F27" s="57">
        <f t="shared" si="5"/>
        <v>727.61039999999991</v>
      </c>
      <c r="G27" s="57">
        <f t="shared" si="5"/>
        <v>892.12199999999996</v>
      </c>
      <c r="H27" s="57">
        <f t="shared" si="5"/>
        <v>843.83145000000002</v>
      </c>
      <c r="I27" s="57">
        <f t="shared" si="5"/>
        <v>959.41724999999974</v>
      </c>
      <c r="J27" s="57">
        <f t="shared" si="5"/>
        <v>1077.1546499999997</v>
      </c>
      <c r="K27" s="57">
        <f t="shared" si="5"/>
        <v>1322.9485499999998</v>
      </c>
      <c r="L27" s="57">
        <f t="shared" si="5"/>
        <v>1540.1479499999998</v>
      </c>
      <c r="M27" s="57">
        <f t="shared" si="5"/>
        <v>1585.5757499999997</v>
      </c>
      <c r="N27" s="57">
        <f t="shared" si="5"/>
        <v>1641.0388499999997</v>
      </c>
      <c r="O27" s="57">
        <f t="shared" si="5"/>
        <v>1597.6108499999996</v>
      </c>
      <c r="P27" s="57">
        <f t="shared" si="5"/>
        <v>1605.0358499999995</v>
      </c>
      <c r="Q27" s="57">
        <f t="shared" si="5"/>
        <v>1736.6728499999995</v>
      </c>
      <c r="R27" s="57">
        <f t="shared" si="5"/>
        <v>1621.9648499999994</v>
      </c>
      <c r="S27" s="57">
        <f t="shared" si="5"/>
        <v>1641.0553499999996</v>
      </c>
    </row>
    <row r="28" spans="2:19" ht="16.5" thickTop="1" thickBot="1" x14ac:dyDescent="0.3">
      <c r="B28" s="96"/>
      <c r="C28" s="51" t="s">
        <v>59</v>
      </c>
      <c r="D28" s="52" t="s">
        <v>60</v>
      </c>
      <c r="E28" s="57">
        <f t="shared" ref="E28:S28" si="6">(E7*(12/44))</f>
        <v>449.00789999999989</v>
      </c>
      <c r="F28" s="57">
        <f t="shared" si="6"/>
        <v>1068.4476</v>
      </c>
      <c r="G28" s="57">
        <f t="shared" si="6"/>
        <v>1217.6240999999998</v>
      </c>
      <c r="H28" s="57">
        <f t="shared" si="6"/>
        <v>759.76394999999991</v>
      </c>
      <c r="I28" s="57">
        <f t="shared" si="6"/>
        <v>952.91624999999988</v>
      </c>
      <c r="J28" s="57">
        <f t="shared" si="6"/>
        <v>1398.2066999999997</v>
      </c>
      <c r="K28" s="57">
        <f t="shared" si="6"/>
        <v>1635.1697999999999</v>
      </c>
      <c r="L28" s="57">
        <f t="shared" si="6"/>
        <v>1746.0976499999995</v>
      </c>
      <c r="M28" s="57">
        <f t="shared" si="6"/>
        <v>1810.9244999999994</v>
      </c>
      <c r="N28" s="57">
        <f t="shared" si="6"/>
        <v>1830.0314999999994</v>
      </c>
      <c r="O28" s="57">
        <f t="shared" si="6"/>
        <v>1765.1732999999992</v>
      </c>
      <c r="P28" s="57">
        <f t="shared" si="6"/>
        <v>1786.1777999999995</v>
      </c>
      <c r="Q28" s="57">
        <f t="shared" si="6"/>
        <v>2310.1517999999992</v>
      </c>
      <c r="R28" s="57">
        <f t="shared" si="6"/>
        <v>1847.9702999999995</v>
      </c>
      <c r="S28" s="57">
        <f t="shared" si="6"/>
        <v>1861.1042999999997</v>
      </c>
    </row>
    <row r="29" spans="2:19" ht="16.5" thickTop="1" thickBot="1" x14ac:dyDescent="0.3">
      <c r="B29" s="96"/>
      <c r="C29" s="51">
        <v>330</v>
      </c>
      <c r="D29" s="52" t="s">
        <v>61</v>
      </c>
      <c r="E29" s="57">
        <f t="shared" ref="E29:S29" si="7">(E8*(12/44))</f>
        <v>0</v>
      </c>
      <c r="F29" s="57">
        <f t="shared" si="7"/>
        <v>10.62409090909091</v>
      </c>
      <c r="G29" s="57">
        <f t="shared" si="7"/>
        <v>0</v>
      </c>
      <c r="H29" s="57">
        <f t="shared" si="7"/>
        <v>16.67018181818182</v>
      </c>
      <c r="I29" s="57">
        <f t="shared" si="7"/>
        <v>27.868431818181822</v>
      </c>
      <c r="J29" s="57">
        <f t="shared" si="7"/>
        <v>11.19825</v>
      </c>
      <c r="K29" s="57">
        <f t="shared" si="7"/>
        <v>23.700886363636364</v>
      </c>
      <c r="L29" s="57">
        <f t="shared" si="7"/>
        <v>41.715068181818189</v>
      </c>
      <c r="M29" s="57">
        <f t="shared" si="7"/>
        <v>37.818613636363636</v>
      </c>
      <c r="N29" s="57">
        <f t="shared" si="7"/>
        <v>40.290886363636361</v>
      </c>
      <c r="O29" s="57">
        <f t="shared" si="7"/>
        <v>45.030204545454552</v>
      </c>
      <c r="P29" s="57">
        <f t="shared" si="7"/>
        <v>45.030204545454552</v>
      </c>
      <c r="Q29" s="57">
        <f t="shared" si="7"/>
        <v>50.745068181818183</v>
      </c>
      <c r="R29" s="57">
        <f t="shared" si="7"/>
        <v>50.83956818181818</v>
      </c>
      <c r="S29" s="57">
        <f t="shared" si="7"/>
        <v>45.092249999999993</v>
      </c>
    </row>
    <row r="30" spans="2:19" ht="16.5" thickTop="1" thickBot="1" x14ac:dyDescent="0.3">
      <c r="B30" s="96"/>
      <c r="C30" s="51">
        <v>332</v>
      </c>
      <c r="D30" s="52" t="s">
        <v>62</v>
      </c>
      <c r="E30" s="57">
        <f t="shared" ref="E30:S30" si="8">(E9*(12/44))</f>
        <v>0</v>
      </c>
      <c r="F30" s="57">
        <f t="shared" si="8"/>
        <v>0</v>
      </c>
      <c r="G30" s="57">
        <f t="shared" si="8"/>
        <v>0</v>
      </c>
      <c r="H30" s="57">
        <f t="shared" si="8"/>
        <v>0</v>
      </c>
      <c r="I30" s="57">
        <f t="shared" si="8"/>
        <v>0</v>
      </c>
      <c r="J30" s="57">
        <f t="shared" si="8"/>
        <v>0</v>
      </c>
      <c r="K30" s="57">
        <f t="shared" si="8"/>
        <v>0</v>
      </c>
      <c r="L30" s="57">
        <f t="shared" si="8"/>
        <v>0</v>
      </c>
      <c r="M30" s="57">
        <f t="shared" si="8"/>
        <v>0</v>
      </c>
      <c r="N30" s="57">
        <f t="shared" si="8"/>
        <v>0</v>
      </c>
      <c r="O30" s="57">
        <f t="shared" si="8"/>
        <v>0</v>
      </c>
      <c r="P30" s="57">
        <f t="shared" si="8"/>
        <v>0</v>
      </c>
      <c r="Q30" s="57">
        <f t="shared" si="8"/>
        <v>0</v>
      </c>
      <c r="R30" s="57">
        <f t="shared" si="8"/>
        <v>0</v>
      </c>
      <c r="S30" s="57">
        <f t="shared" si="8"/>
        <v>0</v>
      </c>
    </row>
    <row r="31" spans="2:19" ht="16.5" thickTop="1" thickBot="1" x14ac:dyDescent="0.3">
      <c r="B31" s="96"/>
      <c r="C31" s="51">
        <v>340</v>
      </c>
      <c r="D31" s="52" t="s">
        <v>63</v>
      </c>
      <c r="E31" s="57">
        <f t="shared" ref="E31:S31" si="9">(E10*(12/44))</f>
        <v>2.736477272727273</v>
      </c>
      <c r="F31" s="57">
        <f t="shared" si="9"/>
        <v>11.036863636363636</v>
      </c>
      <c r="G31" s="57">
        <f t="shared" si="9"/>
        <v>260.41854545454549</v>
      </c>
      <c r="H31" s="57">
        <f t="shared" si="9"/>
        <v>42.992488636363632</v>
      </c>
      <c r="I31" s="57">
        <f t="shared" si="9"/>
        <v>18.80689090909091</v>
      </c>
      <c r="J31" s="57">
        <f t="shared" si="9"/>
        <v>32.173915909090915</v>
      </c>
      <c r="K31" s="57">
        <f t="shared" si="9"/>
        <v>48.034663636363639</v>
      </c>
      <c r="L31" s="57">
        <f t="shared" si="9"/>
        <v>161.65798295454547</v>
      </c>
      <c r="M31" s="57">
        <f t="shared" si="9"/>
        <v>194.43172840909094</v>
      </c>
      <c r="N31" s="57">
        <f t="shared" si="9"/>
        <v>139.57766931818182</v>
      </c>
      <c r="O31" s="57">
        <f t="shared" si="9"/>
        <v>199.33355113636364</v>
      </c>
      <c r="P31" s="57">
        <f t="shared" si="9"/>
        <v>214.24884204545461</v>
      </c>
      <c r="Q31" s="57">
        <f t="shared" si="9"/>
        <v>333.56872295454548</v>
      </c>
      <c r="R31" s="57">
        <f t="shared" si="9"/>
        <v>283.42281613636362</v>
      </c>
      <c r="S31" s="57">
        <f t="shared" si="9"/>
        <v>225.88371613636366</v>
      </c>
    </row>
    <row r="32" spans="2:19" ht="35.25" thickTop="1" thickBot="1" x14ac:dyDescent="0.3">
      <c r="B32" s="96"/>
      <c r="C32" s="51">
        <v>345</v>
      </c>
      <c r="D32" s="52" t="s">
        <v>64</v>
      </c>
      <c r="E32" s="57">
        <f t="shared" ref="E32:S32" si="10">(E11*(12/44))</f>
        <v>0</v>
      </c>
      <c r="F32" s="57">
        <f t="shared" si="10"/>
        <v>0</v>
      </c>
      <c r="G32" s="57">
        <f t="shared" si="10"/>
        <v>0</v>
      </c>
      <c r="H32" s="57">
        <f t="shared" si="10"/>
        <v>21.650531999999998</v>
      </c>
      <c r="I32" s="57">
        <f t="shared" si="10"/>
        <v>6.4082774727272724</v>
      </c>
      <c r="J32" s="57">
        <f t="shared" si="10"/>
        <v>25.864932818181817</v>
      </c>
      <c r="K32" s="57">
        <f t="shared" si="10"/>
        <v>119.04086727272728</v>
      </c>
      <c r="L32" s="57">
        <f t="shared" si="10"/>
        <v>679.8082783772727</v>
      </c>
      <c r="M32" s="57">
        <f t="shared" si="10"/>
        <v>1268.2354999909091</v>
      </c>
      <c r="N32" s="57">
        <f t="shared" si="10"/>
        <v>1151.178818740909</v>
      </c>
      <c r="O32" s="57">
        <f t="shared" si="10"/>
        <v>1603.3591148318185</v>
      </c>
      <c r="P32" s="57">
        <f t="shared" si="10"/>
        <v>2260.1478500590911</v>
      </c>
      <c r="Q32" s="57">
        <f t="shared" si="10"/>
        <v>6295.2626633318187</v>
      </c>
      <c r="R32" s="57">
        <f t="shared" si="10"/>
        <v>5137.2021418772729</v>
      </c>
      <c r="S32" s="57">
        <f t="shared" si="10"/>
        <v>6016.6201517863628</v>
      </c>
    </row>
    <row r="33" spans="2:19" ht="16.5" thickTop="1" thickBot="1" x14ac:dyDescent="0.3">
      <c r="B33" s="96"/>
      <c r="C33" s="51">
        <v>386</v>
      </c>
      <c r="D33" s="52" t="s">
        <v>65</v>
      </c>
      <c r="E33" s="57">
        <f t="shared" ref="E33:S33" si="11">(E12*(12/44))</f>
        <v>0</v>
      </c>
      <c r="F33" s="57">
        <f t="shared" si="11"/>
        <v>1.2140495867768595E-4</v>
      </c>
      <c r="G33" s="57">
        <f t="shared" si="11"/>
        <v>2.0473290758827945E-3</v>
      </c>
      <c r="H33" s="57">
        <f t="shared" si="11"/>
        <v>5.6287753568745299E-4</v>
      </c>
      <c r="I33" s="57">
        <f t="shared" si="11"/>
        <v>9.1053719008264464E-5</v>
      </c>
      <c r="J33" s="57">
        <f t="shared" si="11"/>
        <v>1.6486241547708489E-3</v>
      </c>
      <c r="K33" s="57">
        <f t="shared" si="11"/>
        <v>2.4791444402704728E-3</v>
      </c>
      <c r="L33" s="57">
        <f t="shared" si="11"/>
        <v>0.56314379883546195</v>
      </c>
      <c r="M33" s="57">
        <f t="shared" si="11"/>
        <v>1.2496833217505634</v>
      </c>
      <c r="N33" s="57">
        <f t="shared" si="11"/>
        <v>1.9605521224643128E-2</v>
      </c>
      <c r="O33" s="57">
        <f t="shared" si="11"/>
        <v>6.1923730447032304</v>
      </c>
      <c r="P33" s="57">
        <f t="shared" si="11"/>
        <v>1.679432042637115</v>
      </c>
      <c r="Q33" s="57">
        <f t="shared" si="11"/>
        <v>1.3718360246055596</v>
      </c>
      <c r="R33" s="57">
        <f t="shared" si="11"/>
        <v>5.9951796609691961</v>
      </c>
      <c r="S33" s="57">
        <f t="shared" si="11"/>
        <v>5.9390905700601051</v>
      </c>
    </row>
    <row r="34" spans="2:19" ht="16.5" thickTop="1" thickBot="1" x14ac:dyDescent="0.3">
      <c r="B34" s="96"/>
      <c r="C34" s="51">
        <v>393</v>
      </c>
      <c r="D34" s="52" t="s">
        <v>66</v>
      </c>
      <c r="E34" s="57">
        <f t="shared" ref="E34:S34" si="12">(E13*(12/44))</f>
        <v>0</v>
      </c>
      <c r="F34" s="57">
        <f t="shared" si="12"/>
        <v>9.8045454545454533E-2</v>
      </c>
      <c r="G34" s="57">
        <f t="shared" si="12"/>
        <v>1.6667727272727271</v>
      </c>
      <c r="H34" s="57">
        <f t="shared" si="12"/>
        <v>2.9903863636363637</v>
      </c>
      <c r="I34" s="57">
        <f t="shared" si="12"/>
        <v>1.4461704545454541</v>
      </c>
      <c r="J34" s="57">
        <f t="shared" si="12"/>
        <v>7.9318772727272719</v>
      </c>
      <c r="K34" s="57">
        <f t="shared" si="12"/>
        <v>3.9781943181818176</v>
      </c>
      <c r="L34" s="57">
        <f t="shared" si="12"/>
        <v>36.450848863636359</v>
      </c>
      <c r="M34" s="57">
        <f t="shared" si="12"/>
        <v>9.5520784090909086</v>
      </c>
      <c r="N34" s="57">
        <f t="shared" si="12"/>
        <v>9.9589670454545427</v>
      </c>
      <c r="O34" s="57">
        <f t="shared" si="12"/>
        <v>34.36983409090908</v>
      </c>
      <c r="P34" s="57">
        <f t="shared" si="12"/>
        <v>33.752147727272721</v>
      </c>
      <c r="Q34" s="57">
        <f t="shared" si="12"/>
        <v>33.825681818181806</v>
      </c>
      <c r="R34" s="57">
        <f t="shared" si="12"/>
        <v>34.288946590909084</v>
      </c>
      <c r="S34" s="57">
        <f t="shared" si="12"/>
        <v>34.288946590909084</v>
      </c>
    </row>
    <row r="35" spans="2:19" ht="16.5" thickTop="1" thickBot="1" x14ac:dyDescent="0.3">
      <c r="B35" s="96"/>
      <c r="C35" s="51">
        <v>412</v>
      </c>
      <c r="D35" s="52" t="s">
        <v>67</v>
      </c>
      <c r="E35" s="57">
        <f t="shared" ref="E35:S35" si="13">(E14*(12/44))</f>
        <v>0</v>
      </c>
      <c r="F35" s="57">
        <f t="shared" si="13"/>
        <v>0</v>
      </c>
      <c r="G35" s="57">
        <f t="shared" si="13"/>
        <v>0.26329090909090908</v>
      </c>
      <c r="H35" s="57">
        <f t="shared" si="13"/>
        <v>1.5534163636363634</v>
      </c>
      <c r="I35" s="57">
        <f t="shared" si="13"/>
        <v>1.6675090909090906</v>
      </c>
      <c r="J35" s="57">
        <f t="shared" si="13"/>
        <v>1.996622727272727</v>
      </c>
      <c r="K35" s="57">
        <f t="shared" si="13"/>
        <v>4.434257727272727</v>
      </c>
      <c r="L35" s="57">
        <f t="shared" si="13"/>
        <v>3.5785622727272726</v>
      </c>
      <c r="M35" s="57">
        <f t="shared" si="13"/>
        <v>9.4477554545454527</v>
      </c>
      <c r="N35" s="57">
        <f t="shared" si="13"/>
        <v>7.2317236363636361</v>
      </c>
      <c r="O35" s="57">
        <f t="shared" si="13"/>
        <v>8.3507099999999976</v>
      </c>
      <c r="P35" s="57">
        <f t="shared" si="13"/>
        <v>11.104294090909089</v>
      </c>
      <c r="Q35" s="57">
        <f t="shared" si="13"/>
        <v>12.802520454545453</v>
      </c>
      <c r="R35" s="57">
        <f t="shared" si="13"/>
        <v>15.060239999999997</v>
      </c>
      <c r="S35" s="57">
        <f t="shared" si="13"/>
        <v>13.41906</v>
      </c>
    </row>
    <row r="36" spans="2:19" ht="16.5" thickTop="1" thickBot="1" x14ac:dyDescent="0.3">
      <c r="B36" s="96"/>
      <c r="C36" s="51">
        <v>585</v>
      </c>
      <c r="D36" s="52" t="s">
        <v>68</v>
      </c>
      <c r="E36" s="57">
        <f t="shared" ref="E36:S36" si="14">(E15*(12/44))</f>
        <v>0</v>
      </c>
      <c r="F36" s="57">
        <f t="shared" si="14"/>
        <v>24.785569090909085</v>
      </c>
      <c r="G36" s="57">
        <f t="shared" si="14"/>
        <v>13.552576363636362</v>
      </c>
      <c r="H36" s="57">
        <f t="shared" si="14"/>
        <v>19.924090909090907</v>
      </c>
      <c r="I36" s="57">
        <f t="shared" si="14"/>
        <v>92.45826818181817</v>
      </c>
      <c r="J36" s="57">
        <f t="shared" si="14"/>
        <v>19.169072727272724</v>
      </c>
      <c r="K36" s="57">
        <f t="shared" si="14"/>
        <v>110.77375090909089</v>
      </c>
      <c r="L36" s="57">
        <f t="shared" si="14"/>
        <v>323.9866909090909</v>
      </c>
      <c r="M36" s="57">
        <f t="shared" si="14"/>
        <v>146.4693327272727</v>
      </c>
      <c r="N36" s="57">
        <f t="shared" si="14"/>
        <v>237.83492181818178</v>
      </c>
      <c r="O36" s="57">
        <f t="shared" si="14"/>
        <v>246.23869363636359</v>
      </c>
      <c r="P36" s="57">
        <f t="shared" si="14"/>
        <v>363.54754636363634</v>
      </c>
      <c r="Q36" s="57">
        <f t="shared" si="14"/>
        <v>339.97420090909088</v>
      </c>
      <c r="R36" s="57">
        <f t="shared" si="14"/>
        <v>378.45496090909091</v>
      </c>
      <c r="S36" s="57">
        <f t="shared" si="14"/>
        <v>388.14436090909084</v>
      </c>
    </row>
    <row r="37" spans="2:19" ht="16.5" thickTop="1" thickBot="1" x14ac:dyDescent="0.3">
      <c r="B37" s="96"/>
      <c r="C37" s="51">
        <v>601</v>
      </c>
      <c r="D37" s="52" t="s">
        <v>69</v>
      </c>
      <c r="E37" s="57">
        <f t="shared" ref="E37:S37" si="15">(E16*(12/44))</f>
        <v>0</v>
      </c>
      <c r="F37" s="57">
        <f t="shared" si="15"/>
        <v>0</v>
      </c>
      <c r="G37" s="57">
        <f t="shared" si="15"/>
        <v>0</v>
      </c>
      <c r="H37" s="57">
        <f t="shared" si="15"/>
        <v>0</v>
      </c>
      <c r="I37" s="57">
        <f t="shared" si="15"/>
        <v>0</v>
      </c>
      <c r="J37" s="57">
        <f t="shared" si="15"/>
        <v>0</v>
      </c>
      <c r="K37" s="57">
        <f t="shared" si="15"/>
        <v>0</v>
      </c>
      <c r="L37" s="57">
        <f t="shared" si="15"/>
        <v>0</v>
      </c>
      <c r="M37" s="57">
        <f t="shared" si="15"/>
        <v>0</v>
      </c>
      <c r="N37" s="57">
        <f t="shared" si="15"/>
        <v>0</v>
      </c>
      <c r="O37" s="57">
        <f t="shared" si="15"/>
        <v>0</v>
      </c>
      <c r="P37" s="57">
        <f t="shared" si="15"/>
        <v>0</v>
      </c>
      <c r="Q37" s="57">
        <f t="shared" si="15"/>
        <v>0</v>
      </c>
      <c r="R37" s="57">
        <f t="shared" si="15"/>
        <v>0</v>
      </c>
      <c r="S37" s="57">
        <f t="shared" si="15"/>
        <v>0</v>
      </c>
    </row>
    <row r="38" spans="2:19" ht="24" thickTop="1" thickBot="1" x14ac:dyDescent="0.3">
      <c r="B38" s="97"/>
      <c r="C38" s="51">
        <v>603</v>
      </c>
      <c r="D38" s="52" t="s">
        <v>70</v>
      </c>
      <c r="E38" s="57">
        <f t="shared" ref="E38:S38" si="16">(E17*(12/44))</f>
        <v>0</v>
      </c>
      <c r="F38" s="57">
        <f t="shared" si="16"/>
        <v>0</v>
      </c>
      <c r="G38" s="57">
        <f t="shared" si="16"/>
        <v>0</v>
      </c>
      <c r="H38" s="57">
        <f t="shared" si="16"/>
        <v>0</v>
      </c>
      <c r="I38" s="57">
        <f t="shared" si="16"/>
        <v>0</v>
      </c>
      <c r="J38" s="57">
        <f t="shared" si="16"/>
        <v>0</v>
      </c>
      <c r="K38" s="57">
        <f t="shared" si="16"/>
        <v>0</v>
      </c>
      <c r="L38" s="57">
        <f t="shared" si="16"/>
        <v>0</v>
      </c>
      <c r="M38" s="57">
        <f t="shared" si="16"/>
        <v>0</v>
      </c>
      <c r="N38" s="57">
        <f t="shared" si="16"/>
        <v>0</v>
      </c>
      <c r="O38" s="57">
        <f t="shared" si="16"/>
        <v>0</v>
      </c>
      <c r="P38" s="57">
        <f t="shared" si="16"/>
        <v>0</v>
      </c>
      <c r="Q38" s="57">
        <f t="shared" si="16"/>
        <v>0</v>
      </c>
      <c r="R38" s="57">
        <f t="shared" si="16"/>
        <v>0</v>
      </c>
      <c r="S38" s="57">
        <f t="shared" si="16"/>
        <v>0</v>
      </c>
    </row>
    <row r="39" spans="2:19" ht="57" customHeight="1" thickTop="1" x14ac:dyDescent="0.25">
      <c r="D39" s="55" t="s">
        <v>71</v>
      </c>
      <c r="E39" s="56">
        <f>SUM(E24:E38)</f>
        <v>2368.9012336363635</v>
      </c>
      <c r="F39" s="56">
        <f t="shared" ref="F39:S39" si="17">SUM(F24:F38)</f>
        <v>6538.8242004958665</v>
      </c>
      <c r="G39" s="56">
        <f t="shared" si="17"/>
        <v>4517.8995155108942</v>
      </c>
      <c r="H39" s="56">
        <f t="shared" si="17"/>
        <v>7046.6061144229898</v>
      </c>
      <c r="I39" s="56">
        <f t="shared" si="17"/>
        <v>12248.535260117351</v>
      </c>
      <c r="J39" s="56">
        <f t="shared" si="17"/>
        <v>11488.269788715061</v>
      </c>
      <c r="K39" s="56">
        <f t="shared" si="17"/>
        <v>15496.330193235348</v>
      </c>
      <c r="L39" s="56">
        <f t="shared" si="17"/>
        <v>41749.957017517008</v>
      </c>
      <c r="M39" s="56">
        <f t="shared" si="17"/>
        <v>56923.158360812668</v>
      </c>
      <c r="N39" s="56">
        <f t="shared" si="17"/>
        <v>48369.527318239401</v>
      </c>
      <c r="O39" s="65">
        <f t="shared" si="17"/>
        <v>57509.922134353787</v>
      </c>
      <c r="P39" s="65">
        <f t="shared" si="17"/>
        <v>79044.269723124467</v>
      </c>
      <c r="Q39" s="65">
        <f t="shared" si="17"/>
        <v>120695.23316174274</v>
      </c>
      <c r="R39" s="65">
        <f t="shared" si="17"/>
        <v>115104.60226233372</v>
      </c>
      <c r="S39" s="65">
        <f t="shared" si="17"/>
        <v>126205.35532178824</v>
      </c>
    </row>
    <row r="40" spans="2:19" x14ac:dyDescent="0.25">
      <c r="D40" s="54" t="s">
        <v>73</v>
      </c>
      <c r="E40" s="57">
        <f>'Soil Health Master'!E37</f>
        <v>2368.9012336363635</v>
      </c>
      <c r="F40" s="57">
        <f>'Soil Health Master'!F37</f>
        <v>6538.8242004958665</v>
      </c>
      <c r="G40" s="57">
        <f>'Soil Health Master'!G37</f>
        <v>4517.8995155108942</v>
      </c>
      <c r="H40" s="57">
        <f>'Soil Health Master'!H37</f>
        <v>5461.6172994229928</v>
      </c>
      <c r="I40" s="57">
        <f>'Soil Health Master'!I37</f>
        <v>6221.8131483818197</v>
      </c>
      <c r="J40" s="57">
        <f>'Soil Health Master'!J37</f>
        <v>2907.701302619083</v>
      </c>
      <c r="K40" s="57">
        <f>'Soil Health Master'!K37</f>
        <v>3397.9184509812176</v>
      </c>
      <c r="L40" s="57">
        <f>'Soil Health Master'!L37</f>
        <v>25743.936099999257</v>
      </c>
      <c r="M40" s="57">
        <f>'Soil Health Master'!M37</f>
        <v>39067.840036785121</v>
      </c>
      <c r="N40" s="57">
        <f>'Soil Health Master'!N37</f>
        <v>28558.425986885053</v>
      </c>
      <c r="O40" s="57">
        <f>'Soil Health Master'!O37</f>
        <v>19966.133426181816</v>
      </c>
      <c r="P40" s="57">
        <f>'Soil Health Master'!P37</f>
        <v>14130.58519963636</v>
      </c>
      <c r="Q40" s="57">
        <f>'Soil Health Master'!Q37</f>
        <v>35512.131014454542</v>
      </c>
      <c r="R40" s="57">
        <f>'Soil Health Master'!R37</f>
        <v>16306.079304272725</v>
      </c>
      <c r="S40" s="57">
        <f>'Soil Health Master'!S37</f>
        <v>17805.561062181816</v>
      </c>
    </row>
    <row r="41" spans="2:19" x14ac:dyDescent="0.25">
      <c r="D41" s="58" t="s">
        <v>74</v>
      </c>
      <c r="E41" s="35">
        <f>E39/E40</f>
        <v>1</v>
      </c>
      <c r="F41" s="35">
        <f t="shared" ref="F41:O41" si="18">F39/F40</f>
        <v>1</v>
      </c>
      <c r="G41" s="35">
        <f t="shared" si="18"/>
        <v>1</v>
      </c>
      <c r="H41" s="35">
        <f t="shared" si="18"/>
        <v>1.2902050305076205</v>
      </c>
      <c r="I41" s="35">
        <f t="shared" si="18"/>
        <v>1.9686440219283943</v>
      </c>
      <c r="J41" s="35">
        <f t="shared" si="18"/>
        <v>3.9509800330477951</v>
      </c>
      <c r="K41" s="35">
        <f t="shared" si="18"/>
        <v>4.5605362273366126</v>
      </c>
      <c r="L41" s="35">
        <f t="shared" si="18"/>
        <v>1.6217394595505623</v>
      </c>
      <c r="M41" s="35">
        <f t="shared" si="18"/>
        <v>1.4570336703338478</v>
      </c>
      <c r="N41" s="35">
        <f t="shared" si="18"/>
        <v>1.6937042447805857</v>
      </c>
      <c r="O41" s="35">
        <f t="shared" si="18"/>
        <v>2.8803735258495458</v>
      </c>
    </row>
  </sheetData>
  <mergeCells count="6">
    <mergeCell ref="B24:B38"/>
    <mergeCell ref="E1:O1"/>
    <mergeCell ref="C2:D2"/>
    <mergeCell ref="B3:B17"/>
    <mergeCell ref="E22:O22"/>
    <mergeCell ref="C23:D23"/>
  </mergeCells>
  <pageMargins left="0.7" right="0.7" top="0.75" bottom="0.75" header="0.3" footer="0.3"/>
  <pageSetup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D5330-3675-47C2-BDE1-A3339D86E91E}">
  <dimension ref="C2:Q54"/>
  <sheetViews>
    <sheetView topLeftCell="A52" zoomScale="50" zoomScaleNormal="50" workbookViewId="0">
      <selection activeCell="C173" sqref="C173"/>
    </sheetView>
  </sheetViews>
  <sheetFormatPr defaultRowHeight="15" x14ac:dyDescent="0.25"/>
  <cols>
    <col min="3" max="3" width="61.5703125" bestFit="1" customWidth="1"/>
    <col min="4" max="4" width="12.42578125" customWidth="1"/>
    <col min="5" max="5" width="12" customWidth="1"/>
    <col min="6" max="6" width="14.140625" customWidth="1"/>
    <col min="7" max="7" width="11.42578125" customWidth="1"/>
    <col min="8" max="8" width="10.28515625" customWidth="1"/>
    <col min="9" max="9" width="12.140625" bestFit="1" customWidth="1"/>
    <col min="10" max="12" width="13.140625" bestFit="1" customWidth="1"/>
    <col min="13" max="13" width="12.140625" bestFit="1" customWidth="1"/>
    <col min="14" max="14" width="13.140625" bestFit="1" customWidth="1"/>
    <col min="15" max="15" width="11.140625" bestFit="1" customWidth="1"/>
    <col min="16" max="16" width="12.140625" bestFit="1" customWidth="1"/>
    <col min="17" max="17" width="11.42578125" bestFit="1" customWidth="1"/>
  </cols>
  <sheetData>
    <row r="2" spans="3:17" x14ac:dyDescent="0.25">
      <c r="D2">
        <v>2005</v>
      </c>
      <c r="E2">
        <v>2006</v>
      </c>
      <c r="F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</row>
    <row r="3" spans="3:17" x14ac:dyDescent="0.25">
      <c r="C3" t="s">
        <v>82</v>
      </c>
      <c r="D3" s="80">
        <f>'Soil Health w Apprp% Legacy Eff'!F19</f>
        <v>23975.688735151518</v>
      </c>
      <c r="E3" s="80">
        <f>'Soil Health w Apprp% Legacy Eff'!G19</f>
        <v>16565.631556873279</v>
      </c>
      <c r="F3" s="80">
        <f>'Soil Health w Apprp% Legacy Eff'!H19</f>
        <v>20025.930097884298</v>
      </c>
      <c r="G3" s="80">
        <f>'Soil Health w Apprp% Legacy Eff'!I19</f>
        <v>22813.314877400004</v>
      </c>
      <c r="H3" s="80">
        <f>'Soil Health w Apprp% Legacy Eff'!J19</f>
        <v>10661.571442936636</v>
      </c>
      <c r="I3" s="80">
        <f>'Soil Health w Apprp% Legacy Eff'!K19</f>
        <v>12459.034320264462</v>
      </c>
      <c r="J3" s="80">
        <f>'Soil Health w Apprp% Legacy Eff'!L19</f>
        <v>94394.432366663939</v>
      </c>
      <c r="K3" s="80">
        <f>'Soil Health w Apprp% Legacy Eff'!M19</f>
        <v>143248.74680154544</v>
      </c>
      <c r="L3" s="80">
        <f>'Soil Health w Apprp% Legacy Eff'!N19</f>
        <v>104714.22861857851</v>
      </c>
      <c r="M3" s="80">
        <f>'Soil Health w Apprp% Legacy Eff'!O19</f>
        <v>73209.155895999997</v>
      </c>
      <c r="N3" s="80">
        <f>'Soil Health w Apprp% Legacy Eff'!P19</f>
        <v>51812.145731999997</v>
      </c>
      <c r="O3" s="80">
        <f>'Soil Health w Apprp% Legacy Eff'!Q19</f>
        <v>130211.14705299999</v>
      </c>
      <c r="P3" s="80">
        <f>'Soil Health w Apprp% Legacy Eff'!R19</f>
        <v>59788.957449000001</v>
      </c>
      <c r="Q3" s="80">
        <f>'Soil Health w Apprp% Legacy Eff'!S19</f>
        <v>65287.057227999998</v>
      </c>
    </row>
    <row r="4" spans="3:17" x14ac:dyDescent="0.25">
      <c r="C4" t="s">
        <v>83</v>
      </c>
      <c r="J4" s="80">
        <v>34420.805685308878</v>
      </c>
      <c r="K4" s="80">
        <v>53480.521667906331</v>
      </c>
      <c r="L4" s="80">
        <v>34031.970661248852</v>
      </c>
      <c r="M4" s="80">
        <v>43797.244643296595</v>
      </c>
      <c r="N4" s="80">
        <v>26510.069399999997</v>
      </c>
      <c r="O4" s="80">
        <v>23285.947967217631</v>
      </c>
      <c r="P4" s="80">
        <v>12833.119437465566</v>
      </c>
      <c r="Q4" s="80">
        <v>2522.9148986225891</v>
      </c>
    </row>
    <row r="5" spans="3:17" x14ac:dyDescent="0.25">
      <c r="C5" t="s">
        <v>84</v>
      </c>
      <c r="D5">
        <v>450.55840000000006</v>
      </c>
      <c r="E5">
        <v>2882.7815300000002</v>
      </c>
      <c r="F5">
        <v>4524.2171400000007</v>
      </c>
      <c r="G5">
        <v>3710.36348</v>
      </c>
      <c r="H5">
        <v>2623.6863199999998</v>
      </c>
      <c r="I5">
        <v>2694.0658699999999</v>
      </c>
      <c r="J5">
        <v>21920.950840000001</v>
      </c>
      <c r="K5">
        <v>23779.794419999998</v>
      </c>
      <c r="L5">
        <v>15897.527789999998</v>
      </c>
      <c r="M5">
        <v>9291.3971099999999</v>
      </c>
      <c r="N5">
        <v>14599.91296</v>
      </c>
      <c r="O5">
        <v>9558.5754000000015</v>
      </c>
      <c r="P5">
        <v>9861.0001699999993</v>
      </c>
      <c r="Q5">
        <v>5603.9407999999994</v>
      </c>
    </row>
    <row r="6" spans="3:17" x14ac:dyDescent="0.25">
      <c r="C6" t="s">
        <v>85</v>
      </c>
      <c r="J6">
        <v>15736.156499999999</v>
      </c>
      <c r="K6">
        <v>17104.5599</v>
      </c>
      <c r="L6">
        <v>13736.587100000002</v>
      </c>
      <c r="M6">
        <v>10034.366199999999</v>
      </c>
      <c r="N6">
        <v>5151.777399999999</v>
      </c>
      <c r="O6">
        <v>6897.2577999999994</v>
      </c>
      <c r="P6">
        <v>7375.2436999999991</v>
      </c>
      <c r="Q6">
        <v>8190.8330000000005</v>
      </c>
    </row>
    <row r="52" spans="3:17" x14ac:dyDescent="0.25">
      <c r="D52" s="87">
        <v>2005</v>
      </c>
      <c r="E52" s="87">
        <v>2006</v>
      </c>
      <c r="F52" s="87">
        <v>2007</v>
      </c>
      <c r="G52" s="87">
        <v>2008</v>
      </c>
      <c r="H52" s="87">
        <v>2009</v>
      </c>
      <c r="I52" s="87">
        <v>2010</v>
      </c>
      <c r="J52" s="87">
        <v>2011</v>
      </c>
      <c r="K52" s="87">
        <v>2012</v>
      </c>
      <c r="L52" s="87">
        <v>2013</v>
      </c>
      <c r="M52" s="87">
        <v>2014</v>
      </c>
      <c r="N52" s="87">
        <v>2015</v>
      </c>
      <c r="O52" s="87">
        <v>2016</v>
      </c>
      <c r="P52" s="87">
        <v>2017</v>
      </c>
      <c r="Q52" s="87">
        <v>2018</v>
      </c>
    </row>
    <row r="53" spans="3:17" x14ac:dyDescent="0.25">
      <c r="C53" t="s">
        <v>82</v>
      </c>
      <c r="D53" s="80">
        <f>'Soil Health Master'!F18</f>
        <v>23975.688735151518</v>
      </c>
      <c r="E53" s="80">
        <f>'Soil Health Master'!G18</f>
        <v>16565.631556873279</v>
      </c>
      <c r="F53" s="80">
        <f>'Soil Health Master'!H18</f>
        <v>20025.930097884298</v>
      </c>
      <c r="G53" s="80">
        <f>'Soil Health Master'!I18</f>
        <v>22813.314877400004</v>
      </c>
      <c r="H53" s="80">
        <f>'Soil Health Master'!J18</f>
        <v>10661.571442936636</v>
      </c>
      <c r="I53" s="80">
        <f>'Soil Health Master'!K18</f>
        <v>12459.034320264462</v>
      </c>
      <c r="J53" s="80">
        <f>'Soil Health Master'!L18</f>
        <v>94394.432366663939</v>
      </c>
      <c r="K53" s="80">
        <f>'Soil Health Master'!M18</f>
        <v>143248.74680154544</v>
      </c>
      <c r="L53" s="80">
        <f>'Soil Health Master'!N18</f>
        <v>104714.22861857851</v>
      </c>
      <c r="M53" s="80">
        <f>'Soil Health Master'!O18</f>
        <v>73209.155895999997</v>
      </c>
      <c r="N53" s="80">
        <f>'Soil Health Master'!P18</f>
        <v>51812.145731999997</v>
      </c>
      <c r="O53" s="80">
        <f>'Soil Health Master'!Q18</f>
        <v>130211.14705299999</v>
      </c>
      <c r="P53" s="80">
        <f>'Soil Health Master'!R18</f>
        <v>59788.957449000001</v>
      </c>
      <c r="Q53" s="80">
        <f>'Soil Health Master'!S18</f>
        <v>65287.057227999998</v>
      </c>
    </row>
    <row r="54" spans="3:17" x14ac:dyDescent="0.25">
      <c r="C54" t="s">
        <v>92</v>
      </c>
      <c r="D54" s="35">
        <f>'[1]Grazing and Pasture Master'!$F$7</f>
        <v>450.55840000000006</v>
      </c>
      <c r="E54" s="35">
        <f>'[1]Grazing and Pasture Master'!$G$7</f>
        <v>2882.7815300000002</v>
      </c>
      <c r="F54" s="35">
        <f>'[1]Grazing and Pasture Master'!$H$7</f>
        <v>4524.2171400000007</v>
      </c>
      <c r="G54" s="35">
        <f>'[1]Grazing and Pasture Master'!$I$7</f>
        <v>3710.36348</v>
      </c>
      <c r="H54" s="35">
        <f>'[1]Grazing and Pasture Master'!$J$7</f>
        <v>2623.6863199999998</v>
      </c>
      <c r="I54" s="35">
        <f>'[1]Grazing and Pasture Master'!$K$7</f>
        <v>2694.0658699999999</v>
      </c>
      <c r="J54" s="35">
        <f>'[1]Grazing and Pasture Master'!$L$7</f>
        <v>21920.950840000001</v>
      </c>
      <c r="K54" s="35">
        <f>'[1]Grazing and Pasture Master'!$M$7</f>
        <v>23779.794419999998</v>
      </c>
      <c r="L54" s="35">
        <f>'[1]Grazing and Pasture Master'!$N$7</f>
        <v>15897.527789999998</v>
      </c>
      <c r="M54" s="35">
        <f>'[1]Grazing and Pasture Master'!$O$7</f>
        <v>9291.3971099999999</v>
      </c>
      <c r="N54" s="35">
        <f>'[1]Grazing and Pasture Master'!$P$7</f>
        <v>14599.91296</v>
      </c>
      <c r="O54" s="35">
        <f>'[1]Grazing and Pasture Master'!$Q$7</f>
        <v>9558.5754000000015</v>
      </c>
      <c r="P54" s="35">
        <f>'[1]Grazing and Pasture Master'!$R$7</f>
        <v>9861.0001699999993</v>
      </c>
      <c r="Q54" s="35">
        <f>'[1]Grazing and Pasture Master'!$S$7</f>
        <v>5603.9407999999994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0D21E-22C6-4237-9E19-65F318F2A9E9}">
  <dimension ref="B1:T42"/>
  <sheetViews>
    <sheetView zoomScale="70" zoomScaleNormal="70" workbookViewId="0">
      <selection activeCell="A12" sqref="A12:XFD12"/>
    </sheetView>
  </sheetViews>
  <sheetFormatPr defaultRowHeight="15" x14ac:dyDescent="0.25"/>
  <cols>
    <col min="1" max="1" width="2.28515625" customWidth="1"/>
    <col min="2" max="2" width="30.5703125" customWidth="1"/>
    <col min="3" max="3" width="5.5703125" bestFit="1" customWidth="1"/>
    <col min="4" max="4" width="17.85546875" customWidth="1"/>
    <col min="5" max="5" width="16.140625" customWidth="1"/>
    <col min="6" max="6" width="17.7109375" bestFit="1" customWidth="1"/>
    <col min="7" max="7" width="14.5703125" bestFit="1" customWidth="1"/>
    <col min="8" max="8" width="15.28515625" bestFit="1" customWidth="1"/>
    <col min="9" max="9" width="15" bestFit="1" customWidth="1"/>
    <col min="10" max="10" width="14.5703125" bestFit="1" customWidth="1"/>
    <col min="11" max="13" width="16" bestFit="1" customWidth="1"/>
    <col min="14" max="14" width="15.28515625" bestFit="1" customWidth="1"/>
    <col min="15" max="15" width="16.7109375" bestFit="1" customWidth="1"/>
    <col min="16" max="19" width="15.85546875" bestFit="1" customWidth="1"/>
    <col min="20" max="20" width="15.42578125" customWidth="1"/>
    <col min="26" max="26" width="32.5703125" customWidth="1"/>
  </cols>
  <sheetData>
    <row r="1" spans="2:20" ht="15.75" thickBot="1" x14ac:dyDescent="0.3">
      <c r="E1" s="92" t="s">
        <v>87</v>
      </c>
      <c r="F1" s="92"/>
      <c r="G1" s="92"/>
      <c r="H1" s="92"/>
      <c r="I1" s="92"/>
      <c r="J1" s="92"/>
      <c r="K1" s="92"/>
      <c r="L1" s="92"/>
      <c r="M1" s="92"/>
      <c r="N1" s="92"/>
      <c r="O1" s="92"/>
    </row>
    <row r="2" spans="2:20" ht="48.6" customHeight="1" thickTop="1" thickBot="1" x14ac:dyDescent="0.3">
      <c r="B2" s="86" t="s">
        <v>90</v>
      </c>
      <c r="C2" s="100" t="s">
        <v>52</v>
      </c>
      <c r="D2" s="101"/>
      <c r="E2" s="84">
        <v>327</v>
      </c>
      <c r="F2" s="84">
        <v>328</v>
      </c>
      <c r="G2" s="84">
        <v>329</v>
      </c>
      <c r="H2" s="84" t="s">
        <v>57</v>
      </c>
      <c r="I2" s="84" t="s">
        <v>59</v>
      </c>
      <c r="J2" s="84">
        <v>330</v>
      </c>
      <c r="K2" s="84">
        <v>332</v>
      </c>
      <c r="L2" s="84">
        <v>340</v>
      </c>
      <c r="M2" s="84">
        <v>345</v>
      </c>
      <c r="N2" s="84">
        <v>386</v>
      </c>
      <c r="O2" s="84">
        <v>393</v>
      </c>
      <c r="P2" s="84">
        <v>412</v>
      </c>
      <c r="Q2" s="84">
        <v>585</v>
      </c>
      <c r="R2" s="84">
        <v>601</v>
      </c>
      <c r="S2" s="84">
        <v>603</v>
      </c>
    </row>
    <row r="3" spans="2:20" ht="46.5" thickTop="1" thickBot="1" x14ac:dyDescent="0.3">
      <c r="B3" s="82"/>
      <c r="C3" s="83"/>
      <c r="D3" s="83"/>
      <c r="E3" s="52" t="s">
        <v>54</v>
      </c>
      <c r="F3" s="52" t="s">
        <v>55</v>
      </c>
      <c r="G3" s="52" t="s">
        <v>56</v>
      </c>
      <c r="H3" s="52" t="s">
        <v>58</v>
      </c>
      <c r="I3" s="52" t="s">
        <v>60</v>
      </c>
      <c r="J3" s="52" t="s">
        <v>61</v>
      </c>
      <c r="K3" s="52" t="s">
        <v>62</v>
      </c>
      <c r="L3" s="52" t="s">
        <v>63</v>
      </c>
      <c r="M3" s="52" t="s">
        <v>64</v>
      </c>
      <c r="N3" s="52" t="s">
        <v>65</v>
      </c>
      <c r="O3" s="52" t="s">
        <v>66</v>
      </c>
      <c r="P3" s="52" t="s">
        <v>67</v>
      </c>
      <c r="Q3" s="52" t="s">
        <v>68</v>
      </c>
      <c r="R3" s="52" t="s">
        <v>69</v>
      </c>
      <c r="S3" s="52" t="s">
        <v>70</v>
      </c>
      <c r="T3" s="85" t="s">
        <v>89</v>
      </c>
    </row>
    <row r="4" spans="2:20" ht="16.5" thickTop="1" thickBot="1" x14ac:dyDescent="0.3">
      <c r="B4" s="95" t="s">
        <v>53</v>
      </c>
      <c r="C4" s="98">
        <v>2004</v>
      </c>
      <c r="D4" s="99"/>
      <c r="E4" s="61">
        <f>'CO Summary Sheet CPS 327'!V3</f>
        <v>0</v>
      </c>
      <c r="F4" s="61">
        <f>'CO Summary Sheet CPS 328'!V3</f>
        <v>22929.599999999999</v>
      </c>
      <c r="G4" s="61">
        <f>'CO Summary Sheet CPS 329'!V3</f>
        <v>0</v>
      </c>
      <c r="H4" s="61">
        <f>'CO Summary Sheet CPS 329A'!V3</f>
        <v>9412.9</v>
      </c>
      <c r="I4" s="61">
        <f>'CO Summary Sheet CPS 329B'!V3</f>
        <v>13606.3</v>
      </c>
      <c r="J4" s="61">
        <f>'CO Summary Sheet CPS 330'!V3</f>
        <v>0</v>
      </c>
      <c r="K4" s="61">
        <f>'CO Summary Sheet CPS 332'!V3</f>
        <v>0</v>
      </c>
      <c r="L4" s="61">
        <f>'CO Summary Sheet CPS 340'!V3</f>
        <v>174.5</v>
      </c>
      <c r="M4" s="61">
        <f>'CO Summary Sheet CPS 345'!V3</f>
        <v>0</v>
      </c>
      <c r="N4" s="61">
        <f>'CO Summary Sheet CPS 386'!V3</f>
        <v>0</v>
      </c>
      <c r="O4" s="61">
        <f>'CO Summary Sheet CPS 393'!V3</f>
        <v>0</v>
      </c>
      <c r="P4" s="61">
        <f>'CO Summary Sheet CPS 412'!V3</f>
        <v>0</v>
      </c>
      <c r="Q4" s="61">
        <f>'CO Summary Sheet CPS 585'!V3</f>
        <v>0</v>
      </c>
      <c r="R4" s="61">
        <f>'CO Summary Sheet CPS 601'!V3</f>
        <v>0</v>
      </c>
      <c r="S4" s="61">
        <f>'CO Summary Sheet CPS 603'!V3</f>
        <v>0</v>
      </c>
      <c r="T4" s="80">
        <f>SUM(E4:Q4)</f>
        <v>46123.3</v>
      </c>
    </row>
    <row r="5" spans="2:20" ht="16.5" thickTop="1" thickBot="1" x14ac:dyDescent="0.3">
      <c r="B5" s="96"/>
      <c r="C5" s="98">
        <v>2005</v>
      </c>
      <c r="D5" s="99"/>
      <c r="E5" s="61">
        <f>'CO Summary Sheet CPS 327'!V4</f>
        <v>254.7</v>
      </c>
      <c r="F5" s="61">
        <f>'CO Summary Sheet CPS 328'!V4</f>
        <v>66708.899999999994</v>
      </c>
      <c r="G5" s="61">
        <f>'CO Summary Sheet CPS 329'!V4</f>
        <v>0</v>
      </c>
      <c r="H5" s="61">
        <f>'CO Summary Sheet CPS 329A'!V4</f>
        <v>22048.799999999999</v>
      </c>
      <c r="I5" s="61">
        <f>'CO Summary Sheet CPS 329B'!V4</f>
        <v>32377.200000000001</v>
      </c>
      <c r="J5" s="61">
        <f>'CO Summary Sheet CPS 330'!V4</f>
        <v>556.5</v>
      </c>
      <c r="K5" s="61">
        <f>'CO Summary Sheet CPS 332'!V4</f>
        <v>0</v>
      </c>
      <c r="L5" s="61">
        <f>'CO Summary Sheet CPS 340'!V4</f>
        <v>703.8</v>
      </c>
      <c r="M5" s="61">
        <f>'CO Summary Sheet CPS 345'!V4</f>
        <v>0</v>
      </c>
      <c r="N5" s="61">
        <f>'CO Summary Sheet CPS 386'!V4</f>
        <v>2.2000000000000002</v>
      </c>
      <c r="O5" s="61">
        <f>'CO Summary Sheet CPS 393'!V4</f>
        <v>1</v>
      </c>
      <c r="P5" s="61">
        <f>'CO Summary Sheet CPS 412'!V4</f>
        <v>0</v>
      </c>
      <c r="Q5" s="61">
        <f>'CO Summary Sheet CPS 585'!V4</f>
        <v>590.9</v>
      </c>
      <c r="R5" s="61">
        <f>'CO Summary Sheet CPS 601'!V4</f>
        <v>0</v>
      </c>
      <c r="S5" s="61">
        <f>'CO Summary Sheet CPS 603'!V4</f>
        <v>0</v>
      </c>
      <c r="T5" s="80">
        <f t="shared" ref="T5:T18" si="0">SUM(E5:Q5)</f>
        <v>123243.99999999999</v>
      </c>
    </row>
    <row r="6" spans="2:20" ht="16.5" thickTop="1" thickBot="1" x14ac:dyDescent="0.3">
      <c r="B6" s="96"/>
      <c r="C6" s="98">
        <v>2006</v>
      </c>
      <c r="D6" s="99"/>
      <c r="E6" s="61">
        <f>'CO Summary Sheet CPS 327'!V5</f>
        <v>179.2</v>
      </c>
      <c r="F6" s="61">
        <f>'CO Summary Sheet CPS 328'!V5</f>
        <v>22530.9</v>
      </c>
      <c r="G6" s="61">
        <f>'CO Summary Sheet CPS 329'!V5</f>
        <v>9931.5</v>
      </c>
      <c r="H6" s="61">
        <f>'CO Summary Sheet CPS 329A'!V5</f>
        <v>27034</v>
      </c>
      <c r="I6" s="61">
        <f>'CO Summary Sheet CPS 329B'!V5</f>
        <v>36897.699999999997</v>
      </c>
      <c r="J6" s="61">
        <f>'CO Summary Sheet CPS 330'!V5</f>
        <v>0</v>
      </c>
      <c r="K6" s="61">
        <f>'CO Summary Sheet CPS 332'!V5</f>
        <v>0</v>
      </c>
      <c r="L6" s="61">
        <f>'CO Summary Sheet CPS 340'!V5</f>
        <v>16606.400000000001</v>
      </c>
      <c r="M6" s="61">
        <f>'CO Summary Sheet CPS 345'!V5</f>
        <v>0</v>
      </c>
      <c r="N6" s="61">
        <f>'CO Summary Sheet CPS 386'!V5</f>
        <v>37.1</v>
      </c>
      <c r="O6" s="61">
        <f>'CO Summary Sheet CPS 393'!V5</f>
        <v>17</v>
      </c>
      <c r="P6" s="61">
        <f>'CO Summary Sheet CPS 412'!V5</f>
        <v>3</v>
      </c>
      <c r="Q6" s="61">
        <f>'CO Summary Sheet CPS 585'!V5</f>
        <v>323.10000000000002</v>
      </c>
      <c r="R6" s="61">
        <f>'CO Summary Sheet CPS 601'!V5</f>
        <v>0</v>
      </c>
      <c r="S6" s="61">
        <f>'CO Summary Sheet CPS 603'!V5</f>
        <v>0</v>
      </c>
      <c r="T6" s="80">
        <f t="shared" si="0"/>
        <v>113559.90000000002</v>
      </c>
    </row>
    <row r="7" spans="2:20" ht="16.5" thickTop="1" thickBot="1" x14ac:dyDescent="0.3">
      <c r="B7" s="96"/>
      <c r="C7" s="98">
        <v>2007</v>
      </c>
      <c r="D7" s="99"/>
      <c r="E7" s="61">
        <f>'CO Summary Sheet CPS 327'!V6</f>
        <v>0</v>
      </c>
      <c r="F7" s="61">
        <f>'CO Summary Sheet CPS 328'!V6</f>
        <v>45296.3</v>
      </c>
      <c r="G7" s="61">
        <f>'CO Summary Sheet CPS 329'!V6</f>
        <v>17700.2</v>
      </c>
      <c r="H7" s="61">
        <f>'CO Summary Sheet CPS 329A'!V6</f>
        <v>20864.2</v>
      </c>
      <c r="I7" s="61">
        <f>'CO Summary Sheet CPS 329B'!V6</f>
        <v>16220</v>
      </c>
      <c r="J7" s="61">
        <f>'CO Summary Sheet CPS 330'!V6</f>
        <v>873.2</v>
      </c>
      <c r="K7" s="61">
        <f>'CO Summary Sheet CPS 332'!V6</f>
        <v>0</v>
      </c>
      <c r="L7" s="61">
        <f>'CO Summary Sheet CPS 340'!V6</f>
        <v>2724.1</v>
      </c>
      <c r="M7" s="61">
        <f>'CO Summary Sheet CPS 345'!V6</f>
        <v>1051.5999999999999</v>
      </c>
      <c r="N7" s="61">
        <f>'CO Summary Sheet CPS 386'!V6</f>
        <v>10.199999999999999</v>
      </c>
      <c r="O7" s="61">
        <f>'CO Summary Sheet CPS 393'!V6</f>
        <v>30.5</v>
      </c>
      <c r="P7" s="61">
        <f>'CO Summary Sheet CPS 412'!V6</f>
        <v>17.7</v>
      </c>
      <c r="Q7" s="61">
        <f>'CO Summary Sheet CPS 585'!V6</f>
        <v>475</v>
      </c>
      <c r="R7" s="61">
        <f>'CO Summary Sheet CPS 601'!V6</f>
        <v>0</v>
      </c>
      <c r="S7" s="61">
        <f>'CO Summary Sheet CPS 603'!V6</f>
        <v>0</v>
      </c>
      <c r="T7" s="80">
        <f t="shared" si="0"/>
        <v>105263</v>
      </c>
    </row>
    <row r="8" spans="2:20" ht="16.5" thickTop="1" thickBot="1" x14ac:dyDescent="0.3">
      <c r="B8" s="96"/>
      <c r="C8" s="98">
        <v>2008</v>
      </c>
      <c r="D8" s="99"/>
      <c r="E8" s="61">
        <f>'CO Summary Sheet CPS 327'!V7</f>
        <v>96.6</v>
      </c>
      <c r="F8" s="61">
        <f>'CO Summary Sheet CPS 328'!V7</f>
        <v>45342.65</v>
      </c>
      <c r="G8" s="61">
        <f>'CO Summary Sheet CPS 329'!V7</f>
        <v>42004.800000000003</v>
      </c>
      <c r="H8" s="61">
        <f>'CO Summary Sheet CPS 329A'!V7</f>
        <v>13342.4</v>
      </c>
      <c r="I8" s="61">
        <f>'CO Summary Sheet CPS 329B'!V7</f>
        <v>5884.5</v>
      </c>
      <c r="J8" s="61">
        <f>'CO Summary Sheet CPS 330'!V7</f>
        <v>1042.4000000000001</v>
      </c>
      <c r="K8" s="61">
        <f>'CO Summary Sheet CPS 332'!V7</f>
        <v>0</v>
      </c>
      <c r="L8" s="61">
        <f>'CO Summary Sheet CPS 340'!V7</f>
        <v>1111.45</v>
      </c>
      <c r="M8" s="61">
        <f>'CO Summary Sheet CPS 345'!V7</f>
        <v>311.26</v>
      </c>
      <c r="N8" s="61">
        <f>'CO Summary Sheet CPS 386'!V7</f>
        <v>0</v>
      </c>
      <c r="O8" s="61">
        <f>'CO Summary Sheet CPS 393'!V7</f>
        <v>14</v>
      </c>
      <c r="P8" s="61">
        <f>'CO Summary Sheet CPS 412'!V7</f>
        <v>19</v>
      </c>
      <c r="Q8" s="61">
        <f>'CO Summary Sheet CPS 585'!V7</f>
        <v>1908.8</v>
      </c>
      <c r="R8" s="61">
        <f>'CO Summary Sheet CPS 601'!V7</f>
        <v>0</v>
      </c>
      <c r="S8" s="61">
        <f>'CO Summary Sheet CPS 603'!V7</f>
        <v>0</v>
      </c>
      <c r="T8" s="80">
        <f t="shared" si="0"/>
        <v>111077.85999999999</v>
      </c>
    </row>
    <row r="9" spans="2:20" ht="16.5" thickTop="1" thickBot="1" x14ac:dyDescent="0.3">
      <c r="B9" s="96"/>
      <c r="C9" s="98">
        <v>2009</v>
      </c>
      <c r="D9" s="99"/>
      <c r="E9" s="61">
        <f>'CO Summary Sheet CPS 327'!V8</f>
        <v>0</v>
      </c>
      <c r="F9" s="61">
        <f>'CO Summary Sheet CPS 328'!V8</f>
        <v>22149.75</v>
      </c>
      <c r="G9" s="61">
        <f>'CO Summary Sheet CPS 329'!V8</f>
        <v>21618</v>
      </c>
      <c r="H9" s="61">
        <f>'CO Summary Sheet CPS 329A'!V8</f>
        <v>3393.2</v>
      </c>
      <c r="I9" s="61">
        <f>'CO Summary Sheet CPS 329B'!V8</f>
        <v>929.3</v>
      </c>
      <c r="J9" s="61">
        <f>'CO Summary Sheet CPS 330'!V8</f>
        <v>169.2</v>
      </c>
      <c r="K9" s="61">
        <f>'CO Summary Sheet CPS 332'!V8</f>
        <v>0</v>
      </c>
      <c r="L9" s="61">
        <f>'CO Summary Sheet CPS 340'!V8</f>
        <v>303.2</v>
      </c>
      <c r="M9" s="61">
        <f>'CO Summary Sheet CPS 345'!V8</f>
        <v>1256.3</v>
      </c>
      <c r="N9" s="61">
        <f>'CO Summary Sheet CPS 386'!V8</f>
        <v>0.4</v>
      </c>
      <c r="O9" s="61">
        <f>'CO Summary Sheet CPS 393'!V8</f>
        <v>67.400000000000006</v>
      </c>
      <c r="P9" s="61">
        <f>'CO Summary Sheet CPS 412'!V8</f>
        <v>20.5</v>
      </c>
      <c r="Q9" s="61">
        <f>'CO Summary Sheet CPS 585'!V8</f>
        <v>0</v>
      </c>
      <c r="R9" s="61">
        <f>'CO Summary Sheet CPS 601'!V8</f>
        <v>0</v>
      </c>
      <c r="S9" s="61">
        <f>'CO Summary Sheet CPS 603'!V8</f>
        <v>0</v>
      </c>
      <c r="T9" s="80">
        <f t="shared" si="0"/>
        <v>49907.25</v>
      </c>
    </row>
    <row r="10" spans="2:20" ht="16.5" thickTop="1" thickBot="1" x14ac:dyDescent="0.3">
      <c r="B10" s="96"/>
      <c r="C10" s="98">
        <v>2010</v>
      </c>
      <c r="D10" s="99"/>
      <c r="E10" s="61">
        <f>'CO Summary Sheet CPS 327'!V9</f>
        <v>108.4</v>
      </c>
      <c r="F10" s="61">
        <f>'CO Summary Sheet CPS 328'!V9</f>
        <v>13336.65</v>
      </c>
      <c r="G10" s="61">
        <f>'CO Summary Sheet CPS 329'!V9</f>
        <v>41226.5</v>
      </c>
      <c r="H10" s="61">
        <f>'CO Summary Sheet CPS 329A'!V9</f>
        <v>409.4</v>
      </c>
      <c r="I10" s="61">
        <f>'CO Summary Sheet CPS 329B'!V9</f>
        <v>0</v>
      </c>
      <c r="J10" s="61">
        <f>'CO Summary Sheet CPS 330'!V9</f>
        <v>169.2</v>
      </c>
      <c r="K10" s="61">
        <f>'CO Summary Sheet CPS 332'!V9</f>
        <v>0</v>
      </c>
      <c r="L10" s="61">
        <f>'CO Summary Sheet CPS 340'!V9</f>
        <v>1042.2</v>
      </c>
      <c r="M10" s="61">
        <f>'CO Summary Sheet CPS 345'!V9</f>
        <v>4993.3</v>
      </c>
      <c r="N10" s="61">
        <f>'CO Summary Sheet CPS 386'!V9</f>
        <v>7.8</v>
      </c>
      <c r="O10" s="61">
        <f>'CO Summary Sheet CPS 393'!V9</f>
        <v>4.2</v>
      </c>
      <c r="P10" s="61">
        <f>'CO Summary Sheet CPS 412'!V9</f>
        <v>35</v>
      </c>
      <c r="Q10" s="61">
        <f>'CO Summary Sheet CPS 585'!V9</f>
        <v>1946.4</v>
      </c>
      <c r="R10" s="61">
        <f>'CO Summary Sheet CPS 601'!V9</f>
        <v>0</v>
      </c>
      <c r="S10" s="61">
        <f>'CO Summary Sheet CPS 603'!V9</f>
        <v>0</v>
      </c>
      <c r="T10" s="80">
        <f t="shared" si="0"/>
        <v>63279.05</v>
      </c>
    </row>
    <row r="11" spans="2:20" ht="16.5" thickTop="1" thickBot="1" x14ac:dyDescent="0.3">
      <c r="B11" s="96"/>
      <c r="C11" s="98">
        <v>2011</v>
      </c>
      <c r="D11" s="99"/>
      <c r="E11" s="61">
        <f>'CO Summary Sheet CPS 327'!V10</f>
        <v>35711.4</v>
      </c>
      <c r="F11" s="61">
        <f>'CO Summary Sheet CPS 328'!V10</f>
        <v>225729.2</v>
      </c>
      <c r="G11" s="61">
        <f>'CO Summary Sheet CPS 329'!V10</f>
        <v>105023.6</v>
      </c>
      <c r="H11" s="61">
        <f>'CO Summary Sheet CPS 329A'!V10</f>
        <v>320</v>
      </c>
      <c r="I11" s="61">
        <f>'CO Summary Sheet CPS 329B'!V10</f>
        <v>419.2</v>
      </c>
      <c r="J11" s="61">
        <f>'CO Summary Sheet CPS 330'!V10</f>
        <v>331</v>
      </c>
      <c r="K11" s="61">
        <f>'CO Summary Sheet CPS 332'!V10</f>
        <v>0</v>
      </c>
      <c r="L11" s="61">
        <f>'CO Summary Sheet CPS 340'!V10</f>
        <v>8176.6</v>
      </c>
      <c r="M11" s="61">
        <f>'CO Summary Sheet CPS 345'!V10</f>
        <v>31997.200000000001</v>
      </c>
      <c r="N11" s="61">
        <f>'CO Summary Sheet CPS 386'!V10</f>
        <v>10167.700000000001</v>
      </c>
      <c r="O11" s="61">
        <f>'CO Summary Sheet CPS 393'!V10</f>
        <v>324.89999999999998</v>
      </c>
      <c r="P11" s="61">
        <f>'CO Summary Sheet CPS 412'!V10</f>
        <v>11</v>
      </c>
      <c r="Q11" s="61">
        <f>'CO Summary Sheet CPS 585'!V10</f>
        <v>6075.1</v>
      </c>
      <c r="R11" s="61">
        <f>'CO Summary Sheet CPS 601'!V10</f>
        <v>0</v>
      </c>
      <c r="S11" s="61">
        <f>'CO Summary Sheet CPS 603'!V10</f>
        <v>0</v>
      </c>
      <c r="T11" s="80">
        <f t="shared" si="0"/>
        <v>424286.9</v>
      </c>
    </row>
    <row r="12" spans="2:20" ht="16.5" thickTop="1" thickBot="1" x14ac:dyDescent="0.3">
      <c r="B12" s="96"/>
      <c r="C12" s="98">
        <v>2012</v>
      </c>
      <c r="D12" s="99"/>
      <c r="E12" s="61">
        <f>'CO Summary Sheet CPS 327'!V11</f>
        <v>73012</v>
      </c>
      <c r="F12" s="61">
        <f>'CO Summary Sheet CPS 328'!V11</f>
        <v>341952.2</v>
      </c>
      <c r="G12" s="61">
        <f>'CO Summary Sheet CPS 329'!V11</f>
        <v>132301.79999999999</v>
      </c>
      <c r="H12" s="61">
        <f>'CO Summary Sheet CPS 329A'!V11</f>
        <v>0</v>
      </c>
      <c r="I12" s="61">
        <f>'CO Summary Sheet CPS 329B'!V11</f>
        <v>1919</v>
      </c>
      <c r="J12" s="61">
        <f>'CO Summary Sheet CPS 330'!V11</f>
        <v>0</v>
      </c>
      <c r="K12" s="61">
        <f>'CO Summary Sheet CPS 332'!V11</f>
        <v>0</v>
      </c>
      <c r="L12" s="61">
        <f>'CO Summary Sheet CPS 340'!V11</f>
        <v>10236.200000000001</v>
      </c>
      <c r="M12" s="61">
        <f>'CO Summary Sheet CPS 345'!V11</f>
        <v>59635.8</v>
      </c>
      <c r="N12" s="61">
        <f>'CO Summary Sheet CPS 386'!V11</f>
        <v>22608.3</v>
      </c>
      <c r="O12" s="61">
        <f>'CO Summary Sheet CPS 393'!V11</f>
        <v>0</v>
      </c>
      <c r="P12" s="61">
        <f>'CO Summary Sheet CPS 412'!V11</f>
        <v>62.5</v>
      </c>
      <c r="Q12" s="61">
        <f>'CO Summary Sheet CPS 585'!V11</f>
        <v>1843</v>
      </c>
      <c r="R12" s="61">
        <f>'CO Summary Sheet CPS 601'!V11</f>
        <v>0</v>
      </c>
      <c r="S12" s="61">
        <f>'CO Summary Sheet CPS 603'!V11</f>
        <v>0</v>
      </c>
      <c r="T12" s="80">
        <f t="shared" si="0"/>
        <v>643570.80000000005</v>
      </c>
    </row>
    <row r="13" spans="2:20" ht="16.5" thickTop="1" thickBot="1" x14ac:dyDescent="0.3">
      <c r="B13" s="96"/>
      <c r="C13" s="98">
        <v>2013</v>
      </c>
      <c r="D13" s="99"/>
      <c r="E13" s="61">
        <f>'CO Summary Sheet CPS 327'!V12</f>
        <v>69295.899999999994</v>
      </c>
      <c r="F13" s="61">
        <f>'CO Summary Sheet CPS 328'!V12</f>
        <v>242791.4</v>
      </c>
      <c r="G13" s="61">
        <f>'CO Summary Sheet CPS 329'!V12</f>
        <v>75108.100000000006</v>
      </c>
      <c r="H13" s="61">
        <f>'CO Summary Sheet CPS 329A'!V12</f>
        <v>1476</v>
      </c>
      <c r="I13" s="61">
        <f>'CO Summary Sheet CPS 329B'!V12</f>
        <v>2498</v>
      </c>
      <c r="J13" s="61">
        <f>'CO Summary Sheet CPS 330'!V12</f>
        <v>2.6</v>
      </c>
      <c r="K13" s="61">
        <f>'CO Summary Sheet CPS 332'!V12</f>
        <v>0</v>
      </c>
      <c r="L13" s="61">
        <f>'CO Summary Sheet CPS 340'!V12</f>
        <v>6634.04</v>
      </c>
      <c r="M13" s="61">
        <f>'CO Summary Sheet CPS 345'!V12</f>
        <v>50205.2</v>
      </c>
      <c r="N13" s="61">
        <f>'CO Summary Sheet CPS 386'!V12</f>
        <v>312</v>
      </c>
      <c r="O13" s="61">
        <f>'CO Summary Sheet CPS 393'!V12</f>
        <v>1</v>
      </c>
      <c r="P13" s="61">
        <f>'CO Summary Sheet CPS 412'!V12</f>
        <v>11</v>
      </c>
      <c r="Q13" s="61">
        <f>'CO Summary Sheet CPS 585'!V12</f>
        <v>3048</v>
      </c>
      <c r="R13" s="61">
        <f>'CO Summary Sheet CPS 601'!V12</f>
        <v>0</v>
      </c>
      <c r="S13" s="61">
        <f>'CO Summary Sheet CPS 603'!V12</f>
        <v>0</v>
      </c>
      <c r="T13" s="80">
        <f t="shared" si="0"/>
        <v>451383.24</v>
      </c>
    </row>
    <row r="14" spans="2:20" ht="16.5" thickTop="1" thickBot="1" x14ac:dyDescent="0.3">
      <c r="B14" s="96"/>
      <c r="C14" s="98">
        <v>2014</v>
      </c>
      <c r="D14" s="99"/>
      <c r="E14" s="61">
        <f>'CO Summary Sheet CPS 327'!V13</f>
        <v>9685.7000000000007</v>
      </c>
      <c r="F14" s="61">
        <f>'CO Summary Sheet CPS 328'!V13</f>
        <v>184423.4</v>
      </c>
      <c r="G14" s="61">
        <f>'CO Summary Sheet CPS 329'!V13</f>
        <v>92768.9</v>
      </c>
      <c r="H14" s="61">
        <f>'CO Summary Sheet CPS 329A'!V13</f>
        <v>0</v>
      </c>
      <c r="I14" s="61">
        <f>'CO Summary Sheet CPS 329B'!V13</f>
        <v>323</v>
      </c>
      <c r="J14" s="61">
        <f>'CO Summary Sheet CPS 330'!V13</f>
        <v>2.6</v>
      </c>
      <c r="K14" s="61">
        <f>'CO Summary Sheet CPS 332'!V13</f>
        <v>0</v>
      </c>
      <c r="L14" s="61">
        <f>'CO Summary Sheet CPS 340'!V13</f>
        <v>9626.9</v>
      </c>
      <c r="M14" s="61">
        <f>'CO Summary Sheet CPS 345'!V13</f>
        <v>48170.400000000001</v>
      </c>
      <c r="N14" s="61">
        <f>'CO Summary Sheet CPS 386'!V13</f>
        <v>72</v>
      </c>
      <c r="O14" s="61">
        <f>'CO Summary Sheet CPS 393'!V13</f>
        <v>6.3000000000000007</v>
      </c>
      <c r="P14" s="61">
        <f>'CO Summary Sheet CPS 412'!V13</f>
        <v>15.5</v>
      </c>
      <c r="Q14" s="61">
        <f>'CO Summary Sheet CPS 585'!V13</f>
        <v>210.8</v>
      </c>
      <c r="R14" s="61">
        <f>'CO Summary Sheet CPS 601'!V13</f>
        <v>0</v>
      </c>
      <c r="S14" s="61">
        <f>'CO Summary Sheet CPS 603'!V13</f>
        <v>0</v>
      </c>
      <c r="T14" s="80">
        <f t="shared" si="0"/>
        <v>345305.5</v>
      </c>
    </row>
    <row r="15" spans="2:20" ht="16.5" thickTop="1" thickBot="1" x14ac:dyDescent="0.3">
      <c r="B15" s="96"/>
      <c r="C15" s="98">
        <v>2015</v>
      </c>
      <c r="D15" s="99"/>
      <c r="E15" s="61">
        <f>'CO Summary Sheet CPS 327'!V14</f>
        <v>9586.7999999999993</v>
      </c>
      <c r="F15" s="61">
        <f>'CO Summary Sheet CPS 328'!V14</f>
        <v>125803</v>
      </c>
      <c r="G15" s="61">
        <f>'CO Summary Sheet CPS 329'!V14</f>
        <v>64659.4</v>
      </c>
      <c r="H15" s="61">
        <f>'CO Summary Sheet CPS 329A'!V14</f>
        <v>225</v>
      </c>
      <c r="I15" s="61">
        <f>'CO Summary Sheet CPS 329B'!V14</f>
        <v>0</v>
      </c>
      <c r="J15" s="61">
        <f>'CO Summary Sheet CPS 330'!V14</f>
        <v>2.6</v>
      </c>
      <c r="K15" s="61">
        <f>'CO Summary Sheet CPS 332'!V14</f>
        <v>0</v>
      </c>
      <c r="L15" s="61">
        <f>'CO Summary Sheet CPS 340'!V14</f>
        <v>9554.4000000000015</v>
      </c>
      <c r="M15" s="61">
        <f>'CO Summary Sheet CPS 345'!V14</f>
        <v>35344.800000000003</v>
      </c>
      <c r="N15" s="61">
        <f>'CO Summary Sheet CPS 386'!V14</f>
        <v>4</v>
      </c>
      <c r="O15" s="61">
        <f>'CO Summary Sheet CPS 393'!V14</f>
        <v>0</v>
      </c>
      <c r="P15" s="61">
        <f>'CO Summary Sheet CPS 412'!V14</f>
        <v>0</v>
      </c>
      <c r="Q15" s="61">
        <f>'CO Summary Sheet CPS 585'!V14</f>
        <v>2086</v>
      </c>
      <c r="R15" s="61">
        <f>'CO Summary Sheet CPS 601'!V14</f>
        <v>0</v>
      </c>
      <c r="S15" s="61">
        <f>'CO Summary Sheet CPS 603'!V14</f>
        <v>0</v>
      </c>
      <c r="T15" s="80">
        <f t="shared" si="0"/>
        <v>247266</v>
      </c>
    </row>
    <row r="16" spans="2:20" ht="16.5" thickTop="1" thickBot="1" x14ac:dyDescent="0.3">
      <c r="B16" s="96"/>
      <c r="C16" s="98">
        <v>2016</v>
      </c>
      <c r="D16" s="99"/>
      <c r="E16" s="61">
        <f>'CO Summary Sheet CPS 327'!V15</f>
        <v>13502.9</v>
      </c>
      <c r="F16" s="61">
        <f>'CO Summary Sheet CPS 328'!V15</f>
        <v>330495.09999999998</v>
      </c>
      <c r="G16" s="61">
        <f>'CO Summary Sheet CPS 329'!V15</f>
        <v>116699.9</v>
      </c>
      <c r="H16" s="61">
        <f>'CO Summary Sheet CPS 329A'!V15</f>
        <v>3476</v>
      </c>
      <c r="I16" s="61">
        <f>'CO Summary Sheet CPS 329B'!V15</f>
        <v>14629</v>
      </c>
      <c r="J16" s="61">
        <f>'CO Summary Sheet CPS 330'!V15</f>
        <v>300</v>
      </c>
      <c r="K16" s="61">
        <f>'CO Summary Sheet CPS 332'!V15</f>
        <v>0</v>
      </c>
      <c r="L16" s="61">
        <f>'CO Summary Sheet CPS 340'!V15</f>
        <v>16499.800000000003</v>
      </c>
      <c r="M16" s="61">
        <f>'CO Summary Sheet CPS 345'!V15</f>
        <v>193682.7</v>
      </c>
      <c r="N16" s="61">
        <f>'CO Summary Sheet CPS 386'!V15</f>
        <v>0</v>
      </c>
      <c r="O16" s="61">
        <f>'CO Summary Sheet CPS 393'!V15</f>
        <v>0</v>
      </c>
      <c r="P16" s="61">
        <f>'CO Summary Sheet CPS 412'!V15</f>
        <v>11.100000000000001</v>
      </c>
      <c r="Q16" s="61">
        <f>'CO Summary Sheet CPS 585'!V15</f>
        <v>0</v>
      </c>
      <c r="R16" s="61">
        <f>'CO Summary Sheet CPS 601'!V15</f>
        <v>0</v>
      </c>
      <c r="S16" s="61">
        <f>'CO Summary Sheet CPS 603'!V15</f>
        <v>0</v>
      </c>
      <c r="T16" s="80">
        <f t="shared" si="0"/>
        <v>689296.5</v>
      </c>
    </row>
    <row r="17" spans="2:20" ht="16.5" thickTop="1" thickBot="1" x14ac:dyDescent="0.3">
      <c r="B17" s="96"/>
      <c r="C17" s="98">
        <v>2017</v>
      </c>
      <c r="D17" s="99"/>
      <c r="E17" s="61">
        <f>'CO Summary Sheet CPS 327'!V16</f>
        <v>11212</v>
      </c>
      <c r="F17" s="61">
        <f>'CO Summary Sheet CPS 328'!V16</f>
        <v>159175.79999999999</v>
      </c>
      <c r="G17" s="61">
        <f>'CO Summary Sheet CPS 329'!V16</f>
        <v>33838.699999999997</v>
      </c>
      <c r="H17" s="61">
        <f>'CO Summary Sheet CPS 329A'!V16</f>
        <v>0</v>
      </c>
      <c r="I17" s="61">
        <f>'CO Summary Sheet CPS 329B'!V16</f>
        <v>462</v>
      </c>
      <c r="J17" s="61">
        <f>'CO Summary Sheet CPS 330'!V16</f>
        <v>303</v>
      </c>
      <c r="K17" s="61">
        <f>'CO Summary Sheet CPS 332'!V16</f>
        <v>0</v>
      </c>
      <c r="L17" s="61">
        <f>'CO Summary Sheet CPS 340'!V16</f>
        <v>12339.4</v>
      </c>
      <c r="M17" s="61">
        <f>'CO Summary Sheet CPS 345'!V16</f>
        <v>101306.1</v>
      </c>
      <c r="N17" s="61">
        <f>'CO Summary Sheet CPS 386'!V16</f>
        <v>3.7</v>
      </c>
      <c r="O17" s="61">
        <f>'CO Summary Sheet CPS 393'!V16</f>
        <v>0</v>
      </c>
      <c r="P17" s="61">
        <f>'CO Summary Sheet CPS 412'!V16</f>
        <v>25.2</v>
      </c>
      <c r="Q17" s="61">
        <f>'CO Summary Sheet CPS 585'!V16</f>
        <v>812</v>
      </c>
      <c r="R17" s="61">
        <f>'CO Summary Sheet CPS 601'!V16</f>
        <v>0</v>
      </c>
      <c r="S17" s="61">
        <f>'CO Summary Sheet CPS 603'!V16</f>
        <v>0</v>
      </c>
      <c r="T17" s="80">
        <f t="shared" si="0"/>
        <v>319477.90000000002</v>
      </c>
    </row>
    <row r="18" spans="2:20" ht="16.5" thickTop="1" thickBot="1" x14ac:dyDescent="0.3">
      <c r="B18" s="97"/>
      <c r="C18" s="98">
        <v>2018</v>
      </c>
      <c r="D18" s="99"/>
      <c r="E18" s="61">
        <f>'CO Summary Sheet CPS 327'!V17</f>
        <v>23170.9</v>
      </c>
      <c r="F18" s="61">
        <f>'CO Summary Sheet CPS 328'!V17</f>
        <v>150909.9</v>
      </c>
      <c r="G18" s="61">
        <f>'CO Summary Sheet CPS 329'!V17</f>
        <v>48261.7</v>
      </c>
      <c r="H18" s="61">
        <f>'CO Summary Sheet CPS 329A'!V17</f>
        <v>466</v>
      </c>
      <c r="I18" s="61">
        <f>'CO Summary Sheet CPS 329B'!V17</f>
        <v>860</v>
      </c>
      <c r="J18" s="61">
        <f>'CO Summary Sheet CPS 330'!V17</f>
        <v>0</v>
      </c>
      <c r="K18" s="61">
        <f>'CO Summary Sheet CPS 332'!V17</f>
        <v>0</v>
      </c>
      <c r="L18" s="61">
        <f>'CO Summary Sheet CPS 340'!V17</f>
        <v>7714.8</v>
      </c>
      <c r="M18" s="61">
        <f>'CO Summary Sheet CPS 345'!V17</f>
        <v>117512.2</v>
      </c>
      <c r="N18" s="61">
        <f>'CO Summary Sheet CPS 386'!V17</f>
        <v>0</v>
      </c>
      <c r="O18" s="61">
        <f>'CO Summary Sheet CPS 393'!V17</f>
        <v>0</v>
      </c>
      <c r="P18" s="61">
        <f>'CO Summary Sheet CPS 412'!V17</f>
        <v>6.5</v>
      </c>
      <c r="Q18" s="61">
        <f>'CO Summary Sheet CPS 585'!V17</f>
        <v>0</v>
      </c>
      <c r="R18" s="61">
        <f>'CO Summary Sheet CPS 601'!V17</f>
        <v>0</v>
      </c>
      <c r="S18" s="61">
        <f>'CO Summary Sheet CPS 603'!V17</f>
        <v>0</v>
      </c>
      <c r="T18" s="80">
        <f t="shared" si="0"/>
        <v>348902</v>
      </c>
    </row>
    <row r="19" spans="2:20" ht="57" customHeight="1" thickTop="1" x14ac:dyDescent="0.25">
      <c r="D19" s="55" t="s">
        <v>88</v>
      </c>
      <c r="E19" s="63">
        <f>SUM(E4:E18)</f>
        <v>245816.5</v>
      </c>
      <c r="F19" s="63">
        <f t="shared" ref="F19:S19" si="1">SUM(F4:F18)</f>
        <v>1999574.7499999998</v>
      </c>
      <c r="G19" s="63">
        <f t="shared" si="1"/>
        <v>801143.1</v>
      </c>
      <c r="H19" s="63">
        <f t="shared" si="1"/>
        <v>102467.89999999998</v>
      </c>
      <c r="I19" s="63">
        <f t="shared" si="1"/>
        <v>127025.2</v>
      </c>
      <c r="J19" s="63">
        <f t="shared" si="1"/>
        <v>3752.2999999999997</v>
      </c>
      <c r="K19" s="63">
        <f t="shared" si="1"/>
        <v>0</v>
      </c>
      <c r="L19" s="63">
        <f t="shared" si="1"/>
        <v>103447.79000000001</v>
      </c>
      <c r="M19" s="63">
        <f t="shared" si="1"/>
        <v>645466.86</v>
      </c>
      <c r="N19" s="63">
        <f t="shared" si="1"/>
        <v>33225.399999999994</v>
      </c>
      <c r="O19" s="64">
        <f t="shared" si="1"/>
        <v>466.3</v>
      </c>
      <c r="P19" s="64">
        <f t="shared" si="1"/>
        <v>237.99999999999997</v>
      </c>
      <c r="Q19" s="64">
        <f t="shared" si="1"/>
        <v>19319.100000000002</v>
      </c>
      <c r="R19" s="64">
        <f t="shared" si="1"/>
        <v>0</v>
      </c>
      <c r="S19" s="64">
        <f t="shared" si="1"/>
        <v>0</v>
      </c>
    </row>
    <row r="20" spans="2:20" x14ac:dyDescent="0.25">
      <c r="D20" s="54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</row>
    <row r="21" spans="2:20" x14ac:dyDescent="0.25">
      <c r="D21" s="58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</row>
    <row r="23" spans="2:20" ht="15.75" thickBot="1" x14ac:dyDescent="0.3"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</row>
    <row r="24" spans="2:20" ht="16.5" thickTop="1" thickBot="1" x14ac:dyDescent="0.3">
      <c r="B24" s="50"/>
      <c r="C24" s="93"/>
      <c r="D24" s="94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</row>
    <row r="25" spans="2:20" ht="16.5" thickTop="1" thickBot="1" x14ac:dyDescent="0.3">
      <c r="B25" s="95"/>
      <c r="C25" s="51"/>
      <c r="D25" s="52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</row>
    <row r="26" spans="2:20" ht="16.5" thickTop="1" thickBot="1" x14ac:dyDescent="0.3">
      <c r="B26" s="96"/>
      <c r="C26" s="51"/>
      <c r="D26" s="52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</row>
    <row r="27" spans="2:20" ht="16.5" thickTop="1" thickBot="1" x14ac:dyDescent="0.3">
      <c r="B27" s="96"/>
      <c r="C27" s="51"/>
      <c r="D27" s="52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</row>
    <row r="28" spans="2:20" ht="16.5" thickTop="1" thickBot="1" x14ac:dyDescent="0.3">
      <c r="B28" s="96"/>
      <c r="C28" s="51"/>
      <c r="D28" s="52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</row>
    <row r="29" spans="2:20" ht="16.5" thickTop="1" thickBot="1" x14ac:dyDescent="0.3">
      <c r="B29" s="96"/>
      <c r="C29" s="51"/>
      <c r="D29" s="52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</row>
    <row r="30" spans="2:20" ht="16.5" thickTop="1" thickBot="1" x14ac:dyDescent="0.3">
      <c r="B30" s="96"/>
      <c r="C30" s="51"/>
      <c r="D30" s="52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</row>
    <row r="31" spans="2:20" ht="16.5" thickTop="1" thickBot="1" x14ac:dyDescent="0.3">
      <c r="B31" s="96"/>
      <c r="C31" s="51"/>
      <c r="D31" s="52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</row>
    <row r="32" spans="2:20" ht="16.5" thickTop="1" thickBot="1" x14ac:dyDescent="0.3">
      <c r="B32" s="96"/>
      <c r="C32" s="51"/>
      <c r="D32" s="52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</row>
    <row r="33" spans="2:19" ht="16.5" thickTop="1" thickBot="1" x14ac:dyDescent="0.3">
      <c r="B33" s="96"/>
      <c r="C33" s="51"/>
      <c r="D33" s="52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</row>
    <row r="34" spans="2:19" ht="16.5" thickTop="1" thickBot="1" x14ac:dyDescent="0.3">
      <c r="B34" s="96"/>
      <c r="C34" s="51"/>
      <c r="D34" s="52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</row>
    <row r="35" spans="2:19" ht="16.5" thickTop="1" thickBot="1" x14ac:dyDescent="0.3">
      <c r="B35" s="96"/>
      <c r="C35" s="51"/>
      <c r="D35" s="52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</row>
    <row r="36" spans="2:19" ht="16.5" thickTop="1" thickBot="1" x14ac:dyDescent="0.3">
      <c r="B36" s="96"/>
      <c r="C36" s="51"/>
      <c r="D36" s="52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</row>
    <row r="37" spans="2:19" ht="16.5" thickTop="1" thickBot="1" x14ac:dyDescent="0.3">
      <c r="B37" s="96"/>
      <c r="C37" s="51"/>
      <c r="D37" s="52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</row>
    <row r="38" spans="2:19" ht="16.5" thickTop="1" thickBot="1" x14ac:dyDescent="0.3">
      <c r="B38" s="96"/>
      <c r="C38" s="51"/>
      <c r="D38" s="52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</row>
    <row r="39" spans="2:19" ht="16.5" thickTop="1" thickBot="1" x14ac:dyDescent="0.3">
      <c r="B39" s="97"/>
      <c r="C39" s="51"/>
      <c r="D39" s="52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</row>
    <row r="40" spans="2:19" ht="57" customHeight="1" thickTop="1" x14ac:dyDescent="0.25">
      <c r="D40" s="55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65"/>
      <c r="P40" s="65"/>
      <c r="Q40" s="65"/>
      <c r="R40" s="65"/>
      <c r="S40" s="65"/>
    </row>
    <row r="41" spans="2:19" x14ac:dyDescent="0.25">
      <c r="D41" s="54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</row>
    <row r="42" spans="2:19" x14ac:dyDescent="0.25">
      <c r="D42" s="58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</row>
  </sheetData>
  <mergeCells count="21">
    <mergeCell ref="C13:D13"/>
    <mergeCell ref="C14:D14"/>
    <mergeCell ref="C15:D15"/>
    <mergeCell ref="C16:D16"/>
    <mergeCell ref="C17:D17"/>
    <mergeCell ref="B25:B39"/>
    <mergeCell ref="C4:D4"/>
    <mergeCell ref="C5:D5"/>
    <mergeCell ref="C6:D6"/>
    <mergeCell ref="E1:O1"/>
    <mergeCell ref="C2:D2"/>
    <mergeCell ref="B4:B18"/>
    <mergeCell ref="E23:O23"/>
    <mergeCell ref="C24:D24"/>
    <mergeCell ref="C18:D18"/>
    <mergeCell ref="C7:D7"/>
    <mergeCell ref="C8:D8"/>
    <mergeCell ref="C9:D9"/>
    <mergeCell ref="C10:D10"/>
    <mergeCell ref="C11:D11"/>
    <mergeCell ref="C12:D1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K49"/>
  <sheetViews>
    <sheetView topLeftCell="A16" workbookViewId="0">
      <selection activeCell="E4" sqref="E4"/>
    </sheetView>
  </sheetViews>
  <sheetFormatPr defaultRowHeight="15" x14ac:dyDescent="0.25"/>
  <cols>
    <col min="2" max="2" width="21" customWidth="1"/>
    <col min="3" max="3" width="20.140625" customWidth="1"/>
    <col min="4" max="4" width="14.140625" customWidth="1"/>
    <col min="5" max="5" width="30.140625" customWidth="1"/>
    <col min="6" max="6" width="45.42578125" customWidth="1"/>
    <col min="7" max="8" width="14" customWidth="1"/>
    <col min="9" max="9" width="13.5703125" customWidth="1"/>
    <col min="10" max="10" width="13.85546875" customWidth="1"/>
    <col min="11" max="11" width="18.140625" customWidth="1"/>
  </cols>
  <sheetData>
    <row r="1" spans="1:11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11"/>
      <c r="B2" s="12"/>
      <c r="C2" s="11"/>
      <c r="D2" s="12"/>
      <c r="E2" s="11"/>
      <c r="F2" s="11"/>
      <c r="G2" s="11"/>
      <c r="H2" s="90" t="s">
        <v>25</v>
      </c>
      <c r="I2" s="91"/>
      <c r="J2" s="12"/>
      <c r="K2" s="13"/>
    </row>
    <row r="3" spans="1:11" x14ac:dyDescent="0.25">
      <c r="A3" s="11"/>
      <c r="B3" s="14" t="s">
        <v>26</v>
      </c>
      <c r="C3" s="14" t="s">
        <v>27</v>
      </c>
      <c r="D3" s="14" t="s">
        <v>28</v>
      </c>
      <c r="E3" s="14" t="s">
        <v>29</v>
      </c>
      <c r="F3" s="14" t="s">
        <v>30</v>
      </c>
      <c r="G3" s="11"/>
      <c r="H3" s="28" t="s">
        <v>27</v>
      </c>
      <c r="I3" s="28" t="s">
        <v>31</v>
      </c>
      <c r="J3" s="12"/>
      <c r="K3" s="13"/>
    </row>
    <row r="4" spans="1:11" x14ac:dyDescent="0.25">
      <c r="A4" s="11"/>
      <c r="B4" s="16">
        <v>1997</v>
      </c>
      <c r="C4" s="17">
        <f>H4</f>
        <v>0</v>
      </c>
      <c r="D4" s="18" t="s">
        <v>32</v>
      </c>
      <c r="E4" s="19">
        <v>0.25690000000000002</v>
      </c>
      <c r="F4" s="20">
        <f t="shared" ref="F4:F25" si="0">C4*E4</f>
        <v>0</v>
      </c>
      <c r="G4" s="11"/>
      <c r="H4" s="12"/>
      <c r="I4" s="12"/>
      <c r="J4" s="12"/>
      <c r="K4" s="13"/>
    </row>
    <row r="5" spans="1:11" x14ac:dyDescent="0.25">
      <c r="A5" s="11"/>
      <c r="B5" s="16">
        <v>1998</v>
      </c>
      <c r="C5" s="17">
        <f t="shared" ref="C5:C25" si="1">H5</f>
        <v>0</v>
      </c>
      <c r="D5" s="18" t="s">
        <v>32</v>
      </c>
      <c r="E5" s="19">
        <f t="shared" ref="E5:E25" si="2">$E$4</f>
        <v>0.25690000000000002</v>
      </c>
      <c r="F5" s="20">
        <f t="shared" si="0"/>
        <v>0</v>
      </c>
      <c r="G5" s="11"/>
      <c r="H5" s="12"/>
      <c r="I5" s="12"/>
      <c r="J5" s="12"/>
      <c r="K5" s="13"/>
    </row>
    <row r="6" spans="1:11" x14ac:dyDescent="0.25">
      <c r="A6" s="11"/>
      <c r="B6" s="16">
        <v>1999</v>
      </c>
      <c r="C6" s="17">
        <f t="shared" si="1"/>
        <v>0</v>
      </c>
      <c r="D6" s="18" t="s">
        <v>32</v>
      </c>
      <c r="E6" s="19">
        <f t="shared" si="2"/>
        <v>0.25690000000000002</v>
      </c>
      <c r="F6" s="20">
        <f t="shared" si="0"/>
        <v>0</v>
      </c>
      <c r="G6" s="11"/>
      <c r="H6" s="12"/>
      <c r="I6" s="12"/>
      <c r="J6" s="12"/>
      <c r="K6" s="13"/>
    </row>
    <row r="7" spans="1:11" x14ac:dyDescent="0.25">
      <c r="A7" s="11"/>
      <c r="B7" s="16">
        <v>2000</v>
      </c>
      <c r="C7" s="17">
        <f t="shared" si="1"/>
        <v>0</v>
      </c>
      <c r="D7" s="18" t="s">
        <v>32</v>
      </c>
      <c r="E7" s="19">
        <f t="shared" si="2"/>
        <v>0.25690000000000002</v>
      </c>
      <c r="F7" s="20">
        <f t="shared" si="0"/>
        <v>0</v>
      </c>
      <c r="G7" s="11"/>
      <c r="H7" s="12"/>
      <c r="I7" s="12"/>
      <c r="J7" s="12"/>
      <c r="K7" s="13"/>
    </row>
    <row r="8" spans="1:11" x14ac:dyDescent="0.25">
      <c r="A8" s="11"/>
      <c r="B8" s="16">
        <v>2001</v>
      </c>
      <c r="C8" s="17">
        <f t="shared" si="1"/>
        <v>0</v>
      </c>
      <c r="D8" s="18" t="s">
        <v>32</v>
      </c>
      <c r="E8" s="19">
        <f t="shared" si="2"/>
        <v>0.25690000000000002</v>
      </c>
      <c r="F8" s="20">
        <f t="shared" si="0"/>
        <v>0</v>
      </c>
      <c r="G8" s="11"/>
      <c r="H8" s="12"/>
      <c r="I8" s="12"/>
      <c r="J8" s="12"/>
      <c r="K8" s="13"/>
    </row>
    <row r="9" spans="1:11" x14ac:dyDescent="0.25">
      <c r="A9" s="11"/>
      <c r="B9" s="16">
        <v>2002</v>
      </c>
      <c r="C9" s="17">
        <f t="shared" si="1"/>
        <v>0</v>
      </c>
      <c r="D9" s="18" t="s">
        <v>32</v>
      </c>
      <c r="E9" s="19">
        <f t="shared" si="2"/>
        <v>0.25690000000000002</v>
      </c>
      <c r="F9" s="20">
        <f t="shared" si="0"/>
        <v>0</v>
      </c>
      <c r="G9" s="11"/>
      <c r="H9" s="12"/>
      <c r="I9" s="12"/>
      <c r="J9" s="12"/>
      <c r="K9" s="13"/>
    </row>
    <row r="10" spans="1:11" x14ac:dyDescent="0.25">
      <c r="A10" s="11"/>
      <c r="B10" s="16">
        <v>2003</v>
      </c>
      <c r="C10" s="17">
        <f t="shared" si="1"/>
        <v>0</v>
      </c>
      <c r="D10" s="18" t="s">
        <v>32</v>
      </c>
      <c r="E10" s="19">
        <f t="shared" si="2"/>
        <v>0.25690000000000002</v>
      </c>
      <c r="F10" s="20">
        <f t="shared" si="0"/>
        <v>0</v>
      </c>
      <c r="G10" s="11"/>
      <c r="H10" s="12"/>
      <c r="I10" s="12"/>
      <c r="J10" s="12"/>
      <c r="K10" s="13"/>
    </row>
    <row r="11" spans="1:11" x14ac:dyDescent="0.25">
      <c r="A11" s="11"/>
      <c r="B11" s="16">
        <v>2004</v>
      </c>
      <c r="C11" s="17">
        <f t="shared" si="1"/>
        <v>22929.599999999999</v>
      </c>
      <c r="D11" s="18" t="s">
        <v>32</v>
      </c>
      <c r="E11" s="19">
        <f t="shared" si="2"/>
        <v>0.25690000000000002</v>
      </c>
      <c r="F11" s="20">
        <f>C11*E11</f>
        <v>5890.6142399999999</v>
      </c>
      <c r="G11" s="11"/>
      <c r="H11" s="12">
        <f>'CO Summary Sheet CPS 328'!V3</f>
        <v>22929.599999999999</v>
      </c>
      <c r="I11" s="12"/>
      <c r="J11" s="12"/>
      <c r="K11" s="13"/>
    </row>
    <row r="12" spans="1:11" x14ac:dyDescent="0.25">
      <c r="A12" s="11"/>
      <c r="B12" s="16">
        <v>2005</v>
      </c>
      <c r="C12" s="17">
        <f t="shared" si="1"/>
        <v>66708.899999999994</v>
      </c>
      <c r="D12" s="18" t="s">
        <v>32</v>
      </c>
      <c r="E12" s="19">
        <f t="shared" si="2"/>
        <v>0.25690000000000002</v>
      </c>
      <c r="F12" s="20">
        <f t="shared" si="0"/>
        <v>17137.51641</v>
      </c>
      <c r="G12" s="11"/>
      <c r="H12" s="12">
        <f>'CO Summary Sheet CPS 328'!V4</f>
        <v>66708.899999999994</v>
      </c>
      <c r="I12" s="12"/>
      <c r="J12" s="12"/>
      <c r="K12" s="13"/>
    </row>
    <row r="13" spans="1:11" x14ac:dyDescent="0.25">
      <c r="A13" s="11"/>
      <c r="B13" s="16">
        <v>2006</v>
      </c>
      <c r="C13" s="17">
        <f t="shared" si="1"/>
        <v>22530.9</v>
      </c>
      <c r="D13" s="18" t="s">
        <v>32</v>
      </c>
      <c r="E13" s="19">
        <f t="shared" si="2"/>
        <v>0.25690000000000002</v>
      </c>
      <c r="F13" s="20">
        <f t="shared" si="0"/>
        <v>5788.1882100000012</v>
      </c>
      <c r="G13" s="11"/>
      <c r="H13" s="12">
        <f>'CO Summary Sheet CPS 328'!V5</f>
        <v>22530.9</v>
      </c>
      <c r="I13" s="12"/>
      <c r="J13" s="12"/>
      <c r="K13" s="13"/>
    </row>
    <row r="14" spans="1:11" x14ac:dyDescent="0.25">
      <c r="A14" s="11"/>
      <c r="B14" s="16">
        <v>2007</v>
      </c>
      <c r="C14" s="17">
        <f t="shared" si="1"/>
        <v>45296.3</v>
      </c>
      <c r="D14" s="18" t="s">
        <v>32</v>
      </c>
      <c r="E14" s="19">
        <f t="shared" si="2"/>
        <v>0.25690000000000002</v>
      </c>
      <c r="F14" s="20">
        <f t="shared" si="0"/>
        <v>11636.619470000001</v>
      </c>
      <c r="G14" s="11"/>
      <c r="H14" s="12">
        <f>'CO Summary Sheet CPS 328'!V6</f>
        <v>45296.3</v>
      </c>
      <c r="I14" s="12"/>
      <c r="J14" s="12"/>
      <c r="K14" s="13"/>
    </row>
    <row r="15" spans="1:11" x14ac:dyDescent="0.25">
      <c r="A15" s="11"/>
      <c r="B15" s="16">
        <v>2008</v>
      </c>
      <c r="C15" s="17">
        <f t="shared" si="1"/>
        <v>45342.65</v>
      </c>
      <c r="D15" s="18" t="s">
        <v>32</v>
      </c>
      <c r="E15" s="19">
        <f t="shared" si="2"/>
        <v>0.25690000000000002</v>
      </c>
      <c r="F15" s="20">
        <f t="shared" si="0"/>
        <v>11648.526785000002</v>
      </c>
      <c r="G15" s="11"/>
      <c r="H15" s="12">
        <f>'CO Summary Sheet CPS 328'!V7</f>
        <v>45342.65</v>
      </c>
      <c r="I15" s="12"/>
      <c r="J15" s="12"/>
      <c r="K15" s="13"/>
    </row>
    <row r="16" spans="1:11" x14ac:dyDescent="0.25">
      <c r="A16" s="11"/>
      <c r="B16" s="16">
        <v>2009</v>
      </c>
      <c r="C16" s="17">
        <f t="shared" si="1"/>
        <v>22149.75</v>
      </c>
      <c r="D16" s="18" t="s">
        <v>32</v>
      </c>
      <c r="E16" s="19">
        <f t="shared" si="2"/>
        <v>0.25690000000000002</v>
      </c>
      <c r="F16" s="20">
        <f t="shared" si="0"/>
        <v>5690.270775</v>
      </c>
      <c r="G16" s="11"/>
      <c r="H16" s="12">
        <f>'CO Summary Sheet CPS 328'!V8</f>
        <v>22149.75</v>
      </c>
      <c r="I16" s="12"/>
      <c r="J16" s="12"/>
      <c r="K16" s="13"/>
    </row>
    <row r="17" spans="1:11" x14ac:dyDescent="0.25">
      <c r="A17" s="11"/>
      <c r="B17" s="16">
        <v>2010</v>
      </c>
      <c r="C17" s="17">
        <f t="shared" si="1"/>
        <v>13336.65</v>
      </c>
      <c r="D17" s="18" t="s">
        <v>32</v>
      </c>
      <c r="E17" s="19">
        <f t="shared" si="2"/>
        <v>0.25690000000000002</v>
      </c>
      <c r="F17" s="20">
        <f t="shared" si="0"/>
        <v>3426.1853850000002</v>
      </c>
      <c r="G17" s="11"/>
      <c r="H17" s="12">
        <f>'CO Summary Sheet CPS 328'!V9</f>
        <v>13336.65</v>
      </c>
      <c r="I17" s="12"/>
      <c r="J17" s="12"/>
      <c r="K17" s="13"/>
    </row>
    <row r="18" spans="1:11" x14ac:dyDescent="0.25">
      <c r="A18" s="11"/>
      <c r="B18" s="16">
        <v>2011</v>
      </c>
      <c r="C18" s="17">
        <f t="shared" si="1"/>
        <v>225729.2</v>
      </c>
      <c r="D18" s="18" t="s">
        <v>32</v>
      </c>
      <c r="E18" s="19">
        <f t="shared" si="2"/>
        <v>0.25690000000000002</v>
      </c>
      <c r="F18" s="20">
        <f t="shared" si="0"/>
        <v>57989.831480000008</v>
      </c>
      <c r="G18" s="11"/>
      <c r="H18" s="12">
        <f>'CO Summary Sheet CPS 328'!V10</f>
        <v>225729.2</v>
      </c>
      <c r="I18" s="12"/>
      <c r="J18" s="12"/>
      <c r="K18" s="13"/>
    </row>
    <row r="19" spans="1:11" x14ac:dyDescent="0.25">
      <c r="A19" s="11"/>
      <c r="B19" s="16">
        <v>2012</v>
      </c>
      <c r="C19" s="17">
        <f t="shared" si="1"/>
        <v>341952.2</v>
      </c>
      <c r="D19" s="18" t="s">
        <v>32</v>
      </c>
      <c r="E19" s="19">
        <f t="shared" si="2"/>
        <v>0.25690000000000002</v>
      </c>
      <c r="F19" s="20">
        <f t="shared" si="0"/>
        <v>87847.520180000007</v>
      </c>
      <c r="G19" s="11"/>
      <c r="H19" s="12">
        <f>'CO Summary Sheet CPS 328'!V11</f>
        <v>341952.2</v>
      </c>
      <c r="I19" s="12"/>
      <c r="J19" s="12"/>
      <c r="K19" s="13"/>
    </row>
    <row r="20" spans="1:11" s="22" customFormat="1" x14ac:dyDescent="0.25">
      <c r="A20" s="11"/>
      <c r="B20" s="16">
        <v>2013</v>
      </c>
      <c r="C20" s="17">
        <f t="shared" si="1"/>
        <v>242791.4</v>
      </c>
      <c r="D20" s="18" t="s">
        <v>32</v>
      </c>
      <c r="E20" s="19">
        <f t="shared" si="2"/>
        <v>0.25690000000000002</v>
      </c>
      <c r="F20" s="20">
        <f t="shared" si="0"/>
        <v>62373.110660000006</v>
      </c>
      <c r="G20" s="11"/>
      <c r="H20" s="12">
        <f>'CO Summary Sheet CPS 328'!V12</f>
        <v>242791.4</v>
      </c>
      <c r="I20" s="12"/>
      <c r="J20" s="12"/>
      <c r="K20" s="13"/>
    </row>
    <row r="21" spans="1:11" x14ac:dyDescent="0.25">
      <c r="B21" s="16">
        <v>2014</v>
      </c>
      <c r="C21" s="17">
        <f t="shared" si="1"/>
        <v>184423.4</v>
      </c>
      <c r="D21" s="18" t="s">
        <v>32</v>
      </c>
      <c r="E21" s="19">
        <f t="shared" si="2"/>
        <v>0.25690000000000002</v>
      </c>
      <c r="F21" s="20">
        <f t="shared" si="0"/>
        <v>47378.371460000002</v>
      </c>
      <c r="H21" s="12">
        <f>'CO Summary Sheet CPS 328'!V13</f>
        <v>184423.4</v>
      </c>
      <c r="I21" s="12"/>
    </row>
    <row r="22" spans="1:11" x14ac:dyDescent="0.25">
      <c r="B22" s="16">
        <v>2015</v>
      </c>
      <c r="C22" s="17">
        <f t="shared" si="1"/>
        <v>125803</v>
      </c>
      <c r="D22" s="18" t="s">
        <v>32</v>
      </c>
      <c r="E22" s="19">
        <f t="shared" si="2"/>
        <v>0.25690000000000002</v>
      </c>
      <c r="F22" s="20">
        <f t="shared" si="0"/>
        <v>32318.790700000001</v>
      </c>
      <c r="H22" s="12">
        <f>'CO Summary Sheet CPS 328'!V14</f>
        <v>125803</v>
      </c>
      <c r="I22" s="68"/>
    </row>
    <row r="23" spans="1:11" x14ac:dyDescent="0.25">
      <c r="B23" s="16">
        <v>2016</v>
      </c>
      <c r="C23" s="17">
        <f t="shared" si="1"/>
        <v>330495.09999999998</v>
      </c>
      <c r="D23" s="18" t="s">
        <v>32</v>
      </c>
      <c r="E23" s="19">
        <f t="shared" si="2"/>
        <v>0.25690000000000002</v>
      </c>
      <c r="F23" s="20">
        <f t="shared" si="0"/>
        <v>84904.191189999998</v>
      </c>
      <c r="H23" s="12">
        <f>'CO Summary Sheet CPS 328'!V15</f>
        <v>330495.09999999998</v>
      </c>
      <c r="I23" s="68"/>
    </row>
    <row r="24" spans="1:11" x14ac:dyDescent="0.25">
      <c r="B24" s="16">
        <v>2017</v>
      </c>
      <c r="C24" s="17">
        <f t="shared" si="1"/>
        <v>159175.79999999999</v>
      </c>
      <c r="D24" s="18" t="s">
        <v>32</v>
      </c>
      <c r="E24" s="19">
        <f t="shared" si="2"/>
        <v>0.25690000000000002</v>
      </c>
      <c r="F24" s="20">
        <f t="shared" si="0"/>
        <v>40892.263019999999</v>
      </c>
      <c r="H24" s="12">
        <f>'CO Summary Sheet CPS 328'!V16</f>
        <v>159175.79999999999</v>
      </c>
      <c r="I24" s="68"/>
    </row>
    <row r="25" spans="1:11" x14ac:dyDescent="0.25">
      <c r="B25" s="16">
        <v>2018</v>
      </c>
      <c r="C25" s="17">
        <f t="shared" si="1"/>
        <v>150909.9</v>
      </c>
      <c r="D25" s="18" t="s">
        <v>32</v>
      </c>
      <c r="E25" s="19">
        <f t="shared" si="2"/>
        <v>0.25690000000000002</v>
      </c>
      <c r="F25" s="20">
        <f t="shared" si="0"/>
        <v>38768.75331</v>
      </c>
      <c r="H25" s="12">
        <f>'CO Summary Sheet CPS 328'!V17</f>
        <v>150909.9</v>
      </c>
      <c r="I25" s="68"/>
    </row>
    <row r="26" spans="1:11" x14ac:dyDescent="0.25">
      <c r="C26" s="17">
        <f>SUM(C11:C21)</f>
        <v>1233190.95</v>
      </c>
    </row>
    <row r="27" spans="1:11" ht="78.75" customHeight="1" x14ac:dyDescent="0.25">
      <c r="B27" s="23" t="s">
        <v>0</v>
      </c>
      <c r="C27" s="23" t="s">
        <v>33</v>
      </c>
      <c r="D27" s="23" t="s">
        <v>34</v>
      </c>
      <c r="E27" s="23" t="s">
        <v>35</v>
      </c>
      <c r="F27" s="23" t="s">
        <v>36</v>
      </c>
    </row>
    <row r="28" spans="1:11" x14ac:dyDescent="0.25">
      <c r="B28">
        <v>1997</v>
      </c>
      <c r="C28" s="5">
        <f>F4</f>
        <v>0</v>
      </c>
    </row>
    <row r="29" spans="1:11" x14ac:dyDescent="0.25">
      <c r="B29">
        <v>1998</v>
      </c>
      <c r="C29" s="5">
        <f t="shared" ref="C29:C33" si="3">F5</f>
        <v>0</v>
      </c>
    </row>
    <row r="30" spans="1:11" x14ac:dyDescent="0.25">
      <c r="B30">
        <v>1999</v>
      </c>
      <c r="C30" s="5">
        <f t="shared" si="3"/>
        <v>0</v>
      </c>
    </row>
    <row r="31" spans="1:11" x14ac:dyDescent="0.25">
      <c r="B31">
        <v>2000</v>
      </c>
      <c r="C31" s="5">
        <f t="shared" si="3"/>
        <v>0</v>
      </c>
      <c r="D31" s="5"/>
      <c r="E31" s="5"/>
      <c r="F31" s="5"/>
    </row>
    <row r="32" spans="1:11" x14ac:dyDescent="0.25">
      <c r="B32">
        <v>2001</v>
      </c>
      <c r="C32" s="5">
        <f t="shared" si="3"/>
        <v>0</v>
      </c>
      <c r="D32" s="5">
        <f>C32+(0.5*(C29+C28))</f>
        <v>0</v>
      </c>
      <c r="E32" s="5">
        <f>C32+(0.75*(C29+C28))</f>
        <v>0</v>
      </c>
      <c r="F32" s="5">
        <f>C32+(1*(C29+C28))</f>
        <v>0</v>
      </c>
    </row>
    <row r="33" spans="2:6" x14ac:dyDescent="0.25">
      <c r="B33">
        <v>2002</v>
      </c>
      <c r="C33" s="5">
        <f t="shared" si="3"/>
        <v>0</v>
      </c>
      <c r="D33" s="5">
        <f>C33+(0.5*(C28+C30+C29))</f>
        <v>0</v>
      </c>
      <c r="E33" s="5">
        <f>C33+(0.75*(C28+C30+C29))</f>
        <v>0</v>
      </c>
      <c r="F33" s="5">
        <f>C33+(1*(C28+C30+C29))</f>
        <v>0</v>
      </c>
    </row>
    <row r="34" spans="2:6" x14ac:dyDescent="0.25">
      <c r="B34">
        <v>2003</v>
      </c>
      <c r="C34" s="5">
        <f t="shared" ref="C34:C49" si="4">F10</f>
        <v>0</v>
      </c>
      <c r="D34" s="5">
        <f>C34+(0.5*(C28+C29+C31+C30))</f>
        <v>0</v>
      </c>
      <c r="E34" s="5">
        <f>C34+(0.75*(C28+C29+C31+C30))</f>
        <v>0</v>
      </c>
      <c r="F34" s="5">
        <f>C34+(1*(C28+C29+C31+C30))</f>
        <v>0</v>
      </c>
    </row>
    <row r="35" spans="2:6" x14ac:dyDescent="0.25">
      <c r="B35">
        <v>2004</v>
      </c>
      <c r="C35" s="5">
        <f t="shared" si="4"/>
        <v>5890.6142399999999</v>
      </c>
      <c r="D35" s="5">
        <f>C35+(0.5*(C28+C29+C30+C32+C31))</f>
        <v>5890.6142399999999</v>
      </c>
      <c r="E35" s="5">
        <f>C35+(0.75*(C28+C29+C30+C32+C31))</f>
        <v>5890.6142399999999</v>
      </c>
      <c r="F35" s="5">
        <f>C35+(1*(C28+C29+C30+C32+C31))</f>
        <v>5890.6142399999999</v>
      </c>
    </row>
    <row r="36" spans="2:6" x14ac:dyDescent="0.25">
      <c r="B36">
        <v>2005</v>
      </c>
      <c r="C36" s="5">
        <f t="shared" si="4"/>
        <v>17137.51641</v>
      </c>
      <c r="D36" s="5">
        <f>C36+(0.5*(C28+C29+C30+C31+C33+C32))</f>
        <v>17137.51641</v>
      </c>
      <c r="E36" s="5">
        <f>C36+(0.75*(C28+C29+C30+C31+C33+C32))</f>
        <v>17137.51641</v>
      </c>
      <c r="F36" s="5">
        <f>C36+(1*(C28+C29+C30+C31+C33+C32))</f>
        <v>17137.51641</v>
      </c>
    </row>
    <row r="37" spans="2:6" x14ac:dyDescent="0.25">
      <c r="B37">
        <v>2006</v>
      </c>
      <c r="C37" s="5">
        <f t="shared" si="4"/>
        <v>5788.1882100000012</v>
      </c>
      <c r="D37" s="5">
        <f>C37+(0.5*(C28+C29+C30+C31+C32+C34+C33))</f>
        <v>5788.1882100000012</v>
      </c>
      <c r="E37" s="5">
        <f>C37+(0.75*(C28+C29+C30+C31+C32+C34+C33))</f>
        <v>5788.1882100000012</v>
      </c>
      <c r="F37" s="5">
        <f>C37+(1*(C28+C29+C30+C31+C32+C34+C33))</f>
        <v>5788.1882100000012</v>
      </c>
    </row>
    <row r="38" spans="2:6" x14ac:dyDescent="0.25">
      <c r="B38">
        <v>2007</v>
      </c>
      <c r="C38" s="5">
        <f t="shared" si="4"/>
        <v>11636.619470000001</v>
      </c>
      <c r="D38" s="5">
        <f>C38+(0.5*(C28+C29+C30+C31+C32+C33+C35+C34))</f>
        <v>14581.926590000001</v>
      </c>
      <c r="E38" s="5">
        <f>C38+(0.75*(C28+C29+C30+C31+C32+C33+C35+C34))</f>
        <v>16054.580150000002</v>
      </c>
      <c r="F38" s="5">
        <f>C38+(1*(C28+C29+C30+C31+C32+C33+C35+C34))</f>
        <v>17527.23371</v>
      </c>
    </row>
    <row r="39" spans="2:6" x14ac:dyDescent="0.25">
      <c r="B39">
        <v>2008</v>
      </c>
      <c r="C39" s="5">
        <f t="shared" si="4"/>
        <v>11648.526785000002</v>
      </c>
      <c r="D39" s="5">
        <f>C39+(0.5*(C28+C29+C30+C31+C32+C33+C34+C36+C35))</f>
        <v>23162.592110000001</v>
      </c>
      <c r="E39" s="5">
        <f>C39+(0.75*(C28+C29+C30+C31+C32+C33+C34+C36+C35))</f>
        <v>28919.624772499999</v>
      </c>
      <c r="F39" s="5">
        <f>C39+(1*(C28+C29+C30+C31+C32+C33+C34+C36+C35))</f>
        <v>34676.657435000001</v>
      </c>
    </row>
    <row r="40" spans="2:6" x14ac:dyDescent="0.25">
      <c r="B40">
        <v>2009</v>
      </c>
      <c r="C40" s="5">
        <f t="shared" si="4"/>
        <v>5690.270775</v>
      </c>
      <c r="D40" s="5">
        <f>C40+(0.5*(C28+C29+C30+C31+C32+C33+C34+C35+C37+C36))</f>
        <v>20098.430205000001</v>
      </c>
      <c r="E40" s="5">
        <f>C40+(0.75*(C28+C29+C30+C31+C32+C33+C34+C35+C37+C36))</f>
        <v>27302.50992</v>
      </c>
      <c r="F40" s="5">
        <f>C40+(1*(C28+C29+C30+C31+C32+C33+C34+C35+C37+C36))</f>
        <v>34506.589634999997</v>
      </c>
    </row>
    <row r="41" spans="2:6" x14ac:dyDescent="0.25">
      <c r="B41">
        <v>2010</v>
      </c>
      <c r="C41" s="5">
        <f t="shared" si="4"/>
        <v>3426.1853850000002</v>
      </c>
      <c r="D41" s="5">
        <f>C41+(0.5*(C28+C29+C30+C31+C32+C33+C34+C35+C36+C38+C37))</f>
        <v>23652.654549999999</v>
      </c>
      <c r="E41" s="5">
        <f>C41+(0.75*(C28+C29+C30+C31+C32+C33+C34+C35+C36+C38+C37))</f>
        <v>33765.889132499993</v>
      </c>
      <c r="F41" s="5">
        <f>C41+(1*(C28+C29+C30+C31+C32+C33+C34+C35+C36+C38+C37))</f>
        <v>43879.123714999994</v>
      </c>
    </row>
    <row r="42" spans="2:6" x14ac:dyDescent="0.25">
      <c r="B42">
        <v>2011</v>
      </c>
      <c r="C42" s="5">
        <f t="shared" si="4"/>
        <v>57989.831480000008</v>
      </c>
      <c r="D42" s="5">
        <f>C42+(0.5*(C28+C29+C30+C31+C32+C33+C34+C35+C36+C37+C39+C38))</f>
        <v>84040.564037500008</v>
      </c>
      <c r="E42" s="5">
        <f>C42+(0.75*(C28+C29+C30+C31+C32+C33+C34+C35+C36+C37+C39+C38))</f>
        <v>97065.930316250015</v>
      </c>
      <c r="F42" s="5">
        <f>C42+(1*(C28+C29+C30+C31+C32+C33+C34+C35+C36+C37+C39+C38))</f>
        <v>110091.29659500001</v>
      </c>
    </row>
    <row r="43" spans="2:6" x14ac:dyDescent="0.25">
      <c r="B43">
        <v>2012</v>
      </c>
      <c r="C43" s="5">
        <f t="shared" si="4"/>
        <v>87847.520180000007</v>
      </c>
      <c r="D43" s="5">
        <f>C43+(0.5*(C28+C29+C30+C31+C32+C33+C34+C35+C36+C37+C38+C40+C39))</f>
        <v>116743.38812500001</v>
      </c>
      <c r="E43" s="5">
        <f>C43+(0.75*(C28+C29+C30+C31+C32+C33+C34+C35+C36+C37+C38+C40+C39))</f>
        <v>131191.3220975</v>
      </c>
      <c r="F43" s="5">
        <f>C43+(1*(C28+C29+C30+C31+C32+C33+C34+C35+C36+C37+C38+C40+C39))</f>
        <v>145639.25607</v>
      </c>
    </row>
    <row r="44" spans="2:6" x14ac:dyDescent="0.25">
      <c r="B44">
        <v>2013</v>
      </c>
      <c r="C44" s="5">
        <f t="shared" si="4"/>
        <v>62373.110660000006</v>
      </c>
      <c r="D44" s="5">
        <f>C44+(0.5*(C28+C29+C30+C31+C32+C33+C34+C35+C36+C37+C38+C39+C41+C40))</f>
        <v>92982.071297500006</v>
      </c>
      <c r="E44" s="5">
        <f>C44+(0.75*(C28+C29+C30+C31+C32+C33+C34+C35+C36+C37+C38+C39+C41+C40))</f>
        <v>108286.55161625001</v>
      </c>
      <c r="F44" s="5">
        <f>C44+(1*(C28+C29+C30+C31+C32+C33+C34+C35+C36+C37+C38+C39+C41+C40))</f>
        <v>123591.03193500001</v>
      </c>
    </row>
    <row r="45" spans="2:6" x14ac:dyDescent="0.25">
      <c r="B45">
        <v>2014</v>
      </c>
      <c r="C45" s="5">
        <f t="shared" si="4"/>
        <v>47378.371460000002</v>
      </c>
      <c r="D45" s="5">
        <f>C45+(0.5*(C28+C29+C30+C31+C32+C33+C34+C35+C36+C37+C38+C39+C40+C42+C41))</f>
        <v>106982.24783750001</v>
      </c>
      <c r="E45" s="5">
        <f>C45+(0.75*(C28+C29+C30+C31+C32+C33+C34+C35+C36+C37+C38+C39+C40+C42+C41))</f>
        <v>136784.18602625001</v>
      </c>
      <c r="F45" s="5">
        <f>C45+(1*(C28+C29+C30+C31+C32+C33+C34+C35+C36+C37+C38+C39+C40+C42+C41))</f>
        <v>166586.12421500002</v>
      </c>
    </row>
    <row r="46" spans="2:6" x14ac:dyDescent="0.25">
      <c r="B46">
        <v>2015</v>
      </c>
      <c r="C46" s="5">
        <f t="shared" si="4"/>
        <v>32318.790700000001</v>
      </c>
      <c r="D46" s="5">
        <f t="shared" ref="D46:D49" si="5">C46+(0.5*(C29+C30+C31+C32+C33+C34+C35+C36+C37+C38+C39+C40+C41+C43+C42))</f>
        <v>135846.42716750002</v>
      </c>
      <c r="E46" s="5">
        <f t="shared" ref="E46:E49" si="6">C46+(0.75*(C29+C30+C31+C32+C33+C34+C35+C36+C37+C38+C39+C40+C41+C43+C42))</f>
        <v>187610.24540125002</v>
      </c>
      <c r="F46" s="5">
        <f t="shared" ref="F46:F49" si="7">C46+(1*(C29+C30+C31+C32+C33+C34+C35+C36+C37+C38+C39+C40+C41+C43+C42))</f>
        <v>239374.06363500003</v>
      </c>
    </row>
    <row r="47" spans="2:6" x14ac:dyDescent="0.25">
      <c r="B47">
        <v>2016</v>
      </c>
      <c r="C47" s="5">
        <f t="shared" si="4"/>
        <v>84904.191189999998</v>
      </c>
      <c r="D47" s="5">
        <f t="shared" si="5"/>
        <v>219618.38298749999</v>
      </c>
      <c r="E47" s="5">
        <f t="shared" si="6"/>
        <v>286975.47888625</v>
      </c>
      <c r="F47" s="5">
        <f t="shared" si="7"/>
        <v>354332.574785</v>
      </c>
    </row>
    <row r="48" spans="2:6" x14ac:dyDescent="0.25">
      <c r="B48">
        <v>2017</v>
      </c>
      <c r="C48" s="5">
        <f t="shared" si="4"/>
        <v>40892.263019999999</v>
      </c>
      <c r="D48" s="5">
        <f t="shared" si="5"/>
        <v>199295.64054749999</v>
      </c>
      <c r="E48" s="5">
        <f>C48+(0.75*(C31+C32+C33+C34+C35+C36+C37+C38+C39+C40+C41+C42+C43+C45+C44))</f>
        <v>278497.32931125001</v>
      </c>
      <c r="F48" s="5">
        <f t="shared" si="7"/>
        <v>357699.01807500003</v>
      </c>
    </row>
    <row r="49" spans="2:6" x14ac:dyDescent="0.25">
      <c r="B49">
        <v>2018</v>
      </c>
      <c r="C49" s="5">
        <f t="shared" si="4"/>
        <v>38768.75331</v>
      </c>
      <c r="D49" s="5">
        <f t="shared" si="5"/>
        <v>213331.52618750001</v>
      </c>
      <c r="E49" s="5">
        <f t="shared" si="6"/>
        <v>300612.91262625001</v>
      </c>
      <c r="F49" s="5">
        <f t="shared" si="7"/>
        <v>387894.29906500003</v>
      </c>
    </row>
  </sheetData>
  <mergeCells count="1">
    <mergeCell ref="H2:I2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1"/>
  <sheetViews>
    <sheetView workbookViewId="0">
      <selection activeCell="L13" sqref="L13"/>
    </sheetView>
  </sheetViews>
  <sheetFormatPr defaultRowHeight="15" x14ac:dyDescent="0.25"/>
  <cols>
    <col min="1" max="1" width="5" customWidth="1"/>
    <col min="2" max="2" width="12" bestFit="1" customWidth="1"/>
    <col min="3" max="3" width="9.28515625" bestFit="1" customWidth="1"/>
    <col min="4" max="4" width="9.5703125" bestFit="1" customWidth="1"/>
    <col min="5" max="5" width="10.5703125" bestFit="1" customWidth="1"/>
    <col min="6" max="6" width="9.28515625" bestFit="1" customWidth="1"/>
    <col min="7" max="7" width="10.5703125" bestFit="1" customWidth="1"/>
    <col min="8" max="8" width="11.28515625" customWidth="1"/>
    <col min="9" max="9" width="10.5703125" bestFit="1" customWidth="1"/>
    <col min="10" max="10" width="13.28515625" bestFit="1" customWidth="1"/>
    <col min="11" max="11" width="9.5703125" bestFit="1" customWidth="1"/>
    <col min="12" max="12" width="13.28515625" bestFit="1" customWidth="1"/>
    <col min="13" max="18" width="9.28515625" bestFit="1" customWidth="1"/>
    <col min="19" max="19" width="13.42578125" bestFit="1" customWidth="1"/>
    <col min="20" max="20" width="9.28515625" bestFit="1" customWidth="1"/>
    <col min="21" max="21" width="12.42578125" bestFit="1" customWidth="1"/>
    <col min="22" max="22" width="14.28515625" bestFit="1" customWidth="1"/>
    <col min="23" max="23" width="15.7109375" customWidth="1"/>
    <col min="24" max="24" width="27.42578125" customWidth="1"/>
  </cols>
  <sheetData>
    <row r="1" spans="1:24" x14ac:dyDescent="0.25">
      <c r="B1" s="88" t="s">
        <v>38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</row>
    <row r="2" spans="1:24" s="3" customFormat="1" x14ac:dyDescent="0.25">
      <c r="A2" s="89" t="s">
        <v>0</v>
      </c>
      <c r="B2" s="6"/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21</v>
      </c>
      <c r="I2" s="7" t="s">
        <v>6</v>
      </c>
      <c r="J2" s="7" t="s">
        <v>7</v>
      </c>
      <c r="K2" s="7" t="s">
        <v>8</v>
      </c>
      <c r="L2" s="7" t="s">
        <v>9</v>
      </c>
      <c r="M2" s="7" t="s">
        <v>10</v>
      </c>
      <c r="N2" s="7" t="s">
        <v>11</v>
      </c>
      <c r="O2" s="7" t="s">
        <v>12</v>
      </c>
      <c r="P2" s="7" t="s">
        <v>13</v>
      </c>
      <c r="Q2" s="7" t="s">
        <v>14</v>
      </c>
      <c r="R2" s="7" t="s">
        <v>15</v>
      </c>
      <c r="S2" s="7" t="s">
        <v>16</v>
      </c>
      <c r="T2" s="7" t="s">
        <v>17</v>
      </c>
      <c r="U2" s="7" t="s">
        <v>23</v>
      </c>
      <c r="V2" s="7" t="s">
        <v>18</v>
      </c>
      <c r="W2" s="7"/>
      <c r="X2" s="7"/>
    </row>
    <row r="3" spans="1:24" x14ac:dyDescent="0.25">
      <c r="A3" s="89"/>
      <c r="B3" s="1">
        <v>2004</v>
      </c>
      <c r="C3" s="3"/>
      <c r="D3" s="3"/>
      <c r="E3" s="3"/>
      <c r="F3" s="3"/>
      <c r="G3" s="3"/>
      <c r="H3" s="59"/>
      <c r="I3" s="3"/>
      <c r="J3" s="59"/>
      <c r="K3" s="3"/>
      <c r="L3" s="3">
        <v>0</v>
      </c>
      <c r="M3" s="3"/>
      <c r="N3" s="3"/>
      <c r="O3" s="3"/>
      <c r="P3" s="3"/>
      <c r="Q3" s="3"/>
      <c r="R3" s="59"/>
      <c r="S3" s="3"/>
      <c r="T3" s="3"/>
      <c r="U3" s="3"/>
      <c r="V3" s="27">
        <f t="shared" ref="V3:V16" si="0">SUM(C3:U3)</f>
        <v>0</v>
      </c>
      <c r="W3" s="4"/>
    </row>
    <row r="4" spans="1:24" x14ac:dyDescent="0.25">
      <c r="A4" s="89"/>
      <c r="B4" s="1">
        <v>2005</v>
      </c>
      <c r="C4" s="3"/>
      <c r="D4" s="3"/>
      <c r="E4" s="3"/>
      <c r="F4" s="3"/>
      <c r="G4" s="3"/>
      <c r="H4" s="59"/>
      <c r="I4" s="3"/>
      <c r="J4" s="59"/>
      <c r="K4" s="59"/>
      <c r="L4" s="3">
        <v>0</v>
      </c>
      <c r="M4" s="3"/>
      <c r="N4" s="3"/>
      <c r="O4" s="3"/>
      <c r="P4" s="3"/>
      <c r="Q4" s="3"/>
      <c r="R4" s="59"/>
      <c r="S4" s="3"/>
      <c r="T4" s="3"/>
      <c r="U4" s="3"/>
      <c r="V4" s="27">
        <f t="shared" si="0"/>
        <v>0</v>
      </c>
      <c r="W4" s="4"/>
    </row>
    <row r="5" spans="1:24" x14ac:dyDescent="0.25">
      <c r="A5" s="89"/>
      <c r="B5" s="1">
        <v>2006</v>
      </c>
      <c r="C5" s="3"/>
      <c r="D5" s="3"/>
      <c r="E5" s="3"/>
      <c r="F5" s="3"/>
      <c r="G5" s="3"/>
      <c r="H5" s="59"/>
      <c r="I5" s="3"/>
      <c r="J5" s="59"/>
      <c r="K5" s="59"/>
      <c r="L5" s="3">
        <v>9931.5</v>
      </c>
      <c r="M5" s="3"/>
      <c r="N5" s="3"/>
      <c r="O5" s="3"/>
      <c r="P5" s="3"/>
      <c r="Q5" s="3"/>
      <c r="R5" s="3"/>
      <c r="S5" s="3"/>
      <c r="T5" s="3"/>
      <c r="U5" s="3"/>
      <c r="V5" s="27">
        <f t="shared" si="0"/>
        <v>9931.5</v>
      </c>
      <c r="W5" s="4"/>
    </row>
    <row r="6" spans="1:24" x14ac:dyDescent="0.25">
      <c r="A6" s="89"/>
      <c r="B6" s="1">
        <v>2007</v>
      </c>
      <c r="C6" s="3"/>
      <c r="D6" s="3"/>
      <c r="E6" s="3"/>
      <c r="F6" s="3"/>
      <c r="G6" s="3"/>
      <c r="H6" s="59"/>
      <c r="I6" s="3"/>
      <c r="J6" s="59"/>
      <c r="K6" s="3"/>
      <c r="L6" s="3">
        <v>17700.2</v>
      </c>
      <c r="M6" s="3"/>
      <c r="N6" s="3"/>
      <c r="O6" s="3"/>
      <c r="P6" s="3"/>
      <c r="Q6" s="3"/>
      <c r="R6" s="3"/>
      <c r="S6" s="3"/>
      <c r="T6" s="3"/>
      <c r="U6" s="3"/>
      <c r="V6" s="27">
        <f t="shared" si="0"/>
        <v>17700.2</v>
      </c>
      <c r="W6" s="4"/>
    </row>
    <row r="7" spans="1:24" x14ac:dyDescent="0.25">
      <c r="A7" s="89"/>
      <c r="B7" s="1">
        <v>2008</v>
      </c>
      <c r="C7" s="3"/>
      <c r="D7" s="3"/>
      <c r="E7" s="3"/>
      <c r="F7" s="3"/>
      <c r="G7" s="3"/>
      <c r="H7" s="59"/>
      <c r="I7" s="3"/>
      <c r="J7" s="59"/>
      <c r="K7" s="3"/>
      <c r="L7" s="3">
        <v>42004.800000000003</v>
      </c>
      <c r="M7" s="3"/>
      <c r="N7" s="3"/>
      <c r="O7" s="3"/>
      <c r="P7" s="3"/>
      <c r="Q7" s="3"/>
      <c r="R7" s="3"/>
      <c r="S7" s="3"/>
      <c r="T7" s="3"/>
      <c r="U7" s="3"/>
      <c r="V7" s="27">
        <f t="shared" si="0"/>
        <v>42004.800000000003</v>
      </c>
      <c r="W7" s="4"/>
    </row>
    <row r="8" spans="1:24" x14ac:dyDescent="0.25">
      <c r="A8" s="89"/>
      <c r="B8" s="1">
        <v>2009</v>
      </c>
      <c r="C8" s="3"/>
      <c r="D8" s="3"/>
      <c r="E8" s="3"/>
      <c r="F8" s="3"/>
      <c r="G8" s="3"/>
      <c r="H8" s="59"/>
      <c r="I8" s="3"/>
      <c r="J8" s="59"/>
      <c r="K8" s="3"/>
      <c r="L8" s="3">
        <v>21618</v>
      </c>
      <c r="M8" s="3"/>
      <c r="N8" s="3"/>
      <c r="O8" s="3"/>
      <c r="P8" s="3"/>
      <c r="Q8" s="3"/>
      <c r="R8" s="3"/>
      <c r="S8" s="3"/>
      <c r="T8" s="3"/>
      <c r="U8" s="3"/>
      <c r="V8" s="27">
        <f t="shared" si="0"/>
        <v>21618</v>
      </c>
      <c r="W8" s="4"/>
    </row>
    <row r="9" spans="1:24" x14ac:dyDescent="0.25">
      <c r="A9" s="89"/>
      <c r="B9" s="1">
        <v>2010</v>
      </c>
      <c r="C9" s="3"/>
      <c r="D9" s="3"/>
      <c r="E9" s="3"/>
      <c r="F9" s="3"/>
      <c r="G9" s="3"/>
      <c r="H9" s="59"/>
      <c r="I9" s="3"/>
      <c r="J9" s="59"/>
      <c r="K9" s="3"/>
      <c r="L9" s="3">
        <v>41226.5</v>
      </c>
      <c r="M9" s="3"/>
      <c r="N9" s="3"/>
      <c r="O9" s="3"/>
      <c r="P9" s="3"/>
      <c r="Q9" s="3"/>
      <c r="R9" s="3"/>
      <c r="S9" s="3"/>
      <c r="T9" s="3"/>
      <c r="U9" s="3"/>
      <c r="V9" s="27">
        <f t="shared" si="0"/>
        <v>41226.5</v>
      </c>
      <c r="W9" s="4"/>
    </row>
    <row r="10" spans="1:24" x14ac:dyDescent="0.25">
      <c r="A10" s="89"/>
      <c r="B10" s="1">
        <v>2011</v>
      </c>
      <c r="C10" s="3"/>
      <c r="D10" s="3"/>
      <c r="E10" s="3"/>
      <c r="F10" s="3"/>
      <c r="G10" s="3"/>
      <c r="H10" s="59"/>
      <c r="I10" s="3"/>
      <c r="J10" s="78">
        <v>59389</v>
      </c>
      <c r="K10" s="3"/>
      <c r="L10" s="3">
        <v>45634.6</v>
      </c>
      <c r="M10" s="3"/>
      <c r="N10" s="3"/>
      <c r="O10" s="3"/>
      <c r="P10" s="3"/>
      <c r="Q10" s="3"/>
      <c r="R10" s="3"/>
      <c r="S10" s="3"/>
      <c r="T10" s="3"/>
      <c r="U10" s="3"/>
      <c r="V10" s="27">
        <f t="shared" si="0"/>
        <v>105023.6</v>
      </c>
      <c r="W10" s="4"/>
    </row>
    <row r="11" spans="1:24" x14ac:dyDescent="0.25">
      <c r="A11" s="89"/>
      <c r="B11" s="1">
        <v>2012</v>
      </c>
      <c r="C11" s="3"/>
      <c r="D11" s="3"/>
      <c r="E11" s="3"/>
      <c r="F11" s="3"/>
      <c r="G11" s="3"/>
      <c r="H11" s="59"/>
      <c r="I11" s="3"/>
      <c r="J11" s="78">
        <v>106230</v>
      </c>
      <c r="K11" s="3"/>
      <c r="L11" s="3">
        <v>26071.8</v>
      </c>
      <c r="M11" s="3"/>
      <c r="N11" s="3"/>
      <c r="O11" s="3"/>
      <c r="P11" s="3"/>
      <c r="Q11" s="3"/>
      <c r="R11" s="3"/>
      <c r="S11" s="3"/>
      <c r="T11" s="3"/>
      <c r="U11" s="3"/>
      <c r="V11" s="27">
        <f t="shared" si="0"/>
        <v>132301.79999999999</v>
      </c>
      <c r="W11" s="4"/>
    </row>
    <row r="12" spans="1:24" x14ac:dyDescent="0.25">
      <c r="A12" s="89"/>
      <c r="B12" s="1">
        <v>2013</v>
      </c>
      <c r="C12" s="3"/>
      <c r="D12" s="3"/>
      <c r="E12" s="3"/>
      <c r="F12" s="3"/>
      <c r="G12" s="3"/>
      <c r="H12" s="59"/>
      <c r="I12" s="3"/>
      <c r="J12" s="78">
        <v>67327</v>
      </c>
      <c r="K12" s="3"/>
      <c r="L12" s="3">
        <v>7781.1</v>
      </c>
      <c r="M12" s="3"/>
      <c r="N12" s="3"/>
      <c r="O12" s="3"/>
      <c r="P12" s="3"/>
      <c r="Q12" s="3"/>
      <c r="R12" s="3"/>
      <c r="S12" s="3"/>
      <c r="T12" s="3"/>
      <c r="U12" s="3"/>
      <c r="V12" s="27">
        <f t="shared" si="0"/>
        <v>75108.100000000006</v>
      </c>
      <c r="W12" s="4"/>
    </row>
    <row r="13" spans="1:24" x14ac:dyDescent="0.25">
      <c r="A13" s="89"/>
      <c r="B13" s="1">
        <v>2014</v>
      </c>
      <c r="C13" s="3"/>
      <c r="D13" s="3"/>
      <c r="E13" s="3"/>
      <c r="F13" s="3"/>
      <c r="G13" s="3"/>
      <c r="H13" s="3"/>
      <c r="I13" s="3"/>
      <c r="J13" s="78">
        <v>78382</v>
      </c>
      <c r="K13" s="3"/>
      <c r="L13" s="3">
        <v>14386.900000000001</v>
      </c>
      <c r="M13" s="3"/>
      <c r="N13" s="3"/>
      <c r="O13" s="3"/>
      <c r="P13" s="3"/>
      <c r="Q13" s="3"/>
      <c r="R13" s="3"/>
      <c r="S13" s="3"/>
      <c r="T13" s="3"/>
      <c r="U13" s="3"/>
      <c r="V13" s="27">
        <f t="shared" si="0"/>
        <v>92768.9</v>
      </c>
      <c r="W13" s="4"/>
    </row>
    <row r="14" spans="1:24" x14ac:dyDescent="0.25">
      <c r="B14" s="1">
        <v>2015</v>
      </c>
      <c r="C14" s="3"/>
      <c r="D14" s="3"/>
      <c r="E14" s="3"/>
      <c r="F14" s="3"/>
      <c r="G14" s="3"/>
      <c r="H14" s="3"/>
      <c r="I14" s="3"/>
      <c r="J14" s="78">
        <v>53511</v>
      </c>
      <c r="K14" s="3"/>
      <c r="L14" s="3">
        <v>11148.4</v>
      </c>
      <c r="M14" s="3"/>
      <c r="N14" s="3"/>
      <c r="O14" s="3"/>
      <c r="P14" s="3"/>
      <c r="Q14" s="3"/>
      <c r="R14" s="3"/>
      <c r="S14" s="3"/>
      <c r="T14" s="3"/>
      <c r="U14" s="3"/>
      <c r="V14" s="27">
        <f t="shared" si="0"/>
        <v>64659.4</v>
      </c>
    </row>
    <row r="15" spans="1:24" x14ac:dyDescent="0.25">
      <c r="B15" s="1">
        <v>2016</v>
      </c>
      <c r="C15" s="3"/>
      <c r="D15" s="3"/>
      <c r="E15" s="3"/>
      <c r="F15" s="3"/>
      <c r="G15" s="3"/>
      <c r="H15" s="3"/>
      <c r="I15" s="3"/>
      <c r="J15" s="78">
        <v>107880</v>
      </c>
      <c r="K15" s="3"/>
      <c r="L15" s="3">
        <v>8819.9</v>
      </c>
      <c r="M15" s="3"/>
      <c r="N15" s="3"/>
      <c r="O15" s="3"/>
      <c r="P15" s="3"/>
      <c r="Q15" s="3"/>
      <c r="R15" s="3"/>
      <c r="S15" s="3"/>
      <c r="T15" s="3"/>
      <c r="U15" s="3"/>
      <c r="V15" s="27">
        <f t="shared" si="0"/>
        <v>116699.9</v>
      </c>
    </row>
    <row r="16" spans="1:24" x14ac:dyDescent="0.25">
      <c r="B16" s="1">
        <v>2017</v>
      </c>
      <c r="C16" s="3"/>
      <c r="D16" s="3"/>
      <c r="E16" s="3"/>
      <c r="F16" s="3"/>
      <c r="G16" s="3"/>
      <c r="H16" s="3"/>
      <c r="I16" s="3"/>
      <c r="J16" s="78">
        <v>27959</v>
      </c>
      <c r="K16" s="3"/>
      <c r="L16" s="3">
        <v>5879.7</v>
      </c>
      <c r="M16" s="3"/>
      <c r="N16" s="3"/>
      <c r="O16" s="3"/>
      <c r="P16" s="3"/>
      <c r="Q16" s="3"/>
      <c r="R16" s="3"/>
      <c r="S16" s="3"/>
      <c r="T16" s="3"/>
      <c r="U16" s="3"/>
      <c r="V16" s="27">
        <f t="shared" si="0"/>
        <v>33838.699999999997</v>
      </c>
    </row>
    <row r="17" spans="2:22" x14ac:dyDescent="0.25">
      <c r="B17" s="1">
        <v>2018</v>
      </c>
      <c r="C17" s="3"/>
      <c r="D17" s="3"/>
      <c r="E17" s="3"/>
      <c r="F17" s="3"/>
      <c r="G17" s="3"/>
      <c r="H17" s="3"/>
      <c r="I17" s="3"/>
      <c r="J17" s="78">
        <v>45906</v>
      </c>
      <c r="K17" s="3"/>
      <c r="L17" s="3">
        <v>2355.6999999999998</v>
      </c>
      <c r="M17" s="3"/>
      <c r="N17" s="3"/>
      <c r="O17" s="3"/>
      <c r="P17" s="3"/>
      <c r="Q17" s="3"/>
      <c r="R17" s="3"/>
      <c r="S17" s="3"/>
      <c r="T17" s="3"/>
      <c r="U17" s="3"/>
      <c r="V17" s="27">
        <f>SUM(C17:U17)</f>
        <v>48261.7</v>
      </c>
    </row>
    <row r="18" spans="2:22" x14ac:dyDescent="0.25">
      <c r="B18" s="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9"/>
    </row>
    <row r="19" spans="2:22" x14ac:dyDescent="0.25">
      <c r="B19" s="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9"/>
    </row>
    <row r="20" spans="2:22" s="32" customFormat="1" x14ac:dyDescent="0.25"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</row>
    <row r="21" spans="2:22" x14ac:dyDescent="0.25">
      <c r="B21" s="2" t="s">
        <v>19</v>
      </c>
      <c r="C21" s="3" t="s">
        <v>20</v>
      </c>
      <c r="D21" s="3" t="s">
        <v>22</v>
      </c>
      <c r="E21" s="3" t="s">
        <v>22</v>
      </c>
      <c r="F21" s="3" t="s">
        <v>20</v>
      </c>
      <c r="G21" s="3" t="s">
        <v>22</v>
      </c>
      <c r="H21" s="3" t="s">
        <v>20</v>
      </c>
      <c r="I21" s="3" t="s">
        <v>20</v>
      </c>
      <c r="J21" s="3" t="s">
        <v>20</v>
      </c>
      <c r="K21" s="3" t="s">
        <v>20</v>
      </c>
      <c r="L21" s="3" t="s">
        <v>22</v>
      </c>
      <c r="M21" s="3" t="s">
        <v>20</v>
      </c>
      <c r="N21" s="3" t="s">
        <v>20</v>
      </c>
      <c r="O21" s="3" t="s">
        <v>20</v>
      </c>
      <c r="P21" s="3" t="s">
        <v>20</v>
      </c>
      <c r="Q21" s="3" t="s">
        <v>20</v>
      </c>
      <c r="R21" s="3" t="s">
        <v>20</v>
      </c>
      <c r="S21" s="3" t="s">
        <v>20</v>
      </c>
      <c r="T21" s="3" t="s">
        <v>22</v>
      </c>
      <c r="U21" s="3" t="s">
        <v>20</v>
      </c>
    </row>
  </sheetData>
  <mergeCells count="2">
    <mergeCell ref="B1:U1"/>
    <mergeCell ref="A2:A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K49"/>
  <sheetViews>
    <sheetView topLeftCell="A31" workbookViewId="0">
      <selection activeCell="C43" sqref="C43"/>
    </sheetView>
  </sheetViews>
  <sheetFormatPr defaultRowHeight="15" x14ac:dyDescent="0.25"/>
  <cols>
    <col min="2" max="2" width="21" customWidth="1"/>
    <col min="3" max="3" width="20.140625" customWidth="1"/>
    <col min="4" max="4" width="14.140625" customWidth="1"/>
    <col min="5" max="5" width="30.140625" customWidth="1"/>
    <col min="6" max="6" width="45.42578125" customWidth="1"/>
    <col min="7" max="7" width="16.7109375" customWidth="1"/>
    <col min="8" max="8" width="13" customWidth="1"/>
    <col min="9" max="9" width="21.42578125" customWidth="1"/>
    <col min="10" max="10" width="18.28515625" customWidth="1"/>
    <col min="11" max="11" width="19.28515625" customWidth="1"/>
  </cols>
  <sheetData>
    <row r="1" spans="1:11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ht="15" customHeight="1" x14ac:dyDescent="0.25">
      <c r="A2" s="11"/>
      <c r="B2" s="12"/>
      <c r="C2" s="11"/>
      <c r="D2" s="12"/>
      <c r="E2" s="11"/>
      <c r="F2" s="11"/>
      <c r="G2" s="11"/>
      <c r="H2" s="90" t="s">
        <v>25</v>
      </c>
      <c r="I2" s="91"/>
      <c r="J2" s="12"/>
      <c r="K2" s="13"/>
    </row>
    <row r="3" spans="1:11" x14ac:dyDescent="0.25">
      <c r="A3" s="11"/>
      <c r="B3" s="14" t="s">
        <v>26</v>
      </c>
      <c r="C3" s="14" t="s">
        <v>27</v>
      </c>
      <c r="D3" s="14" t="s">
        <v>28</v>
      </c>
      <c r="E3" s="14" t="s">
        <v>29</v>
      </c>
      <c r="F3" s="14" t="s">
        <v>30</v>
      </c>
      <c r="G3" s="11"/>
      <c r="H3" s="12"/>
      <c r="I3" s="12"/>
      <c r="J3" s="12"/>
      <c r="K3" s="13"/>
    </row>
    <row r="4" spans="1:11" x14ac:dyDescent="0.25">
      <c r="A4" s="11"/>
      <c r="B4" s="16">
        <v>1997</v>
      </c>
      <c r="C4" s="17"/>
      <c r="D4" s="18" t="s">
        <v>32</v>
      </c>
      <c r="E4" s="19">
        <v>0.1986</v>
      </c>
      <c r="F4" s="20">
        <f t="shared" ref="F4:F25" si="0">C4*E4</f>
        <v>0</v>
      </c>
      <c r="G4" s="11"/>
      <c r="H4" s="12"/>
      <c r="I4" s="12"/>
      <c r="J4" s="12"/>
      <c r="K4" s="13"/>
    </row>
    <row r="5" spans="1:11" x14ac:dyDescent="0.25">
      <c r="A5" s="11"/>
      <c r="B5" s="16">
        <v>1998</v>
      </c>
      <c r="C5" s="17"/>
      <c r="D5" s="18" t="s">
        <v>32</v>
      </c>
      <c r="E5" s="19">
        <f t="shared" ref="E5:E25" si="1">$E$4</f>
        <v>0.1986</v>
      </c>
      <c r="F5" s="20">
        <f t="shared" si="0"/>
        <v>0</v>
      </c>
      <c r="G5" s="11"/>
      <c r="H5" s="12"/>
      <c r="I5" s="12"/>
      <c r="J5" s="12"/>
      <c r="K5" s="13"/>
    </row>
    <row r="6" spans="1:11" x14ac:dyDescent="0.25">
      <c r="A6" s="11"/>
      <c r="B6" s="16">
        <v>1999</v>
      </c>
      <c r="C6" s="17"/>
      <c r="D6" s="18" t="s">
        <v>32</v>
      </c>
      <c r="E6" s="19">
        <f t="shared" si="1"/>
        <v>0.1986</v>
      </c>
      <c r="F6" s="20">
        <f t="shared" si="0"/>
        <v>0</v>
      </c>
      <c r="G6" s="11"/>
      <c r="H6" s="12"/>
      <c r="I6" s="12"/>
      <c r="J6" s="12"/>
      <c r="K6" s="13"/>
    </row>
    <row r="7" spans="1:11" x14ac:dyDescent="0.25">
      <c r="A7" s="11"/>
      <c r="B7" s="16">
        <v>2000</v>
      </c>
      <c r="C7" s="17"/>
      <c r="D7" s="18" t="s">
        <v>32</v>
      </c>
      <c r="E7" s="19">
        <f t="shared" si="1"/>
        <v>0.1986</v>
      </c>
      <c r="F7" s="20">
        <f t="shared" si="0"/>
        <v>0</v>
      </c>
      <c r="G7" s="11"/>
      <c r="H7" s="12"/>
      <c r="I7" s="12"/>
      <c r="J7" s="12"/>
      <c r="K7" s="13"/>
    </row>
    <row r="8" spans="1:11" x14ac:dyDescent="0.25">
      <c r="A8" s="11"/>
      <c r="B8" s="16">
        <v>2001</v>
      </c>
      <c r="C8" s="17"/>
      <c r="D8" s="18" t="s">
        <v>32</v>
      </c>
      <c r="E8" s="19">
        <f t="shared" si="1"/>
        <v>0.1986</v>
      </c>
      <c r="F8" s="20">
        <f t="shared" si="0"/>
        <v>0</v>
      </c>
      <c r="G8" s="11"/>
      <c r="H8" s="12"/>
      <c r="I8" s="12"/>
      <c r="J8" s="12"/>
      <c r="K8" s="13"/>
    </row>
    <row r="9" spans="1:11" x14ac:dyDescent="0.25">
      <c r="A9" s="11"/>
      <c r="B9" s="16">
        <v>2002</v>
      </c>
      <c r="C9" s="17"/>
      <c r="D9" s="18" t="s">
        <v>32</v>
      </c>
      <c r="E9" s="19">
        <f t="shared" si="1"/>
        <v>0.1986</v>
      </c>
      <c r="F9" s="20">
        <f t="shared" si="0"/>
        <v>0</v>
      </c>
      <c r="G9" s="11"/>
      <c r="H9" s="12"/>
      <c r="I9" s="12"/>
      <c r="J9" s="12"/>
      <c r="K9" s="13"/>
    </row>
    <row r="10" spans="1:11" x14ac:dyDescent="0.25">
      <c r="A10" s="11"/>
      <c r="B10" s="16">
        <v>2003</v>
      </c>
      <c r="C10" s="17"/>
      <c r="D10" s="18" t="s">
        <v>32</v>
      </c>
      <c r="E10" s="19">
        <f t="shared" si="1"/>
        <v>0.1986</v>
      </c>
      <c r="F10" s="20">
        <f t="shared" si="0"/>
        <v>0</v>
      </c>
      <c r="G10" s="11"/>
      <c r="H10" s="29" t="s">
        <v>27</v>
      </c>
      <c r="I10" s="29"/>
      <c r="J10" s="12"/>
      <c r="K10" s="13"/>
    </row>
    <row r="11" spans="1:11" x14ac:dyDescent="0.25">
      <c r="A11" s="11"/>
      <c r="B11" s="16">
        <v>2004</v>
      </c>
      <c r="C11" s="30">
        <f>H11</f>
        <v>0</v>
      </c>
      <c r="D11" s="18" t="s">
        <v>32</v>
      </c>
      <c r="E11" s="19">
        <f t="shared" si="1"/>
        <v>0.1986</v>
      </c>
      <c r="F11" s="20">
        <f t="shared" si="0"/>
        <v>0</v>
      </c>
      <c r="G11" s="11"/>
      <c r="H11" s="31">
        <f>'CO Summary Sheet CPS 329'!V3</f>
        <v>0</v>
      </c>
      <c r="I11" s="31"/>
      <c r="J11" s="12"/>
      <c r="K11" s="34"/>
    </row>
    <row r="12" spans="1:11" x14ac:dyDescent="0.25">
      <c r="A12" s="11"/>
      <c r="B12" s="16">
        <v>2005</v>
      </c>
      <c r="C12" s="30">
        <f t="shared" ref="C12:C25" si="2">H12</f>
        <v>0</v>
      </c>
      <c r="D12" s="18" t="s">
        <v>32</v>
      </c>
      <c r="E12" s="19">
        <f t="shared" si="1"/>
        <v>0.1986</v>
      </c>
      <c r="F12" s="20">
        <f t="shared" si="0"/>
        <v>0</v>
      </c>
      <c r="G12" s="11"/>
      <c r="H12" s="31">
        <f>'CO Summary Sheet CPS 329'!V4</f>
        <v>0</v>
      </c>
      <c r="I12" s="20"/>
      <c r="J12" s="12"/>
      <c r="K12" s="34"/>
    </row>
    <row r="13" spans="1:11" x14ac:dyDescent="0.25">
      <c r="A13" s="11"/>
      <c r="B13" s="16">
        <v>2006</v>
      </c>
      <c r="C13" s="30">
        <f t="shared" si="2"/>
        <v>9931.5</v>
      </c>
      <c r="D13" s="18" t="s">
        <v>32</v>
      </c>
      <c r="E13" s="19">
        <f t="shared" si="1"/>
        <v>0.1986</v>
      </c>
      <c r="F13" s="20">
        <f t="shared" si="0"/>
        <v>1972.3959</v>
      </c>
      <c r="G13" s="11"/>
      <c r="H13" s="31">
        <f>'CO Summary Sheet CPS 329'!V5</f>
        <v>9931.5</v>
      </c>
      <c r="I13" s="20"/>
      <c r="J13" s="12"/>
      <c r="K13" s="34"/>
    </row>
    <row r="14" spans="1:11" x14ac:dyDescent="0.25">
      <c r="A14" s="11"/>
      <c r="B14" s="16">
        <v>2007</v>
      </c>
      <c r="C14" s="30">
        <f t="shared" si="2"/>
        <v>17700.2</v>
      </c>
      <c r="D14" s="18" t="s">
        <v>32</v>
      </c>
      <c r="E14" s="19">
        <f t="shared" si="1"/>
        <v>0.1986</v>
      </c>
      <c r="F14" s="20">
        <f t="shared" si="0"/>
        <v>3515.25972</v>
      </c>
      <c r="G14" s="11"/>
      <c r="H14" s="31">
        <f>'CO Summary Sheet CPS 329'!V6</f>
        <v>17700.2</v>
      </c>
      <c r="I14" s="20"/>
      <c r="J14" s="12"/>
      <c r="K14" s="34"/>
    </row>
    <row r="15" spans="1:11" x14ac:dyDescent="0.25">
      <c r="A15" s="11"/>
      <c r="B15" s="16">
        <v>2008</v>
      </c>
      <c r="C15" s="30">
        <f t="shared" si="2"/>
        <v>42004.800000000003</v>
      </c>
      <c r="D15" s="18" t="s">
        <v>32</v>
      </c>
      <c r="E15" s="19">
        <f t="shared" si="1"/>
        <v>0.1986</v>
      </c>
      <c r="F15" s="20">
        <f t="shared" si="0"/>
        <v>8342.1532800000004</v>
      </c>
      <c r="G15" s="11"/>
      <c r="H15" s="31">
        <f>'CO Summary Sheet CPS 329'!V7</f>
        <v>42004.800000000003</v>
      </c>
      <c r="I15" s="20"/>
      <c r="J15" s="12"/>
      <c r="K15" s="34"/>
    </row>
    <row r="16" spans="1:11" x14ac:dyDescent="0.25">
      <c r="A16" s="11"/>
      <c r="B16" s="16">
        <v>2009</v>
      </c>
      <c r="C16" s="30">
        <f t="shared" si="2"/>
        <v>21618</v>
      </c>
      <c r="D16" s="18" t="s">
        <v>32</v>
      </c>
      <c r="E16" s="19">
        <f t="shared" si="1"/>
        <v>0.1986</v>
      </c>
      <c r="F16" s="20">
        <f t="shared" si="0"/>
        <v>4293.3347999999996</v>
      </c>
      <c r="G16" s="11"/>
      <c r="H16" s="31">
        <f>'CO Summary Sheet CPS 329'!V8</f>
        <v>21618</v>
      </c>
      <c r="I16" s="20"/>
      <c r="J16" s="12"/>
      <c r="K16" s="34"/>
    </row>
    <row r="17" spans="1:11" x14ac:dyDescent="0.25">
      <c r="A17" s="11"/>
      <c r="B17" s="16">
        <v>2010</v>
      </c>
      <c r="C17" s="30">
        <f t="shared" si="2"/>
        <v>41226.5</v>
      </c>
      <c r="D17" s="18" t="s">
        <v>32</v>
      </c>
      <c r="E17" s="19">
        <f t="shared" si="1"/>
        <v>0.1986</v>
      </c>
      <c r="F17" s="20">
        <f t="shared" si="0"/>
        <v>8187.5829000000003</v>
      </c>
      <c r="G17" s="11"/>
      <c r="H17" s="31">
        <f>'CO Summary Sheet CPS 329'!V9</f>
        <v>41226.5</v>
      </c>
      <c r="I17" s="20"/>
      <c r="J17" s="12"/>
      <c r="K17" s="34"/>
    </row>
    <row r="18" spans="1:11" x14ac:dyDescent="0.25">
      <c r="A18" s="11"/>
      <c r="B18" s="16">
        <v>2011</v>
      </c>
      <c r="C18" s="30">
        <f t="shared" si="2"/>
        <v>105023.6</v>
      </c>
      <c r="D18" s="18" t="s">
        <v>32</v>
      </c>
      <c r="E18" s="19">
        <f t="shared" si="1"/>
        <v>0.1986</v>
      </c>
      <c r="F18" s="20">
        <f t="shared" si="0"/>
        <v>20857.686960000003</v>
      </c>
      <c r="G18" s="11"/>
      <c r="H18" s="31">
        <f>'CO Summary Sheet CPS 329'!V10</f>
        <v>105023.6</v>
      </c>
      <c r="I18" s="20"/>
      <c r="J18" s="12"/>
      <c r="K18" s="34"/>
    </row>
    <row r="19" spans="1:11" x14ac:dyDescent="0.25">
      <c r="A19" s="11"/>
      <c r="B19" s="16">
        <v>2012</v>
      </c>
      <c r="C19" s="30">
        <f t="shared" si="2"/>
        <v>132301.79999999999</v>
      </c>
      <c r="D19" s="18" t="s">
        <v>32</v>
      </c>
      <c r="E19" s="19">
        <f t="shared" si="1"/>
        <v>0.1986</v>
      </c>
      <c r="F19" s="20">
        <f t="shared" si="0"/>
        <v>26275.137479999998</v>
      </c>
      <c r="G19" s="11"/>
      <c r="H19" s="31">
        <f>'CO Summary Sheet CPS 329'!V11</f>
        <v>132301.79999999999</v>
      </c>
      <c r="I19" s="20"/>
      <c r="J19" s="12"/>
      <c r="K19" s="34"/>
    </row>
    <row r="20" spans="1:11" s="22" customFormat="1" x14ac:dyDescent="0.25">
      <c r="A20" s="11"/>
      <c r="B20" s="16">
        <v>2013</v>
      </c>
      <c r="C20" s="30">
        <f t="shared" si="2"/>
        <v>75108.100000000006</v>
      </c>
      <c r="D20" s="18" t="s">
        <v>32</v>
      </c>
      <c r="E20" s="19">
        <f t="shared" si="1"/>
        <v>0.1986</v>
      </c>
      <c r="F20" s="20">
        <f t="shared" si="0"/>
        <v>14916.46866</v>
      </c>
      <c r="G20" s="11"/>
      <c r="H20" s="31">
        <f>'CO Summary Sheet CPS 329'!V12</f>
        <v>75108.100000000006</v>
      </c>
      <c r="I20" s="20"/>
      <c r="J20" s="12"/>
      <c r="K20" s="34"/>
    </row>
    <row r="21" spans="1:11" x14ac:dyDescent="0.25">
      <c r="B21" s="16">
        <v>2014</v>
      </c>
      <c r="C21" s="30">
        <f t="shared" si="2"/>
        <v>92768.9</v>
      </c>
      <c r="D21" s="18" t="s">
        <v>32</v>
      </c>
      <c r="E21" s="19">
        <f t="shared" si="1"/>
        <v>0.1986</v>
      </c>
      <c r="F21" s="20">
        <f t="shared" si="0"/>
        <v>18423.903539999999</v>
      </c>
      <c r="H21" s="31">
        <f>'CO Summary Sheet CPS 329'!V13</f>
        <v>92768.9</v>
      </c>
      <c r="I21" s="20"/>
      <c r="J21" s="12"/>
      <c r="K21" s="35"/>
    </row>
    <row r="22" spans="1:11" x14ac:dyDescent="0.25">
      <c r="B22" s="16">
        <v>2015</v>
      </c>
      <c r="C22" s="30">
        <f t="shared" si="2"/>
        <v>64659.4</v>
      </c>
      <c r="D22" s="18" t="s">
        <v>32</v>
      </c>
      <c r="E22" s="19">
        <f t="shared" si="1"/>
        <v>0.1986</v>
      </c>
      <c r="F22" s="20">
        <f t="shared" si="0"/>
        <v>12841.35684</v>
      </c>
      <c r="H22" s="31">
        <f>'CO Summary Sheet CPS 329'!V14</f>
        <v>64659.4</v>
      </c>
      <c r="I22" s="66"/>
      <c r="J22" s="68"/>
      <c r="K22" s="35"/>
    </row>
    <row r="23" spans="1:11" x14ac:dyDescent="0.25">
      <c r="B23" s="16">
        <v>2016</v>
      </c>
      <c r="C23" s="30">
        <f t="shared" si="2"/>
        <v>116699.9</v>
      </c>
      <c r="D23" s="18" t="s">
        <v>32</v>
      </c>
      <c r="E23" s="19">
        <f t="shared" si="1"/>
        <v>0.1986</v>
      </c>
      <c r="F23" s="20">
        <f t="shared" si="0"/>
        <v>23176.600139999999</v>
      </c>
      <c r="H23" s="31">
        <f>'CO Summary Sheet CPS 329'!V15</f>
        <v>116699.9</v>
      </c>
      <c r="I23" s="66"/>
      <c r="J23" s="68"/>
      <c r="K23" s="35"/>
    </row>
    <row r="24" spans="1:11" x14ac:dyDescent="0.25">
      <c r="B24" s="16">
        <v>2017</v>
      </c>
      <c r="C24" s="30">
        <f t="shared" si="2"/>
        <v>33838.699999999997</v>
      </c>
      <c r="D24" s="18" t="s">
        <v>32</v>
      </c>
      <c r="E24" s="19">
        <f t="shared" si="1"/>
        <v>0.1986</v>
      </c>
      <c r="F24" s="20">
        <f t="shared" si="0"/>
        <v>6720.3658199999991</v>
      </c>
      <c r="H24" s="31">
        <f>'CO Summary Sheet CPS 329'!V16</f>
        <v>33838.699999999997</v>
      </c>
      <c r="I24" s="66"/>
      <c r="J24" s="68"/>
      <c r="K24" s="35"/>
    </row>
    <row r="25" spans="1:11" x14ac:dyDescent="0.25">
      <c r="B25" s="16">
        <v>2018</v>
      </c>
      <c r="C25" s="30">
        <f t="shared" si="2"/>
        <v>48261.7</v>
      </c>
      <c r="D25" s="18" t="s">
        <v>32</v>
      </c>
      <c r="E25" s="19">
        <f t="shared" si="1"/>
        <v>0.1986</v>
      </c>
      <c r="F25" s="20">
        <f t="shared" si="0"/>
        <v>9584.7736199999999</v>
      </c>
      <c r="H25" s="31">
        <f>'CO Summary Sheet CPS 329'!V17</f>
        <v>48261.7</v>
      </c>
      <c r="I25" s="66"/>
      <c r="J25" s="68"/>
      <c r="K25" s="35"/>
    </row>
    <row r="26" spans="1:11" x14ac:dyDescent="0.25">
      <c r="C26" s="30">
        <f>SUM(C11:C21)</f>
        <v>537683.4</v>
      </c>
    </row>
    <row r="27" spans="1:11" ht="78.75" customHeight="1" x14ac:dyDescent="0.25">
      <c r="B27" s="23" t="s">
        <v>0</v>
      </c>
      <c r="C27" s="23" t="s">
        <v>33</v>
      </c>
      <c r="D27" s="23" t="s">
        <v>34</v>
      </c>
      <c r="E27" s="23" t="s">
        <v>35</v>
      </c>
      <c r="F27" s="23" t="s">
        <v>36</v>
      </c>
    </row>
    <row r="28" spans="1:11" x14ac:dyDescent="0.25">
      <c r="B28">
        <v>1997</v>
      </c>
      <c r="C28" s="5">
        <f>F4</f>
        <v>0</v>
      </c>
    </row>
    <row r="29" spans="1:11" x14ac:dyDescent="0.25">
      <c r="B29">
        <v>1998</v>
      </c>
      <c r="C29" s="5">
        <f t="shared" ref="C29:C34" si="3">F5</f>
        <v>0</v>
      </c>
    </row>
    <row r="30" spans="1:11" x14ac:dyDescent="0.25">
      <c r="B30">
        <v>1999</v>
      </c>
      <c r="C30" s="5">
        <f t="shared" si="3"/>
        <v>0</v>
      </c>
    </row>
    <row r="31" spans="1:11" x14ac:dyDescent="0.25">
      <c r="B31">
        <v>2000</v>
      </c>
      <c r="C31" s="5">
        <f t="shared" si="3"/>
        <v>0</v>
      </c>
      <c r="D31" s="5">
        <f>C31+(0.5*C28)</f>
        <v>0</v>
      </c>
      <c r="E31" s="5">
        <f>C31+(0.75*C28)</f>
        <v>0</v>
      </c>
      <c r="F31" s="5">
        <f>C31+(1*C28)</f>
        <v>0</v>
      </c>
    </row>
    <row r="32" spans="1:11" x14ac:dyDescent="0.25">
      <c r="B32">
        <v>2001</v>
      </c>
      <c r="C32" s="5">
        <f t="shared" si="3"/>
        <v>0</v>
      </c>
      <c r="D32" s="5">
        <f>C32+(0.5*(C29+C28))</f>
        <v>0</v>
      </c>
      <c r="E32" s="5">
        <f>C32+(0.75*(C29+C28))</f>
        <v>0</v>
      </c>
      <c r="F32" s="5">
        <f>C32+(1*(C29+C28))</f>
        <v>0</v>
      </c>
    </row>
    <row r="33" spans="2:6" x14ac:dyDescent="0.25">
      <c r="B33">
        <v>2002</v>
      </c>
      <c r="C33" s="5">
        <f t="shared" si="3"/>
        <v>0</v>
      </c>
      <c r="D33" s="5">
        <f>C33+(0.5*(C28+C30+C29))</f>
        <v>0</v>
      </c>
      <c r="E33" s="5">
        <f>C33+(0.75*(C28+C30+C29))</f>
        <v>0</v>
      </c>
      <c r="F33" s="5">
        <f>C33+(1*(C28+C30+C29))</f>
        <v>0</v>
      </c>
    </row>
    <row r="34" spans="2:6" x14ac:dyDescent="0.25">
      <c r="B34">
        <v>2003</v>
      </c>
      <c r="C34" s="5">
        <f t="shared" si="3"/>
        <v>0</v>
      </c>
      <c r="D34" s="5">
        <f>C34+(0.5*(C28+C29+C31+C30))</f>
        <v>0</v>
      </c>
      <c r="E34" s="5">
        <f>C34+(0.75*(C28+C29+C31+C30))</f>
        <v>0</v>
      </c>
      <c r="F34" s="5">
        <f>C34+(1*(C28+C29+C31+C30))</f>
        <v>0</v>
      </c>
    </row>
    <row r="35" spans="2:6" x14ac:dyDescent="0.25">
      <c r="B35">
        <v>2004</v>
      </c>
      <c r="C35" s="5">
        <f t="shared" ref="C35:C49" si="4">F11</f>
        <v>0</v>
      </c>
      <c r="D35" s="5">
        <f>C35+(0.5*(C28+C29+C30+C32+C31))</f>
        <v>0</v>
      </c>
      <c r="E35" s="5">
        <f>C35+(0.75*(C28+C29+C30+C32+C31))</f>
        <v>0</v>
      </c>
      <c r="F35" s="5">
        <f>C35+(1*(C28+C29+C30+C32+C31))</f>
        <v>0</v>
      </c>
    </row>
    <row r="36" spans="2:6" x14ac:dyDescent="0.25">
      <c r="B36">
        <v>2005</v>
      </c>
      <c r="C36" s="5">
        <f t="shared" si="4"/>
        <v>0</v>
      </c>
      <c r="D36" s="5">
        <f>C36+(0.5*(C28+C29+C30+C31+C33+C32))</f>
        <v>0</v>
      </c>
      <c r="E36" s="5">
        <f>C36+(0.75*(C28+C29+C30+C31+C33+C32))</f>
        <v>0</v>
      </c>
      <c r="F36" s="5">
        <f>C36+(1*(C28+C29+C30+C31+C33+C32))</f>
        <v>0</v>
      </c>
    </row>
    <row r="37" spans="2:6" x14ac:dyDescent="0.25">
      <c r="B37">
        <v>2006</v>
      </c>
      <c r="C37" s="5">
        <f t="shared" si="4"/>
        <v>1972.3959</v>
      </c>
      <c r="D37" s="5">
        <f>C37+(0.5*(C28+C29+C30+C31+C32+C34+C33))</f>
        <v>1972.3959</v>
      </c>
      <c r="E37" s="5">
        <f>C37+(0.75*(C28+C29+C30+C31+C32+C34+C33))</f>
        <v>1972.3959</v>
      </c>
      <c r="F37" s="5">
        <f>C37+(1*(C28+C29+C30+C31+C32+C34+C33))</f>
        <v>1972.3959</v>
      </c>
    </row>
    <row r="38" spans="2:6" x14ac:dyDescent="0.25">
      <c r="B38">
        <v>2007</v>
      </c>
      <c r="C38" s="5">
        <f t="shared" si="4"/>
        <v>3515.25972</v>
      </c>
      <c r="D38" s="5">
        <f>C38+(0.5*(C28+C29+C30+C31+C32+C33+C35+C34))</f>
        <v>3515.25972</v>
      </c>
      <c r="E38" s="5">
        <f>C38+(0.75*(C28+C29+C30+C31+C32+C33+C35+C34))</f>
        <v>3515.25972</v>
      </c>
      <c r="F38" s="5">
        <f>C38+(1*(C28+C29+C30+C31+C32+C33+C35+C34))</f>
        <v>3515.25972</v>
      </c>
    </row>
    <row r="39" spans="2:6" x14ac:dyDescent="0.25">
      <c r="B39">
        <v>2008</v>
      </c>
      <c r="C39" s="5">
        <f t="shared" si="4"/>
        <v>8342.1532800000004</v>
      </c>
      <c r="D39" s="5">
        <f>C39+(0.5*(C28+C29+C30+C31+C32+C33+C34+C36+C35))</f>
        <v>8342.1532800000004</v>
      </c>
      <c r="E39" s="5">
        <f>C39+(0.75*(C28+C29+C30+C31+C32+C33+C34+C36+C35))</f>
        <v>8342.1532800000004</v>
      </c>
      <c r="F39" s="5">
        <f>C39+(1*(C28+C29+C30+C31+C32+C33+C34+C36+C35))</f>
        <v>8342.1532800000004</v>
      </c>
    </row>
    <row r="40" spans="2:6" x14ac:dyDescent="0.25">
      <c r="B40">
        <v>2009</v>
      </c>
      <c r="C40" s="5">
        <f t="shared" si="4"/>
        <v>4293.3347999999996</v>
      </c>
      <c r="D40" s="5">
        <f>C40+(0.5*(C28+C29+C30+C31+C32+C33+C34+C35+C37+C36))</f>
        <v>5279.5327499999994</v>
      </c>
      <c r="E40" s="5">
        <f>C40+(0.75*(C28+C29+C30+C31+C32+C33+C34+C35+C37+C36))</f>
        <v>5772.6317249999993</v>
      </c>
      <c r="F40" s="5">
        <f>C40+(1*(C28+C29+C30+C31+C32+C33+C34+C35+C37+C36))</f>
        <v>6265.7307000000001</v>
      </c>
    </row>
    <row r="41" spans="2:6" x14ac:dyDescent="0.25">
      <c r="B41">
        <v>2010</v>
      </c>
      <c r="C41" s="5">
        <f t="shared" si="4"/>
        <v>8187.5829000000003</v>
      </c>
      <c r="D41" s="5">
        <f>C41+(0.5*(C28+C29+C30+C31+C32+C33+C34+C35+C36+C38+C37))</f>
        <v>10931.41071</v>
      </c>
      <c r="E41" s="5">
        <f>C41+(0.75*(C28+C29+C30+C31+C32+C33+C34+C35+C36+C38+C37))</f>
        <v>12303.324615000001</v>
      </c>
      <c r="F41" s="5">
        <f>C41+(1*(C28+C29+C30+C31+C32+C33+C34+C35+C36+C38+C37))</f>
        <v>13675.238519999999</v>
      </c>
    </row>
    <row r="42" spans="2:6" x14ac:dyDescent="0.25">
      <c r="B42">
        <v>2011</v>
      </c>
      <c r="C42" s="5">
        <f t="shared" si="4"/>
        <v>20857.686960000003</v>
      </c>
      <c r="D42" s="5">
        <f>C42+(0.5*(C28+C29+C30+C31+C32+C33+C34+C35+C36+C37+C39+C38))</f>
        <v>27772.591410000001</v>
      </c>
      <c r="E42" s="5">
        <f>C42+(0.75*(C28+C29+C30+C31+C32+C33+C34+C35+C36+C37+C39+C38))</f>
        <v>31230.043635000002</v>
      </c>
      <c r="F42" s="5">
        <f>C42+(1*(C28+C29+C30+C31+C32+C33+C34+C35+C36+C37+C39+C38))</f>
        <v>34687.495860000003</v>
      </c>
    </row>
    <row r="43" spans="2:6" x14ac:dyDescent="0.25">
      <c r="B43">
        <v>2012</v>
      </c>
      <c r="C43" s="5">
        <f t="shared" si="4"/>
        <v>26275.137479999998</v>
      </c>
      <c r="D43" s="5">
        <f>C43+(0.5*(C28+C29+C30+C31+C32+C33+C34+C35+C36+C37+C38+C40+C39))</f>
        <v>35336.709329999998</v>
      </c>
      <c r="E43" s="5">
        <f>C43+(0.75*(C28+C29+C30+C31+C32+C33+C34+C35+C36+C37+C38+C40+C39))</f>
        <v>39867.495255000002</v>
      </c>
      <c r="F43" s="5">
        <f>C43+(1*(C28+C29+C30+C31+C32+C33+C34+C35+C36+C37+C38+C40+C39))</f>
        <v>44398.281179999998</v>
      </c>
    </row>
    <row r="44" spans="2:6" x14ac:dyDescent="0.25">
      <c r="B44">
        <v>2013</v>
      </c>
      <c r="C44" s="5">
        <f t="shared" si="4"/>
        <v>14916.46866</v>
      </c>
      <c r="D44" s="5">
        <f>C44+(0.5*(C28+C29+C30+C31+C32+C33+C34+C35+C36+C37+C38+C39+C41+C40))</f>
        <v>28071.831960000003</v>
      </c>
      <c r="E44" s="5">
        <f>C44+(0.75*(C28+C29+C30+C31+C32+C33+C34+C35+C36+C37+C38+C39+C41+C40))</f>
        <v>34649.513610000002</v>
      </c>
      <c r="F44" s="5">
        <f>C44+(1*(C28+C29+C30+C31+C32+C33+C34+C35+C36+C37+C38+C39+C41+C40))</f>
        <v>41227.19526</v>
      </c>
    </row>
    <row r="45" spans="2:6" x14ac:dyDescent="0.25">
      <c r="B45">
        <v>2014</v>
      </c>
      <c r="C45" s="5">
        <f t="shared" si="4"/>
        <v>18423.903539999999</v>
      </c>
      <c r="D45" s="5">
        <f>C45+(0.5*(C28+C29+C30+C31+C32+C33+C34+C35+C36+C37+C38+C39+C40+C42+C41))</f>
        <v>42008.110320000007</v>
      </c>
      <c r="E45" s="5">
        <f>C45+(0.75*(C28+C29+C30+C31+C32+C33+C34+C35+C36+C37+C38+C39+C40+C42+C41))</f>
        <v>53800.213710000004</v>
      </c>
      <c r="F45" s="5">
        <f>C45+(1*(C28+C29+C30+C31+C32+C33+C34+C35+C36+C37+C38+C39+C40+C42+C41))</f>
        <v>65592.317100000015</v>
      </c>
    </row>
    <row r="46" spans="2:6" x14ac:dyDescent="0.25">
      <c r="B46">
        <v>2015</v>
      </c>
      <c r="C46" s="5">
        <f t="shared" si="4"/>
        <v>12841.35684</v>
      </c>
      <c r="D46" s="5">
        <f t="shared" ref="D46:D49" si="5">C46+(0.5*(C29+C30+C31+C32+C33+C34+C35+C36+C37+C38+C39+C40+C41+C43+C42))</f>
        <v>49563.132360000003</v>
      </c>
      <c r="E46" s="5">
        <f t="shared" ref="E46:E49" si="6">C46+(0.75*(C29+C30+C31+C32+C33+C34+C35+C36+C37+C38+C39+C40+C41+C43+C42))</f>
        <v>67924.020120000001</v>
      </c>
      <c r="F46" s="5">
        <f t="shared" ref="F46:F49" si="7">C46+(1*(C29+C30+C31+C32+C33+C34+C35+C36+C37+C38+C39+C40+C41+C43+C42))</f>
        <v>86284.907880000013</v>
      </c>
    </row>
    <row r="47" spans="2:6" x14ac:dyDescent="0.25">
      <c r="B47">
        <v>2016</v>
      </c>
      <c r="C47" s="5">
        <f t="shared" si="4"/>
        <v>23176.600139999999</v>
      </c>
      <c r="D47" s="5">
        <f t="shared" si="5"/>
        <v>67356.609989999997</v>
      </c>
      <c r="E47" s="5">
        <f t="shared" si="6"/>
        <v>89446.614914999998</v>
      </c>
      <c r="F47" s="5">
        <f t="shared" si="7"/>
        <v>111536.61984</v>
      </c>
    </row>
    <row r="48" spans="2:6" x14ac:dyDescent="0.25">
      <c r="B48">
        <v>2017</v>
      </c>
      <c r="C48" s="5">
        <f t="shared" si="4"/>
        <v>6720.3658199999991</v>
      </c>
      <c r="D48" s="5">
        <f t="shared" si="5"/>
        <v>60112.327439999994</v>
      </c>
      <c r="E48" s="5">
        <f t="shared" si="6"/>
        <v>86808.308250000002</v>
      </c>
      <c r="F48" s="5">
        <f t="shared" si="7"/>
        <v>113504.28905999998</v>
      </c>
    </row>
    <row r="49" spans="2:6" x14ac:dyDescent="0.25">
      <c r="B49">
        <v>2018</v>
      </c>
      <c r="C49" s="5">
        <f t="shared" si="4"/>
        <v>9584.7736199999999</v>
      </c>
      <c r="D49" s="5">
        <f t="shared" si="5"/>
        <v>69397.413659999991</v>
      </c>
      <c r="E49" s="5">
        <f t="shared" si="6"/>
        <v>99303.733680000005</v>
      </c>
      <c r="F49" s="5">
        <f t="shared" si="7"/>
        <v>129210.05369999999</v>
      </c>
    </row>
  </sheetData>
  <mergeCells count="1">
    <mergeCell ref="H2:I2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1"/>
  <sheetViews>
    <sheetView workbookViewId="0">
      <selection activeCell="N8" sqref="N8"/>
    </sheetView>
  </sheetViews>
  <sheetFormatPr defaultRowHeight="15" x14ac:dyDescent="0.25"/>
  <cols>
    <col min="1" max="1" width="5" customWidth="1"/>
    <col min="2" max="2" width="12" bestFit="1" customWidth="1"/>
    <col min="3" max="7" width="9.28515625" bestFit="1" customWidth="1"/>
    <col min="8" max="8" width="11.28515625" customWidth="1"/>
    <col min="9" max="9" width="9.28515625" bestFit="1" customWidth="1"/>
    <col min="10" max="10" width="11.7109375" customWidth="1"/>
    <col min="11" max="11" width="9.5703125" bestFit="1" customWidth="1"/>
    <col min="12" max="12" width="13.28515625" bestFit="1" customWidth="1"/>
    <col min="13" max="17" width="9.28515625" bestFit="1" customWidth="1"/>
    <col min="18" max="18" width="9.5703125" bestFit="1" customWidth="1"/>
    <col min="19" max="19" width="13.42578125" bestFit="1" customWidth="1"/>
    <col min="20" max="20" width="9.28515625" bestFit="1" customWidth="1"/>
    <col min="21" max="21" width="12.42578125" bestFit="1" customWidth="1"/>
    <col min="22" max="22" width="14.28515625" bestFit="1" customWidth="1"/>
    <col min="23" max="23" width="15.7109375" customWidth="1"/>
    <col min="24" max="24" width="27.42578125" customWidth="1"/>
  </cols>
  <sheetData>
    <row r="1" spans="1:24" x14ac:dyDescent="0.25">
      <c r="B1" s="88" t="s">
        <v>39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</row>
    <row r="2" spans="1:24" s="3" customFormat="1" x14ac:dyDescent="0.25">
      <c r="A2" s="89" t="s">
        <v>0</v>
      </c>
      <c r="B2" s="6"/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21</v>
      </c>
      <c r="I2" s="7" t="s">
        <v>6</v>
      </c>
      <c r="J2" s="7" t="s">
        <v>7</v>
      </c>
      <c r="K2" s="7" t="s">
        <v>8</v>
      </c>
      <c r="L2" s="7" t="s">
        <v>9</v>
      </c>
      <c r="M2" s="7" t="s">
        <v>10</v>
      </c>
      <c r="N2" s="7" t="s">
        <v>11</v>
      </c>
      <c r="O2" s="7" t="s">
        <v>12</v>
      </c>
      <c r="P2" s="7" t="s">
        <v>13</v>
      </c>
      <c r="Q2" s="7" t="s">
        <v>14</v>
      </c>
      <c r="R2" s="7" t="s">
        <v>15</v>
      </c>
      <c r="S2" s="7" t="s">
        <v>16</v>
      </c>
      <c r="T2" s="7" t="s">
        <v>17</v>
      </c>
      <c r="U2" s="7" t="s">
        <v>23</v>
      </c>
      <c r="V2" s="7" t="s">
        <v>18</v>
      </c>
      <c r="W2" s="7"/>
      <c r="X2" s="7"/>
    </row>
    <row r="3" spans="1:24" x14ac:dyDescent="0.25">
      <c r="A3" s="89"/>
      <c r="B3" s="1">
        <v>2004</v>
      </c>
      <c r="C3" s="3"/>
      <c r="D3" s="3"/>
      <c r="E3" s="3"/>
      <c r="F3" s="3"/>
      <c r="G3" s="3"/>
      <c r="H3" s="59"/>
      <c r="I3" s="3"/>
      <c r="J3" s="59"/>
      <c r="K3" s="3"/>
      <c r="L3" s="3">
        <v>9412.9</v>
      </c>
      <c r="M3" s="3"/>
      <c r="N3" s="3"/>
      <c r="O3" s="3"/>
      <c r="P3" s="3"/>
      <c r="Q3" s="3"/>
      <c r="R3" s="59"/>
      <c r="S3" s="3"/>
      <c r="T3" s="3"/>
      <c r="U3" s="3"/>
      <c r="V3" s="27">
        <f t="shared" ref="V3:V17" si="0">SUM(C3:U3)</f>
        <v>9412.9</v>
      </c>
      <c r="W3" s="4"/>
    </row>
    <row r="4" spans="1:24" x14ac:dyDescent="0.25">
      <c r="A4" s="89"/>
      <c r="B4" s="1">
        <v>2005</v>
      </c>
      <c r="C4" s="3"/>
      <c r="D4" s="3"/>
      <c r="E4" s="3"/>
      <c r="F4" s="3"/>
      <c r="G4" s="3"/>
      <c r="H4" s="59"/>
      <c r="I4" s="3"/>
      <c r="J4" s="59"/>
      <c r="K4" s="59"/>
      <c r="L4" s="3">
        <v>22048.799999999999</v>
      </c>
      <c r="M4" s="3"/>
      <c r="N4" s="3"/>
      <c r="O4" s="3"/>
      <c r="P4" s="3"/>
      <c r="Q4" s="3"/>
      <c r="R4" s="59"/>
      <c r="S4" s="3"/>
      <c r="T4" s="3"/>
      <c r="U4" s="3"/>
      <c r="V4" s="27">
        <f t="shared" si="0"/>
        <v>22048.799999999999</v>
      </c>
      <c r="W4" s="4"/>
    </row>
    <row r="5" spans="1:24" x14ac:dyDescent="0.25">
      <c r="A5" s="89"/>
      <c r="B5" s="1">
        <v>2006</v>
      </c>
      <c r="C5" s="3"/>
      <c r="D5" s="3"/>
      <c r="E5" s="3"/>
      <c r="F5" s="3"/>
      <c r="G5" s="3"/>
      <c r="H5" s="59"/>
      <c r="I5" s="3"/>
      <c r="J5" s="59"/>
      <c r="K5" s="59"/>
      <c r="L5" s="3">
        <v>27034</v>
      </c>
      <c r="M5" s="3"/>
      <c r="N5" s="3"/>
      <c r="O5" s="3"/>
      <c r="P5" s="3"/>
      <c r="Q5" s="3"/>
      <c r="R5" s="3"/>
      <c r="S5" s="3"/>
      <c r="T5" s="3"/>
      <c r="U5" s="3"/>
      <c r="V5" s="27">
        <f t="shared" si="0"/>
        <v>27034</v>
      </c>
      <c r="W5" s="4"/>
    </row>
    <row r="6" spans="1:24" x14ac:dyDescent="0.25">
      <c r="A6" s="89"/>
      <c r="B6" s="1">
        <v>2007</v>
      </c>
      <c r="C6" s="3"/>
      <c r="D6" s="3"/>
      <c r="E6" s="3"/>
      <c r="F6" s="3"/>
      <c r="G6" s="3"/>
      <c r="H6" s="59"/>
      <c r="I6" s="3"/>
      <c r="J6" s="59"/>
      <c r="K6" s="3"/>
      <c r="L6" s="3">
        <v>20864.2</v>
      </c>
      <c r="M6" s="3"/>
      <c r="N6" s="3"/>
      <c r="O6" s="3"/>
      <c r="P6" s="3"/>
      <c r="Q6" s="3"/>
      <c r="R6" s="3"/>
      <c r="S6" s="3"/>
      <c r="T6" s="3"/>
      <c r="U6" s="3"/>
      <c r="V6" s="27">
        <f t="shared" si="0"/>
        <v>20864.2</v>
      </c>
      <c r="W6" s="4"/>
    </row>
    <row r="7" spans="1:24" x14ac:dyDescent="0.25">
      <c r="A7" s="89"/>
      <c r="B7" s="1">
        <v>2008</v>
      </c>
      <c r="C7" s="3"/>
      <c r="D7" s="3"/>
      <c r="E7" s="3"/>
      <c r="F7" s="3"/>
      <c r="G7" s="3"/>
      <c r="H7" s="59"/>
      <c r="I7" s="3"/>
      <c r="J7" s="59"/>
      <c r="K7" s="3"/>
      <c r="L7" s="3">
        <v>13342.4</v>
      </c>
      <c r="M7" s="3"/>
      <c r="N7" s="3"/>
      <c r="O7" s="3"/>
      <c r="P7" s="3"/>
      <c r="Q7" s="3"/>
      <c r="R7" s="3"/>
      <c r="S7" s="3"/>
      <c r="T7" s="3"/>
      <c r="U7" s="3"/>
      <c r="V7" s="27">
        <f t="shared" si="0"/>
        <v>13342.4</v>
      </c>
      <c r="W7" s="4"/>
    </row>
    <row r="8" spans="1:24" x14ac:dyDescent="0.25">
      <c r="A8" s="89"/>
      <c r="B8" s="1">
        <v>2009</v>
      </c>
      <c r="C8" s="3"/>
      <c r="D8" s="3"/>
      <c r="E8" s="3"/>
      <c r="F8" s="3"/>
      <c r="G8" s="3"/>
      <c r="H8" s="59"/>
      <c r="I8" s="3"/>
      <c r="J8" s="59"/>
      <c r="K8" s="3"/>
      <c r="L8" s="3">
        <v>3393.2</v>
      </c>
      <c r="M8" s="3"/>
      <c r="N8" s="3"/>
      <c r="O8" s="3"/>
      <c r="P8" s="3"/>
      <c r="Q8" s="3"/>
      <c r="R8" s="3"/>
      <c r="S8" s="3"/>
      <c r="T8" s="3"/>
      <c r="U8" s="3"/>
      <c r="V8" s="27">
        <f t="shared" si="0"/>
        <v>3393.2</v>
      </c>
      <c r="W8" s="4"/>
    </row>
    <row r="9" spans="1:24" x14ac:dyDescent="0.25">
      <c r="A9" s="89"/>
      <c r="B9" s="1">
        <v>2010</v>
      </c>
      <c r="C9" s="3"/>
      <c r="D9" s="3"/>
      <c r="E9" s="3"/>
      <c r="F9" s="3"/>
      <c r="G9" s="3"/>
      <c r="H9" s="59"/>
      <c r="I9" s="3"/>
      <c r="J9" s="59"/>
      <c r="K9" s="3"/>
      <c r="L9" s="3">
        <v>409.4</v>
      </c>
      <c r="M9" s="3"/>
      <c r="N9" s="3"/>
      <c r="O9" s="3"/>
      <c r="P9" s="3"/>
      <c r="Q9" s="3"/>
      <c r="R9" s="3"/>
      <c r="S9" s="3"/>
      <c r="T9" s="3"/>
      <c r="U9" s="3"/>
      <c r="V9" s="27">
        <f t="shared" si="0"/>
        <v>409.4</v>
      </c>
      <c r="W9" s="4"/>
    </row>
    <row r="10" spans="1:24" x14ac:dyDescent="0.25">
      <c r="A10" s="89"/>
      <c r="B10" s="1">
        <v>2011</v>
      </c>
      <c r="C10" s="3"/>
      <c r="D10" s="3"/>
      <c r="E10" s="3"/>
      <c r="F10" s="3"/>
      <c r="G10" s="3"/>
      <c r="H10" s="59"/>
      <c r="I10" s="3"/>
      <c r="J10" s="79">
        <v>320</v>
      </c>
      <c r="K10" s="3"/>
      <c r="L10" s="3">
        <v>0</v>
      </c>
      <c r="M10" s="3"/>
      <c r="N10" s="3"/>
      <c r="O10" s="3"/>
      <c r="P10" s="3"/>
      <c r="Q10" s="3"/>
      <c r="R10" s="3"/>
      <c r="S10" s="3"/>
      <c r="T10" s="3"/>
      <c r="U10" s="3"/>
      <c r="V10" s="27">
        <f t="shared" si="0"/>
        <v>320</v>
      </c>
      <c r="W10" s="4"/>
    </row>
    <row r="11" spans="1:24" x14ac:dyDescent="0.25">
      <c r="A11" s="89"/>
      <c r="B11" s="1">
        <v>2012</v>
      </c>
      <c r="C11" s="3"/>
      <c r="D11" s="3"/>
      <c r="E11" s="3"/>
      <c r="F11" s="3"/>
      <c r="G11" s="3"/>
      <c r="H11" s="59"/>
      <c r="I11" s="3"/>
      <c r="J11" s="59">
        <v>0</v>
      </c>
      <c r="K11" s="3"/>
      <c r="L11" s="3">
        <v>0</v>
      </c>
      <c r="M11" s="3"/>
      <c r="N11" s="3"/>
      <c r="O11" s="3"/>
      <c r="P11" s="3"/>
      <c r="Q11" s="3"/>
      <c r="R11" s="3"/>
      <c r="S11" s="3"/>
      <c r="T11" s="3"/>
      <c r="U11" s="3"/>
      <c r="V11" s="27">
        <f t="shared" si="0"/>
        <v>0</v>
      </c>
      <c r="W11" s="4"/>
    </row>
    <row r="12" spans="1:24" x14ac:dyDescent="0.25">
      <c r="A12" s="89"/>
      <c r="B12" s="1">
        <v>2013</v>
      </c>
      <c r="C12" s="3"/>
      <c r="D12" s="3"/>
      <c r="E12" s="3"/>
      <c r="F12" s="3"/>
      <c r="G12" s="3"/>
      <c r="H12" s="59"/>
      <c r="I12" s="3"/>
      <c r="J12" s="78">
        <v>1476</v>
      </c>
      <c r="K12" s="3"/>
      <c r="L12" s="3">
        <v>0</v>
      </c>
      <c r="M12" s="3"/>
      <c r="N12" s="3"/>
      <c r="O12" s="3"/>
      <c r="P12" s="3"/>
      <c r="Q12" s="3"/>
      <c r="R12" s="3"/>
      <c r="S12" s="3"/>
      <c r="T12" s="3"/>
      <c r="U12" s="3"/>
      <c r="V12" s="27">
        <f t="shared" si="0"/>
        <v>1476</v>
      </c>
      <c r="W12" s="4"/>
    </row>
    <row r="13" spans="1:24" x14ac:dyDescent="0.25">
      <c r="A13" s="89"/>
      <c r="B13" s="1">
        <v>2014</v>
      </c>
      <c r="C13" s="3"/>
      <c r="D13" s="3"/>
      <c r="E13" s="3"/>
      <c r="F13" s="3"/>
      <c r="G13" s="3"/>
      <c r="H13" s="3"/>
      <c r="I13" s="3"/>
      <c r="J13" s="59">
        <v>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27">
        <f t="shared" si="0"/>
        <v>0</v>
      </c>
      <c r="W13" s="4"/>
    </row>
    <row r="14" spans="1:24" x14ac:dyDescent="0.25">
      <c r="B14" s="1">
        <v>2015</v>
      </c>
      <c r="C14" s="3"/>
      <c r="D14" s="3"/>
      <c r="E14" s="3"/>
      <c r="F14" s="3"/>
      <c r="G14" s="3"/>
      <c r="H14" s="3"/>
      <c r="I14" s="3"/>
      <c r="J14" s="79">
        <v>225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27">
        <f t="shared" si="0"/>
        <v>225</v>
      </c>
    </row>
    <row r="15" spans="1:24" x14ac:dyDescent="0.25">
      <c r="B15" s="1">
        <v>2016</v>
      </c>
      <c r="C15" s="3"/>
      <c r="D15" s="3"/>
      <c r="E15" s="3"/>
      <c r="F15" s="3"/>
      <c r="G15" s="3"/>
      <c r="H15" s="3"/>
      <c r="I15" s="3"/>
      <c r="J15" s="78">
        <v>3476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27">
        <f t="shared" si="0"/>
        <v>3476</v>
      </c>
    </row>
    <row r="16" spans="1:24" x14ac:dyDescent="0.25">
      <c r="B16" s="1">
        <v>2017</v>
      </c>
      <c r="C16" s="3"/>
      <c r="D16" s="3"/>
      <c r="E16" s="3"/>
      <c r="F16" s="3"/>
      <c r="G16" s="3"/>
      <c r="H16" s="3"/>
      <c r="I16" s="3"/>
      <c r="J16" s="3">
        <v>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27">
        <f t="shared" si="0"/>
        <v>0</v>
      </c>
    </row>
    <row r="17" spans="2:22" x14ac:dyDescent="0.25">
      <c r="B17" s="1">
        <v>2018</v>
      </c>
      <c r="C17" s="3"/>
      <c r="D17" s="3"/>
      <c r="E17" s="3"/>
      <c r="F17" s="3"/>
      <c r="G17" s="3"/>
      <c r="H17" s="3"/>
      <c r="I17" s="3"/>
      <c r="J17" s="79">
        <v>466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27">
        <f t="shared" si="0"/>
        <v>466</v>
      </c>
    </row>
    <row r="19" spans="2:22" x14ac:dyDescent="0.25">
      <c r="B19" s="2" t="s">
        <v>19</v>
      </c>
      <c r="C19" s="3" t="s">
        <v>20</v>
      </c>
      <c r="D19" s="3" t="s">
        <v>22</v>
      </c>
      <c r="E19" s="3" t="s">
        <v>22</v>
      </c>
      <c r="F19" s="3" t="s">
        <v>20</v>
      </c>
      <c r="G19" s="3" t="s">
        <v>22</v>
      </c>
      <c r="H19" s="3" t="s">
        <v>20</v>
      </c>
      <c r="I19" s="3" t="s">
        <v>20</v>
      </c>
      <c r="J19" s="3" t="s">
        <v>20</v>
      </c>
      <c r="K19" s="3" t="s">
        <v>20</v>
      </c>
      <c r="L19" s="3" t="s">
        <v>22</v>
      </c>
      <c r="M19" s="3" t="s">
        <v>20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22</v>
      </c>
      <c r="U19" s="3" t="s">
        <v>20</v>
      </c>
    </row>
    <row r="21" spans="2:22" x14ac:dyDescent="0.25">
      <c r="B21" s="70" t="s">
        <v>81</v>
      </c>
      <c r="C21" s="70"/>
    </row>
  </sheetData>
  <mergeCells count="2">
    <mergeCell ref="B1:U1"/>
    <mergeCell ref="A2:A1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M49"/>
  <sheetViews>
    <sheetView topLeftCell="A7" workbookViewId="0">
      <selection activeCell="H20" sqref="H20:H25"/>
    </sheetView>
  </sheetViews>
  <sheetFormatPr defaultRowHeight="15" x14ac:dyDescent="0.25"/>
  <cols>
    <col min="2" max="2" width="21" customWidth="1"/>
    <col min="3" max="3" width="20.140625" customWidth="1"/>
    <col min="4" max="4" width="14.140625" customWidth="1"/>
    <col min="5" max="5" width="30.140625" customWidth="1"/>
    <col min="6" max="6" width="45.42578125" customWidth="1"/>
    <col min="7" max="7" width="14.42578125" customWidth="1"/>
    <col min="8" max="8" width="13.140625" customWidth="1"/>
    <col min="9" max="9" width="16.140625" customWidth="1"/>
    <col min="10" max="10" width="16.5703125" customWidth="1"/>
    <col min="11" max="11" width="16" customWidth="1"/>
  </cols>
  <sheetData>
    <row r="1" spans="1:11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11"/>
      <c r="B2" s="12"/>
      <c r="C2" s="11"/>
      <c r="D2" s="12"/>
      <c r="E2" s="11"/>
      <c r="F2" s="11"/>
      <c r="G2" s="11"/>
      <c r="H2" s="90" t="s">
        <v>25</v>
      </c>
      <c r="I2" s="91"/>
      <c r="J2" s="12"/>
      <c r="K2" s="13"/>
    </row>
    <row r="3" spans="1:11" x14ac:dyDescent="0.25">
      <c r="A3" s="11"/>
      <c r="B3" s="14" t="s">
        <v>26</v>
      </c>
      <c r="C3" s="14" t="s">
        <v>27</v>
      </c>
      <c r="D3" s="14" t="s">
        <v>28</v>
      </c>
      <c r="E3" s="14" t="s">
        <v>29</v>
      </c>
      <c r="F3" s="14" t="s">
        <v>30</v>
      </c>
      <c r="G3" s="11"/>
      <c r="H3" s="36" t="s">
        <v>27</v>
      </c>
      <c r="I3" s="36"/>
      <c r="J3" s="12"/>
      <c r="K3" s="13"/>
    </row>
    <row r="4" spans="1:11" x14ac:dyDescent="0.25">
      <c r="A4" s="11"/>
      <c r="B4" s="16">
        <v>1997</v>
      </c>
      <c r="C4" s="17">
        <f>H4</f>
        <v>0</v>
      </c>
      <c r="D4" s="18" t="s">
        <v>32</v>
      </c>
      <c r="E4" s="19">
        <v>0.121</v>
      </c>
      <c r="F4" s="20">
        <f t="shared" ref="F4:F25" si="0">C4*E4</f>
        <v>0</v>
      </c>
      <c r="G4" s="11"/>
      <c r="H4" s="37"/>
      <c r="I4" s="37"/>
      <c r="J4" s="12"/>
      <c r="K4" s="13"/>
    </row>
    <row r="5" spans="1:11" x14ac:dyDescent="0.25">
      <c r="A5" s="11"/>
      <c r="B5" s="16">
        <v>1998</v>
      </c>
      <c r="C5" s="17">
        <f t="shared" ref="C5:C10" si="1">H5</f>
        <v>0</v>
      </c>
      <c r="D5" s="18" t="s">
        <v>32</v>
      </c>
      <c r="E5" s="19">
        <f t="shared" ref="E5:E25" si="2">$E$4</f>
        <v>0.121</v>
      </c>
      <c r="F5" s="20">
        <f t="shared" si="0"/>
        <v>0</v>
      </c>
      <c r="G5" s="11"/>
      <c r="H5" s="37"/>
      <c r="I5" s="37"/>
      <c r="J5" s="12"/>
      <c r="K5" s="13"/>
    </row>
    <row r="6" spans="1:11" x14ac:dyDescent="0.25">
      <c r="A6" s="11"/>
      <c r="B6" s="16">
        <v>1999</v>
      </c>
      <c r="C6" s="17">
        <f t="shared" si="1"/>
        <v>0</v>
      </c>
      <c r="D6" s="18" t="s">
        <v>32</v>
      </c>
      <c r="E6" s="19">
        <f t="shared" si="2"/>
        <v>0.121</v>
      </c>
      <c r="F6" s="20">
        <f t="shared" si="0"/>
        <v>0</v>
      </c>
      <c r="G6" s="11"/>
      <c r="H6" s="37"/>
      <c r="I6" s="37"/>
      <c r="J6" s="12"/>
      <c r="K6" s="13"/>
    </row>
    <row r="7" spans="1:11" x14ac:dyDescent="0.25">
      <c r="A7" s="11"/>
      <c r="B7" s="16">
        <v>2000</v>
      </c>
      <c r="C7" s="17">
        <f t="shared" si="1"/>
        <v>0</v>
      </c>
      <c r="D7" s="18" t="s">
        <v>32</v>
      </c>
      <c r="E7" s="19">
        <f t="shared" si="2"/>
        <v>0.121</v>
      </c>
      <c r="F7" s="20">
        <f t="shared" si="0"/>
        <v>0</v>
      </c>
      <c r="G7" s="11"/>
      <c r="H7" s="37"/>
      <c r="I7" s="37"/>
      <c r="J7" s="12"/>
      <c r="K7" s="13"/>
    </row>
    <row r="8" spans="1:11" x14ac:dyDescent="0.25">
      <c r="A8" s="11"/>
      <c r="B8" s="16">
        <v>2001</v>
      </c>
      <c r="C8" s="17">
        <f t="shared" si="1"/>
        <v>0</v>
      </c>
      <c r="D8" s="18" t="s">
        <v>32</v>
      </c>
      <c r="E8" s="19">
        <f t="shared" si="2"/>
        <v>0.121</v>
      </c>
      <c r="F8" s="20">
        <f t="shared" si="0"/>
        <v>0</v>
      </c>
      <c r="G8" s="11"/>
      <c r="H8" s="37"/>
      <c r="I8" s="37"/>
      <c r="J8" s="12"/>
      <c r="K8" s="13"/>
    </row>
    <row r="9" spans="1:11" x14ac:dyDescent="0.25">
      <c r="A9" s="11"/>
      <c r="B9" s="16">
        <v>2002</v>
      </c>
      <c r="C9" s="17">
        <f t="shared" si="1"/>
        <v>0</v>
      </c>
      <c r="D9" s="18" t="s">
        <v>32</v>
      </c>
      <c r="E9" s="19">
        <f t="shared" si="2"/>
        <v>0.121</v>
      </c>
      <c r="F9" s="20">
        <f t="shared" si="0"/>
        <v>0</v>
      </c>
      <c r="G9" s="11"/>
      <c r="H9" s="37"/>
      <c r="I9" s="37"/>
      <c r="J9" s="12"/>
      <c r="K9" s="13"/>
    </row>
    <row r="10" spans="1:11" x14ac:dyDescent="0.25">
      <c r="A10" s="11"/>
      <c r="B10" s="16">
        <v>2003</v>
      </c>
      <c r="C10" s="17">
        <f t="shared" si="1"/>
        <v>0</v>
      </c>
      <c r="D10" s="18" t="s">
        <v>32</v>
      </c>
      <c r="E10" s="19">
        <f t="shared" si="2"/>
        <v>0.121</v>
      </c>
      <c r="F10" s="20">
        <f t="shared" si="0"/>
        <v>0</v>
      </c>
      <c r="G10" s="11"/>
      <c r="H10" s="37"/>
      <c r="I10" s="37"/>
      <c r="J10" s="12"/>
      <c r="K10" s="13"/>
    </row>
    <row r="11" spans="1:11" x14ac:dyDescent="0.25">
      <c r="A11" s="11"/>
      <c r="B11" s="16">
        <v>2004</v>
      </c>
      <c r="C11" s="17">
        <f>H11</f>
        <v>9412.9</v>
      </c>
      <c r="D11" s="18" t="s">
        <v>32</v>
      </c>
      <c r="E11" s="19">
        <f t="shared" si="2"/>
        <v>0.121</v>
      </c>
      <c r="F11" s="20">
        <f t="shared" si="0"/>
        <v>1138.9608999999998</v>
      </c>
      <c r="G11" s="11"/>
      <c r="H11">
        <f>'CO Summary Sheet CPS 329A'!V3</f>
        <v>9412.9</v>
      </c>
      <c r="I11" s="37"/>
      <c r="J11" s="12"/>
      <c r="K11" s="13"/>
    </row>
    <row r="12" spans="1:11" x14ac:dyDescent="0.25">
      <c r="A12" s="11"/>
      <c r="B12" s="16">
        <v>2005</v>
      </c>
      <c r="C12" s="17">
        <f t="shared" ref="C12:C25" si="3">H12</f>
        <v>22048.799999999999</v>
      </c>
      <c r="D12" s="18" t="s">
        <v>32</v>
      </c>
      <c r="E12" s="19">
        <f t="shared" si="2"/>
        <v>0.121</v>
      </c>
      <c r="F12" s="20">
        <f t="shared" si="0"/>
        <v>2667.9047999999998</v>
      </c>
      <c r="G12" s="11"/>
      <c r="H12">
        <f>'CO Summary Sheet CPS 329A'!V4</f>
        <v>22048.799999999999</v>
      </c>
      <c r="I12" s="37"/>
      <c r="J12" s="12"/>
      <c r="K12" s="13"/>
    </row>
    <row r="13" spans="1:11" x14ac:dyDescent="0.25">
      <c r="A13" s="11"/>
      <c r="B13" s="16">
        <v>2006</v>
      </c>
      <c r="C13" s="17">
        <f t="shared" si="3"/>
        <v>27034</v>
      </c>
      <c r="D13" s="18" t="s">
        <v>32</v>
      </c>
      <c r="E13" s="19">
        <f t="shared" si="2"/>
        <v>0.121</v>
      </c>
      <c r="F13" s="20">
        <f t="shared" si="0"/>
        <v>3271.114</v>
      </c>
      <c r="G13" s="11"/>
      <c r="H13">
        <f>'CO Summary Sheet CPS 329A'!V5</f>
        <v>27034</v>
      </c>
      <c r="I13" s="37"/>
      <c r="J13" s="12"/>
      <c r="K13" s="13"/>
    </row>
    <row r="14" spans="1:11" x14ac:dyDescent="0.25">
      <c r="A14" s="11"/>
      <c r="B14" s="16">
        <v>2007</v>
      </c>
      <c r="C14" s="17">
        <f t="shared" si="3"/>
        <v>20864.2</v>
      </c>
      <c r="D14" s="18" t="s">
        <v>32</v>
      </c>
      <c r="E14" s="19">
        <f t="shared" si="2"/>
        <v>0.121</v>
      </c>
      <c r="F14" s="20">
        <f t="shared" si="0"/>
        <v>2524.5682000000002</v>
      </c>
      <c r="G14" s="11"/>
      <c r="H14">
        <f>'CO Summary Sheet CPS 329A'!V6</f>
        <v>20864.2</v>
      </c>
      <c r="I14" s="37"/>
      <c r="J14" s="12"/>
      <c r="K14" s="13"/>
    </row>
    <row r="15" spans="1:11" x14ac:dyDescent="0.25">
      <c r="A15" s="11"/>
      <c r="B15" s="16">
        <v>2008</v>
      </c>
      <c r="C15" s="17">
        <f t="shared" si="3"/>
        <v>13342.4</v>
      </c>
      <c r="D15" s="18" t="s">
        <v>32</v>
      </c>
      <c r="E15" s="19">
        <f t="shared" si="2"/>
        <v>0.121</v>
      </c>
      <c r="F15" s="20">
        <f t="shared" si="0"/>
        <v>1614.4304</v>
      </c>
      <c r="G15" s="11"/>
      <c r="H15">
        <f>'CO Summary Sheet CPS 329A'!V7</f>
        <v>13342.4</v>
      </c>
      <c r="I15" s="37"/>
      <c r="J15" s="12"/>
      <c r="K15" s="13"/>
    </row>
    <row r="16" spans="1:11" x14ac:dyDescent="0.25">
      <c r="A16" s="11"/>
      <c r="B16" s="16">
        <v>2009</v>
      </c>
      <c r="C16" s="17">
        <f t="shared" si="3"/>
        <v>3393.2</v>
      </c>
      <c r="D16" s="18" t="s">
        <v>32</v>
      </c>
      <c r="E16" s="19">
        <f t="shared" si="2"/>
        <v>0.121</v>
      </c>
      <c r="F16" s="20">
        <f t="shared" si="0"/>
        <v>410.57719999999995</v>
      </c>
      <c r="G16" s="11"/>
      <c r="H16">
        <f>'CO Summary Sheet CPS 329A'!V8</f>
        <v>3393.2</v>
      </c>
      <c r="I16" s="37"/>
      <c r="J16" s="12"/>
      <c r="K16" s="13"/>
    </row>
    <row r="17" spans="1:13" x14ac:dyDescent="0.25">
      <c r="A17" s="11"/>
      <c r="B17" s="16">
        <v>2010</v>
      </c>
      <c r="C17" s="17">
        <f t="shared" si="3"/>
        <v>409.4</v>
      </c>
      <c r="D17" s="18" t="s">
        <v>32</v>
      </c>
      <c r="E17" s="19">
        <f t="shared" si="2"/>
        <v>0.121</v>
      </c>
      <c r="F17" s="20">
        <f t="shared" si="0"/>
        <v>49.537399999999998</v>
      </c>
      <c r="G17" s="11"/>
      <c r="H17">
        <f>'CO Summary Sheet CPS 329A'!V9</f>
        <v>409.4</v>
      </c>
      <c r="I17" s="37"/>
      <c r="J17" s="12"/>
      <c r="K17" s="13"/>
    </row>
    <row r="18" spans="1:13" x14ac:dyDescent="0.25">
      <c r="A18" s="11"/>
      <c r="B18" s="16">
        <v>2011</v>
      </c>
      <c r="C18" s="17">
        <f t="shared" si="3"/>
        <v>320</v>
      </c>
      <c r="D18" s="18" t="s">
        <v>32</v>
      </c>
      <c r="E18" s="19">
        <f t="shared" si="2"/>
        <v>0.121</v>
      </c>
      <c r="F18" s="20">
        <f t="shared" si="0"/>
        <v>38.72</v>
      </c>
      <c r="G18" s="11"/>
      <c r="H18">
        <f>'CO Summary Sheet CPS 329A'!V10</f>
        <v>320</v>
      </c>
      <c r="I18" s="37"/>
      <c r="J18" s="12"/>
      <c r="K18" s="13"/>
    </row>
    <row r="19" spans="1:13" x14ac:dyDescent="0.25">
      <c r="A19" s="11"/>
      <c r="B19" s="16">
        <v>2012</v>
      </c>
      <c r="C19" s="17">
        <f t="shared" si="3"/>
        <v>0</v>
      </c>
      <c r="D19" s="18" t="s">
        <v>32</v>
      </c>
      <c r="E19" s="19">
        <f t="shared" si="2"/>
        <v>0.121</v>
      </c>
      <c r="F19" s="20">
        <f t="shared" si="0"/>
        <v>0</v>
      </c>
      <c r="G19" s="11"/>
      <c r="H19">
        <f>'CO Summary Sheet CPS 329A'!V11</f>
        <v>0</v>
      </c>
      <c r="I19" s="37"/>
      <c r="J19" s="12"/>
      <c r="K19" s="13"/>
    </row>
    <row r="20" spans="1:13" s="22" customFormat="1" x14ac:dyDescent="0.25">
      <c r="A20" s="11"/>
      <c r="B20" s="16">
        <v>2013</v>
      </c>
      <c r="C20" s="17">
        <f t="shared" si="3"/>
        <v>1476</v>
      </c>
      <c r="D20" s="18" t="s">
        <v>32</v>
      </c>
      <c r="E20" s="19">
        <f t="shared" si="2"/>
        <v>0.121</v>
      </c>
      <c r="F20" s="20">
        <f t="shared" si="0"/>
        <v>178.596</v>
      </c>
      <c r="G20" s="11"/>
      <c r="H20">
        <f>'CO Summary Sheet CPS 329A'!V12</f>
        <v>1476</v>
      </c>
      <c r="I20" s="37"/>
      <c r="J20" s="12"/>
      <c r="K20" s="13"/>
    </row>
    <row r="21" spans="1:13" x14ac:dyDescent="0.25">
      <c r="B21" s="16">
        <v>2014</v>
      </c>
      <c r="C21" s="17">
        <f t="shared" si="3"/>
        <v>0</v>
      </c>
      <c r="D21" s="18" t="s">
        <v>32</v>
      </c>
      <c r="E21" s="19">
        <f t="shared" si="2"/>
        <v>0.121</v>
      </c>
      <c r="F21" s="20">
        <f t="shared" si="0"/>
        <v>0</v>
      </c>
      <c r="H21">
        <f>'CO Summary Sheet CPS 329A'!V13</f>
        <v>0</v>
      </c>
      <c r="I21" s="37"/>
      <c r="J21" s="12"/>
    </row>
    <row r="22" spans="1:13" x14ac:dyDescent="0.25">
      <c r="B22" s="16">
        <v>2015</v>
      </c>
      <c r="C22" s="17">
        <f t="shared" si="3"/>
        <v>225</v>
      </c>
      <c r="D22" s="18" t="s">
        <v>32</v>
      </c>
      <c r="E22" s="19">
        <f t="shared" si="2"/>
        <v>0.121</v>
      </c>
      <c r="F22" s="20">
        <f t="shared" si="0"/>
        <v>27.224999999999998</v>
      </c>
      <c r="H22">
        <f>'CO Summary Sheet CPS 329A'!V14</f>
        <v>225</v>
      </c>
      <c r="I22" s="71"/>
      <c r="J22" s="68"/>
    </row>
    <row r="23" spans="1:13" x14ac:dyDescent="0.25">
      <c r="B23" s="16">
        <v>2016</v>
      </c>
      <c r="C23" s="17">
        <f t="shared" si="3"/>
        <v>3476</v>
      </c>
      <c r="D23" s="18" t="s">
        <v>32</v>
      </c>
      <c r="E23" s="19">
        <f t="shared" si="2"/>
        <v>0.121</v>
      </c>
      <c r="F23" s="20">
        <f t="shared" si="0"/>
        <v>420.596</v>
      </c>
      <c r="H23">
        <f>'CO Summary Sheet CPS 329A'!V15</f>
        <v>3476</v>
      </c>
      <c r="I23" s="71"/>
      <c r="J23" s="68"/>
    </row>
    <row r="24" spans="1:13" x14ac:dyDescent="0.25">
      <c r="B24" s="16">
        <v>2017</v>
      </c>
      <c r="C24" s="17">
        <f t="shared" si="3"/>
        <v>0</v>
      </c>
      <c r="D24" s="18" t="s">
        <v>32</v>
      </c>
      <c r="E24" s="19">
        <f t="shared" si="2"/>
        <v>0.121</v>
      </c>
      <c r="F24" s="20">
        <f t="shared" si="0"/>
        <v>0</v>
      </c>
      <c r="H24">
        <f>'CO Summary Sheet CPS 329A'!V16</f>
        <v>0</v>
      </c>
      <c r="I24" s="71"/>
      <c r="J24" s="68"/>
    </row>
    <row r="25" spans="1:13" x14ac:dyDescent="0.25">
      <c r="B25" s="16">
        <v>2018</v>
      </c>
      <c r="C25" s="17">
        <f t="shared" si="3"/>
        <v>466</v>
      </c>
      <c r="D25" s="18" t="s">
        <v>32</v>
      </c>
      <c r="E25" s="19">
        <f t="shared" si="2"/>
        <v>0.121</v>
      </c>
      <c r="F25" s="20">
        <f t="shared" si="0"/>
        <v>56.385999999999996</v>
      </c>
      <c r="H25">
        <f>'CO Summary Sheet CPS 329A'!V17</f>
        <v>466</v>
      </c>
      <c r="I25" s="71"/>
      <c r="J25" s="68"/>
    </row>
    <row r="26" spans="1:13" x14ac:dyDescent="0.25">
      <c r="C26" s="35">
        <f>SUM(C11:C21)</f>
        <v>98300.89999999998</v>
      </c>
    </row>
    <row r="27" spans="1:13" ht="78.75" customHeight="1" x14ac:dyDescent="0.25">
      <c r="B27" s="23" t="s">
        <v>0</v>
      </c>
      <c r="C27" s="23" t="s">
        <v>33</v>
      </c>
      <c r="D27" s="23" t="s">
        <v>34</v>
      </c>
      <c r="E27" s="23" t="s">
        <v>35</v>
      </c>
      <c r="F27" s="23" t="s">
        <v>36</v>
      </c>
      <c r="L27" s="32"/>
      <c r="M27" s="32"/>
    </row>
    <row r="28" spans="1:13" x14ac:dyDescent="0.25">
      <c r="B28">
        <v>1997</v>
      </c>
      <c r="C28" s="5">
        <f>F4</f>
        <v>0</v>
      </c>
      <c r="L28" s="32"/>
      <c r="M28" s="32"/>
    </row>
    <row r="29" spans="1:13" x14ac:dyDescent="0.25">
      <c r="B29">
        <v>1998</v>
      </c>
      <c r="C29" s="5">
        <f t="shared" ref="C29:C44" si="4">F5</f>
        <v>0</v>
      </c>
      <c r="L29" s="32"/>
      <c r="M29" s="32"/>
    </row>
    <row r="30" spans="1:13" x14ac:dyDescent="0.25">
      <c r="B30">
        <v>1999</v>
      </c>
      <c r="C30" s="5">
        <f t="shared" si="4"/>
        <v>0</v>
      </c>
      <c r="L30" s="32"/>
      <c r="M30" s="32"/>
    </row>
    <row r="31" spans="1:13" x14ac:dyDescent="0.25">
      <c r="B31">
        <v>2000</v>
      </c>
      <c r="C31" s="5">
        <f t="shared" si="4"/>
        <v>0</v>
      </c>
      <c r="D31" s="5">
        <f>C31+(0.5*C28)</f>
        <v>0</v>
      </c>
      <c r="E31" s="5">
        <f>C31+(0.75*C28)</f>
        <v>0</v>
      </c>
      <c r="F31" s="5">
        <f>C31+(1*C28)</f>
        <v>0</v>
      </c>
      <c r="L31" s="32"/>
      <c r="M31" s="32"/>
    </row>
    <row r="32" spans="1:13" x14ac:dyDescent="0.25">
      <c r="B32">
        <v>2001</v>
      </c>
      <c r="C32" s="5">
        <f t="shared" si="4"/>
        <v>0</v>
      </c>
      <c r="D32" s="5">
        <f>C32+(0.5*(C29+C28))</f>
        <v>0</v>
      </c>
      <c r="E32" s="5">
        <f>C32+(0.75*(C29+C28))</f>
        <v>0</v>
      </c>
      <c r="F32" s="5">
        <f>C32+(1*(C29+C28))</f>
        <v>0</v>
      </c>
      <c r="L32" s="32"/>
      <c r="M32" s="32"/>
    </row>
    <row r="33" spans="2:13" x14ac:dyDescent="0.25">
      <c r="B33">
        <v>2002</v>
      </c>
      <c r="C33" s="5">
        <f t="shared" si="4"/>
        <v>0</v>
      </c>
      <c r="D33" s="5">
        <f>C33+(0.5*(C28+C30+C29))</f>
        <v>0</v>
      </c>
      <c r="E33" s="5">
        <f>C33+(0.75*(C28+C30+C29))</f>
        <v>0</v>
      </c>
      <c r="F33" s="5">
        <f>C33+(1*(C28+C30+C29))</f>
        <v>0</v>
      </c>
      <c r="L33" s="32"/>
      <c r="M33" s="32"/>
    </row>
    <row r="34" spans="2:13" x14ac:dyDescent="0.25">
      <c r="B34">
        <v>2003</v>
      </c>
      <c r="C34" s="5">
        <f t="shared" si="4"/>
        <v>0</v>
      </c>
      <c r="D34" s="5">
        <f>C34+(0.5*(C28+C29+C31+C30))</f>
        <v>0</v>
      </c>
      <c r="E34" s="5">
        <f>C34+(0.75*(C28+C29+C31+C30))</f>
        <v>0</v>
      </c>
      <c r="F34" s="5">
        <f>C34+(1*(C28+C29+C31+C30))</f>
        <v>0</v>
      </c>
      <c r="L34" s="32"/>
      <c r="M34" s="32"/>
    </row>
    <row r="35" spans="2:13" x14ac:dyDescent="0.25">
      <c r="B35">
        <v>2004</v>
      </c>
      <c r="C35" s="5">
        <f t="shared" si="4"/>
        <v>1138.9608999999998</v>
      </c>
      <c r="D35" s="5">
        <f>C35+(0.5*(C28+C29+C30+C32+C31))</f>
        <v>1138.9608999999998</v>
      </c>
      <c r="E35" s="5">
        <f>C35+(0.75*(C28+C29+C30+C32+C31))</f>
        <v>1138.9608999999998</v>
      </c>
      <c r="F35" s="5">
        <f>C35+(1*(C28+C29+C30+C32+C31))</f>
        <v>1138.9608999999998</v>
      </c>
      <c r="L35" s="32"/>
      <c r="M35" s="32"/>
    </row>
    <row r="36" spans="2:13" x14ac:dyDescent="0.25">
      <c r="B36">
        <v>2005</v>
      </c>
      <c r="C36" s="5">
        <f t="shared" si="4"/>
        <v>2667.9047999999998</v>
      </c>
      <c r="D36" s="5">
        <f>C36+(0.5*(C28+C29+C30+C31+C33+C32))</f>
        <v>2667.9047999999998</v>
      </c>
      <c r="E36" s="5">
        <f>C36+(0.75*(C28+C29+C30+C31+C33+C32))</f>
        <v>2667.9047999999998</v>
      </c>
      <c r="F36" s="5">
        <f>C36+(1*(C28+C29+C30+C31+C33+C32))</f>
        <v>2667.9047999999998</v>
      </c>
      <c r="L36" s="32"/>
      <c r="M36" s="32"/>
    </row>
    <row r="37" spans="2:13" x14ac:dyDescent="0.25">
      <c r="B37">
        <v>2006</v>
      </c>
      <c r="C37" s="5">
        <f t="shared" si="4"/>
        <v>3271.114</v>
      </c>
      <c r="D37" s="5">
        <f>C37+(0.5*(C28+C29+C30+C31+C32+C34+C33))</f>
        <v>3271.114</v>
      </c>
      <c r="E37" s="5">
        <f>C37+(0.75*(C28+C29+C30+C31+C32+C34+C33))</f>
        <v>3271.114</v>
      </c>
      <c r="F37" s="5">
        <f>C37+(1*(C28+C29+C30+C31+C32+C34+C33))</f>
        <v>3271.114</v>
      </c>
      <c r="L37" s="32"/>
      <c r="M37" s="32"/>
    </row>
    <row r="38" spans="2:13" x14ac:dyDescent="0.25">
      <c r="B38">
        <v>2007</v>
      </c>
      <c r="C38" s="5">
        <f t="shared" si="4"/>
        <v>2524.5682000000002</v>
      </c>
      <c r="D38" s="5">
        <f>C38+(0.5*(C28+C29+C30+C31+C32+C33+C35+C34))</f>
        <v>3094.0486500000002</v>
      </c>
      <c r="E38" s="5">
        <f>C38+(0.75*(C28+C29+C30+C31+C32+C33+C35+C34))</f>
        <v>3378.7888750000002</v>
      </c>
      <c r="F38" s="5">
        <f>C38+(1*(C28+C29+C30+C31+C32+C33+C35+C34))</f>
        <v>3663.5290999999997</v>
      </c>
      <c r="L38" s="32"/>
      <c r="M38" s="32"/>
    </row>
    <row r="39" spans="2:13" x14ac:dyDescent="0.25">
      <c r="B39">
        <v>2008</v>
      </c>
      <c r="C39" s="5">
        <f t="shared" si="4"/>
        <v>1614.4304</v>
      </c>
      <c r="D39" s="5">
        <f>C39+(0.5*(C28+C29+C30+C31+C32+C33+C34+C36+C35))</f>
        <v>3517.8632499999994</v>
      </c>
      <c r="E39" s="5">
        <f>C39+(0.75*(C28+C29+C30+C31+C32+C33+C34+C36+C35))</f>
        <v>4469.579675</v>
      </c>
      <c r="F39" s="5">
        <f>C39+(1*(C28+C29+C30+C31+C32+C33+C34+C36+C35))</f>
        <v>5421.2960999999996</v>
      </c>
      <c r="L39" s="32"/>
      <c r="M39" s="32"/>
    </row>
    <row r="40" spans="2:13" x14ac:dyDescent="0.25">
      <c r="B40">
        <v>2009</v>
      </c>
      <c r="C40" s="5">
        <f t="shared" si="4"/>
        <v>410.57719999999995</v>
      </c>
      <c r="D40" s="5">
        <f>C40+(0.5*(C28+C29+C30+C31+C32+C33+C34+C35+C37+C36))</f>
        <v>3949.5670499999997</v>
      </c>
      <c r="E40" s="5">
        <f>C40+(0.75*(C28+C29+C30+C31+C32+C33+C34+C35+C37+C36))</f>
        <v>5719.0619749999996</v>
      </c>
      <c r="F40" s="5">
        <f>C40+(1*(C28+C29+C30+C31+C32+C33+C34+C35+C37+C36))</f>
        <v>7488.5568999999996</v>
      </c>
      <c r="L40" s="32"/>
      <c r="M40" s="32"/>
    </row>
    <row r="41" spans="2:13" x14ac:dyDescent="0.25">
      <c r="B41">
        <v>2010</v>
      </c>
      <c r="C41" s="5">
        <f t="shared" si="4"/>
        <v>49.537399999999998</v>
      </c>
      <c r="D41" s="5">
        <f>C41+(0.5*(C28+C29+C30+C31+C32+C33+C34+C35+C36+C38+C37))</f>
        <v>4850.8113499999999</v>
      </c>
      <c r="E41" s="5">
        <f>C41+(0.75*(C28+C29+C30+C31+C32+C33+C34+C35+C36+C38+C37))</f>
        <v>7251.4483250000003</v>
      </c>
      <c r="F41" s="5">
        <f>C41+(1*(C28+C29+C30+C31+C32+C33+C34+C35+C36+C38+C37))</f>
        <v>9652.0852999999988</v>
      </c>
      <c r="L41" s="32"/>
      <c r="M41" s="32"/>
    </row>
    <row r="42" spans="2:13" x14ac:dyDescent="0.25">
      <c r="B42">
        <v>2011</v>
      </c>
      <c r="C42" s="5">
        <f t="shared" si="4"/>
        <v>38.72</v>
      </c>
      <c r="D42" s="5">
        <f>C42+(0.5*(C28+C29+C30+C31+C32+C33+C34+C35+C36+C37+C39+C38))</f>
        <v>5647.2091499999997</v>
      </c>
      <c r="E42" s="5">
        <f>C42+(0.75*(C28+C29+C30+C31+C32+C33+C34+C35+C36+C37+C39+C38))</f>
        <v>8451.4537249999976</v>
      </c>
      <c r="F42" s="5">
        <f>C42+(1*(C28+C29+C30+C31+C32+C33+C34+C35+C36+C37+C39+C38))</f>
        <v>11255.698299999998</v>
      </c>
      <c r="L42" s="32"/>
      <c r="M42" s="32"/>
    </row>
    <row r="43" spans="2:13" x14ac:dyDescent="0.25">
      <c r="B43">
        <v>2012</v>
      </c>
      <c r="C43" s="5">
        <f t="shared" si="4"/>
        <v>0</v>
      </c>
      <c r="D43" s="5">
        <f>C43+(0.5*(C28+C29+C30+C31+C32+C33+C34+C35+C36+C37+C38+C40+C39))</f>
        <v>5813.7777499999993</v>
      </c>
      <c r="E43" s="5">
        <f>C43+(0.75*(C28+C29+C30+C31+C32+C33+C34+C35+C36+C37+C38+C40+C39))</f>
        <v>8720.666624999998</v>
      </c>
      <c r="F43" s="5">
        <f>C43+(1*(C28+C29+C30+C31+C32+C33+C34+C35+C36+C37+C38+C40+C39))</f>
        <v>11627.555499999999</v>
      </c>
      <c r="L43" s="32"/>
      <c r="M43" s="32"/>
    </row>
    <row r="44" spans="2:13" x14ac:dyDescent="0.25">
      <c r="B44">
        <v>2013</v>
      </c>
      <c r="C44" s="5">
        <f t="shared" si="4"/>
        <v>178.596</v>
      </c>
      <c r="D44" s="5">
        <f>C44+(0.5*(C28+C29+C30+C31+C32+C33+C34+C35+C36+C37+C38+C39+C41+C40))</f>
        <v>6017.1424499999994</v>
      </c>
      <c r="E44" s="5">
        <f>C44+(0.75*(C28+C29+C30+C31+C32+C33+C34+C35+C36+C37+C38+C39+C41+C40))</f>
        <v>8936.4156749999984</v>
      </c>
      <c r="F44" s="5">
        <f>C44+(1*(C28+C29+C30+C31+C32+C33+C34+C35+C36+C37+C38+C39+C41+C40))</f>
        <v>11855.688899999997</v>
      </c>
      <c r="L44" s="32"/>
      <c r="M44" s="32"/>
    </row>
    <row r="45" spans="2:13" x14ac:dyDescent="0.25">
      <c r="B45">
        <v>2014</v>
      </c>
      <c r="C45" s="5">
        <f>F21</f>
        <v>0</v>
      </c>
      <c r="D45" s="5">
        <f>C45+(0.5*(C28+C29+C30+C31+C32+C33+C34+C35+C36+C37+C38+C39+C40+C42+C41))</f>
        <v>5857.9064499999986</v>
      </c>
      <c r="E45" s="5">
        <f>C45+(0.75*(C28+C29+C30+C31+C32+C33+C34+C35+C36+C37+C38+C39+C40+C42+C41))</f>
        <v>8786.8596749999979</v>
      </c>
      <c r="F45" s="5">
        <f>C45+(1*(C28+C29+C30+C31+C32+C33+C34+C35+C36+C37+C38+C39+C40+C42+C41))</f>
        <v>11715.812899999997</v>
      </c>
      <c r="L45" s="32"/>
      <c r="M45" s="32"/>
    </row>
    <row r="46" spans="2:13" x14ac:dyDescent="0.25">
      <c r="B46">
        <v>2015</v>
      </c>
      <c r="C46" s="5">
        <f t="shared" ref="C46:C49" si="5">F22</f>
        <v>27.224999999999998</v>
      </c>
      <c r="D46" s="5">
        <f t="shared" ref="D46:D49" si="6">C46+(0.5*(C29+C30+C31+C32+C33+C34+C35+C36+C37+C38+C39+C40+C41+C43+C42))</f>
        <v>5885.1314499999989</v>
      </c>
      <c r="E46" s="5">
        <f t="shared" ref="E46:E49" si="7">C46+(0.75*(C29+C30+C31+C32+C33+C34+C35+C36+C37+C38+C39+C40+C41+C43+C42))</f>
        <v>8814.0846749999982</v>
      </c>
      <c r="F46" s="5">
        <f t="shared" ref="F46:F49" si="8">C46+(1*(C29+C30+C31+C32+C33+C34+C35+C36+C37+C38+C39+C40+C41+C43+C42))</f>
        <v>11743.037899999998</v>
      </c>
      <c r="L46" s="32"/>
      <c r="M46" s="32"/>
    </row>
    <row r="47" spans="2:13" x14ac:dyDescent="0.25">
      <c r="B47">
        <v>2016</v>
      </c>
      <c r="C47" s="5">
        <f t="shared" si="5"/>
        <v>420.596</v>
      </c>
      <c r="D47" s="5">
        <f t="shared" si="6"/>
        <v>6367.8004499999988</v>
      </c>
      <c r="E47" s="5">
        <f t="shared" si="7"/>
        <v>9341.4026749999975</v>
      </c>
      <c r="F47" s="5">
        <f t="shared" si="8"/>
        <v>12315.004899999996</v>
      </c>
    </row>
    <row r="48" spans="2:13" x14ac:dyDescent="0.25">
      <c r="B48">
        <v>2017</v>
      </c>
      <c r="C48" s="5">
        <f t="shared" si="5"/>
        <v>0</v>
      </c>
      <c r="D48" s="5">
        <f t="shared" si="6"/>
        <v>5947.2044499999984</v>
      </c>
      <c r="E48" s="5">
        <f t="shared" si="7"/>
        <v>8920.806674999998</v>
      </c>
      <c r="F48" s="5">
        <f t="shared" si="8"/>
        <v>11894.408899999997</v>
      </c>
    </row>
    <row r="49" spans="2:6" x14ac:dyDescent="0.25">
      <c r="B49">
        <v>2018</v>
      </c>
      <c r="C49" s="5">
        <f t="shared" si="5"/>
        <v>56.385999999999996</v>
      </c>
      <c r="D49" s="5">
        <f t="shared" si="6"/>
        <v>6017.202949999999</v>
      </c>
      <c r="E49" s="5">
        <f t="shared" si="7"/>
        <v>8997.6114249999973</v>
      </c>
      <c r="F49" s="5">
        <f t="shared" si="8"/>
        <v>11978.019899999998</v>
      </c>
    </row>
  </sheetData>
  <mergeCells count="1">
    <mergeCell ref="H2:I2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9"/>
  <sheetViews>
    <sheetView topLeftCell="B1" workbookViewId="0">
      <selection activeCell="O11" sqref="O11"/>
    </sheetView>
  </sheetViews>
  <sheetFormatPr defaultRowHeight="15" x14ac:dyDescent="0.25"/>
  <cols>
    <col min="1" max="1" width="5" customWidth="1"/>
    <col min="2" max="2" width="12" bestFit="1" customWidth="1"/>
    <col min="3" max="7" width="9.28515625" bestFit="1" customWidth="1"/>
    <col min="8" max="8" width="11.28515625" customWidth="1"/>
    <col min="9" max="9" width="9.28515625" bestFit="1" customWidth="1"/>
    <col min="10" max="10" width="11.7109375" customWidth="1"/>
    <col min="11" max="11" width="9.5703125" bestFit="1" customWidth="1"/>
    <col min="12" max="12" width="12.140625" bestFit="1" customWidth="1"/>
    <col min="13" max="17" width="9.28515625" bestFit="1" customWidth="1"/>
    <col min="18" max="18" width="9.5703125" bestFit="1" customWidth="1"/>
    <col min="19" max="19" width="13.42578125" bestFit="1" customWidth="1"/>
    <col min="20" max="20" width="9.28515625" bestFit="1" customWidth="1"/>
    <col min="21" max="21" width="12.42578125" bestFit="1" customWidth="1"/>
    <col min="22" max="22" width="14.28515625" bestFit="1" customWidth="1"/>
    <col min="23" max="23" width="15.7109375" customWidth="1"/>
    <col min="24" max="24" width="27.42578125" customWidth="1"/>
  </cols>
  <sheetData>
    <row r="1" spans="1:24" x14ac:dyDescent="0.25">
      <c r="B1" s="88" t="s">
        <v>40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</row>
    <row r="2" spans="1:24" s="3" customFormat="1" x14ac:dyDescent="0.25">
      <c r="A2" s="89" t="s">
        <v>0</v>
      </c>
      <c r="B2" s="6"/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21</v>
      </c>
      <c r="I2" s="7" t="s">
        <v>6</v>
      </c>
      <c r="J2" s="7" t="s">
        <v>7</v>
      </c>
      <c r="K2" s="7" t="s">
        <v>8</v>
      </c>
      <c r="L2" s="7" t="s">
        <v>9</v>
      </c>
      <c r="M2" s="7" t="s">
        <v>10</v>
      </c>
      <c r="N2" s="7" t="s">
        <v>11</v>
      </c>
      <c r="O2" s="7" t="s">
        <v>12</v>
      </c>
      <c r="P2" s="7" t="s">
        <v>13</v>
      </c>
      <c r="Q2" s="7" t="s">
        <v>14</v>
      </c>
      <c r="R2" s="7" t="s">
        <v>15</v>
      </c>
      <c r="S2" s="7" t="s">
        <v>16</v>
      </c>
      <c r="T2" s="7" t="s">
        <v>17</v>
      </c>
      <c r="U2" s="7" t="s">
        <v>23</v>
      </c>
      <c r="V2" s="7" t="s">
        <v>18</v>
      </c>
      <c r="W2" s="7"/>
      <c r="X2" s="7"/>
    </row>
    <row r="3" spans="1:24" x14ac:dyDescent="0.25">
      <c r="A3" s="89"/>
      <c r="B3" s="1">
        <v>2004</v>
      </c>
      <c r="C3" s="3"/>
      <c r="D3" s="3"/>
      <c r="E3" s="3"/>
      <c r="F3" s="3"/>
      <c r="G3" s="3"/>
      <c r="H3" s="59"/>
      <c r="I3" s="3"/>
      <c r="J3" s="59"/>
      <c r="K3" s="3"/>
      <c r="L3" s="3">
        <v>13606.3</v>
      </c>
      <c r="M3" s="3"/>
      <c r="N3" s="3"/>
      <c r="O3" s="3"/>
      <c r="P3" s="3"/>
      <c r="Q3" s="3"/>
      <c r="R3" s="59"/>
      <c r="S3" s="3"/>
      <c r="T3" s="3"/>
      <c r="U3" s="3"/>
      <c r="V3" s="27">
        <f t="shared" ref="V3:V17" si="0">SUM(C3:U3)</f>
        <v>13606.3</v>
      </c>
      <c r="W3" s="4"/>
    </row>
    <row r="4" spans="1:24" x14ac:dyDescent="0.25">
      <c r="A4" s="89"/>
      <c r="B4" s="1">
        <v>2005</v>
      </c>
      <c r="C4" s="3"/>
      <c r="D4" s="3"/>
      <c r="E4" s="3"/>
      <c r="F4" s="3"/>
      <c r="G4" s="3"/>
      <c r="H4" s="59"/>
      <c r="I4" s="3"/>
      <c r="J4" s="59"/>
      <c r="K4" s="59"/>
      <c r="L4" s="3">
        <v>32377.200000000001</v>
      </c>
      <c r="M4" s="3"/>
      <c r="N4" s="3"/>
      <c r="O4" s="3"/>
      <c r="P4" s="3"/>
      <c r="Q4" s="3"/>
      <c r="R4" s="59"/>
      <c r="S4" s="3"/>
      <c r="T4" s="3"/>
      <c r="U4" s="3"/>
      <c r="V4" s="27">
        <f t="shared" si="0"/>
        <v>32377.200000000001</v>
      </c>
      <c r="W4" s="4"/>
    </row>
    <row r="5" spans="1:24" x14ac:dyDescent="0.25">
      <c r="A5" s="89"/>
      <c r="B5" s="1">
        <v>2006</v>
      </c>
      <c r="C5" s="3"/>
      <c r="D5" s="3"/>
      <c r="E5" s="3"/>
      <c r="F5" s="3"/>
      <c r="G5" s="3"/>
      <c r="H5" s="59"/>
      <c r="I5" s="3"/>
      <c r="J5" s="59"/>
      <c r="K5" s="59"/>
      <c r="L5" s="3">
        <v>36897.699999999997</v>
      </c>
      <c r="M5" s="3"/>
      <c r="N5" s="3"/>
      <c r="O5" s="3"/>
      <c r="P5" s="3"/>
      <c r="Q5" s="3"/>
      <c r="R5" s="3"/>
      <c r="S5" s="3"/>
      <c r="T5" s="3"/>
      <c r="U5" s="3"/>
      <c r="V5" s="27">
        <f t="shared" si="0"/>
        <v>36897.699999999997</v>
      </c>
      <c r="W5" s="4"/>
    </row>
    <row r="6" spans="1:24" x14ac:dyDescent="0.25">
      <c r="A6" s="89"/>
      <c r="B6" s="1">
        <v>2007</v>
      </c>
      <c r="C6" s="3"/>
      <c r="D6" s="3"/>
      <c r="E6" s="3"/>
      <c r="F6" s="3"/>
      <c r="G6" s="3"/>
      <c r="H6" s="59"/>
      <c r="I6" s="3"/>
      <c r="J6" s="59"/>
      <c r="K6" s="3"/>
      <c r="L6" s="3">
        <v>16220</v>
      </c>
      <c r="M6" s="3"/>
      <c r="N6" s="3"/>
      <c r="O6" s="3"/>
      <c r="P6" s="3"/>
      <c r="Q6" s="3"/>
      <c r="R6" s="3"/>
      <c r="S6" s="3"/>
      <c r="T6" s="3"/>
      <c r="U6" s="3"/>
      <c r="V6" s="27">
        <f t="shared" si="0"/>
        <v>16220</v>
      </c>
      <c r="W6" s="4"/>
    </row>
    <row r="7" spans="1:24" x14ac:dyDescent="0.25">
      <c r="A7" s="89"/>
      <c r="B7" s="1">
        <v>2008</v>
      </c>
      <c r="C7" s="3"/>
      <c r="D7" s="3"/>
      <c r="E7" s="3"/>
      <c r="F7" s="3"/>
      <c r="G7" s="3"/>
      <c r="H7" s="59"/>
      <c r="I7" s="3"/>
      <c r="J7" s="59"/>
      <c r="K7" s="3"/>
      <c r="L7" s="3">
        <v>5884.5</v>
      </c>
      <c r="M7" s="3"/>
      <c r="N7" s="3"/>
      <c r="O7" s="3"/>
      <c r="P7" s="3"/>
      <c r="Q7" s="3"/>
      <c r="R7" s="3"/>
      <c r="S7" s="3"/>
      <c r="T7" s="3"/>
      <c r="U7" s="3"/>
      <c r="V7" s="27">
        <f t="shared" si="0"/>
        <v>5884.5</v>
      </c>
      <c r="W7" s="4"/>
    </row>
    <row r="8" spans="1:24" x14ac:dyDescent="0.25">
      <c r="A8" s="89"/>
      <c r="B8" s="1">
        <v>2009</v>
      </c>
      <c r="C8" s="3"/>
      <c r="D8" s="3"/>
      <c r="E8" s="3"/>
      <c r="F8" s="3"/>
      <c r="G8" s="3"/>
      <c r="H8" s="59"/>
      <c r="I8" s="3"/>
      <c r="J8" s="59"/>
      <c r="K8" s="3"/>
      <c r="L8" s="3">
        <v>929.3</v>
      </c>
      <c r="M8" s="3"/>
      <c r="N8" s="3"/>
      <c r="O8" s="3"/>
      <c r="P8" s="3"/>
      <c r="Q8" s="3"/>
      <c r="R8" s="3"/>
      <c r="S8" s="3"/>
      <c r="T8" s="3"/>
      <c r="U8" s="3"/>
      <c r="V8" s="27">
        <f t="shared" si="0"/>
        <v>929.3</v>
      </c>
      <c r="W8" s="4"/>
    </row>
    <row r="9" spans="1:24" x14ac:dyDescent="0.25">
      <c r="A9" s="89"/>
      <c r="B9" s="1">
        <v>2010</v>
      </c>
      <c r="C9" s="3"/>
      <c r="D9" s="3"/>
      <c r="E9" s="3"/>
      <c r="F9" s="3"/>
      <c r="G9" s="3"/>
      <c r="H9" s="59"/>
      <c r="I9" s="3"/>
      <c r="J9" s="59"/>
      <c r="K9" s="3"/>
      <c r="L9" s="3">
        <v>0</v>
      </c>
      <c r="M9" s="3"/>
      <c r="N9" s="3"/>
      <c r="O9" s="3"/>
      <c r="P9" s="3"/>
      <c r="Q9" s="3"/>
      <c r="R9" s="3"/>
      <c r="S9" s="3"/>
      <c r="T9" s="3"/>
      <c r="U9" s="3"/>
      <c r="V9" s="27">
        <f t="shared" si="0"/>
        <v>0</v>
      </c>
      <c r="W9" s="4"/>
    </row>
    <row r="10" spans="1:24" x14ac:dyDescent="0.25">
      <c r="A10" s="89"/>
      <c r="B10" s="1">
        <v>2011</v>
      </c>
      <c r="C10" s="3"/>
      <c r="D10" s="3"/>
      <c r="E10" s="3"/>
      <c r="F10" s="3"/>
      <c r="G10" s="3"/>
      <c r="H10" s="59"/>
      <c r="I10" s="3"/>
      <c r="J10" s="79">
        <v>178</v>
      </c>
      <c r="K10" s="3"/>
      <c r="L10" s="3">
        <v>241.2</v>
      </c>
      <c r="M10" s="3"/>
      <c r="N10" s="3"/>
      <c r="O10" s="3"/>
      <c r="P10" s="3"/>
      <c r="Q10" s="3"/>
      <c r="R10" s="3"/>
      <c r="S10" s="3"/>
      <c r="T10" s="3"/>
      <c r="U10" s="3"/>
      <c r="V10" s="27">
        <f t="shared" si="0"/>
        <v>419.2</v>
      </c>
      <c r="W10" s="4"/>
    </row>
    <row r="11" spans="1:24" x14ac:dyDescent="0.25">
      <c r="A11" s="89"/>
      <c r="B11" s="1">
        <v>2012</v>
      </c>
      <c r="C11" s="3"/>
      <c r="D11" s="3"/>
      <c r="E11" s="3"/>
      <c r="F11" s="3"/>
      <c r="G11" s="3"/>
      <c r="H11" s="59"/>
      <c r="I11" s="3"/>
      <c r="J11" s="78">
        <v>1919</v>
      </c>
      <c r="K11" s="3"/>
      <c r="L11" s="3">
        <v>0</v>
      </c>
      <c r="M11" s="3"/>
      <c r="N11" s="3"/>
      <c r="O11" s="3"/>
      <c r="P11" s="3"/>
      <c r="Q11" s="3"/>
      <c r="R11" s="3"/>
      <c r="S11" s="3"/>
      <c r="T11" s="3"/>
      <c r="U11" s="3"/>
      <c r="V11" s="27">
        <f t="shared" si="0"/>
        <v>1919</v>
      </c>
      <c r="W11" s="4"/>
    </row>
    <row r="12" spans="1:24" x14ac:dyDescent="0.25">
      <c r="A12" s="89"/>
      <c r="B12" s="1">
        <v>2013</v>
      </c>
      <c r="C12" s="3"/>
      <c r="D12" s="3"/>
      <c r="E12" s="3"/>
      <c r="F12" s="3"/>
      <c r="G12" s="3"/>
      <c r="H12" s="59"/>
      <c r="I12" s="3"/>
      <c r="J12" s="78">
        <v>2498</v>
      </c>
      <c r="K12" s="3"/>
      <c r="L12" s="3">
        <v>0</v>
      </c>
      <c r="M12" s="3"/>
      <c r="N12" s="3"/>
      <c r="O12" s="3"/>
      <c r="P12" s="3"/>
      <c r="Q12" s="3"/>
      <c r="R12" s="3"/>
      <c r="S12" s="3"/>
      <c r="T12" s="3"/>
      <c r="U12" s="3"/>
      <c r="V12" s="27">
        <f t="shared" si="0"/>
        <v>2498</v>
      </c>
      <c r="W12" s="4"/>
    </row>
    <row r="13" spans="1:24" x14ac:dyDescent="0.25">
      <c r="A13" s="89"/>
      <c r="B13" s="1">
        <v>2014</v>
      </c>
      <c r="C13" s="3"/>
      <c r="D13" s="3"/>
      <c r="E13" s="3"/>
      <c r="F13" s="3"/>
      <c r="G13" s="3"/>
      <c r="H13" s="3"/>
      <c r="I13" s="3"/>
      <c r="J13" s="79">
        <v>323</v>
      </c>
      <c r="K13" s="3"/>
      <c r="L13" s="3">
        <v>0</v>
      </c>
      <c r="M13" s="3"/>
      <c r="N13" s="3"/>
      <c r="O13" s="3"/>
      <c r="P13" s="3"/>
      <c r="Q13" s="3"/>
      <c r="R13" s="3"/>
      <c r="S13" s="3"/>
      <c r="T13" s="3"/>
      <c r="U13" s="3"/>
      <c r="V13" s="27">
        <f t="shared" si="0"/>
        <v>323</v>
      </c>
      <c r="W13" s="4"/>
    </row>
    <row r="14" spans="1:24" x14ac:dyDescent="0.25">
      <c r="B14" s="1">
        <v>2015</v>
      </c>
      <c r="C14" s="3"/>
      <c r="D14" s="3"/>
      <c r="E14" s="72"/>
      <c r="F14" s="3"/>
      <c r="G14" s="3"/>
      <c r="H14" s="3"/>
      <c r="I14" s="3"/>
      <c r="J14" s="3">
        <v>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27">
        <f t="shared" si="0"/>
        <v>0</v>
      </c>
    </row>
    <row r="15" spans="1:24" x14ac:dyDescent="0.25">
      <c r="B15" s="1">
        <v>2016</v>
      </c>
      <c r="J15" s="78">
        <v>14629</v>
      </c>
      <c r="V15" s="27">
        <f t="shared" si="0"/>
        <v>14629</v>
      </c>
    </row>
    <row r="16" spans="1:24" x14ac:dyDescent="0.25">
      <c r="B16" s="1">
        <v>2017</v>
      </c>
      <c r="J16" s="79">
        <v>462</v>
      </c>
      <c r="V16" s="27">
        <f t="shared" si="0"/>
        <v>462</v>
      </c>
    </row>
    <row r="17" spans="2:22" x14ac:dyDescent="0.25">
      <c r="B17" s="1">
        <v>2018</v>
      </c>
      <c r="J17" s="79">
        <v>860</v>
      </c>
      <c r="V17" s="27">
        <f t="shared" si="0"/>
        <v>860</v>
      </c>
    </row>
    <row r="19" spans="2:22" x14ac:dyDescent="0.25">
      <c r="B19" s="2" t="s">
        <v>19</v>
      </c>
      <c r="C19" s="3" t="s">
        <v>20</v>
      </c>
      <c r="D19" s="3" t="s">
        <v>22</v>
      </c>
      <c r="E19" s="3" t="s">
        <v>22</v>
      </c>
      <c r="F19" s="3" t="s">
        <v>20</v>
      </c>
      <c r="G19" s="3" t="s">
        <v>22</v>
      </c>
      <c r="H19" s="3" t="s">
        <v>20</v>
      </c>
      <c r="I19" s="3" t="s">
        <v>20</v>
      </c>
      <c r="J19" s="3" t="s">
        <v>20</v>
      </c>
      <c r="K19" s="3" t="s">
        <v>20</v>
      </c>
      <c r="L19" s="3" t="s">
        <v>22</v>
      </c>
      <c r="M19" s="3" t="s">
        <v>20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22</v>
      </c>
      <c r="U19" s="3" t="s">
        <v>20</v>
      </c>
    </row>
  </sheetData>
  <mergeCells count="2">
    <mergeCell ref="B1:U1"/>
    <mergeCell ref="A2:A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CO Summary Sheet CPS 327</vt:lpstr>
      <vt:lpstr>Emissions Calcs 327 Cons Cover</vt:lpstr>
      <vt:lpstr>CO Summary Sheet CPS 328</vt:lpstr>
      <vt:lpstr>Emissions Calcs 328 ConsCropRot</vt:lpstr>
      <vt:lpstr>CO Summary Sheet CPS 329</vt:lpstr>
      <vt:lpstr>EmissionCalcs 329 No-till</vt:lpstr>
      <vt:lpstr>CO Summary Sheet CPS 329A</vt:lpstr>
      <vt:lpstr>EmissionCalcs 329A</vt:lpstr>
      <vt:lpstr>CO Summary Sheet CPS 329B</vt:lpstr>
      <vt:lpstr>EmissionCalcs 329B Mulch Till</vt:lpstr>
      <vt:lpstr>CO Summary Sheet CPS 330</vt:lpstr>
      <vt:lpstr>Emission Calcs 330 Contour Farm</vt:lpstr>
      <vt:lpstr>CO Summary Sheet CPS 332</vt:lpstr>
      <vt:lpstr>Emission Calcs 332 Ctr Bufr Str</vt:lpstr>
      <vt:lpstr>CO Summary Sheet CPS 340</vt:lpstr>
      <vt:lpstr>Emissions Calcs 340 Cover Crop</vt:lpstr>
      <vt:lpstr>CO Summary Sheet CPS 345</vt:lpstr>
      <vt:lpstr>EmissionCalcs 345 ReducedTill</vt:lpstr>
      <vt:lpstr>CO Summary Sheet CPS 386</vt:lpstr>
      <vt:lpstr>Emission Calcs 386 Field Border</vt:lpstr>
      <vt:lpstr>CO Summary Sheet CPS 393</vt:lpstr>
      <vt:lpstr>Emission Calcs 393 Filter Strip</vt:lpstr>
      <vt:lpstr>CO Summary Sheet CPS 412</vt:lpstr>
      <vt:lpstr>Emission Calcs 412 Gr WaterWay</vt:lpstr>
      <vt:lpstr>CO Summary Sheet CPS 585</vt:lpstr>
      <vt:lpstr>EmissionCalcs 585 Strip Croppin</vt:lpstr>
      <vt:lpstr>CO Summary Sheet CPS 601</vt:lpstr>
      <vt:lpstr>Emission Calcs 601 Veg. Barrier</vt:lpstr>
      <vt:lpstr>CO Summary Sheet CPS 603</vt:lpstr>
      <vt:lpstr>Emission Calcs 603 Herb Wnd Bar</vt:lpstr>
      <vt:lpstr>Soil Health Master</vt:lpstr>
      <vt:lpstr>Soil Health w Apprp% Legacy Eff</vt:lpstr>
      <vt:lpstr>Graphing</vt:lpstr>
      <vt:lpstr>Acres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Chambers, Adam - NRCS, Portland, OR</dc:creator>
  <cp:lastModifiedBy>Nemecek, Jason - NRCS - Fort Collins, CO</cp:lastModifiedBy>
  <dcterms:created xsi:type="dcterms:W3CDTF">2015-09-23T17:38:45Z</dcterms:created>
  <dcterms:modified xsi:type="dcterms:W3CDTF">2021-02-17T23:46:17Z</dcterms:modified>
</cp:coreProperties>
</file>