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https://d.docs.live.net/69f8e10e7439a2bb/MARY LEIVA/COSTOS/"/>
    </mc:Choice>
  </mc:AlternateContent>
  <xr:revisionPtr revIDLastSave="10026" documentId="8_{B124EAF4-0C97-4C6D-9D17-5FBF1521DB83}" xr6:coauthVersionLast="47" xr6:coauthVersionMax="47" xr10:uidLastSave="{D396D8C5-2D70-4D7E-828E-3C081E4333F1}"/>
  <bookViews>
    <workbookView xWindow="-120" yWindow="-120" windowWidth="20730" windowHeight="11040" tabRatio="819" firstSheet="35" activeTab="45" xr2:uid="{00000000-000D-0000-FFFF-FFFF00000000}"/>
  </bookViews>
  <sheets>
    <sheet name="GEMAS" sheetId="34" state="hidden" r:id="rId1"/>
    <sheet name="PRODUCTOS" sheetId="25" state="hidden" r:id="rId2"/>
    <sheet name="HOLDERS ACRIL" sheetId="29" state="hidden" r:id="rId3"/>
    <sheet name="LISTA PRECIOS" sheetId="11" r:id="rId4"/>
    <sheet name="LISTA DE PRECIOS X MAYOR" sheetId="66" r:id="rId5"/>
    <sheet name="XMAYOR" sheetId="37" state="hidden" r:id="rId6"/>
    <sheet name="AROS, CADENAS, DIJES, ETC" sheetId="1" r:id="rId7"/>
    <sheet name="FORNITURAS" sheetId="64" r:id="rId8"/>
    <sheet name="INSUMOS VARIOS" sheetId="61" r:id="rId9"/>
    <sheet name="INS VARIOS" sheetId="3" state="hidden" r:id="rId10"/>
    <sheet name="PLATEADO" sheetId="71" r:id="rId11"/>
    <sheet name="HILOS-CORDONES-TANZA-CUERO" sheetId="60" r:id="rId12"/>
    <sheet name="PIEDRAS" sheetId="35" r:id="rId13"/>
    <sheet name="PERLAS" sheetId="62" r:id="rId14"/>
    <sheet name="PERLAS 2" sheetId="72" r:id="rId15"/>
    <sheet name="PALAIS DU BIJOU" sheetId="20" r:id="rId16"/>
    <sheet name="RESINA - ACRILICOS" sheetId="12" r:id="rId17"/>
    <sheet name="VIDRIOS" sheetId="9" r:id="rId18"/>
    <sheet name="PACKAGING" sheetId="5" r:id="rId19"/>
    <sheet name="PEDIDOS" sheetId="13" r:id="rId20"/>
    <sheet name="HOLDERS" sheetId="18" r:id="rId21"/>
    <sheet name="BEDOG" sheetId="38" state="hidden" r:id="rId22"/>
    <sheet name="CASA IKIGAI" sheetId="15" state="hidden" r:id="rId23"/>
    <sheet name="STRAPS" sheetId="36" r:id="rId24"/>
    <sheet name="OSITO" sheetId="43" r:id="rId25"/>
    <sheet name="CHARMS" sheetId="69" r:id="rId26"/>
    <sheet name="AROS" sheetId="50" r:id="rId27"/>
    <sheet name="CADENAS" sheetId="51" r:id="rId28"/>
    <sheet name="COLLAR INICIAL" sheetId="54" r:id="rId29"/>
    <sheet name="COLLARES" sheetId="53" r:id="rId30"/>
    <sheet name="LAZOS" sheetId="58" r:id="rId31"/>
    <sheet name="PULSERAS" sheetId="52" r:id="rId32"/>
    <sheet name="TOBILLERAS Y ANILLOS" sheetId="14" r:id="rId33"/>
    <sheet name="LLAVEROS" sheetId="68" r:id="rId34"/>
    <sheet name="VARIOS" sheetId="17" r:id="rId35"/>
    <sheet name="SOMBRERO" sheetId="70" r:id="rId36"/>
    <sheet name="CONTABILIUM" sheetId="67" r:id="rId37"/>
    <sheet name="SALE AROS" sheetId="56" state="hidden" r:id="rId38"/>
    <sheet name="SALE CADENAS" sheetId="59" state="hidden" r:id="rId39"/>
    <sheet name="SALE COLLARES" sheetId="55" state="hidden" r:id="rId40"/>
    <sheet name="PULSERAS FW21" sheetId="23" state="hidden" r:id="rId41"/>
    <sheet name="SALE PULSERAS" sheetId="57" state="hidden" r:id="rId42"/>
    <sheet name="AROS VER ´25" sheetId="77" r:id="rId43"/>
    <sheet name="COLLARES VER ´25" sheetId="74" r:id="rId44"/>
    <sheet name="CADENA VER ´25" sheetId="81" r:id="rId45"/>
    <sheet name="PULSERAS VER ´25" sheetId="75" r:id="rId46"/>
    <sheet name="LAZOS VER ´25" sheetId="76" r:id="rId47"/>
    <sheet name="CHARMS VER ´25" sheetId="78" r:id="rId48"/>
    <sheet name="BAG CHARM VER ´25" sheetId="79" r:id="rId49"/>
    <sheet name="ANILLOS VER ´25" sheetId="80" r:id="rId50"/>
    <sheet name="DIA DE LA MADRE" sheetId="73" r:id="rId51"/>
    <sheet name="EXHIBIDORES Y ALHAJEROS" sheetId="82" r:id="rId52"/>
    <sheet name="Hoja1" sheetId="83" r:id="rId53"/>
    <sheet name="CANASTOS" sheetId="16" state="hidden" r:id="rId54"/>
  </sheets>
  <definedNames>
    <definedName name="_xlnm._FilterDatabase" localSheetId="36" hidden="1">CONTABILIUM!$A$1:$T$1</definedName>
    <definedName name="ACRILICO">'HOLDERS ACRIL'!$B$27:$B$30</definedName>
    <definedName name="ANILLO">PRODUCTOS!$B$516:$B$524</definedName>
    <definedName name="APLIQUEYCINTO">GEMAS!$A$59:$A$84</definedName>
    <definedName name="_xlnm.Print_Area" localSheetId="3">'LISTA PRECIOS'!$A$96</definedName>
    <definedName name="ARO">PRODUCTOS!$B$2:$B$180</definedName>
    <definedName name="ARO.G">GEMAS!$A$3:$A$37</definedName>
    <definedName name="AROG">GEMAS!$A$3:$A$37</definedName>
    <definedName name="CADENA">PRODUCTOS!$B$547:$B$553</definedName>
    <definedName name="CANASTO">PRODUCTOS!$B$540:$B$546</definedName>
    <definedName name="COLLAR">PRODUCTOS!$B$193:$B$312</definedName>
    <definedName name="COLLAR.G">GEMAS!$A$52:$A$54</definedName>
    <definedName name="COLLARG">GEMAS!$A$52:$A$54</definedName>
    <definedName name="CORAZONPIEDRA">PRODUCTOS!$E$26:$E$29</definedName>
    <definedName name="DatosExternos_1" localSheetId="0" hidden="1">GEMAS!$A$1:$A$84</definedName>
    <definedName name="ESCARAPELA">GEMAS!$A$38:$A$51</definedName>
    <definedName name="FVENTA">PRODUCTOS!$K$2:$K$13</definedName>
    <definedName name="GEMAS">PRODUCTOS!$I$17:$I$26</definedName>
    <definedName name="HEBILLA">GEMAS!$A$73:$A$84</definedName>
    <definedName name="HOLDERS">PRODUCTOS!$I$16:$I$16</definedName>
    <definedName name="LAO">'HOLDERS ACRIL'!$B$12:$B$15</definedName>
    <definedName name="LAOMIX">'HOLDERS ACRIL'!$B$16:$B$22</definedName>
    <definedName name="LINEA">PRODUCTOS!$F$2:$F$14</definedName>
    <definedName name="MING">'HOLDERS ACRIL'!$B$2:$B$4</definedName>
    <definedName name="NEO">'HOLDERS ACRIL'!$B$5:$B$11</definedName>
    <definedName name="ORO">PRODUCTOS!$I$2:$I$14</definedName>
    <definedName name="PULSERA">PRODUCTOS!$B$365:$B$448</definedName>
    <definedName name="PULSERA.G">GEMAS!$A$55:$A$58</definedName>
    <definedName name="PULSERAG">GEMAS!$A$55:$A$58</definedName>
    <definedName name="TOBILLERA">PRODUCTOS!$B$514:$B$515</definedName>
    <definedName name="TOBILLERAS">PRODUCTOS!$B$514:$B$515</definedName>
    <definedName name="trebol">FORNITURAS!$B$17</definedName>
    <definedName name="VINCHA">GEMAS!$A$65:$A$72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30" i="75" l="1"/>
  <c r="D727" i="75"/>
  <c r="E727" i="75" s="1"/>
  <c r="E726" i="75"/>
  <c r="E725" i="75"/>
  <c r="D724" i="75"/>
  <c r="E724" i="75" s="1"/>
  <c r="D723" i="75"/>
  <c r="E723" i="75" s="1"/>
  <c r="D722" i="75"/>
  <c r="E722" i="75" s="1"/>
  <c r="E720" i="75"/>
  <c r="D713" i="75"/>
  <c r="E713" i="75" s="1"/>
  <c r="E712" i="75"/>
  <c r="E711" i="75"/>
  <c r="D710" i="75"/>
  <c r="E710" i="75" s="1"/>
  <c r="D709" i="75"/>
  <c r="E709" i="75" s="1"/>
  <c r="D708" i="75"/>
  <c r="E708" i="75" s="1"/>
  <c r="D707" i="75"/>
  <c r="E707" i="75" s="1"/>
  <c r="D706" i="75"/>
  <c r="E706" i="75" s="1"/>
  <c r="G716" i="75"/>
  <c r="D699" i="75"/>
  <c r="E699" i="75" s="1"/>
  <c r="E698" i="75"/>
  <c r="E697" i="75"/>
  <c r="D696" i="75"/>
  <c r="E696" i="75" s="1"/>
  <c r="D695" i="75"/>
  <c r="E695" i="75" s="1"/>
  <c r="D694" i="75"/>
  <c r="E694" i="75" s="1"/>
  <c r="G702" i="75"/>
  <c r="D687" i="75"/>
  <c r="E685" i="75"/>
  <c r="E686" i="75"/>
  <c r="D684" i="75"/>
  <c r="E684" i="75" s="1"/>
  <c r="D683" i="75"/>
  <c r="E683" i="75" s="1"/>
  <c r="D682" i="75"/>
  <c r="E682" i="75" s="1"/>
  <c r="D681" i="75"/>
  <c r="E681" i="75" s="1"/>
  <c r="E659" i="75"/>
  <c r="E641" i="75"/>
  <c r="G690" i="75"/>
  <c r="E687" i="75"/>
  <c r="D633" i="75"/>
  <c r="D1309" i="74"/>
  <c r="E1309" i="74" s="1"/>
  <c r="E1308" i="74"/>
  <c r="E1307" i="74"/>
  <c r="E1306" i="74"/>
  <c r="E1305" i="74"/>
  <c r="D1304" i="74"/>
  <c r="E1304" i="74" s="1"/>
  <c r="D1303" i="74"/>
  <c r="E1303" i="74" s="1"/>
  <c r="D1302" i="74"/>
  <c r="E1302" i="74" s="1"/>
  <c r="D1301" i="74"/>
  <c r="E1301" i="74" s="1"/>
  <c r="D1300" i="74"/>
  <c r="E1300" i="74" s="1"/>
  <c r="D1299" i="74"/>
  <c r="E1299" i="74" s="1"/>
  <c r="D1298" i="74"/>
  <c r="E1298" i="74" s="1"/>
  <c r="D1297" i="74"/>
  <c r="E1297" i="74" s="1"/>
  <c r="D1296" i="74"/>
  <c r="D1295" i="74"/>
  <c r="E1295" i="74" s="1"/>
  <c r="D1294" i="74"/>
  <c r="G1312" i="74"/>
  <c r="E1296" i="74"/>
  <c r="E1294" i="74"/>
  <c r="D1282" i="74"/>
  <c r="E1282" i="74" s="1"/>
  <c r="D1287" i="74"/>
  <c r="E1287" i="74" s="1"/>
  <c r="E1286" i="74"/>
  <c r="E1285" i="74"/>
  <c r="E1284" i="74"/>
  <c r="E1283" i="74"/>
  <c r="D1281" i="74"/>
  <c r="E1281" i="74" s="1"/>
  <c r="D1280" i="74"/>
  <c r="E1280" i="74" s="1"/>
  <c r="D1279" i="74"/>
  <c r="E1279" i="74" s="1"/>
  <c r="D1278" i="74"/>
  <c r="E1278" i="74" s="1"/>
  <c r="D1277" i="74"/>
  <c r="E1277" i="74" s="1"/>
  <c r="D1276" i="74"/>
  <c r="E1276" i="74" s="1"/>
  <c r="D1275" i="74"/>
  <c r="E1275" i="74" s="1"/>
  <c r="E1274" i="74"/>
  <c r="D1274" i="74"/>
  <c r="D1273" i="74"/>
  <c r="E1273" i="74" s="1"/>
  <c r="D1272" i="74"/>
  <c r="E1272" i="74" s="1"/>
  <c r="G1290" i="74"/>
  <c r="D1265" i="74"/>
  <c r="E1265" i="74" s="1"/>
  <c r="E1264" i="74"/>
  <c r="E1263" i="74"/>
  <c r="E1262" i="74"/>
  <c r="E1261" i="74"/>
  <c r="D1260" i="74"/>
  <c r="E1260" i="74" s="1"/>
  <c r="D1259" i="74"/>
  <c r="E1259" i="74" s="1"/>
  <c r="D1258" i="74"/>
  <c r="E1258" i="74" s="1"/>
  <c r="D1257" i="74"/>
  <c r="E1257" i="74" s="1"/>
  <c r="D1256" i="74"/>
  <c r="E1256" i="74" s="1"/>
  <c r="D1255" i="74"/>
  <c r="E1255" i="74" s="1"/>
  <c r="D1254" i="74"/>
  <c r="E1254" i="74" s="1"/>
  <c r="D1253" i="74"/>
  <c r="E1253" i="74" s="1"/>
  <c r="D1239" i="74"/>
  <c r="E1239" i="74" s="1"/>
  <c r="D1200" i="74"/>
  <c r="E1200" i="74" s="1"/>
  <c r="G1268" i="74"/>
  <c r="D1236" i="74"/>
  <c r="E1236" i="74" s="1"/>
  <c r="D1246" i="74"/>
  <c r="E1246" i="74" s="1"/>
  <c r="D1242" i="74"/>
  <c r="E1242" i="74" s="1"/>
  <c r="D1241" i="74"/>
  <c r="D1240" i="74"/>
  <c r="E1240" i="74" s="1"/>
  <c r="D1238" i="74"/>
  <c r="E1238" i="74" s="1"/>
  <c r="D1237" i="74"/>
  <c r="E1237" i="74" s="1"/>
  <c r="G1249" i="74"/>
  <c r="G1248" i="74"/>
  <c r="E1245" i="74"/>
  <c r="E1244" i="74"/>
  <c r="E1243" i="74"/>
  <c r="I1249" i="74"/>
  <c r="D1216" i="74"/>
  <c r="E1216" i="74" s="1"/>
  <c r="D1229" i="74"/>
  <c r="E1229" i="74" s="1"/>
  <c r="E1228" i="74"/>
  <c r="E1227" i="74"/>
  <c r="E1226" i="74"/>
  <c r="E1225" i="74"/>
  <c r="D1224" i="74"/>
  <c r="E1224" i="74" s="1"/>
  <c r="D1223" i="74"/>
  <c r="E1223" i="74" s="1"/>
  <c r="D1222" i="74"/>
  <c r="E1222" i="74" s="1"/>
  <c r="D1221" i="74"/>
  <c r="E1221" i="74" s="1"/>
  <c r="D1220" i="74"/>
  <c r="E1220" i="74" s="1"/>
  <c r="D1219" i="74"/>
  <c r="E1219" i="74" s="1"/>
  <c r="D1218" i="74"/>
  <c r="E1218" i="74" s="1"/>
  <c r="D1217" i="74"/>
  <c r="E1217" i="74" s="1"/>
  <c r="D1215" i="74"/>
  <c r="E1215" i="74" s="1"/>
  <c r="D1157" i="74"/>
  <c r="D1158" i="74"/>
  <c r="E1158" i="74" s="1"/>
  <c r="G1232" i="74"/>
  <c r="D1101" i="74"/>
  <c r="G69" i="81"/>
  <c r="G68" i="81"/>
  <c r="D66" i="81"/>
  <c r="E66" i="81" s="1"/>
  <c r="E65" i="81"/>
  <c r="E64" i="81"/>
  <c r="E63" i="81"/>
  <c r="E62" i="81"/>
  <c r="D62" i="81"/>
  <c r="E61" i="81"/>
  <c r="D61" i="81"/>
  <c r="D60" i="81"/>
  <c r="E60" i="81" s="1"/>
  <c r="D59" i="81"/>
  <c r="E59" i="81" s="1"/>
  <c r="E58" i="81"/>
  <c r="D58" i="81"/>
  <c r="E57" i="81"/>
  <c r="D57" i="81"/>
  <c r="D56" i="81"/>
  <c r="E56" i="81" s="1"/>
  <c r="D55" i="81"/>
  <c r="E55" i="81" s="1"/>
  <c r="E54" i="81"/>
  <c r="D54" i="81"/>
  <c r="E53" i="81"/>
  <c r="D53" i="81"/>
  <c r="D52" i="81"/>
  <c r="E52" i="81" s="1"/>
  <c r="D51" i="81"/>
  <c r="E51" i="81" s="1"/>
  <c r="K95" i="1"/>
  <c r="K64" i="1"/>
  <c r="K77" i="1"/>
  <c r="K65" i="1"/>
  <c r="P206" i="1"/>
  <c r="P207" i="1"/>
  <c r="P208" i="1"/>
  <c r="P209" i="1"/>
  <c r="R208" i="1"/>
  <c r="G421" i="76"/>
  <c r="G420" i="76"/>
  <c r="E410" i="76"/>
  <c r="E419" i="76" s="1"/>
  <c r="D410" i="76"/>
  <c r="D418" i="76"/>
  <c r="E417" i="76"/>
  <c r="E416" i="76"/>
  <c r="D413" i="76"/>
  <c r="E413" i="76" s="1"/>
  <c r="D412" i="76"/>
  <c r="D411" i="76"/>
  <c r="E411" i="76" s="1"/>
  <c r="D409" i="76"/>
  <c r="I421" i="76"/>
  <c r="E418" i="76"/>
  <c r="D414" i="76"/>
  <c r="E414" i="76" s="1"/>
  <c r="E412" i="76"/>
  <c r="E409" i="76"/>
  <c r="E672" i="75"/>
  <c r="D671" i="75"/>
  <c r="E671" i="75" s="1"/>
  <c r="D674" i="75"/>
  <c r="E674" i="75" s="1"/>
  <c r="E673" i="75"/>
  <c r="D670" i="75"/>
  <c r="E670" i="75" s="1"/>
  <c r="D669" i="75"/>
  <c r="E669" i="75" s="1"/>
  <c r="D668" i="75"/>
  <c r="E668" i="75" s="1"/>
  <c r="G677" i="75"/>
  <c r="D47" i="1"/>
  <c r="D46" i="1"/>
  <c r="D12" i="64"/>
  <c r="D1078" i="74"/>
  <c r="E1078" i="74" s="1"/>
  <c r="E1077" i="74"/>
  <c r="E1076" i="74"/>
  <c r="E1075" i="74"/>
  <c r="E1074" i="74"/>
  <c r="D1067" i="74"/>
  <c r="E1067" i="74" s="1"/>
  <c r="D1065" i="74"/>
  <c r="E1065" i="74" s="1"/>
  <c r="G1081" i="74"/>
  <c r="D1190" i="74"/>
  <c r="E1190" i="74" s="1"/>
  <c r="E1189" i="74"/>
  <c r="E1188" i="74"/>
  <c r="E1187" i="74"/>
  <c r="E1186" i="74"/>
  <c r="D1179" i="74"/>
  <c r="E1179" i="74" s="1"/>
  <c r="D1178" i="74"/>
  <c r="E1178" i="74" s="1"/>
  <c r="D1177" i="74"/>
  <c r="E1177" i="74" s="1"/>
  <c r="G1193" i="74"/>
  <c r="D629" i="75"/>
  <c r="E629" i="75" s="1"/>
  <c r="D1087" i="74"/>
  <c r="E1087" i="74" s="1"/>
  <c r="D1092" i="74"/>
  <c r="E1092" i="74" s="1"/>
  <c r="F104" i="35"/>
  <c r="F103" i="35"/>
  <c r="F68" i="35"/>
  <c r="F67" i="35"/>
  <c r="F69" i="35"/>
  <c r="F66" i="35"/>
  <c r="F72" i="35"/>
  <c r="F102" i="35"/>
  <c r="R190" i="1"/>
  <c r="F65" i="64"/>
  <c r="F143" i="35"/>
  <c r="F70" i="35"/>
  <c r="F138" i="35"/>
  <c r="D1159" i="74"/>
  <c r="E1159" i="74" s="1"/>
  <c r="D1170" i="74"/>
  <c r="E1170" i="74" s="1"/>
  <c r="E1169" i="74"/>
  <c r="E1168" i="74"/>
  <c r="E1167" i="74"/>
  <c r="E1166" i="74"/>
  <c r="G1173" i="74"/>
  <c r="G405" i="76"/>
  <c r="G404" i="76"/>
  <c r="D402" i="76"/>
  <c r="E402" i="76" s="1"/>
  <c r="E401" i="76"/>
  <c r="E400" i="76"/>
  <c r="D397" i="76"/>
  <c r="E397" i="76" s="1"/>
  <c r="D394" i="76"/>
  <c r="I405" i="76"/>
  <c r="E394" i="76"/>
  <c r="H390" i="76"/>
  <c r="H389" i="76"/>
  <c r="E387" i="76"/>
  <c r="F387" i="76" s="1"/>
  <c r="F386" i="76"/>
  <c r="F385" i="76"/>
  <c r="E381" i="76"/>
  <c r="F381" i="76" s="1"/>
  <c r="E380" i="76"/>
  <c r="F380" i="76" s="1"/>
  <c r="J390" i="76"/>
  <c r="G376" i="76"/>
  <c r="G375" i="76"/>
  <c r="D373" i="76"/>
  <c r="E373" i="76" s="1"/>
  <c r="E372" i="76"/>
  <c r="E371" i="76"/>
  <c r="D365" i="76"/>
  <c r="E365" i="76" s="1"/>
  <c r="D364" i="76"/>
  <c r="E364" i="76" s="1"/>
  <c r="I376" i="76"/>
  <c r="G1401" i="74"/>
  <c r="G1400" i="74"/>
  <c r="D1398" i="74"/>
  <c r="E1398" i="74" s="1"/>
  <c r="E1397" i="74"/>
  <c r="E1396" i="74"/>
  <c r="D1393" i="74"/>
  <c r="E1393" i="74" s="1"/>
  <c r="D1385" i="74"/>
  <c r="E1385" i="74" s="1"/>
  <c r="D1382" i="74"/>
  <c r="E1382" i="74" s="1"/>
  <c r="D819" i="75"/>
  <c r="E819" i="75" s="1"/>
  <c r="D624" i="75"/>
  <c r="H24" i="72"/>
  <c r="G24" i="72"/>
  <c r="D830" i="75"/>
  <c r="E830" i="75" s="1"/>
  <c r="E829" i="75"/>
  <c r="E828" i="75"/>
  <c r="E827" i="75"/>
  <c r="D823" i="75"/>
  <c r="E823" i="75" s="1"/>
  <c r="D818" i="75"/>
  <c r="E818" i="75" s="1"/>
  <c r="E640" i="75"/>
  <c r="E639" i="75"/>
  <c r="E658" i="75"/>
  <c r="E657" i="75"/>
  <c r="G833" i="75"/>
  <c r="D661" i="75"/>
  <c r="E661" i="75" s="1"/>
  <c r="E660" i="75"/>
  <c r="D653" i="75"/>
  <c r="E653" i="75" s="1"/>
  <c r="D650" i="75"/>
  <c r="E650" i="75" s="1"/>
  <c r="G664" i="75"/>
  <c r="D1135" i="74"/>
  <c r="E1135" i="74" s="1"/>
  <c r="D1147" i="74"/>
  <c r="E1147" i="74" s="1"/>
  <c r="E1146" i="74"/>
  <c r="E1144" i="74"/>
  <c r="E1143" i="74"/>
  <c r="E1142" i="74"/>
  <c r="D1137" i="74"/>
  <c r="E1137" i="74" s="1"/>
  <c r="E1124" i="74"/>
  <c r="G1150" i="74"/>
  <c r="D1128" i="74"/>
  <c r="E1128" i="74" s="1"/>
  <c r="E1127" i="74"/>
  <c r="E1125" i="74"/>
  <c r="E1123" i="74"/>
  <c r="D1117" i="74"/>
  <c r="E1117" i="74" s="1"/>
  <c r="D1116" i="74"/>
  <c r="E1116" i="74" s="1"/>
  <c r="G1131" i="74"/>
  <c r="G1112" i="74"/>
  <c r="G1111" i="74"/>
  <c r="D1109" i="74"/>
  <c r="E1109" i="74" s="1"/>
  <c r="E1108" i="74"/>
  <c r="E1107" i="74"/>
  <c r="D1104" i="74"/>
  <c r="E1104" i="74" s="1"/>
  <c r="D636" i="75"/>
  <c r="E636" i="75" s="1"/>
  <c r="D643" i="75"/>
  <c r="E643" i="75" s="1"/>
  <c r="E642" i="75"/>
  <c r="D1323" i="74"/>
  <c r="E1323" i="74" s="1"/>
  <c r="D805" i="75"/>
  <c r="E805" i="75" s="1"/>
  <c r="D794" i="75"/>
  <c r="E794" i="75" s="1"/>
  <c r="D779" i="75"/>
  <c r="E779" i="75" s="1"/>
  <c r="E760" i="75"/>
  <c r="F760" i="75" s="1"/>
  <c r="G646" i="75"/>
  <c r="D807" i="75"/>
  <c r="E807" i="75" s="1"/>
  <c r="E806" i="75"/>
  <c r="D803" i="75"/>
  <c r="E803" i="75" s="1"/>
  <c r="G810" i="75"/>
  <c r="K74" i="1"/>
  <c r="AC47" i="77"/>
  <c r="AC46" i="77"/>
  <c r="AB45" i="77"/>
  <c r="AC45" i="77" s="1"/>
  <c r="AE50" i="77"/>
  <c r="D36" i="64"/>
  <c r="D35" i="64"/>
  <c r="D398" i="76" s="1"/>
  <c r="E398" i="76" s="1"/>
  <c r="E43" i="81"/>
  <c r="D44" i="81"/>
  <c r="E44" i="81" s="1"/>
  <c r="E42" i="81"/>
  <c r="E40" i="81"/>
  <c r="E39" i="81"/>
  <c r="G47" i="81"/>
  <c r="E728" i="75" l="1"/>
  <c r="E729" i="75" s="1"/>
  <c r="F729" i="75" s="1"/>
  <c r="E700" i="75"/>
  <c r="E701" i="75" s="1"/>
  <c r="F701" i="75" s="1"/>
  <c r="E714" i="75"/>
  <c r="E715" i="75" s="1"/>
  <c r="F715" i="75" s="1"/>
  <c r="E688" i="75"/>
  <c r="E689" i="75" s="1"/>
  <c r="F689" i="75" s="1"/>
  <c r="E1310" i="74"/>
  <c r="E1311" i="74" s="1"/>
  <c r="F1311" i="74" s="1"/>
  <c r="E1288" i="74"/>
  <c r="E1289" i="74" s="1"/>
  <c r="F1289" i="74" s="1"/>
  <c r="E1247" i="74"/>
  <c r="E1266" i="74"/>
  <c r="E1267" i="74" s="1"/>
  <c r="F1267" i="74" s="1"/>
  <c r="E1230" i="74"/>
  <c r="E1231" i="74" s="1"/>
  <c r="F1231" i="74" s="1"/>
  <c r="E67" i="81"/>
  <c r="E675" i="75"/>
  <c r="E676" i="75" s="1"/>
  <c r="F676" i="75" s="1"/>
  <c r="AC48" i="77"/>
  <c r="AC49" i="77" s="1"/>
  <c r="AD49" i="77" s="1"/>
  <c r="F61" i="64"/>
  <c r="F71" i="35"/>
  <c r="F65" i="35"/>
  <c r="F64" i="35"/>
  <c r="F51" i="35"/>
  <c r="D1095" i="74" s="1"/>
  <c r="E1095" i="74" s="1"/>
  <c r="F84" i="35"/>
  <c r="F48" i="35"/>
  <c r="O3" i="72"/>
  <c r="F34" i="35"/>
  <c r="F157" i="35"/>
  <c r="F101" i="35"/>
  <c r="F100" i="35"/>
  <c r="R207" i="1"/>
  <c r="R206" i="1"/>
  <c r="E16" i="60"/>
  <c r="I18" i="64"/>
  <c r="D1066" i="74" s="1"/>
  <c r="E1066" i="74" s="1"/>
  <c r="D29" i="64"/>
  <c r="D28" i="64"/>
  <c r="D22" i="64"/>
  <c r="R209" i="1"/>
  <c r="D796" i="75"/>
  <c r="E796" i="75" s="1"/>
  <c r="E795" i="75"/>
  <c r="F27" i="35"/>
  <c r="D791" i="75" s="1"/>
  <c r="E791" i="75" s="1"/>
  <c r="G799" i="75"/>
  <c r="F142" i="35"/>
  <c r="D784" i="75"/>
  <c r="E784" i="75" s="1"/>
  <c r="E783" i="75"/>
  <c r="D777" i="75"/>
  <c r="E777" i="75" s="1"/>
  <c r="G787" i="75"/>
  <c r="D1375" i="74"/>
  <c r="E1375" i="74" s="1"/>
  <c r="E1374" i="74"/>
  <c r="E1372" i="74"/>
  <c r="E1371" i="74"/>
  <c r="D1363" i="74"/>
  <c r="E1363" i="74" s="1"/>
  <c r="G1378" i="74"/>
  <c r="G1357" i="74"/>
  <c r="G1356" i="74"/>
  <c r="D1354" i="74"/>
  <c r="E1354" i="74" s="1"/>
  <c r="E1353" i="74"/>
  <c r="E1352" i="74"/>
  <c r="E1351" i="74"/>
  <c r="D1339" i="74"/>
  <c r="E1339" i="74" s="1"/>
  <c r="I1357" i="74"/>
  <c r="F156" i="35"/>
  <c r="E755" i="75"/>
  <c r="F755" i="75" s="1"/>
  <c r="F766" i="75"/>
  <c r="F765" i="75"/>
  <c r="E768" i="75"/>
  <c r="F768" i="75" s="1"/>
  <c r="F767" i="75"/>
  <c r="F764" i="75"/>
  <c r="F26" i="35"/>
  <c r="H771" i="75"/>
  <c r="E613" i="75"/>
  <c r="F613" i="75" s="1"/>
  <c r="F612" i="75"/>
  <c r="F611" i="75"/>
  <c r="E606" i="75"/>
  <c r="F606" i="75" s="1"/>
  <c r="E605" i="75"/>
  <c r="F605" i="75" s="1"/>
  <c r="H616" i="75"/>
  <c r="D1058" i="74"/>
  <c r="E1058" i="74" s="1"/>
  <c r="E1057" i="74"/>
  <c r="E1055" i="74"/>
  <c r="E1054" i="74"/>
  <c r="D1053" i="74"/>
  <c r="E1053" i="74" s="1"/>
  <c r="D1048" i="74"/>
  <c r="E1048" i="74" s="1"/>
  <c r="G1061" i="74"/>
  <c r="D1416" i="74"/>
  <c r="E1416" i="74" s="1"/>
  <c r="E1415" i="74"/>
  <c r="E1414" i="74"/>
  <c r="E1413" i="74"/>
  <c r="E1412" i="74"/>
  <c r="D1405" i="74"/>
  <c r="E1405" i="74" s="1"/>
  <c r="G1419" i="74"/>
  <c r="D1332" i="74"/>
  <c r="E1332" i="74" s="1"/>
  <c r="E1331" i="74"/>
  <c r="E1330" i="74"/>
  <c r="E1329" i="74"/>
  <c r="E1328" i="74"/>
  <c r="D1319" i="74"/>
  <c r="E1319" i="74" s="1"/>
  <c r="G1335" i="74"/>
  <c r="D9" i="64"/>
  <c r="D97" i="1"/>
  <c r="D23" i="64"/>
  <c r="D1032" i="74"/>
  <c r="E1032" i="74" s="1"/>
  <c r="E1036" i="74"/>
  <c r="E1037" i="74"/>
  <c r="E1038" i="74"/>
  <c r="D1039" i="74"/>
  <c r="E1039" i="74" s="1"/>
  <c r="G1041" i="74"/>
  <c r="G1042" i="74"/>
  <c r="I1042" i="74"/>
  <c r="F551" i="75"/>
  <c r="F524" i="75"/>
  <c r="F508" i="75"/>
  <c r="G492" i="75"/>
  <c r="G479" i="75"/>
  <c r="G466" i="75"/>
  <c r="E352" i="76"/>
  <c r="E332" i="76"/>
  <c r="E155" i="79"/>
  <c r="E174" i="79"/>
  <c r="F537" i="75"/>
  <c r="E594" i="75"/>
  <c r="E575" i="75"/>
  <c r="F564" i="75"/>
  <c r="F580" i="75"/>
  <c r="F599" i="75"/>
  <c r="I360" i="76"/>
  <c r="I338" i="76"/>
  <c r="E1248" i="74" l="1"/>
  <c r="F1248" i="74" s="1"/>
  <c r="H1248" i="74" s="1"/>
  <c r="F1247" i="74"/>
  <c r="F67" i="81"/>
  <c r="E68" i="81"/>
  <c r="F68" i="81" s="1"/>
  <c r="H68" i="81" s="1"/>
  <c r="E420" i="76"/>
  <c r="F420" i="76" s="1"/>
  <c r="H420" i="76" s="1"/>
  <c r="F419" i="76"/>
  <c r="D1090" i="74"/>
  <c r="E1090" i="74" s="1"/>
  <c r="D627" i="75"/>
  <c r="E627" i="75" s="1"/>
  <c r="D1340" i="74"/>
  <c r="E1340" i="74" s="1"/>
  <c r="D1156" i="74"/>
  <c r="E1156" i="74" s="1"/>
  <c r="D1155" i="74"/>
  <c r="E1155" i="74" s="1"/>
  <c r="D1091" i="74"/>
  <c r="E1091" i="74" s="1"/>
  <c r="D628" i="75"/>
  <c r="E628" i="75" s="1"/>
  <c r="D1094" i="74"/>
  <c r="E1094" i="74" s="1"/>
  <c r="D631" i="75"/>
  <c r="E631" i="75" s="1"/>
  <c r="D625" i="75"/>
  <c r="E625" i="75" s="1"/>
  <c r="D1384" i="74"/>
  <c r="E1384" i="74" s="1"/>
  <c r="D817" i="75"/>
  <c r="E817" i="75" s="1"/>
  <c r="D1088" i="74"/>
  <c r="E1088" i="74" s="1"/>
  <c r="D776" i="75"/>
  <c r="E776" i="75" s="1"/>
  <c r="D1387" i="74"/>
  <c r="E1387" i="74" s="1"/>
  <c r="D816" i="75"/>
  <c r="E816" i="75" s="1"/>
  <c r="D1362" i="74"/>
  <c r="E1362" i="74" s="1"/>
  <c r="E756" i="75"/>
  <c r="F756" i="75" s="1"/>
  <c r="G360" i="76"/>
  <c r="G359" i="76"/>
  <c r="F1025" i="74"/>
  <c r="F1009" i="74"/>
  <c r="F993" i="74"/>
  <c r="F978" i="74"/>
  <c r="G963" i="74"/>
  <c r="F47" i="35"/>
  <c r="N19" i="52"/>
  <c r="K90" i="1"/>
  <c r="D171" i="1"/>
  <c r="D177" i="79"/>
  <c r="E177" i="79" s="1"/>
  <c r="E176" i="79"/>
  <c r="E173" i="79"/>
  <c r="E172" i="79"/>
  <c r="D168" i="79"/>
  <c r="E168" i="79" s="1"/>
  <c r="D167" i="79"/>
  <c r="E167" i="79" s="1"/>
  <c r="F181" i="79"/>
  <c r="D157" i="79"/>
  <c r="E157" i="79" s="1"/>
  <c r="E156" i="79"/>
  <c r="E154" i="79"/>
  <c r="E153" i="79"/>
  <c r="D149" i="79"/>
  <c r="E149" i="79" s="1"/>
  <c r="D148" i="79"/>
  <c r="E148" i="79" s="1"/>
  <c r="F161" i="79"/>
  <c r="D357" i="76"/>
  <c r="E357" i="76" s="1"/>
  <c r="E356" i="76"/>
  <c r="E355" i="76"/>
  <c r="D351" i="76"/>
  <c r="E351" i="76" s="1"/>
  <c r="D350" i="76"/>
  <c r="E350" i="76" s="1"/>
  <c r="D346" i="76"/>
  <c r="E346" i="76" s="1"/>
  <c r="D345" i="76"/>
  <c r="E345" i="76" s="1"/>
  <c r="D595" i="75"/>
  <c r="E595" i="75" s="1"/>
  <c r="E593" i="75"/>
  <c r="E592" i="75"/>
  <c r="D591" i="75"/>
  <c r="E591" i="75" s="1"/>
  <c r="D590" i="75"/>
  <c r="E590" i="75" s="1"/>
  <c r="D587" i="75"/>
  <c r="E587" i="75" s="1"/>
  <c r="D586" i="75"/>
  <c r="E586" i="75" s="1"/>
  <c r="D576" i="75"/>
  <c r="E576" i="75" s="1"/>
  <c r="E574" i="75"/>
  <c r="E573" i="75"/>
  <c r="E559" i="75"/>
  <c r="E558" i="75"/>
  <c r="E557" i="75"/>
  <c r="E546" i="75"/>
  <c r="E545" i="75"/>
  <c r="E544" i="75"/>
  <c r="E532" i="75"/>
  <c r="E531" i="75"/>
  <c r="E530" i="75"/>
  <c r="E1017" i="74"/>
  <c r="E1001" i="74"/>
  <c r="E985" i="74"/>
  <c r="E971" i="74"/>
  <c r="D560" i="75"/>
  <c r="E560" i="75" s="1"/>
  <c r="D547" i="75"/>
  <c r="E547" i="75" s="1"/>
  <c r="P204" i="1"/>
  <c r="D529" i="75" s="1"/>
  <c r="E529" i="75" s="1"/>
  <c r="R204" i="1"/>
  <c r="D533" i="75"/>
  <c r="E533" i="75" s="1"/>
  <c r="D1021" i="74"/>
  <c r="E1021" i="74" s="1"/>
  <c r="E1020" i="74"/>
  <c r="E1019" i="74"/>
  <c r="E1018" i="74"/>
  <c r="E1015" i="74"/>
  <c r="E1002" i="74"/>
  <c r="E1003" i="74"/>
  <c r="E1004" i="74"/>
  <c r="D1005" i="74"/>
  <c r="E1005" i="74" s="1"/>
  <c r="E999" i="74"/>
  <c r="E987" i="74"/>
  <c r="D989" i="74"/>
  <c r="E989" i="74" s="1"/>
  <c r="E988" i="74"/>
  <c r="E986" i="74"/>
  <c r="D974" i="74"/>
  <c r="E974" i="74" s="1"/>
  <c r="E973" i="74"/>
  <c r="E972" i="74"/>
  <c r="E970" i="74"/>
  <c r="D327" i="76"/>
  <c r="E327" i="76" s="1"/>
  <c r="G338" i="76"/>
  <c r="G337" i="76"/>
  <c r="D335" i="76"/>
  <c r="E335" i="76" s="1"/>
  <c r="E333" i="76"/>
  <c r="E334" i="76"/>
  <c r="D520" i="75"/>
  <c r="E520" i="75" s="1"/>
  <c r="E519" i="75"/>
  <c r="E518" i="75"/>
  <c r="D514" i="75"/>
  <c r="E514" i="75" s="1"/>
  <c r="D504" i="75"/>
  <c r="E504" i="75" s="1"/>
  <c r="E503" i="75"/>
  <c r="E502" i="75"/>
  <c r="D498" i="75"/>
  <c r="E498" i="75" s="1"/>
  <c r="M15" i="52"/>
  <c r="D1342" i="74" l="1"/>
  <c r="E1342" i="74" s="1"/>
  <c r="D395" i="76"/>
  <c r="E395" i="76" s="1"/>
  <c r="O18" i="72"/>
  <c r="F99" i="35"/>
  <c r="F98" i="35"/>
  <c r="F97" i="35"/>
  <c r="F95" i="35"/>
  <c r="F96" i="35"/>
  <c r="F137" i="35"/>
  <c r="F44" i="35"/>
  <c r="F85" i="35"/>
  <c r="E15" i="60"/>
  <c r="AC37" i="77"/>
  <c r="AC36" i="77"/>
  <c r="AB35" i="77"/>
  <c r="AC35" i="77" s="1"/>
  <c r="AC38" i="77" s="1"/>
  <c r="AC39" i="77" s="1"/>
  <c r="AD39" i="77" s="1"/>
  <c r="AE40" i="77"/>
  <c r="E484" i="77"/>
  <c r="E483" i="77"/>
  <c r="D482" i="77"/>
  <c r="E482" i="77" s="1"/>
  <c r="E485" i="77" s="1"/>
  <c r="G487" i="77"/>
  <c r="E475" i="77"/>
  <c r="E474" i="77"/>
  <c r="D473" i="77"/>
  <c r="E473" i="77" s="1"/>
  <c r="E476" i="77" s="1"/>
  <c r="G478" i="77"/>
  <c r="D76" i="1"/>
  <c r="D75" i="1"/>
  <c r="D170" i="1"/>
  <c r="E474" i="75"/>
  <c r="D476" i="75"/>
  <c r="E476" i="75" s="1"/>
  <c r="E475" i="75"/>
  <c r="D472" i="75"/>
  <c r="E472" i="75" s="1"/>
  <c r="D489" i="75"/>
  <c r="E489" i="75" s="1"/>
  <c r="E488" i="75"/>
  <c r="E487" i="75"/>
  <c r="D485" i="75"/>
  <c r="E485" i="75" s="1"/>
  <c r="D463" i="75"/>
  <c r="E463" i="75" s="1"/>
  <c r="E462" i="75"/>
  <c r="E461" i="75"/>
  <c r="D459" i="75"/>
  <c r="E459" i="75" s="1"/>
  <c r="I15" i="64"/>
  <c r="E407" i="77"/>
  <c r="E406" i="77"/>
  <c r="D405" i="77"/>
  <c r="E405" i="77" s="1"/>
  <c r="D42" i="1"/>
  <c r="D314" i="76"/>
  <c r="E314" i="76" s="1"/>
  <c r="E313" i="76"/>
  <c r="E312" i="76"/>
  <c r="E311" i="76"/>
  <c r="D299" i="76"/>
  <c r="E299" i="76" s="1"/>
  <c r="E298" i="76"/>
  <c r="E297" i="76"/>
  <c r="E296" i="76"/>
  <c r="E466" i="77"/>
  <c r="D464" i="77"/>
  <c r="E464" i="77" s="1"/>
  <c r="E465" i="77"/>
  <c r="E457" i="77"/>
  <c r="E456" i="77"/>
  <c r="D455" i="77"/>
  <c r="E455" i="77" s="1"/>
  <c r="E427" i="77"/>
  <c r="E417" i="77"/>
  <c r="E447" i="77"/>
  <c r="E446" i="77"/>
  <c r="D445" i="77"/>
  <c r="E445" i="77" s="1"/>
  <c r="E437" i="77"/>
  <c r="E436" i="77"/>
  <c r="D435" i="77"/>
  <c r="E435" i="77" s="1"/>
  <c r="E438" i="77" s="1"/>
  <c r="E439" i="77" s="1"/>
  <c r="F439" i="77" s="1"/>
  <c r="D630" i="75" l="1"/>
  <c r="E630" i="75" s="1"/>
  <c r="D1093" i="74"/>
  <c r="E1093" i="74" s="1"/>
  <c r="D1386" i="74"/>
  <c r="E1386" i="74" s="1"/>
  <c r="D815" i="75"/>
  <c r="E815" i="75" s="1"/>
  <c r="D1097" i="74"/>
  <c r="E1097" i="74" s="1"/>
  <c r="D620" i="75"/>
  <c r="E620" i="75" s="1"/>
  <c r="D1361" i="74"/>
  <c r="E1361" i="74" s="1"/>
  <c r="D775" i="75"/>
  <c r="E775" i="75" s="1"/>
  <c r="E486" i="77"/>
  <c r="F486" i="77" s="1"/>
  <c r="E477" i="77"/>
  <c r="F477" i="77" s="1"/>
  <c r="E467" i="77"/>
  <c r="E468" i="77" s="1"/>
  <c r="F468" i="77" s="1"/>
  <c r="E408" i="77"/>
  <c r="E409" i="77" s="1"/>
  <c r="F409" i="77" s="1"/>
  <c r="E458" i="77"/>
  <c r="E459" i="77" s="1"/>
  <c r="F459" i="77" s="1"/>
  <c r="E448" i="77"/>
  <c r="E449" i="77" s="1"/>
  <c r="F449" i="77" s="1"/>
  <c r="E426" i="77" l="1"/>
  <c r="D425" i="77"/>
  <c r="E425" i="77" s="1"/>
  <c r="E428" i="77" s="1"/>
  <c r="E429" i="77" s="1"/>
  <c r="F429" i="77" s="1"/>
  <c r="E416" i="77"/>
  <c r="D415" i="77"/>
  <c r="E415" i="77" s="1"/>
  <c r="E418" i="77" s="1"/>
  <c r="E419" i="77" s="1"/>
  <c r="F419" i="77" s="1"/>
  <c r="D396" i="77"/>
  <c r="E396" i="77" s="1"/>
  <c r="E398" i="77"/>
  <c r="E397" i="77"/>
  <c r="E388" i="77"/>
  <c r="E387" i="77"/>
  <c r="D386" i="77"/>
  <c r="E386" i="77" s="1"/>
  <c r="E378" i="77"/>
  <c r="E377" i="77"/>
  <c r="D376" i="77"/>
  <c r="E376" i="77" s="1"/>
  <c r="E368" i="77"/>
  <c r="E367" i="77"/>
  <c r="D366" i="77"/>
  <c r="E366" i="77" s="1"/>
  <c r="E359" i="77"/>
  <c r="E358" i="77"/>
  <c r="D357" i="77"/>
  <c r="E357" i="77" s="1"/>
  <c r="D74" i="1"/>
  <c r="D73" i="1"/>
  <c r="D72" i="1"/>
  <c r="D71" i="1"/>
  <c r="D169" i="1"/>
  <c r="D168" i="1"/>
  <c r="D45" i="1"/>
  <c r="D70" i="1"/>
  <c r="D69" i="1"/>
  <c r="D68" i="1"/>
  <c r="D44" i="1"/>
  <c r="D43" i="1"/>
  <c r="H285" i="76"/>
  <c r="H284" i="76"/>
  <c r="E282" i="76"/>
  <c r="F282" i="76" s="1"/>
  <c r="F281" i="76"/>
  <c r="F280" i="76"/>
  <c r="J285" i="76"/>
  <c r="P205" i="1"/>
  <c r="E277" i="76" s="1"/>
  <c r="F277" i="76" s="1"/>
  <c r="E264" i="76"/>
  <c r="F264" i="76" s="1"/>
  <c r="H272" i="76"/>
  <c r="H271" i="76"/>
  <c r="E269" i="76"/>
  <c r="F269" i="76" s="1"/>
  <c r="F268" i="76"/>
  <c r="F267" i="76"/>
  <c r="E262" i="76"/>
  <c r="F262" i="76" s="1"/>
  <c r="J272" i="76"/>
  <c r="R90" i="77"/>
  <c r="Q89" i="77"/>
  <c r="R89" i="77" s="1"/>
  <c r="R81" i="77"/>
  <c r="Q80" i="77"/>
  <c r="R80" i="77" s="1"/>
  <c r="T93" i="77"/>
  <c r="T84" i="77"/>
  <c r="R71" i="77"/>
  <c r="Q70" i="77"/>
  <c r="R70" i="77" s="1"/>
  <c r="R72" i="77" s="1"/>
  <c r="R73" i="77" s="1"/>
  <c r="S73" i="77" s="1"/>
  <c r="T74" i="77"/>
  <c r="E51" i="43"/>
  <c r="E35" i="43"/>
  <c r="F35" i="43"/>
  <c r="F51" i="43"/>
  <c r="E60" i="43"/>
  <c r="F60" i="43" s="1"/>
  <c r="E68" i="43"/>
  <c r="F68" i="43" s="1"/>
  <c r="E63" i="43"/>
  <c r="F63" i="43" s="1"/>
  <c r="E57" i="43"/>
  <c r="F57" i="43" s="1"/>
  <c r="E41" i="43"/>
  <c r="F41" i="43" s="1"/>
  <c r="E46" i="43"/>
  <c r="F46" i="43" s="1"/>
  <c r="E30" i="43"/>
  <c r="F30" i="43" s="1"/>
  <c r="E25" i="43"/>
  <c r="F25" i="43" s="1"/>
  <c r="L20" i="12"/>
  <c r="E27" i="43" s="1"/>
  <c r="F27" i="43" s="1"/>
  <c r="L38" i="12"/>
  <c r="E58" i="43" s="1"/>
  <c r="F58" i="43" s="1"/>
  <c r="L39" i="12"/>
  <c r="E26" i="43" s="1"/>
  <c r="F26" i="43" s="1"/>
  <c r="L37" i="12"/>
  <c r="E42" i="43" s="1"/>
  <c r="F42" i="43" s="1"/>
  <c r="M32" i="12"/>
  <c r="E29" i="43" s="1"/>
  <c r="F29" i="43" s="1"/>
  <c r="M31" i="12"/>
  <c r="E62" i="43" s="1"/>
  <c r="F62" i="43" s="1"/>
  <c r="G299" i="77"/>
  <c r="E374" i="75"/>
  <c r="E258" i="77"/>
  <c r="E349" i="77"/>
  <c r="E348" i="77"/>
  <c r="D347" i="77"/>
  <c r="E347" i="77" s="1"/>
  <c r="J199" i="76"/>
  <c r="J214" i="76"/>
  <c r="G257" i="76"/>
  <c r="E145" i="76"/>
  <c r="E21" i="60"/>
  <c r="E143" i="76" s="1"/>
  <c r="D8" i="71"/>
  <c r="D22" i="12"/>
  <c r="E45" i="43" l="1"/>
  <c r="F45" i="43" s="1"/>
  <c r="E59" i="43"/>
  <c r="F59" i="43" s="1"/>
  <c r="E43" i="43"/>
  <c r="F43" i="43" s="1"/>
  <c r="E144" i="76"/>
  <c r="E399" i="77"/>
  <c r="E400" i="77" s="1"/>
  <c r="F400" i="77" s="1"/>
  <c r="E360" i="77"/>
  <c r="E361" i="77" s="1"/>
  <c r="F361" i="77" s="1"/>
  <c r="R91" i="77"/>
  <c r="R92" i="77" s="1"/>
  <c r="S92" i="77" s="1"/>
  <c r="E369" i="77"/>
  <c r="E370" i="77" s="1"/>
  <c r="F370" i="77" s="1"/>
  <c r="R82" i="77"/>
  <c r="R83" i="77" s="1"/>
  <c r="S83" i="77" s="1"/>
  <c r="E379" i="77"/>
  <c r="E380" i="77" s="1"/>
  <c r="F380" i="77" s="1"/>
  <c r="E389" i="77"/>
  <c r="E390" i="77" s="1"/>
  <c r="F390" i="77" s="1"/>
  <c r="E142" i="76"/>
  <c r="E350" i="77"/>
  <c r="E351" i="77" s="1"/>
  <c r="F351" i="77" s="1"/>
  <c r="F5" i="82" l="1"/>
  <c r="F13" i="82"/>
  <c r="F22" i="82"/>
  <c r="D67" i="1"/>
  <c r="E11" i="5"/>
  <c r="E10" i="5"/>
  <c r="R212" i="51"/>
  <c r="G604" i="52"/>
  <c r="G612" i="52"/>
  <c r="G620" i="52"/>
  <c r="E617" i="52"/>
  <c r="E619" i="52" s="1"/>
  <c r="E21" i="82"/>
  <c r="F21" i="82" s="1"/>
  <c r="F23" i="82" s="1"/>
  <c r="F24" i="82" s="1"/>
  <c r="G24" i="82" s="1"/>
  <c r="E12" i="82"/>
  <c r="F12" i="82" s="1"/>
  <c r="F4" i="82"/>
  <c r="D450" i="75"/>
  <c r="E450" i="75" s="1"/>
  <c r="E449" i="75"/>
  <c r="G453" i="75"/>
  <c r="E65" i="61"/>
  <c r="D949" i="74" s="1"/>
  <c r="F619" i="52" l="1"/>
  <c r="E620" i="52"/>
  <c r="F14" i="82"/>
  <c r="F15" i="82" s="1"/>
  <c r="G15" i="82" s="1"/>
  <c r="F6" i="82"/>
  <c r="F7" i="82" s="1"/>
  <c r="G7" i="82" s="1"/>
  <c r="D960" i="74"/>
  <c r="E960" i="74" s="1"/>
  <c r="E959" i="74"/>
  <c r="E958" i="74"/>
  <c r="E957" i="74"/>
  <c r="E949" i="74"/>
  <c r="E253" i="76"/>
  <c r="D254" i="76"/>
  <c r="E254" i="76" s="1"/>
  <c r="E252" i="76"/>
  <c r="E251" i="76"/>
  <c r="D246" i="76"/>
  <c r="E246" i="76" s="1"/>
  <c r="D138" i="79"/>
  <c r="E137" i="79"/>
  <c r="E136" i="79"/>
  <c r="E135" i="79"/>
  <c r="D131" i="79"/>
  <c r="E131" i="79" s="1"/>
  <c r="D130" i="79"/>
  <c r="E130" i="79" s="1"/>
  <c r="C120" i="78"/>
  <c r="G142" i="79"/>
  <c r="E138" i="79"/>
  <c r="D119" i="79"/>
  <c r="E119" i="79" s="1"/>
  <c r="E118" i="79"/>
  <c r="E117" i="79"/>
  <c r="E116" i="79"/>
  <c r="D115" i="79"/>
  <c r="E115" i="79" s="1"/>
  <c r="D109" i="79"/>
  <c r="E109" i="79" s="1"/>
  <c r="G123" i="79"/>
  <c r="H242" i="76"/>
  <c r="H241" i="76"/>
  <c r="E239" i="76"/>
  <c r="F239" i="76" s="1"/>
  <c r="F238" i="76"/>
  <c r="F237" i="76"/>
  <c r="E233" i="76"/>
  <c r="F233" i="76" s="1"/>
  <c r="J242" i="76"/>
  <c r="H228" i="76"/>
  <c r="H227" i="76"/>
  <c r="E225" i="76"/>
  <c r="F225" i="76" s="1"/>
  <c r="F224" i="76"/>
  <c r="F223" i="76"/>
  <c r="E219" i="76"/>
  <c r="F219" i="76" s="1"/>
  <c r="J228" i="76"/>
  <c r="D438" i="75"/>
  <c r="E438" i="75" s="1"/>
  <c r="E437" i="75"/>
  <c r="D434" i="75"/>
  <c r="E434" i="75" s="1"/>
  <c r="G441" i="75"/>
  <c r="D425" i="75"/>
  <c r="E425" i="75" s="1"/>
  <c r="E424" i="75"/>
  <c r="E423" i="75"/>
  <c r="E422" i="75"/>
  <c r="D421" i="75"/>
  <c r="E421" i="75" s="1"/>
  <c r="D420" i="75"/>
  <c r="E420" i="75" s="1"/>
  <c r="G428" i="75"/>
  <c r="D413" i="75"/>
  <c r="E413" i="75" s="1"/>
  <c r="E412" i="75"/>
  <c r="E411" i="75"/>
  <c r="E410" i="75"/>
  <c r="D408" i="75"/>
  <c r="E408" i="75" s="1"/>
  <c r="D407" i="75"/>
  <c r="E407" i="75" s="1"/>
  <c r="G416" i="75"/>
  <c r="D400" i="75"/>
  <c r="E400" i="75" s="1"/>
  <c r="E399" i="75"/>
  <c r="E398" i="75"/>
  <c r="E397" i="75"/>
  <c r="D396" i="75"/>
  <c r="E396" i="75" s="1"/>
  <c r="D395" i="75"/>
  <c r="E395" i="75" s="1"/>
  <c r="G403" i="75"/>
  <c r="E123" i="78"/>
  <c r="F123" i="78" s="1"/>
  <c r="F124" i="78"/>
  <c r="E901" i="74"/>
  <c r="E881" i="74"/>
  <c r="F122" i="78"/>
  <c r="E118" i="78"/>
  <c r="F118" i="78" s="1"/>
  <c r="F111" i="78"/>
  <c r="E110" i="78"/>
  <c r="F110" i="78" s="1"/>
  <c r="F109" i="78"/>
  <c r="E211" i="76"/>
  <c r="F211" i="76" s="1"/>
  <c r="F164" i="76"/>
  <c r="F165" i="76"/>
  <c r="F166" i="76"/>
  <c r="E167" i="76"/>
  <c r="F167" i="76" s="1"/>
  <c r="H170" i="76"/>
  <c r="F180" i="76"/>
  <c r="F181" i="76"/>
  <c r="F182" i="76"/>
  <c r="E183" i="76"/>
  <c r="F183" i="76" s="1"/>
  <c r="H186" i="76"/>
  <c r="E191" i="76"/>
  <c r="F191" i="76" s="1"/>
  <c r="F194" i="76"/>
  <c r="F195" i="76"/>
  <c r="E196" i="76"/>
  <c r="F196" i="76" s="1"/>
  <c r="H198" i="76"/>
  <c r="H199" i="76"/>
  <c r="E204" i="76"/>
  <c r="F204" i="76" s="1"/>
  <c r="F209" i="76"/>
  <c r="F210" i="76"/>
  <c r="H213" i="76"/>
  <c r="H214" i="76"/>
  <c r="D383" i="75"/>
  <c r="E383" i="75" s="1"/>
  <c r="E387" i="75"/>
  <c r="D388" i="75"/>
  <c r="E388" i="75" s="1"/>
  <c r="G391" i="75"/>
  <c r="V16" i="1"/>
  <c r="X16" i="1" s="1"/>
  <c r="D329" i="76" s="1"/>
  <c r="E329" i="76" s="1"/>
  <c r="G169" i="51"/>
  <c r="G156" i="51"/>
  <c r="H154" i="76"/>
  <c r="H153" i="76"/>
  <c r="F150" i="76"/>
  <c r="F149" i="76"/>
  <c r="E146" i="76"/>
  <c r="F146" i="76" s="1"/>
  <c r="E141" i="76"/>
  <c r="F141" i="76" s="1"/>
  <c r="E140" i="76"/>
  <c r="F140" i="76" s="1"/>
  <c r="E151" i="76"/>
  <c r="E138" i="76"/>
  <c r="E126" i="76"/>
  <c r="E371" i="75"/>
  <c r="D941" i="74"/>
  <c r="E941" i="74" s="1"/>
  <c r="E940" i="74"/>
  <c r="E939" i="74"/>
  <c r="E938" i="74"/>
  <c r="E937" i="74"/>
  <c r="F340" i="77"/>
  <c r="F312" i="77"/>
  <c r="E296" i="77"/>
  <c r="G944" i="74"/>
  <c r="D30" i="81"/>
  <c r="E30" i="81" s="1"/>
  <c r="E29" i="81"/>
  <c r="E28" i="81"/>
  <c r="E27" i="81"/>
  <c r="E26" i="81"/>
  <c r="D22" i="81"/>
  <c r="E22" i="81" s="1"/>
  <c r="D18" i="81"/>
  <c r="E18" i="81" s="1"/>
  <c r="G33" i="81"/>
  <c r="D920" i="74"/>
  <c r="E920" i="74" s="1"/>
  <c r="E919" i="74"/>
  <c r="E918" i="74"/>
  <c r="E917" i="74"/>
  <c r="E916" i="74"/>
  <c r="D909" i="74"/>
  <c r="E909" i="74" s="1"/>
  <c r="G923" i="74"/>
  <c r="D902" i="74"/>
  <c r="E902" i="74" s="1"/>
  <c r="E900" i="74"/>
  <c r="E899" i="74"/>
  <c r="E898" i="74"/>
  <c r="D896" i="74"/>
  <c r="E896" i="74" s="1"/>
  <c r="D894" i="74"/>
  <c r="E894" i="74" s="1"/>
  <c r="D893" i="74"/>
  <c r="E893" i="74" s="1"/>
  <c r="D889" i="74"/>
  <c r="E889" i="74" s="1"/>
  <c r="D888" i="74"/>
  <c r="E888" i="74" s="1"/>
  <c r="G905" i="74"/>
  <c r="D880" i="74"/>
  <c r="E880" i="74" s="1"/>
  <c r="E879" i="74"/>
  <c r="E878" i="74"/>
  <c r="E877" i="74"/>
  <c r="D875" i="74"/>
  <c r="E875" i="74" s="1"/>
  <c r="D27" i="71"/>
  <c r="D867" i="74"/>
  <c r="E867" i="74" s="1"/>
  <c r="G884" i="74"/>
  <c r="D26" i="71"/>
  <c r="D25" i="71"/>
  <c r="D871" i="74" s="1"/>
  <c r="E871" i="74" s="1"/>
  <c r="D24" i="71"/>
  <c r="D23" i="71"/>
  <c r="E337" i="77" s="1"/>
  <c r="F337" i="77" s="1"/>
  <c r="D22" i="71"/>
  <c r="D870" i="74" s="1"/>
  <c r="E870" i="74" s="1"/>
  <c r="D21" i="71"/>
  <c r="E333" i="77"/>
  <c r="F333" i="77" s="1"/>
  <c r="E334" i="77"/>
  <c r="F334" i="77" s="1"/>
  <c r="F339" i="77"/>
  <c r="E338" i="77"/>
  <c r="F338" i="77" s="1"/>
  <c r="H343" i="77"/>
  <c r="F311" i="77"/>
  <c r="E310" i="77"/>
  <c r="F310" i="77" s="1"/>
  <c r="E308" i="77"/>
  <c r="F308" i="77" s="1"/>
  <c r="D323" i="77"/>
  <c r="E323" i="77" s="1"/>
  <c r="E325" i="77"/>
  <c r="E324" i="77"/>
  <c r="J103" i="1"/>
  <c r="K103" i="1" s="1"/>
  <c r="G328" i="77"/>
  <c r="D697" i="52"/>
  <c r="E697" i="52" s="1"/>
  <c r="E698" i="52"/>
  <c r="D700" i="52"/>
  <c r="E700" i="52" s="1"/>
  <c r="E699" i="52"/>
  <c r="F620" i="52" l="1"/>
  <c r="H620" i="52" s="1"/>
  <c r="E192" i="76"/>
  <c r="F192" i="76" s="1"/>
  <c r="D309" i="76"/>
  <c r="E309" i="76" s="1"/>
  <c r="E162" i="76"/>
  <c r="F162" i="76" s="1"/>
  <c r="E107" i="78"/>
  <c r="F107" i="78" s="1"/>
  <c r="D931" i="74"/>
  <c r="E931" i="74" s="1"/>
  <c r="E426" i="75"/>
  <c r="E427" i="75" s="1"/>
  <c r="F427" i="75" s="1"/>
  <c r="E401" i="75"/>
  <c r="E402" i="75" s="1"/>
  <c r="F402" i="75" s="1"/>
  <c r="E207" i="76"/>
  <c r="F207" i="76" s="1"/>
  <c r="D385" i="75"/>
  <c r="E385" i="75" s="1"/>
  <c r="E161" i="76"/>
  <c r="F161" i="76" s="1"/>
  <c r="D319" i="77"/>
  <c r="E319" i="77" s="1"/>
  <c r="E701" i="52"/>
  <c r="E702" i="52" s="1"/>
  <c r="F702" i="52" s="1"/>
  <c r="E373" i="75" l="1"/>
  <c r="D375" i="75"/>
  <c r="E375" i="75" s="1"/>
  <c r="E372" i="75"/>
  <c r="K94" i="1"/>
  <c r="D367" i="75" s="1"/>
  <c r="E367" i="75" s="1"/>
  <c r="G378" i="75"/>
  <c r="E162" i="77"/>
  <c r="E154" i="77"/>
  <c r="C25" i="80"/>
  <c r="C15" i="80"/>
  <c r="M14" i="14"/>
  <c r="M246" i="14"/>
  <c r="M208" i="14"/>
  <c r="M145" i="14"/>
  <c r="M66" i="14"/>
  <c r="O33" i="14"/>
  <c r="E23" i="51"/>
  <c r="AB129" i="50"/>
  <c r="AB128" i="50"/>
  <c r="E190" i="51"/>
  <c r="E178" i="51"/>
  <c r="E166" i="51"/>
  <c r="E153" i="51"/>
  <c r="E141" i="51"/>
  <c r="E128" i="51"/>
  <c r="E127" i="51"/>
  <c r="E126" i="51"/>
  <c r="F44" i="71"/>
  <c r="D934" i="74" s="1"/>
  <c r="E934" i="74" s="1"/>
  <c r="F53" i="71"/>
  <c r="D160" i="51" s="1"/>
  <c r="F52" i="71"/>
  <c r="D185" i="51" s="1"/>
  <c r="F51" i="71"/>
  <c r="D173" i="51" s="1"/>
  <c r="K70" i="1"/>
  <c r="K88" i="1"/>
  <c r="D148" i="51" s="1"/>
  <c r="K89" i="1"/>
  <c r="D17" i="81" s="1"/>
  <c r="E17" i="81" s="1"/>
  <c r="K87" i="1"/>
  <c r="D123" i="51" s="1"/>
  <c r="K86" i="1"/>
  <c r="D135" i="51" s="1"/>
  <c r="E135" i="51" s="1"/>
  <c r="K85" i="1"/>
  <c r="E140" i="51"/>
  <c r="E139" i="51"/>
  <c r="D433" i="74"/>
  <c r="E433" i="74" s="1"/>
  <c r="E24" i="75"/>
  <c r="E20" i="51"/>
  <c r="E286" i="77"/>
  <c r="E285" i="77"/>
  <c r="D284" i="77"/>
  <c r="E284" i="77" s="1"/>
  <c r="E277" i="77"/>
  <c r="E276" i="77"/>
  <c r="D275" i="77"/>
  <c r="E275" i="77" s="1"/>
  <c r="E268" i="77"/>
  <c r="E267" i="77"/>
  <c r="D266" i="77"/>
  <c r="E266" i="77" s="1"/>
  <c r="G289" i="77"/>
  <c r="G280" i="77"/>
  <c r="G271" i="77"/>
  <c r="D167" i="1"/>
  <c r="D66" i="1"/>
  <c r="D65" i="1"/>
  <c r="D41" i="1"/>
  <c r="E49" i="58"/>
  <c r="F49" i="58" s="1"/>
  <c r="F48" i="58"/>
  <c r="F47" i="58"/>
  <c r="E44" i="58"/>
  <c r="F44" i="58" s="1"/>
  <c r="H315" i="77"/>
  <c r="J105" i="1"/>
  <c r="D293" i="77" s="1"/>
  <c r="E295" i="77"/>
  <c r="D294" i="77"/>
  <c r="E294" i="77" s="1"/>
  <c r="D1070" i="74" l="1"/>
  <c r="E1070" i="74" s="1"/>
  <c r="D1182" i="74"/>
  <c r="E1182" i="74" s="1"/>
  <c r="D1162" i="74"/>
  <c r="E1162" i="74" s="1"/>
  <c r="D1390" i="74"/>
  <c r="E1390" i="74" s="1"/>
  <c r="D1141" i="74"/>
  <c r="E1141" i="74" s="1"/>
  <c r="D1122" i="74"/>
  <c r="E1122" i="74" s="1"/>
  <c r="D38" i="81"/>
  <c r="E38" i="81" s="1"/>
  <c r="E1101" i="74"/>
  <c r="E633" i="75"/>
  <c r="D1370" i="74"/>
  <c r="E1370" i="74" s="1"/>
  <c r="E757" i="75"/>
  <c r="F757" i="75" s="1"/>
  <c r="D1409" i="74"/>
  <c r="E1409" i="74" s="1"/>
  <c r="D1344" i="74"/>
  <c r="E1344" i="74" s="1"/>
  <c r="D1324" i="74"/>
  <c r="E1324" i="74" s="1"/>
  <c r="D852" i="74"/>
  <c r="E852" i="74" s="1"/>
  <c r="D74" i="51"/>
  <c r="D914" i="74"/>
  <c r="E914" i="74" s="1"/>
  <c r="K105" i="1"/>
  <c r="E293" i="77"/>
  <c r="E297" i="77" s="1"/>
  <c r="E298" i="77" s="1"/>
  <c r="F298" i="77" s="1"/>
  <c r="D40" i="74"/>
  <c r="D17" i="75"/>
  <c r="E287" i="77"/>
  <c r="E288" i="77" s="1"/>
  <c r="F288" i="77" s="1"/>
  <c r="E278" i="77"/>
  <c r="E279" i="77" s="1"/>
  <c r="F279" i="77" s="1"/>
  <c r="E269" i="77"/>
  <c r="E270" i="77" s="1"/>
  <c r="F270" i="77" s="1"/>
  <c r="H30" i="77" l="1"/>
  <c r="C24" i="80"/>
  <c r="C14" i="80"/>
  <c r="C23" i="80"/>
  <c r="C26" i="80" s="1"/>
  <c r="C27" i="80" s="1"/>
  <c r="D27" i="80" s="1"/>
  <c r="C13" i="80"/>
  <c r="C16" i="80" s="1"/>
  <c r="AC28" i="77"/>
  <c r="AC27" i="77"/>
  <c r="AB26" i="77"/>
  <c r="AC26" i="77" s="1"/>
  <c r="AE31" i="77"/>
  <c r="AE21" i="77"/>
  <c r="AB16" i="77"/>
  <c r="AC16" i="77" s="1"/>
  <c r="AC18" i="77"/>
  <c r="AC17" i="77"/>
  <c r="AE11" i="77"/>
  <c r="AC8" i="77"/>
  <c r="AC7" i="77"/>
  <c r="AB6" i="77"/>
  <c r="AC6" i="77" s="1"/>
  <c r="E257" i="77"/>
  <c r="D256" i="77"/>
  <c r="E256" i="77" s="1"/>
  <c r="G261" i="77"/>
  <c r="D40" i="1"/>
  <c r="E17" i="60"/>
  <c r="E276" i="76" s="1"/>
  <c r="F276" i="76" s="1"/>
  <c r="V15" i="1"/>
  <c r="D6" i="81"/>
  <c r="E6" i="81" s="1"/>
  <c r="N178" i="75"/>
  <c r="O177" i="75"/>
  <c r="N173" i="75"/>
  <c r="O173" i="75" s="1"/>
  <c r="R205" i="1"/>
  <c r="E45" i="60"/>
  <c r="F64" i="64"/>
  <c r="J64" i="64" s="1"/>
  <c r="V273" i="75"/>
  <c r="V272" i="75"/>
  <c r="V270" i="75"/>
  <c r="V269" i="75"/>
  <c r="V268" i="75"/>
  <c r="N273" i="75"/>
  <c r="M268" i="75"/>
  <c r="N268" i="75" s="1"/>
  <c r="N272" i="75"/>
  <c r="N270" i="75"/>
  <c r="N269" i="75"/>
  <c r="E269" i="58"/>
  <c r="D927" i="74" l="1"/>
  <c r="E927" i="74" s="1"/>
  <c r="D306" i="76"/>
  <c r="E306" i="76" s="1"/>
  <c r="D383" i="52"/>
  <c r="X15" i="1"/>
  <c r="D1033" i="74" s="1"/>
  <c r="E1033" i="74" s="1"/>
  <c r="AC9" i="77"/>
  <c r="AC10" i="77" s="1"/>
  <c r="AD10" i="77" s="1"/>
  <c r="C17" i="80"/>
  <c r="D17" i="80" s="1"/>
  <c r="AC29" i="77"/>
  <c r="AC30" i="77" s="1"/>
  <c r="AD30" i="77" s="1"/>
  <c r="AC19" i="77"/>
  <c r="AC20" i="77" s="1"/>
  <c r="AD20" i="77" s="1"/>
  <c r="E259" i="77"/>
  <c r="E260" i="77" s="1"/>
  <c r="F260" i="77" s="1"/>
  <c r="N274" i="75"/>
  <c r="N275" i="75" s="1"/>
  <c r="O275" i="75" s="1"/>
  <c r="V274" i="75"/>
  <c r="V275" i="75" s="1"/>
  <c r="W275" i="75" s="1"/>
  <c r="O178" i="75"/>
  <c r="E687" i="74"/>
  <c r="E549" i="74"/>
  <c r="E529" i="74"/>
  <c r="G839" i="74"/>
  <c r="G838" i="74"/>
  <c r="D836" i="74"/>
  <c r="E836" i="74" s="1"/>
  <c r="E835" i="74"/>
  <c r="E834" i="74"/>
  <c r="E833" i="74"/>
  <c r="D830" i="74"/>
  <c r="E830" i="74" s="1"/>
  <c r="D829" i="74"/>
  <c r="E829" i="74" s="1"/>
  <c r="D826" i="74"/>
  <c r="E826" i="74" s="1"/>
  <c r="I839" i="74"/>
  <c r="E245" i="77"/>
  <c r="F245" i="77" s="1"/>
  <c r="F249" i="77"/>
  <c r="E248" i="77"/>
  <c r="F248" i="77" s="1"/>
  <c r="F247" i="77"/>
  <c r="H252" i="77"/>
  <c r="E232" i="77"/>
  <c r="F232" i="77" s="1"/>
  <c r="F234" i="77"/>
  <c r="E235" i="77"/>
  <c r="F235" i="77" s="1"/>
  <c r="F236" i="77"/>
  <c r="H239" i="77"/>
  <c r="F222" i="77"/>
  <c r="E221" i="77"/>
  <c r="F221" i="77" s="1"/>
  <c r="F220" i="77"/>
  <c r="E218" i="77"/>
  <c r="F218" i="77" s="1"/>
  <c r="H225" i="77"/>
  <c r="F208" i="77"/>
  <c r="E207" i="77"/>
  <c r="F207" i="77" s="1"/>
  <c r="F206" i="77"/>
  <c r="E204" i="77"/>
  <c r="F204" i="77" s="1"/>
  <c r="H211" i="77"/>
  <c r="F194" i="77"/>
  <c r="E193" i="77"/>
  <c r="F193" i="77" s="1"/>
  <c r="F192" i="77"/>
  <c r="E190" i="77"/>
  <c r="F190" i="77" s="1"/>
  <c r="H197" i="77"/>
  <c r="D360" i="75"/>
  <c r="E360" i="75" s="1"/>
  <c r="E359" i="75"/>
  <c r="G363" i="75"/>
  <c r="G822" i="74"/>
  <c r="G821" i="74"/>
  <c r="D819" i="74"/>
  <c r="E819" i="74" s="1"/>
  <c r="E818" i="74"/>
  <c r="E817" i="74"/>
  <c r="E816" i="74"/>
  <c r="D813" i="74"/>
  <c r="E813" i="74" s="1"/>
  <c r="D812" i="74"/>
  <c r="E812" i="74" s="1"/>
  <c r="D809" i="74"/>
  <c r="E809" i="74" s="1"/>
  <c r="D808" i="74"/>
  <c r="E808" i="74" s="1"/>
  <c r="D776" i="74"/>
  <c r="E776" i="74" s="1"/>
  <c r="I822" i="74"/>
  <c r="D801" i="74"/>
  <c r="E801" i="74" s="1"/>
  <c r="E800" i="74"/>
  <c r="E799" i="74"/>
  <c r="E798" i="74"/>
  <c r="E797" i="74"/>
  <c r="D791" i="74"/>
  <c r="E791" i="74" s="1"/>
  <c r="D790" i="74"/>
  <c r="E790" i="74" s="1"/>
  <c r="G804" i="74"/>
  <c r="H119" i="76"/>
  <c r="H118" i="76"/>
  <c r="E116" i="76"/>
  <c r="F116" i="76" s="1"/>
  <c r="F115" i="76"/>
  <c r="F114" i="76"/>
  <c r="E110" i="76"/>
  <c r="F110" i="76" s="1"/>
  <c r="E109" i="76"/>
  <c r="F109" i="76" s="1"/>
  <c r="J119" i="76"/>
  <c r="E95" i="76"/>
  <c r="F95" i="76" s="1"/>
  <c r="H105" i="76"/>
  <c r="H104" i="76"/>
  <c r="E102" i="76"/>
  <c r="F102" i="76" s="1"/>
  <c r="F101" i="76"/>
  <c r="F100" i="76"/>
  <c r="E94" i="76"/>
  <c r="F94" i="76" s="1"/>
  <c r="J105" i="76"/>
  <c r="D348" i="75"/>
  <c r="E348" i="75" s="1"/>
  <c r="E347" i="75"/>
  <c r="G351" i="75"/>
  <c r="D332" i="75"/>
  <c r="E332" i="75" s="1"/>
  <c r="E335" i="75"/>
  <c r="D336" i="75"/>
  <c r="E336" i="75" s="1"/>
  <c r="G339" i="75"/>
  <c r="E321" i="75"/>
  <c r="D322" i="75"/>
  <c r="E322" i="75" s="1"/>
  <c r="G325" i="75"/>
  <c r="D310" i="75"/>
  <c r="E310" i="75" s="1"/>
  <c r="E309" i="75"/>
  <c r="D306" i="75"/>
  <c r="E306" i="75" s="1"/>
  <c r="G313" i="75"/>
  <c r="D299" i="75"/>
  <c r="E299" i="75" s="1"/>
  <c r="E298" i="75"/>
  <c r="D295" i="75"/>
  <c r="E295" i="75" s="1"/>
  <c r="G302" i="75"/>
  <c r="D287" i="75"/>
  <c r="E287" i="75" s="1"/>
  <c r="E286" i="75"/>
  <c r="D272" i="75"/>
  <c r="E272" i="75" s="1"/>
  <c r="D283" i="75"/>
  <c r="E283" i="75" s="1"/>
  <c r="G290" i="75"/>
  <c r="D276" i="75"/>
  <c r="E276" i="75" s="1"/>
  <c r="E275" i="75"/>
  <c r="D273" i="75"/>
  <c r="E273" i="75" s="1"/>
  <c r="D537" i="74"/>
  <c r="E537" i="74" s="1"/>
  <c r="G786" i="74"/>
  <c r="G785" i="74"/>
  <c r="D783" i="74"/>
  <c r="E783" i="74" s="1"/>
  <c r="E782" i="74"/>
  <c r="E781" i="74"/>
  <c r="E780" i="74"/>
  <c r="D777" i="74"/>
  <c r="E777" i="74" s="1"/>
  <c r="D775" i="74"/>
  <c r="E775" i="74" s="1"/>
  <c r="I786" i="74"/>
  <c r="G766" i="74"/>
  <c r="G765" i="74"/>
  <c r="D763" i="74"/>
  <c r="E763" i="74" s="1"/>
  <c r="E762" i="74"/>
  <c r="E761" i="74"/>
  <c r="E760" i="74"/>
  <c r="D755" i="74"/>
  <c r="E755" i="74" s="1"/>
  <c r="D754" i="74"/>
  <c r="E754" i="74" s="1"/>
  <c r="I766" i="74"/>
  <c r="D732" i="74"/>
  <c r="E732" i="74" s="1"/>
  <c r="D736" i="74"/>
  <c r="E736" i="74" s="1"/>
  <c r="D733" i="74"/>
  <c r="E733" i="74" s="1"/>
  <c r="E739" i="74"/>
  <c r="E740" i="74"/>
  <c r="E741" i="74"/>
  <c r="E742" i="74"/>
  <c r="D743" i="74"/>
  <c r="E743" i="74" s="1"/>
  <c r="G746" i="74"/>
  <c r="D714" i="74"/>
  <c r="E714" i="74" s="1"/>
  <c r="D715" i="74"/>
  <c r="E715" i="74" s="1"/>
  <c r="D718" i="74"/>
  <c r="E718" i="74" s="1"/>
  <c r="E721" i="74"/>
  <c r="E722" i="74"/>
  <c r="E723" i="74"/>
  <c r="E724" i="74"/>
  <c r="D725" i="74"/>
  <c r="E725" i="74" s="1"/>
  <c r="G728" i="74"/>
  <c r="G710" i="74"/>
  <c r="G709" i="74"/>
  <c r="D707" i="74"/>
  <c r="E707" i="74" s="1"/>
  <c r="E706" i="74"/>
  <c r="E705" i="74"/>
  <c r="E704" i="74"/>
  <c r="D699" i="74"/>
  <c r="E699" i="74" s="1"/>
  <c r="D698" i="74"/>
  <c r="E698" i="74" s="1"/>
  <c r="D695" i="74"/>
  <c r="E695" i="74" s="1"/>
  <c r="I710" i="74"/>
  <c r="D688" i="74"/>
  <c r="E688" i="74" s="1"/>
  <c r="E684" i="74"/>
  <c r="E686" i="74"/>
  <c r="E685" i="74"/>
  <c r="D681" i="74"/>
  <c r="E681" i="74" s="1"/>
  <c r="D678" i="74"/>
  <c r="E678" i="74" s="1"/>
  <c r="G673" i="74"/>
  <c r="G672" i="74"/>
  <c r="D670" i="74"/>
  <c r="E670" i="74" s="1"/>
  <c r="E669" i="74"/>
  <c r="E668" i="74"/>
  <c r="E667" i="74"/>
  <c r="D662" i="74"/>
  <c r="E662" i="74" s="1"/>
  <c r="D659" i="74"/>
  <c r="E659" i="74" s="1"/>
  <c r="I673" i="74"/>
  <c r="G279" i="75"/>
  <c r="G652" i="74"/>
  <c r="G651" i="74"/>
  <c r="D649" i="74"/>
  <c r="E649" i="74" s="1"/>
  <c r="E648" i="74"/>
  <c r="E647" i="74"/>
  <c r="E646" i="74"/>
  <c r="D641" i="74"/>
  <c r="E641" i="74" s="1"/>
  <c r="D640" i="74"/>
  <c r="E640" i="74" s="1"/>
  <c r="D637" i="74"/>
  <c r="E637" i="74" s="1"/>
  <c r="I652" i="74"/>
  <c r="G632" i="74"/>
  <c r="G631" i="74"/>
  <c r="D629" i="74"/>
  <c r="E629" i="74" s="1"/>
  <c r="E628" i="74"/>
  <c r="E627" i="74"/>
  <c r="E626" i="74"/>
  <c r="D621" i="74"/>
  <c r="E621" i="74" s="1"/>
  <c r="D620" i="74"/>
  <c r="E620" i="74" s="1"/>
  <c r="I632" i="74"/>
  <c r="G612" i="74"/>
  <c r="E608" i="74"/>
  <c r="D609" i="74"/>
  <c r="E609" i="74" s="1"/>
  <c r="E607" i="74"/>
  <c r="E606" i="74"/>
  <c r="E605" i="74"/>
  <c r="D600" i="74"/>
  <c r="E600" i="74" s="1"/>
  <c r="G592" i="74"/>
  <c r="G591" i="74"/>
  <c r="D589" i="74"/>
  <c r="E589" i="74" s="1"/>
  <c r="E588" i="74"/>
  <c r="E587" i="74"/>
  <c r="E586" i="74"/>
  <c r="D581" i="74"/>
  <c r="E581" i="74" s="1"/>
  <c r="D580" i="74"/>
  <c r="E580" i="74" s="1"/>
  <c r="F32" i="35"/>
  <c r="E231" i="77" s="1"/>
  <c r="F231" i="77" s="1"/>
  <c r="I592" i="74"/>
  <c r="D13" i="64"/>
  <c r="D560" i="74"/>
  <c r="E560" i="74" s="1"/>
  <c r="D557" i="74"/>
  <c r="E557" i="74" s="1"/>
  <c r="F88" i="35"/>
  <c r="F135" i="35"/>
  <c r="D617" i="74" s="1"/>
  <c r="E617" i="74" s="1"/>
  <c r="G572" i="74"/>
  <c r="G571" i="74"/>
  <c r="D569" i="74"/>
  <c r="E569" i="74" s="1"/>
  <c r="E568" i="74"/>
  <c r="E566" i="74"/>
  <c r="E567" i="74"/>
  <c r="D561" i="74"/>
  <c r="E561" i="74" s="1"/>
  <c r="I572" i="74"/>
  <c r="D550" i="74"/>
  <c r="E550" i="74" s="1"/>
  <c r="E548" i="74"/>
  <c r="E547" i="74"/>
  <c r="E546" i="74"/>
  <c r="D541" i="74"/>
  <c r="E541" i="74" s="1"/>
  <c r="D540" i="74"/>
  <c r="E540" i="74" s="1"/>
  <c r="D530" i="74"/>
  <c r="E530" i="74" s="1"/>
  <c r="E528" i="74"/>
  <c r="E527" i="74"/>
  <c r="E526" i="74"/>
  <c r="D521" i="74"/>
  <c r="E521" i="74" s="1"/>
  <c r="D518" i="74"/>
  <c r="E518" i="74" s="1"/>
  <c r="F91" i="35"/>
  <c r="D345" i="75" s="1"/>
  <c r="E345" i="75" s="1"/>
  <c r="F9" i="35"/>
  <c r="D616" i="74" s="1"/>
  <c r="E616" i="74" s="1"/>
  <c r="F10" i="35"/>
  <c r="D656" i="74" s="1"/>
  <c r="E656" i="74" s="1"/>
  <c r="E79" i="61"/>
  <c r="E217" i="77" s="1"/>
  <c r="F217" i="77" s="1"/>
  <c r="F89" i="35"/>
  <c r="D357" i="75" s="1"/>
  <c r="E357" i="75" s="1"/>
  <c r="F90" i="35"/>
  <c r="D677" i="74" s="1"/>
  <c r="E677" i="74" s="1"/>
  <c r="F92" i="35"/>
  <c r="E244" i="77" s="1"/>
  <c r="F244" i="77" s="1"/>
  <c r="F93" i="35"/>
  <c r="D596" i="74" s="1"/>
  <c r="E596" i="74" s="1"/>
  <c r="F94" i="35"/>
  <c r="D597" i="74" s="1"/>
  <c r="E597" i="74" s="1"/>
  <c r="O10" i="72"/>
  <c r="O11" i="72"/>
  <c r="E1157" i="74" s="1"/>
  <c r="O12" i="72"/>
  <c r="O13" i="72"/>
  <c r="O14" i="72"/>
  <c r="E229" i="77" s="1"/>
  <c r="F229" i="77" s="1"/>
  <c r="O15" i="72"/>
  <c r="O16" i="72"/>
  <c r="D770" i="74" s="1"/>
  <c r="E770" i="74" s="1"/>
  <c r="O17" i="72"/>
  <c r="E203" i="77" s="1"/>
  <c r="F203" i="77" s="1"/>
  <c r="D19" i="64"/>
  <c r="H252" i="50"/>
  <c r="F8" i="35"/>
  <c r="E42" i="60"/>
  <c r="E22" i="60"/>
  <c r="D33" i="61"/>
  <c r="D134" i="79" s="1"/>
  <c r="E134" i="79" s="1"/>
  <c r="H36" i="72"/>
  <c r="E263" i="76" s="1"/>
  <c r="F263" i="76" s="1"/>
  <c r="F117" i="35"/>
  <c r="F124" i="35"/>
  <c r="F21" i="35"/>
  <c r="F22" i="35"/>
  <c r="Q61" i="77"/>
  <c r="R61" i="77" s="1"/>
  <c r="R62" i="77"/>
  <c r="T65" i="77"/>
  <c r="R53" i="77"/>
  <c r="Q52" i="77"/>
  <c r="R52" i="77" s="1"/>
  <c r="R44" i="77"/>
  <c r="Q43" i="77"/>
  <c r="R43" i="77" s="1"/>
  <c r="T56" i="77"/>
  <c r="T47" i="77"/>
  <c r="E180" i="77"/>
  <c r="E179" i="77"/>
  <c r="D178" i="77"/>
  <c r="E178" i="77" s="1"/>
  <c r="G183" i="77"/>
  <c r="D39" i="1"/>
  <c r="D169" i="77"/>
  <c r="E169" i="77" s="1"/>
  <c r="E170" i="77"/>
  <c r="E171" i="77"/>
  <c r="G174" i="77"/>
  <c r="E161" i="77"/>
  <c r="D160" i="77"/>
  <c r="E160" i="77" s="1"/>
  <c r="G165" i="77"/>
  <c r="E153" i="77"/>
  <c r="D152" i="77"/>
  <c r="E152" i="77" s="1"/>
  <c r="G157" i="77"/>
  <c r="D165" i="1"/>
  <c r="D166" i="1"/>
  <c r="D164" i="1"/>
  <c r="E145" i="77"/>
  <c r="E144" i="77"/>
  <c r="D143" i="77"/>
  <c r="E143" i="77" s="1"/>
  <c r="G148" i="77"/>
  <c r="D35" i="1"/>
  <c r="E438" i="74"/>
  <c r="E278" i="74"/>
  <c r="D136" i="77"/>
  <c r="E136" i="77" s="1"/>
  <c r="E135" i="77"/>
  <c r="E134" i="77"/>
  <c r="E130" i="77"/>
  <c r="G139" i="77"/>
  <c r="G84" i="79"/>
  <c r="G101" i="79"/>
  <c r="H89" i="78"/>
  <c r="H102" i="78"/>
  <c r="H90" i="76"/>
  <c r="F86" i="76"/>
  <c r="J76" i="76"/>
  <c r="I13" i="81"/>
  <c r="G13" i="81"/>
  <c r="G12" i="81"/>
  <c r="G18" i="74"/>
  <c r="G1024" i="53"/>
  <c r="G101" i="75"/>
  <c r="H1002" i="50"/>
  <c r="H15" i="77"/>
  <c r="D10" i="81"/>
  <c r="E10" i="81" s="1"/>
  <c r="E9" i="81"/>
  <c r="E8" i="81"/>
  <c r="E7" i="81"/>
  <c r="D97" i="79"/>
  <c r="E97" i="79" s="1"/>
  <c r="E96" i="79"/>
  <c r="E95" i="79"/>
  <c r="E94" i="79"/>
  <c r="D91" i="79"/>
  <c r="E91" i="79" s="1"/>
  <c r="D90" i="79"/>
  <c r="E90" i="79" s="1"/>
  <c r="D80" i="79"/>
  <c r="E80" i="79" s="1"/>
  <c r="E79" i="79"/>
  <c r="E78" i="79"/>
  <c r="E77" i="79"/>
  <c r="C3" i="80"/>
  <c r="C5" i="80"/>
  <c r="C4" i="80"/>
  <c r="F99" i="78"/>
  <c r="E98" i="78"/>
  <c r="F98" i="78" s="1"/>
  <c r="F97" i="78"/>
  <c r="F86" i="78"/>
  <c r="E85" i="78"/>
  <c r="F85" i="78" s="1"/>
  <c r="F84" i="78"/>
  <c r="Q35" i="77"/>
  <c r="R35" i="77" s="1"/>
  <c r="R34" i="77"/>
  <c r="Q24" i="77"/>
  <c r="R24" i="77" s="1"/>
  <c r="T38" i="77"/>
  <c r="R25" i="77"/>
  <c r="T28" i="77"/>
  <c r="F124" i="77"/>
  <c r="E123" i="77"/>
  <c r="F123" i="77" s="1"/>
  <c r="F122" i="77"/>
  <c r="E118" i="77"/>
  <c r="F118" i="77" s="1"/>
  <c r="H127" i="77"/>
  <c r="D111" i="77"/>
  <c r="E111" i="77" s="1"/>
  <c r="E110" i="77"/>
  <c r="E109" i="77"/>
  <c r="E103" i="77"/>
  <c r="G114" i="77"/>
  <c r="E265" i="75"/>
  <c r="F265" i="75" s="1"/>
  <c r="F264" i="75"/>
  <c r="F263" i="75"/>
  <c r="E259" i="75"/>
  <c r="F259" i="75" s="1"/>
  <c r="E258" i="75"/>
  <c r="F258" i="75" s="1"/>
  <c r="H268" i="75"/>
  <c r="E251" i="75"/>
  <c r="F251" i="75" s="1"/>
  <c r="F250" i="75"/>
  <c r="F249" i="75"/>
  <c r="E244" i="75"/>
  <c r="F244" i="75" s="1"/>
  <c r="H254" i="75"/>
  <c r="D237" i="75"/>
  <c r="E237" i="75" s="1"/>
  <c r="E236" i="75"/>
  <c r="E235" i="75"/>
  <c r="E234" i="75"/>
  <c r="E233" i="75"/>
  <c r="D229" i="75"/>
  <c r="E229" i="75" s="1"/>
  <c r="D226" i="75"/>
  <c r="E226" i="75" s="1"/>
  <c r="D225" i="75"/>
  <c r="E225" i="75" s="1"/>
  <c r="D221" i="75"/>
  <c r="E221" i="75" s="1"/>
  <c r="G240" i="75"/>
  <c r="D214" i="75"/>
  <c r="E214" i="75" s="1"/>
  <c r="E213" i="75"/>
  <c r="E212" i="75"/>
  <c r="E211" i="75"/>
  <c r="E210" i="75"/>
  <c r="D206" i="75"/>
  <c r="E206" i="75" s="1"/>
  <c r="D201" i="75"/>
  <c r="E201" i="75" s="1"/>
  <c r="G217" i="75"/>
  <c r="D194" i="75"/>
  <c r="E194" i="75" s="1"/>
  <c r="E193" i="75"/>
  <c r="D189" i="75"/>
  <c r="E189" i="75" s="1"/>
  <c r="G197" i="75"/>
  <c r="E81" i="76"/>
  <c r="F81" i="76" s="1"/>
  <c r="F67" i="71"/>
  <c r="E82" i="76" s="1"/>
  <c r="E87" i="76"/>
  <c r="F87" i="76" s="1"/>
  <c r="F85" i="76"/>
  <c r="F84" i="76"/>
  <c r="F72" i="76"/>
  <c r="H76" i="76"/>
  <c r="H75" i="76"/>
  <c r="E73" i="76"/>
  <c r="F73" i="76" s="1"/>
  <c r="D511" i="74"/>
  <c r="E511" i="74" s="1"/>
  <c r="E510" i="74"/>
  <c r="E509" i="74"/>
  <c r="F473" i="74"/>
  <c r="F488" i="74"/>
  <c r="E508" i="74"/>
  <c r="E507" i="74"/>
  <c r="D500" i="74"/>
  <c r="E500" i="74" s="1"/>
  <c r="D497" i="74"/>
  <c r="E497" i="74" s="1"/>
  <c r="G514" i="74"/>
  <c r="H493" i="74"/>
  <c r="H492" i="74"/>
  <c r="F489" i="74"/>
  <c r="E490" i="74"/>
  <c r="F490" i="74" s="1"/>
  <c r="F487" i="74"/>
  <c r="E484" i="74"/>
  <c r="F484" i="74" s="1"/>
  <c r="J493" i="74"/>
  <c r="H478" i="74"/>
  <c r="H477" i="74"/>
  <c r="E475" i="74"/>
  <c r="F475" i="74" s="1"/>
  <c r="F474" i="74"/>
  <c r="F472" i="74"/>
  <c r="E468" i="74"/>
  <c r="F468" i="74" s="1"/>
  <c r="J478" i="74"/>
  <c r="H940" i="50"/>
  <c r="T352" i="50"/>
  <c r="I360" i="74"/>
  <c r="G84" i="77"/>
  <c r="G159" i="74"/>
  <c r="J41" i="76"/>
  <c r="H44" i="77"/>
  <c r="D453" i="74"/>
  <c r="E453" i="74" s="1"/>
  <c r="D452" i="74"/>
  <c r="E452" i="74" s="1"/>
  <c r="D455" i="74"/>
  <c r="E455" i="74" s="1"/>
  <c r="D454" i="74"/>
  <c r="E454" i="74" s="1"/>
  <c r="D448" i="74"/>
  <c r="E448" i="74" s="1"/>
  <c r="J134" i="76"/>
  <c r="J57" i="76"/>
  <c r="J27" i="76"/>
  <c r="J11" i="76"/>
  <c r="G169" i="75"/>
  <c r="G156" i="75"/>
  <c r="G145" i="75"/>
  <c r="G132" i="75"/>
  <c r="G112" i="75"/>
  <c r="G70" i="75"/>
  <c r="G89" i="75"/>
  <c r="G50" i="75"/>
  <c r="G28" i="75"/>
  <c r="G442" i="74"/>
  <c r="G422" i="74"/>
  <c r="G400" i="74"/>
  <c r="G379" i="74"/>
  <c r="G341" i="74"/>
  <c r="G318" i="74"/>
  <c r="G302" i="74"/>
  <c r="G282" i="74"/>
  <c r="I863" i="74"/>
  <c r="G259" i="74"/>
  <c r="G243" i="74"/>
  <c r="G224" i="74"/>
  <c r="I203" i="74"/>
  <c r="I180" i="74"/>
  <c r="G136" i="74"/>
  <c r="I115" i="74"/>
  <c r="I95" i="74"/>
  <c r="G72" i="74"/>
  <c r="I51" i="74"/>
  <c r="T18" i="77"/>
  <c r="T10" i="77"/>
  <c r="H99" i="77"/>
  <c r="H76" i="77"/>
  <c r="H61" i="77"/>
  <c r="E181" i="75"/>
  <c r="E182" i="75" s="1"/>
  <c r="F182" i="75" s="1"/>
  <c r="E174" i="75"/>
  <c r="F174" i="75" s="1"/>
  <c r="F74" i="78"/>
  <c r="E73" i="78"/>
  <c r="F73" i="78" s="1"/>
  <c r="F72" i="78"/>
  <c r="G115" i="74"/>
  <c r="G114" i="74"/>
  <c r="G180" i="74"/>
  <c r="G179" i="74"/>
  <c r="G863" i="74"/>
  <c r="G862" i="74"/>
  <c r="G203" i="74"/>
  <c r="G202" i="74"/>
  <c r="G95" i="74"/>
  <c r="G94" i="74"/>
  <c r="E59" i="79"/>
  <c r="E39" i="79"/>
  <c r="E20" i="79"/>
  <c r="G1211" i="74"/>
  <c r="G1210" i="74"/>
  <c r="G360" i="74"/>
  <c r="G359" i="74"/>
  <c r="E859" i="74"/>
  <c r="E220" i="74"/>
  <c r="E91" i="77"/>
  <c r="F91" i="77" s="1"/>
  <c r="F94" i="77"/>
  <c r="F96" i="77"/>
  <c r="E95" i="77"/>
  <c r="F95" i="77" s="1"/>
  <c r="E81" i="77"/>
  <c r="F58" i="77"/>
  <c r="F41" i="77"/>
  <c r="F12" i="77"/>
  <c r="D49" i="79"/>
  <c r="E49" i="79" s="1"/>
  <c r="D60" i="79"/>
  <c r="E60" i="79" s="1"/>
  <c r="E58" i="79"/>
  <c r="E57" i="79"/>
  <c r="D51" i="79"/>
  <c r="E51" i="79" s="1"/>
  <c r="D48" i="79"/>
  <c r="E48" i="79" s="1"/>
  <c r="D40" i="79"/>
  <c r="E40" i="79" s="1"/>
  <c r="E38" i="79"/>
  <c r="E37" i="79"/>
  <c r="D21" i="79"/>
  <c r="E21" i="79" s="1"/>
  <c r="E19" i="79"/>
  <c r="E18" i="79"/>
  <c r="D14" i="79"/>
  <c r="E14" i="79" s="1"/>
  <c r="D13" i="79"/>
  <c r="E13" i="79" s="1"/>
  <c r="D7" i="79"/>
  <c r="E7" i="79" s="1"/>
  <c r="E60" i="78"/>
  <c r="F60" i="78" s="1"/>
  <c r="F61" i="78"/>
  <c r="F59" i="78"/>
  <c r="E48" i="78"/>
  <c r="F48" i="78" s="1"/>
  <c r="F49" i="78"/>
  <c r="F47" i="78"/>
  <c r="E42" i="78"/>
  <c r="F42" i="78" s="1"/>
  <c r="F35" i="78"/>
  <c r="E34" i="78"/>
  <c r="F34" i="78" s="1"/>
  <c r="F33" i="78"/>
  <c r="F23" i="78"/>
  <c r="E22" i="78"/>
  <c r="F22" i="78" s="1"/>
  <c r="F21" i="78"/>
  <c r="E17" i="78"/>
  <c r="F17" i="78" s="1"/>
  <c r="F10" i="78"/>
  <c r="E9" i="78"/>
  <c r="F9" i="78" s="1"/>
  <c r="F8" i="78"/>
  <c r="E68" i="77"/>
  <c r="F68" i="77" s="1"/>
  <c r="E80" i="77"/>
  <c r="D79" i="77"/>
  <c r="E79" i="77" s="1"/>
  <c r="D38" i="1"/>
  <c r="E52" i="77"/>
  <c r="F52" i="77" s="1"/>
  <c r="D429" i="74"/>
  <c r="E429" i="74" s="1"/>
  <c r="F73" i="77"/>
  <c r="E72" i="77"/>
  <c r="F72" i="77" s="1"/>
  <c r="F71" i="77"/>
  <c r="E57" i="77"/>
  <c r="F57" i="77" s="1"/>
  <c r="F56" i="77"/>
  <c r="E48" i="77"/>
  <c r="F48" i="77" s="1"/>
  <c r="R15" i="77"/>
  <c r="R7" i="77"/>
  <c r="E40" i="77"/>
  <c r="F40" i="77" s="1"/>
  <c r="F39" i="77"/>
  <c r="F27" i="77"/>
  <c r="E26" i="77"/>
  <c r="F26" i="77" s="1"/>
  <c r="F25" i="77"/>
  <c r="E19" i="77"/>
  <c r="F19" i="77" s="1"/>
  <c r="E6" i="77"/>
  <c r="F6" i="77" s="1"/>
  <c r="F10" i="77"/>
  <c r="E11" i="77"/>
  <c r="F11" i="77" s="1"/>
  <c r="D439" i="74"/>
  <c r="E439" i="74" s="1"/>
  <c r="E437" i="74"/>
  <c r="E436" i="74"/>
  <c r="E435" i="74"/>
  <c r="D426" i="74"/>
  <c r="E426" i="74" s="1"/>
  <c r="D419" i="74"/>
  <c r="E419" i="74" s="1"/>
  <c r="E418" i="74"/>
  <c r="E417" i="74"/>
  <c r="E415" i="74"/>
  <c r="E414" i="74"/>
  <c r="D413" i="74"/>
  <c r="E413" i="74" s="1"/>
  <c r="D412" i="74"/>
  <c r="E412" i="74" s="1"/>
  <c r="D406" i="74"/>
  <c r="E406" i="74" s="1"/>
  <c r="D1208" i="74"/>
  <c r="E1208" i="74" s="1"/>
  <c r="E1207" i="74"/>
  <c r="E1206" i="74"/>
  <c r="E1205" i="74"/>
  <c r="D1201" i="74"/>
  <c r="E1201" i="74" s="1"/>
  <c r="D1197" i="74"/>
  <c r="E1197" i="74" s="1"/>
  <c r="D279" i="74"/>
  <c r="E279" i="74" s="1"/>
  <c r="D397" i="74"/>
  <c r="E397" i="74" s="1"/>
  <c r="E396" i="74"/>
  <c r="E395" i="74"/>
  <c r="E394" i="74"/>
  <c r="E393" i="74"/>
  <c r="D383" i="74"/>
  <c r="E383" i="74" s="1"/>
  <c r="K71" i="1"/>
  <c r="D369" i="74" s="1"/>
  <c r="E369" i="74" s="1"/>
  <c r="D376" i="74"/>
  <c r="E376" i="74" s="1"/>
  <c r="E375" i="74"/>
  <c r="E374" i="74"/>
  <c r="E373" i="74"/>
  <c r="E372" i="74"/>
  <c r="D364" i="74"/>
  <c r="E364" i="74" s="1"/>
  <c r="D166" i="75"/>
  <c r="E166" i="75" s="1"/>
  <c r="E165" i="75"/>
  <c r="D161" i="75"/>
  <c r="E161" i="75" s="1"/>
  <c r="D106" i="75"/>
  <c r="E106" i="75" s="1"/>
  <c r="D105" i="75"/>
  <c r="E105" i="75" s="1"/>
  <c r="D149" i="75"/>
  <c r="E149" i="75" s="1"/>
  <c r="D153" i="75"/>
  <c r="E153" i="75" s="1"/>
  <c r="E152" i="75"/>
  <c r="D142" i="75"/>
  <c r="E142" i="75" s="1"/>
  <c r="E141" i="75"/>
  <c r="D137" i="75"/>
  <c r="E137" i="75" s="1"/>
  <c r="D129" i="75"/>
  <c r="E129" i="75" s="1"/>
  <c r="E128" i="75"/>
  <c r="E127" i="75"/>
  <c r="E126" i="75"/>
  <c r="E125" i="75"/>
  <c r="D121" i="75"/>
  <c r="E121" i="75" s="1"/>
  <c r="D109" i="75"/>
  <c r="E109" i="75" s="1"/>
  <c r="E108" i="75"/>
  <c r="D107" i="75"/>
  <c r="E107" i="75" s="1"/>
  <c r="D98" i="75"/>
  <c r="E98" i="75" s="1"/>
  <c r="E97" i="75"/>
  <c r="D96" i="75"/>
  <c r="E96" i="75" s="1"/>
  <c r="D94" i="75"/>
  <c r="E94" i="75" s="1"/>
  <c r="D93" i="75"/>
  <c r="E93" i="75" s="1"/>
  <c r="D86" i="75"/>
  <c r="E86" i="75" s="1"/>
  <c r="E85" i="75"/>
  <c r="E84" i="75"/>
  <c r="E83" i="75"/>
  <c r="E82" i="75"/>
  <c r="D78" i="75"/>
  <c r="E78" i="75" s="1"/>
  <c r="D74" i="75"/>
  <c r="E74" i="75" s="1"/>
  <c r="D67" i="75"/>
  <c r="E67" i="75" s="1"/>
  <c r="E66" i="75"/>
  <c r="E65" i="75"/>
  <c r="E64" i="75"/>
  <c r="E63" i="75"/>
  <c r="D59" i="75"/>
  <c r="E59" i="75" s="1"/>
  <c r="D54" i="75"/>
  <c r="E54" i="75" s="1"/>
  <c r="D357" i="74"/>
  <c r="E357" i="74" s="1"/>
  <c r="E356" i="74"/>
  <c r="E355" i="74"/>
  <c r="E354" i="74"/>
  <c r="D350" i="74"/>
  <c r="E350" i="74" s="1"/>
  <c r="E127" i="76"/>
  <c r="F127" i="76" s="1"/>
  <c r="J154" i="76"/>
  <c r="F151" i="76"/>
  <c r="F138" i="76"/>
  <c r="E63" i="61"/>
  <c r="E123" i="76"/>
  <c r="F123" i="76" s="1"/>
  <c r="F126" i="76"/>
  <c r="E125" i="76"/>
  <c r="F125" i="76" s="1"/>
  <c r="H134" i="76"/>
  <c r="H133" i="76"/>
  <c r="E131" i="76"/>
  <c r="F131" i="76" s="1"/>
  <c r="F130" i="76"/>
  <c r="F129" i="76"/>
  <c r="E46" i="76"/>
  <c r="F46" i="76" s="1"/>
  <c r="E6" i="60"/>
  <c r="F63" i="64"/>
  <c r="F62" i="64"/>
  <c r="F60" i="64"/>
  <c r="F58" i="64"/>
  <c r="F57" i="64"/>
  <c r="F56" i="64"/>
  <c r="F59" i="64"/>
  <c r="F35" i="35"/>
  <c r="O27" i="72"/>
  <c r="F118" i="35"/>
  <c r="F23" i="35"/>
  <c r="E45" i="76"/>
  <c r="F45" i="76" s="1"/>
  <c r="H57" i="76"/>
  <c r="H56" i="76"/>
  <c r="E54" i="76"/>
  <c r="F54" i="76" s="1"/>
  <c r="F53" i="76"/>
  <c r="F52" i="76"/>
  <c r="E32" i="71"/>
  <c r="F47" i="64"/>
  <c r="P181" i="1"/>
  <c r="R179" i="1"/>
  <c r="R180" i="1"/>
  <c r="R182" i="1"/>
  <c r="R183" i="1"/>
  <c r="R184" i="1"/>
  <c r="R185" i="1"/>
  <c r="D930" i="74" s="1"/>
  <c r="E930" i="74" s="1"/>
  <c r="R186" i="1"/>
  <c r="R187" i="1"/>
  <c r="R188" i="1"/>
  <c r="E106" i="78" s="1"/>
  <c r="F106" i="78" s="1"/>
  <c r="R191" i="1"/>
  <c r="R192" i="1"/>
  <c r="R193" i="1"/>
  <c r="R194" i="1"/>
  <c r="E160" i="76" s="1"/>
  <c r="F160" i="76" s="1"/>
  <c r="R195" i="1"/>
  <c r="D307" i="76" s="1"/>
  <c r="E307" i="76" s="1"/>
  <c r="R196" i="1"/>
  <c r="R197" i="1"/>
  <c r="R198" i="1"/>
  <c r="D325" i="76" s="1"/>
  <c r="E325" i="76" s="1"/>
  <c r="R199" i="1"/>
  <c r="R200" i="1"/>
  <c r="R201" i="1"/>
  <c r="D868" i="74" s="1"/>
  <c r="E868" i="74" s="1"/>
  <c r="R202" i="1"/>
  <c r="R203" i="1"/>
  <c r="R189" i="1"/>
  <c r="R181" i="1"/>
  <c r="P180" i="1"/>
  <c r="P182" i="1"/>
  <c r="D365" i="74" s="1"/>
  <c r="E365" i="74" s="1"/>
  <c r="P183" i="1"/>
  <c r="D556" i="75" s="1"/>
  <c r="E556" i="75" s="1"/>
  <c r="P184" i="1"/>
  <c r="D147" i="79" s="1"/>
  <c r="E147" i="79" s="1"/>
  <c r="P185" i="1"/>
  <c r="P186" i="1"/>
  <c r="D209" i="74" s="1"/>
  <c r="P187" i="1"/>
  <c r="E176" i="76" s="1"/>
  <c r="F176" i="76" s="1"/>
  <c r="P188" i="1"/>
  <c r="P191" i="1"/>
  <c r="D19" i="73" s="1"/>
  <c r="P192" i="1"/>
  <c r="D968" i="74" s="1"/>
  <c r="E968" i="74" s="1"/>
  <c r="P193" i="1"/>
  <c r="D998" i="74" s="1"/>
  <c r="E998" i="74" s="1"/>
  <c r="P194" i="1"/>
  <c r="P195" i="1"/>
  <c r="P196" i="1"/>
  <c r="P197" i="1"/>
  <c r="E21" i="77" s="1"/>
  <c r="F21" i="77" s="1"/>
  <c r="P198" i="1"/>
  <c r="P199" i="1"/>
  <c r="D166" i="79" s="1"/>
  <c r="E166" i="79" s="1"/>
  <c r="P200" i="1"/>
  <c r="P201" i="1"/>
  <c r="E67" i="78" s="1"/>
  <c r="F67" i="78" s="1"/>
  <c r="P202" i="1"/>
  <c r="P203" i="1"/>
  <c r="D543" i="75" s="1"/>
  <c r="E543" i="75" s="1"/>
  <c r="P189" i="1"/>
  <c r="P179" i="1"/>
  <c r="E81" i="78" s="1"/>
  <c r="F81" i="78" s="1"/>
  <c r="H41" i="76"/>
  <c r="H40" i="76"/>
  <c r="E38" i="76"/>
  <c r="F38" i="76" s="1"/>
  <c r="F37" i="76"/>
  <c r="F36" i="76"/>
  <c r="E32" i="76"/>
  <c r="F32" i="76" s="1"/>
  <c r="H27" i="76"/>
  <c r="H26" i="76"/>
  <c r="E24" i="76"/>
  <c r="F24" i="76" s="1"/>
  <c r="F23" i="76"/>
  <c r="F22" i="76"/>
  <c r="E15" i="76"/>
  <c r="F15" i="76" s="1"/>
  <c r="E3" i="76"/>
  <c r="F3" i="76" s="1"/>
  <c r="E5" i="76"/>
  <c r="F5" i="76" s="1"/>
  <c r="F7" i="76"/>
  <c r="F6" i="76"/>
  <c r="H11" i="76"/>
  <c r="H10" i="76"/>
  <c r="E8" i="76"/>
  <c r="F8" i="76" s="1"/>
  <c r="D47" i="75"/>
  <c r="E47" i="75" s="1"/>
  <c r="E46" i="75"/>
  <c r="E45" i="75"/>
  <c r="E44" i="75"/>
  <c r="E43" i="75"/>
  <c r="D39" i="75"/>
  <c r="E39" i="75" s="1"/>
  <c r="D35" i="75"/>
  <c r="E35" i="75" s="1"/>
  <c r="D33" i="75"/>
  <c r="E33" i="75" s="1"/>
  <c r="D25" i="75"/>
  <c r="E25" i="75" s="1"/>
  <c r="E23" i="75"/>
  <c r="E22" i="75"/>
  <c r="E21" i="75"/>
  <c r="E17" i="75"/>
  <c r="D13" i="75"/>
  <c r="E13" i="75" s="1"/>
  <c r="D7" i="75"/>
  <c r="E7" i="75" s="1"/>
  <c r="D338" i="74"/>
  <c r="E338" i="74" s="1"/>
  <c r="E337" i="74"/>
  <c r="E336" i="74"/>
  <c r="E335" i="74"/>
  <c r="E334" i="74"/>
  <c r="D330" i="74"/>
  <c r="E330" i="74" s="1"/>
  <c r="D326" i="74"/>
  <c r="E326" i="74" s="1"/>
  <c r="D322" i="74"/>
  <c r="E322" i="74" s="1"/>
  <c r="D306" i="74"/>
  <c r="E306" i="74" s="1"/>
  <c r="D308" i="74"/>
  <c r="E308" i="74" s="1"/>
  <c r="D310" i="74"/>
  <c r="E310" i="74" s="1"/>
  <c r="E311" i="74"/>
  <c r="E312" i="74"/>
  <c r="E314" i="74"/>
  <c r="D315" i="74"/>
  <c r="E315" i="74" s="1"/>
  <c r="D299" i="74"/>
  <c r="E299" i="74" s="1"/>
  <c r="E298" i="74"/>
  <c r="E297" i="74"/>
  <c r="E296" i="74"/>
  <c r="E295" i="74"/>
  <c r="D291" i="74"/>
  <c r="E291" i="74" s="1"/>
  <c r="D286" i="74"/>
  <c r="E286" i="74" s="1"/>
  <c r="D266" i="74"/>
  <c r="E266" i="74" s="1"/>
  <c r="E277" i="74"/>
  <c r="E276" i="74"/>
  <c r="E275" i="74"/>
  <c r="D270" i="74"/>
  <c r="E270" i="74" s="1"/>
  <c r="D264" i="74"/>
  <c r="E264" i="74" s="1"/>
  <c r="D860" i="74"/>
  <c r="E860" i="74" s="1"/>
  <c r="E858" i="74"/>
  <c r="E857" i="74"/>
  <c r="E856" i="74"/>
  <c r="D847" i="74"/>
  <c r="E847" i="74" s="1"/>
  <c r="D846" i="74"/>
  <c r="E846" i="74" s="1"/>
  <c r="D844" i="74"/>
  <c r="E844" i="74" s="1"/>
  <c r="D843" i="74"/>
  <c r="E843" i="74" s="1"/>
  <c r="D256" i="74"/>
  <c r="E256" i="74" s="1"/>
  <c r="E255" i="74"/>
  <c r="E253" i="74"/>
  <c r="E252" i="74"/>
  <c r="D249" i="74"/>
  <c r="E249" i="74" s="1"/>
  <c r="D247" i="74"/>
  <c r="E247" i="74" s="1"/>
  <c r="E25" i="60"/>
  <c r="E248" i="75" s="1"/>
  <c r="F248" i="75" s="1"/>
  <c r="D228" i="74"/>
  <c r="E228" i="74" s="1"/>
  <c r="D240" i="74"/>
  <c r="E240" i="74" s="1"/>
  <c r="E239" i="74"/>
  <c r="E238" i="74"/>
  <c r="E237" i="74"/>
  <c r="E236" i="74"/>
  <c r="D232" i="74"/>
  <c r="E232" i="74" s="1"/>
  <c r="D207" i="74"/>
  <c r="E207" i="74" s="1"/>
  <c r="D221" i="74"/>
  <c r="E221" i="74" s="1"/>
  <c r="E219" i="74"/>
  <c r="E218" i="74"/>
  <c r="E217" i="74"/>
  <c r="D213" i="74"/>
  <c r="E213" i="74" s="1"/>
  <c r="D200" i="74"/>
  <c r="E200" i="74" s="1"/>
  <c r="E199" i="74"/>
  <c r="E198" i="74"/>
  <c r="E197" i="74"/>
  <c r="D193" i="74"/>
  <c r="E193" i="74" s="1"/>
  <c r="D188" i="74"/>
  <c r="E188" i="74" s="1"/>
  <c r="D187" i="74"/>
  <c r="E187" i="74" s="1"/>
  <c r="D185" i="74"/>
  <c r="E185" i="74" s="1"/>
  <c r="D164" i="74"/>
  <c r="E164" i="74" s="1"/>
  <c r="D177" i="74"/>
  <c r="E177" i="74" s="1"/>
  <c r="E176" i="74"/>
  <c r="E175" i="74"/>
  <c r="E174" i="74"/>
  <c r="E173" i="74"/>
  <c r="D169" i="74"/>
  <c r="E169" i="74" s="1"/>
  <c r="D163" i="74"/>
  <c r="E163" i="74" s="1"/>
  <c r="D140" i="74"/>
  <c r="E140" i="74" s="1"/>
  <c r="F123" i="35"/>
  <c r="E67" i="77" s="1"/>
  <c r="F67" i="77" s="1"/>
  <c r="D156" i="74"/>
  <c r="E156" i="74" s="1"/>
  <c r="E155" i="74"/>
  <c r="E154" i="74"/>
  <c r="E153" i="74"/>
  <c r="E152" i="74"/>
  <c r="D147" i="74"/>
  <c r="E147" i="74" s="1"/>
  <c r="D133" i="74"/>
  <c r="E133" i="74" s="1"/>
  <c r="E132" i="74"/>
  <c r="E131" i="74"/>
  <c r="E130" i="74"/>
  <c r="E129" i="74"/>
  <c r="D124" i="74"/>
  <c r="E124" i="74" s="1"/>
  <c r="D120" i="74"/>
  <c r="E120" i="74" s="1"/>
  <c r="D119" i="74"/>
  <c r="E119" i="74" s="1"/>
  <c r="D112" i="74"/>
  <c r="E112" i="74" s="1"/>
  <c r="E111" i="74"/>
  <c r="E110" i="74"/>
  <c r="E109" i="74"/>
  <c r="E108" i="74"/>
  <c r="D104" i="74"/>
  <c r="E104" i="74" s="1"/>
  <c r="D100" i="74"/>
  <c r="E100" i="74" s="1"/>
  <c r="D99" i="74"/>
  <c r="E99" i="74" s="1"/>
  <c r="D92" i="74"/>
  <c r="E92" i="74" s="1"/>
  <c r="E91" i="74"/>
  <c r="E90" i="74"/>
  <c r="E89" i="74"/>
  <c r="D85" i="74"/>
  <c r="E85" i="74" s="1"/>
  <c r="D80" i="74"/>
  <c r="E80" i="74" s="1"/>
  <c r="D79" i="74"/>
  <c r="E79" i="74" s="1"/>
  <c r="D77" i="74"/>
  <c r="E77" i="74" s="1"/>
  <c r="D69" i="74"/>
  <c r="E69" i="74" s="1"/>
  <c r="E68" i="74"/>
  <c r="E67" i="74"/>
  <c r="D56" i="74"/>
  <c r="E56" i="74" s="1"/>
  <c r="E66" i="74"/>
  <c r="E65" i="74"/>
  <c r="D61" i="74"/>
  <c r="E61" i="74" s="1"/>
  <c r="D57" i="74"/>
  <c r="E57" i="74" s="1"/>
  <c r="G51" i="74"/>
  <c r="G50" i="74"/>
  <c r="D33" i="74"/>
  <c r="E33" i="74" s="1"/>
  <c r="F155" i="35"/>
  <c r="E40" i="74"/>
  <c r="D48" i="74"/>
  <c r="E48" i="74" s="1"/>
  <c r="E47" i="74"/>
  <c r="E46" i="74"/>
  <c r="E45" i="74"/>
  <c r="D35" i="74"/>
  <c r="E35" i="74" s="1"/>
  <c r="E38" i="9"/>
  <c r="D27" i="74"/>
  <c r="E27" i="74" s="1"/>
  <c r="D26" i="74"/>
  <c r="E26" i="74" s="1"/>
  <c r="D15" i="74"/>
  <c r="E15" i="74" s="1"/>
  <c r="E14" i="74"/>
  <c r="E13" i="74"/>
  <c r="E12" i="74"/>
  <c r="E11" i="74"/>
  <c r="D7" i="74"/>
  <c r="E7" i="74" s="1"/>
  <c r="D3" i="74"/>
  <c r="E3" i="74" s="1"/>
  <c r="G41" i="73"/>
  <c r="G40" i="73"/>
  <c r="D38" i="73"/>
  <c r="E38" i="73" s="1"/>
  <c r="G23" i="73"/>
  <c r="G22" i="73"/>
  <c r="D20" i="73"/>
  <c r="E20" i="73" s="1"/>
  <c r="D6" i="73"/>
  <c r="E6" i="73" s="1"/>
  <c r="O9" i="72"/>
  <c r="D10" i="73" s="1"/>
  <c r="E10" i="73" s="1"/>
  <c r="O8" i="72"/>
  <c r="F126" i="35"/>
  <c r="D13" i="73" s="1"/>
  <c r="E13" i="73" s="1"/>
  <c r="F52" i="64"/>
  <c r="F51" i="64"/>
  <c r="J51" i="64" s="1"/>
  <c r="J43" i="64"/>
  <c r="D163" i="1"/>
  <c r="AA125" i="50" s="1"/>
  <c r="AB125" i="50" s="1"/>
  <c r="D162" i="1"/>
  <c r="D92" i="1"/>
  <c r="D90" i="1"/>
  <c r="D91" i="1"/>
  <c r="O5" i="64"/>
  <c r="E34" i="76" s="1"/>
  <c r="F34" i="76" s="1"/>
  <c r="O6" i="64"/>
  <c r="O7" i="64"/>
  <c r="O8" i="64"/>
  <c r="O9" i="64"/>
  <c r="D251" i="74" s="1"/>
  <c r="E251" i="74" s="1"/>
  <c r="O10" i="64"/>
  <c r="O11" i="64"/>
  <c r="Q11" i="64" s="1"/>
  <c r="O4" i="64"/>
  <c r="F45" i="64"/>
  <c r="F44" i="64"/>
  <c r="E20" i="60"/>
  <c r="E8" i="60"/>
  <c r="D3" i="73" s="1"/>
  <c r="E3" i="73" s="1"/>
  <c r="F37" i="35"/>
  <c r="D447" i="75" s="1"/>
  <c r="E447" i="75" s="1"/>
  <c r="D161" i="1"/>
  <c r="AA127" i="50" s="1"/>
  <c r="AB127" i="50" s="1"/>
  <c r="H613" i="53"/>
  <c r="D27" i="64"/>
  <c r="E254" i="58" s="1"/>
  <c r="L20" i="71"/>
  <c r="L21" i="71"/>
  <c r="F120" i="35"/>
  <c r="D50" i="79" s="1"/>
  <c r="E50" i="79" s="1"/>
  <c r="F131" i="35"/>
  <c r="D10" i="79" s="1"/>
  <c r="E10" i="79" s="1"/>
  <c r="F130" i="35"/>
  <c r="D29" i="74" s="1"/>
  <c r="E29" i="74" s="1"/>
  <c r="F129" i="35"/>
  <c r="D114" i="79" s="1"/>
  <c r="E114" i="79" s="1"/>
  <c r="F128" i="35"/>
  <c r="D11" i="79" s="1"/>
  <c r="E11" i="79" s="1"/>
  <c r="V34" i="61"/>
  <c r="F127" i="35"/>
  <c r="D113" i="79" s="1"/>
  <c r="E113" i="79" s="1"/>
  <c r="E71" i="61"/>
  <c r="F83" i="35"/>
  <c r="D34" i="74" s="1"/>
  <c r="E34" i="74" s="1"/>
  <c r="F87" i="35"/>
  <c r="F125" i="35"/>
  <c r="D9" i="73" s="1"/>
  <c r="E9" i="73" s="1"/>
  <c r="F47" i="71"/>
  <c r="F82" i="35"/>
  <c r="D30" i="79" s="1"/>
  <c r="E30" i="79" s="1"/>
  <c r="F81" i="35"/>
  <c r="D32" i="74" s="1"/>
  <c r="E32" i="74" s="1"/>
  <c r="E24" i="60"/>
  <c r="L22" i="71"/>
  <c r="F50" i="64"/>
  <c r="F49" i="64"/>
  <c r="F48" i="64"/>
  <c r="J48" i="64" s="1"/>
  <c r="H43" i="64"/>
  <c r="F42" i="64"/>
  <c r="H42" i="64" s="1"/>
  <c r="E44" i="60"/>
  <c r="E43" i="60"/>
  <c r="E80" i="76" s="1"/>
  <c r="F80" i="76" s="1"/>
  <c r="J106" i="1"/>
  <c r="F819" i="50" s="1"/>
  <c r="AB118" i="50"/>
  <c r="AB117" i="50"/>
  <c r="G813" i="52"/>
  <c r="E810" i="52"/>
  <c r="E809" i="52"/>
  <c r="D808" i="52"/>
  <c r="E808" i="52" s="1"/>
  <c r="T341" i="50"/>
  <c r="J13" i="58"/>
  <c r="H654" i="50"/>
  <c r="H873" i="50"/>
  <c r="G781" i="52"/>
  <c r="AA105" i="50"/>
  <c r="AB105" i="50" s="1"/>
  <c r="M20" i="60"/>
  <c r="D528" i="75" s="1"/>
  <c r="E528" i="75" s="1"/>
  <c r="M21" i="60"/>
  <c r="D541" i="75" s="1"/>
  <c r="E541" i="75" s="1"/>
  <c r="M22" i="60"/>
  <c r="M19" i="60"/>
  <c r="D555" i="75" s="1"/>
  <c r="E555" i="75" s="1"/>
  <c r="M18" i="60"/>
  <c r="D542" i="75" s="1"/>
  <c r="E542" i="75" s="1"/>
  <c r="M17" i="60"/>
  <c r="D982" i="74" s="1"/>
  <c r="E982" i="74" s="1"/>
  <c r="M16" i="60"/>
  <c r="D967" i="74" s="1"/>
  <c r="E967" i="74" s="1"/>
  <c r="M15" i="60"/>
  <c r="M14" i="60"/>
  <c r="AB107" i="50"/>
  <c r="AB106" i="50"/>
  <c r="AB95" i="50"/>
  <c r="AB94" i="50"/>
  <c r="AB83" i="50"/>
  <c r="AB82" i="50"/>
  <c r="AB72" i="50"/>
  <c r="AB71" i="50"/>
  <c r="F1006" i="50"/>
  <c r="F1008" i="50"/>
  <c r="F1007" i="50"/>
  <c r="H1011" i="50"/>
  <c r="F999" i="50"/>
  <c r="F998" i="50"/>
  <c r="F997" i="50"/>
  <c r="F990" i="50"/>
  <c r="F989" i="50"/>
  <c r="F988" i="50"/>
  <c r="F981" i="50"/>
  <c r="F980" i="50"/>
  <c r="F979" i="50"/>
  <c r="H993" i="50"/>
  <c r="H984" i="50"/>
  <c r="F972" i="50"/>
  <c r="F971" i="50"/>
  <c r="F970" i="50"/>
  <c r="H975" i="50"/>
  <c r="R573" i="50"/>
  <c r="Q564" i="50"/>
  <c r="O109" i="1"/>
  <c r="Q556" i="50"/>
  <c r="R556" i="50" s="1"/>
  <c r="R557" i="50"/>
  <c r="Q209" i="50"/>
  <c r="Q46" i="50"/>
  <c r="Q548" i="50"/>
  <c r="R548" i="50" s="1"/>
  <c r="R549" i="50"/>
  <c r="R541" i="50"/>
  <c r="R534" i="50"/>
  <c r="R527" i="50"/>
  <c r="Q526" i="50"/>
  <c r="R526" i="50" s="1"/>
  <c r="Q518" i="50"/>
  <c r="R518" i="50" s="1"/>
  <c r="R519" i="50"/>
  <c r="R511" i="50"/>
  <c r="Q510" i="50"/>
  <c r="R510" i="50" s="1"/>
  <c r="D103" i="1"/>
  <c r="Q464" i="50" s="1"/>
  <c r="D64" i="1"/>
  <c r="D63" i="1"/>
  <c r="AA81" i="50" s="1"/>
  <c r="AB81" i="50" s="1"/>
  <c r="D62" i="1"/>
  <c r="D61" i="1"/>
  <c r="D160" i="1"/>
  <c r="AA80" i="50" s="1"/>
  <c r="AB80" i="50" s="1"/>
  <c r="D159" i="1"/>
  <c r="AA103" i="50" s="1"/>
  <c r="AB103" i="50" s="1"/>
  <c r="D158" i="1"/>
  <c r="D157" i="1"/>
  <c r="AA68" i="50" s="1"/>
  <c r="AB68" i="50" s="1"/>
  <c r="D156" i="1"/>
  <c r="AA90" i="50" s="1"/>
  <c r="AB90" i="50" s="1"/>
  <c r="D155" i="1"/>
  <c r="D154" i="1"/>
  <c r="J107" i="1"/>
  <c r="K107" i="1" s="1"/>
  <c r="J104" i="1"/>
  <c r="J102" i="1"/>
  <c r="F45" i="35"/>
  <c r="F63" i="35"/>
  <c r="D160" i="75" s="1"/>
  <c r="E160" i="75" s="1"/>
  <c r="F46" i="35"/>
  <c r="M10" i="71"/>
  <c r="M11" i="71"/>
  <c r="E70" i="61"/>
  <c r="E69" i="61"/>
  <c r="M12" i="71"/>
  <c r="M13" i="71"/>
  <c r="M15" i="71"/>
  <c r="R503" i="50"/>
  <c r="R496" i="50"/>
  <c r="R489" i="50"/>
  <c r="D1185" i="74" l="1"/>
  <c r="E1185" i="74" s="1"/>
  <c r="D1073" i="74"/>
  <c r="E1073" i="74" s="1"/>
  <c r="D346" i="74"/>
  <c r="E346" i="74" s="1"/>
  <c r="D779" i="74"/>
  <c r="E779" i="74" s="1"/>
  <c r="D1138" i="74"/>
  <c r="E1138" i="74" s="1"/>
  <c r="D1369" i="74"/>
  <c r="E1369" i="74" s="1"/>
  <c r="D1391" i="74"/>
  <c r="E1391" i="74" s="1"/>
  <c r="D1119" i="74"/>
  <c r="E1119" i="74" s="1"/>
  <c r="D656" i="75"/>
  <c r="E656" i="75" s="1"/>
  <c r="D1165" i="74"/>
  <c r="E1165" i="74" s="1"/>
  <c r="Q540" i="50"/>
  <c r="R540" i="50" s="1"/>
  <c r="R542" i="50" s="1"/>
  <c r="R543" i="50" s="1"/>
  <c r="S543" i="50" s="1"/>
  <c r="D330" i="75"/>
  <c r="E330" i="75" s="1"/>
  <c r="D771" i="74"/>
  <c r="E771" i="74" s="1"/>
  <c r="D657" i="74"/>
  <c r="E657" i="74" s="1"/>
  <c r="D1013" i="74"/>
  <c r="E1013" i="74" s="1"/>
  <c r="D146" i="79"/>
  <c r="E146" i="79" s="1"/>
  <c r="D997" i="74"/>
  <c r="E997" i="74" s="1"/>
  <c r="D165" i="79"/>
  <c r="E165" i="79" s="1"/>
  <c r="H58" i="64"/>
  <c r="J58" i="64"/>
  <c r="J60" i="64"/>
  <c r="H60" i="64"/>
  <c r="J59" i="64"/>
  <c r="E66" i="76" s="1"/>
  <c r="F66" i="76" s="1"/>
  <c r="H59" i="64"/>
  <c r="D348" i="76" s="1"/>
  <c r="E348" i="76" s="1"/>
  <c r="E561" i="75"/>
  <c r="E562" i="75" s="1"/>
  <c r="E563" i="75" s="1"/>
  <c r="E548" i="75"/>
  <c r="E549" i="75" s="1"/>
  <c r="E550" i="75" s="1"/>
  <c r="D328" i="76"/>
  <c r="E328" i="76" s="1"/>
  <c r="D347" i="76"/>
  <c r="E347" i="76" s="1"/>
  <c r="D588" i="75"/>
  <c r="E588" i="75" s="1"/>
  <c r="D571" i="75"/>
  <c r="E571" i="75" s="1"/>
  <c r="D326" i="76"/>
  <c r="E326" i="76" s="1"/>
  <c r="D570" i="75"/>
  <c r="E570" i="75" s="1"/>
  <c r="E534" i="75"/>
  <c r="E535" i="75" s="1"/>
  <c r="E536" i="75" s="1"/>
  <c r="D36" i="73"/>
  <c r="E36" i="73" s="1"/>
  <c r="D1014" i="74"/>
  <c r="E1014" i="74" s="1"/>
  <c r="D910" i="74"/>
  <c r="E910" i="74" s="1"/>
  <c r="D983" i="74"/>
  <c r="E983" i="74" s="1"/>
  <c r="D293" i="76"/>
  <c r="E293" i="76" s="1"/>
  <c r="E201" i="77"/>
  <c r="F201" i="77" s="1"/>
  <c r="E215" i="77"/>
  <c r="F215" i="77" s="1"/>
  <c r="D658" i="74"/>
  <c r="E658" i="74" s="1"/>
  <c r="D331" i="75"/>
  <c r="E331" i="75" s="1"/>
  <c r="E202" i="77"/>
  <c r="F202" i="77" s="1"/>
  <c r="E216" i="77"/>
  <c r="F216" i="77" s="1"/>
  <c r="E243" i="77"/>
  <c r="F243" i="77" s="1"/>
  <c r="D294" i="75"/>
  <c r="E294" i="75" s="1"/>
  <c r="D636" i="74"/>
  <c r="E636" i="74" s="1"/>
  <c r="D750" i="74"/>
  <c r="E750" i="74" s="1"/>
  <c r="D576" i="74"/>
  <c r="E576" i="74" s="1"/>
  <c r="D577" i="74"/>
  <c r="E577" i="74" s="1"/>
  <c r="D329" i="75"/>
  <c r="E329" i="75" s="1"/>
  <c r="E187" i="77"/>
  <c r="F187" i="77" s="1"/>
  <c r="D751" i="74"/>
  <c r="E751" i="74" s="1"/>
  <c r="E188" i="77"/>
  <c r="F188" i="77" s="1"/>
  <c r="D317" i="75"/>
  <c r="E317" i="75" s="1"/>
  <c r="E230" i="77"/>
  <c r="F230" i="77" s="1"/>
  <c r="D318" i="75"/>
  <c r="E318" i="75" s="1"/>
  <c r="E245" i="75"/>
  <c r="F245" i="75" s="1"/>
  <c r="Q10" i="64"/>
  <c r="D386" i="74"/>
  <c r="E386" i="74" s="1"/>
  <c r="D292" i="76"/>
  <c r="E292" i="76" s="1"/>
  <c r="D815" i="74"/>
  <c r="E815" i="74" s="1"/>
  <c r="J45" i="64"/>
  <c r="D796" i="74" s="1"/>
  <c r="E796" i="74" s="1"/>
  <c r="D368" i="75"/>
  <c r="E368" i="75" s="1"/>
  <c r="H52" i="64"/>
  <c r="D389" i="74" s="1"/>
  <c r="E389" i="74" s="1"/>
  <c r="J47" i="64"/>
  <c r="D112" i="79"/>
  <c r="E112" i="79" s="1"/>
  <c r="D35" i="73"/>
  <c r="E35" i="73" s="1"/>
  <c r="D19" i="81"/>
  <c r="E19" i="81" s="1"/>
  <c r="J62" i="64"/>
  <c r="D110" i="79"/>
  <c r="E110" i="79" s="1"/>
  <c r="D683" i="74"/>
  <c r="E683" i="74" s="1"/>
  <c r="H63" i="64"/>
  <c r="D15" i="79" s="1"/>
  <c r="E15" i="79" s="1"/>
  <c r="D111" i="79"/>
  <c r="E111" i="79" s="1"/>
  <c r="D545" i="74"/>
  <c r="E545" i="74" s="1"/>
  <c r="H49" i="64"/>
  <c r="D175" i="51"/>
  <c r="D138" i="51"/>
  <c r="E138" i="51" s="1"/>
  <c r="H50" i="64"/>
  <c r="D125" i="51"/>
  <c r="E125" i="51" s="1"/>
  <c r="D187" i="51"/>
  <c r="H44" i="64"/>
  <c r="D25" i="81"/>
  <c r="E25" i="81" s="1"/>
  <c r="D163" i="51"/>
  <c r="D150" i="51"/>
  <c r="D952" i="74"/>
  <c r="E952" i="74" s="1"/>
  <c r="D127" i="79"/>
  <c r="E127" i="79" s="1"/>
  <c r="D106" i="79"/>
  <c r="E106" i="79" s="1"/>
  <c r="D953" i="74"/>
  <c r="E953" i="74" s="1"/>
  <c r="D951" i="74"/>
  <c r="E951" i="74" s="1"/>
  <c r="F142" i="76"/>
  <c r="D20" i="81"/>
  <c r="E20" i="81" s="1"/>
  <c r="E119" i="78"/>
  <c r="F119" i="78" s="1"/>
  <c r="D129" i="79"/>
  <c r="E129" i="79" s="1"/>
  <c r="D108" i="79"/>
  <c r="E108" i="79" s="1"/>
  <c r="E336" i="77"/>
  <c r="F336" i="77" s="1"/>
  <c r="D128" i="79"/>
  <c r="E128" i="79" s="1"/>
  <c r="E120" i="78"/>
  <c r="F120" i="78" s="1"/>
  <c r="D107" i="79"/>
  <c r="E107" i="79" s="1"/>
  <c r="F145" i="76"/>
  <c r="E335" i="77"/>
  <c r="F335" i="77" s="1"/>
  <c r="D890" i="74"/>
  <c r="E890" i="74" s="1"/>
  <c r="F144" i="76"/>
  <c r="D891" i="74"/>
  <c r="E891" i="74" s="1"/>
  <c r="F143" i="76"/>
  <c r="D21" i="81"/>
  <c r="E21" i="81" s="1"/>
  <c r="E177" i="76"/>
  <c r="F177" i="76" s="1"/>
  <c r="D954" i="74"/>
  <c r="E954" i="74" s="1"/>
  <c r="C6" i="80"/>
  <c r="C7" i="80" s="1"/>
  <c r="D7" i="80" s="1"/>
  <c r="E124" i="76"/>
  <c r="F124" i="76" s="1"/>
  <c r="E139" i="76"/>
  <c r="F139" i="76" s="1"/>
  <c r="D950" i="74"/>
  <c r="E950" i="74" s="1"/>
  <c r="D132" i="79"/>
  <c r="E132" i="79" s="1"/>
  <c r="D772" i="74"/>
  <c r="E772" i="74" s="1"/>
  <c r="R45" i="77"/>
  <c r="R46" i="77" s="1"/>
  <c r="S46" i="77" s="1"/>
  <c r="E45" i="58"/>
  <c r="F45" i="58" s="1"/>
  <c r="F50" i="58" s="1"/>
  <c r="F51" i="58" s="1"/>
  <c r="G51" i="58" s="1"/>
  <c r="E148" i="76"/>
  <c r="F148" i="76" s="1"/>
  <c r="E332" i="77"/>
  <c r="F332" i="77" s="1"/>
  <c r="E303" i="77"/>
  <c r="F303" i="77" s="1"/>
  <c r="R63" i="77"/>
  <c r="R64" i="77" s="1"/>
  <c r="S64" i="77" s="1"/>
  <c r="AA69" i="50"/>
  <c r="AB69" i="50" s="1"/>
  <c r="AA126" i="50"/>
  <c r="AB126" i="50" s="1"/>
  <c r="AB130" i="50" s="1"/>
  <c r="AB131" i="50" s="1"/>
  <c r="AC131" i="50" s="1"/>
  <c r="F801" i="50"/>
  <c r="F850" i="50"/>
  <c r="F810" i="50"/>
  <c r="E244" i="50"/>
  <c r="D720" i="74"/>
  <c r="E720" i="74" s="1"/>
  <c r="D832" i="74"/>
  <c r="E832" i="74" s="1"/>
  <c r="D703" i="74"/>
  <c r="E703" i="74" s="1"/>
  <c r="D666" i="74"/>
  <c r="E666" i="74" s="1"/>
  <c r="D585" i="74"/>
  <c r="E585" i="74" s="1"/>
  <c r="D525" i="74"/>
  <c r="E525" i="74" s="1"/>
  <c r="D565" i="74"/>
  <c r="E565" i="74" s="1"/>
  <c r="D604" i="74"/>
  <c r="E604" i="74" s="1"/>
  <c r="D625" i="74"/>
  <c r="E625" i="74" s="1"/>
  <c r="E645" i="74"/>
  <c r="D738" i="74"/>
  <c r="E738" i="74" s="1"/>
  <c r="D759" i="74"/>
  <c r="E759" i="74" s="1"/>
  <c r="D794" i="74"/>
  <c r="E794" i="74" s="1"/>
  <c r="E181" i="77"/>
  <c r="E182" i="77" s="1"/>
  <c r="F182" i="77" s="1"/>
  <c r="E155" i="77"/>
  <c r="E156" i="77" s="1"/>
  <c r="F156" i="77" s="1"/>
  <c r="E146" i="77"/>
  <c r="E147" i="77" s="1"/>
  <c r="F147" i="77" s="1"/>
  <c r="D95" i="75"/>
  <c r="E95" i="75" s="1"/>
  <c r="E99" i="75" s="1"/>
  <c r="E100" i="75" s="1"/>
  <c r="F100" i="75" s="1"/>
  <c r="D30" i="73"/>
  <c r="E30" i="73" s="1"/>
  <c r="D503" i="74"/>
  <c r="E503" i="74" s="1"/>
  <c r="D6" i="74"/>
  <c r="R54" i="77"/>
  <c r="R55" i="77" s="1"/>
  <c r="S55" i="77" s="1"/>
  <c r="E172" i="77"/>
  <c r="E173" i="77" s="1"/>
  <c r="F173" i="77" s="1"/>
  <c r="E163" i="77"/>
  <c r="E164" i="77" s="1"/>
  <c r="F164" i="77" s="1"/>
  <c r="K106" i="1"/>
  <c r="Q32" i="77" s="1"/>
  <c r="R32" i="77" s="1"/>
  <c r="D37" i="73"/>
  <c r="E37" i="73" s="1"/>
  <c r="K104" i="1"/>
  <c r="E120" i="77"/>
  <c r="F120" i="77" s="1"/>
  <c r="E30" i="78"/>
  <c r="F30" i="78" s="1"/>
  <c r="E35" i="77"/>
  <c r="F35" i="77" s="1"/>
  <c r="E88" i="77"/>
  <c r="F88" i="77" s="1"/>
  <c r="K102" i="1"/>
  <c r="Q22" i="77" s="1"/>
  <c r="R22" i="77" s="1"/>
  <c r="D18" i="73"/>
  <c r="E18" i="73" s="1"/>
  <c r="E65" i="77"/>
  <c r="F65" i="77" s="1"/>
  <c r="D390" i="74"/>
  <c r="E390" i="74" s="1"/>
  <c r="D504" i="74"/>
  <c r="E504" i="74" s="1"/>
  <c r="E20" i="77"/>
  <c r="F20" i="77" s="1"/>
  <c r="D142" i="74"/>
  <c r="E142" i="74" s="1"/>
  <c r="E68" i="76"/>
  <c r="F68" i="76" s="1"/>
  <c r="Q23" i="77"/>
  <c r="R23" i="77" s="1"/>
  <c r="E82" i="77"/>
  <c r="E83" i="77" s="1"/>
  <c r="F83" i="77" s="1"/>
  <c r="F181" i="75"/>
  <c r="E209" i="74"/>
  <c r="D30" i="74"/>
  <c r="E30" i="74" s="1"/>
  <c r="D9" i="79"/>
  <c r="E9" i="79" s="1"/>
  <c r="E34" i="77"/>
  <c r="F34" i="77" s="1"/>
  <c r="E4" i="78"/>
  <c r="F4" i="78" s="1"/>
  <c r="E56" i="78"/>
  <c r="F56" i="78" s="1"/>
  <c r="D12" i="79"/>
  <c r="E12" i="79" s="1"/>
  <c r="D29" i="79"/>
  <c r="E29" i="79" s="1"/>
  <c r="D117" i="75"/>
  <c r="E117" i="75" s="1"/>
  <c r="D427" i="74"/>
  <c r="E427" i="74" s="1"/>
  <c r="D136" i="75"/>
  <c r="E136" i="75" s="1"/>
  <c r="D162" i="75"/>
  <c r="E162" i="75" s="1"/>
  <c r="E49" i="77"/>
  <c r="F49" i="77" s="1"/>
  <c r="E7" i="77"/>
  <c r="F7" i="77" s="1"/>
  <c r="E110" i="75"/>
  <c r="E111" i="75" s="1"/>
  <c r="F111" i="75" s="1"/>
  <c r="E50" i="76"/>
  <c r="F50" i="76" s="1"/>
  <c r="D12" i="75"/>
  <c r="E12" i="75" s="1"/>
  <c r="D14" i="75"/>
  <c r="E14" i="75" s="1"/>
  <c r="D10" i="75"/>
  <c r="E10" i="75" s="1"/>
  <c r="D11" i="75"/>
  <c r="E11" i="75" s="1"/>
  <c r="H47" i="64"/>
  <c r="D37" i="81" s="1"/>
  <c r="E37" i="81" s="1"/>
  <c r="E19" i="73"/>
  <c r="H62" i="64"/>
  <c r="J63" i="64"/>
  <c r="D17" i="73"/>
  <c r="E17" i="73" s="1"/>
  <c r="D27" i="73"/>
  <c r="E27" i="73" s="1"/>
  <c r="D141" i="74"/>
  <c r="E141" i="74" s="1"/>
  <c r="D55" i="74"/>
  <c r="E55" i="74" s="1"/>
  <c r="J57" i="64"/>
  <c r="J56" i="64"/>
  <c r="D572" i="75" s="1"/>
  <c r="E572" i="75" s="1"/>
  <c r="J52" i="64"/>
  <c r="H51" i="64"/>
  <c r="J49" i="64"/>
  <c r="H48" i="64"/>
  <c r="H45" i="64"/>
  <c r="J44" i="64"/>
  <c r="J42" i="64"/>
  <c r="J50" i="64"/>
  <c r="AA114" i="50"/>
  <c r="AB114" i="50" s="1"/>
  <c r="E811" i="52"/>
  <c r="E812" i="52" s="1"/>
  <c r="F812" i="52" s="1"/>
  <c r="AA79" i="50"/>
  <c r="AB79" i="50" s="1"/>
  <c r="AB84" i="50" s="1"/>
  <c r="AB85" i="50" s="1"/>
  <c r="AC85" i="50" s="1"/>
  <c r="AA91" i="50"/>
  <c r="AB91" i="50" s="1"/>
  <c r="F991" i="50"/>
  <c r="F992" i="50" s="1"/>
  <c r="G992" i="50" s="1"/>
  <c r="F1009" i="50"/>
  <c r="F1010" i="50" s="1"/>
  <c r="G1010" i="50" s="1"/>
  <c r="F1000" i="50"/>
  <c r="F1001" i="50" s="1"/>
  <c r="G1001" i="50" s="1"/>
  <c r="F982" i="50"/>
  <c r="F983" i="50" s="1"/>
  <c r="G983" i="50" s="1"/>
  <c r="F973" i="50"/>
  <c r="F974" i="50" s="1"/>
  <c r="G974" i="50" s="1"/>
  <c r="Q448" i="50"/>
  <c r="Q356" i="50"/>
  <c r="D101" i="1"/>
  <c r="Q481" i="50"/>
  <c r="R481" i="50" s="1"/>
  <c r="R482" i="50"/>
  <c r="R480" i="50"/>
  <c r="R474" i="50"/>
  <c r="Q473" i="50"/>
  <c r="R473" i="50" s="1"/>
  <c r="Q465" i="50"/>
  <c r="R465" i="50" s="1"/>
  <c r="R466" i="50"/>
  <c r="R458" i="50"/>
  <c r="Q457" i="50"/>
  <c r="R457" i="50" s="1"/>
  <c r="R450" i="50"/>
  <c r="Q449" i="50"/>
  <c r="R449" i="50" s="1"/>
  <c r="Q387" i="50"/>
  <c r="R442" i="50"/>
  <c r="Q441" i="50"/>
  <c r="R441" i="50" s="1"/>
  <c r="R434" i="50"/>
  <c r="Q433" i="50"/>
  <c r="R433" i="50" s="1"/>
  <c r="R426" i="50"/>
  <c r="Q425" i="50"/>
  <c r="R418" i="50"/>
  <c r="Q417" i="50"/>
  <c r="R417" i="50" s="1"/>
  <c r="R410" i="50"/>
  <c r="Q409" i="50"/>
  <c r="R409" i="50" s="1"/>
  <c r="R388" i="50"/>
  <c r="R402" i="50"/>
  <c r="R395" i="50"/>
  <c r="R381" i="50"/>
  <c r="R374" i="50"/>
  <c r="Q373" i="50"/>
  <c r="R373" i="50" s="1"/>
  <c r="Q365" i="50"/>
  <c r="R365" i="50" s="1"/>
  <c r="Q357" i="50"/>
  <c r="R357" i="50" s="1"/>
  <c r="Q380" i="50"/>
  <c r="R380" i="50" s="1"/>
  <c r="D152" i="1"/>
  <c r="AA92" i="50" s="1"/>
  <c r="AB92" i="50" s="1"/>
  <c r="D153" i="1"/>
  <c r="Q502" i="50" s="1"/>
  <c r="R502" i="50" s="1"/>
  <c r="R504" i="50" s="1"/>
  <c r="R505" i="50" s="1"/>
  <c r="S505" i="50" s="1"/>
  <c r="R366" i="50"/>
  <c r="D89" i="1"/>
  <c r="Q401" i="50" s="1"/>
  <c r="R401" i="50" s="1"/>
  <c r="R358" i="50"/>
  <c r="F964" i="50"/>
  <c r="F963" i="50"/>
  <c r="F962" i="50"/>
  <c r="D36" i="1"/>
  <c r="D88" i="1"/>
  <c r="G804" i="52"/>
  <c r="D801" i="52"/>
  <c r="E801" i="52" s="1"/>
  <c r="E800" i="52"/>
  <c r="D151" i="74" l="1"/>
  <c r="E151" i="74" s="1"/>
  <c r="D1343" i="74"/>
  <c r="E1343" i="74" s="1"/>
  <c r="D1327" i="74"/>
  <c r="E1327" i="74" s="1"/>
  <c r="D1411" i="74"/>
  <c r="E1411" i="74" s="1"/>
  <c r="D589" i="75"/>
  <c r="E589" i="75" s="1"/>
  <c r="D169" i="79"/>
  <c r="E169" i="79" s="1"/>
  <c r="D349" i="76"/>
  <c r="E349" i="76" s="1"/>
  <c r="D150" i="79"/>
  <c r="E150" i="79" s="1"/>
  <c r="D88" i="74"/>
  <c r="E88" i="74" s="1"/>
  <c r="D913" i="74"/>
  <c r="E913" i="74" s="1"/>
  <c r="D1000" i="74"/>
  <c r="E1000" i="74" s="1"/>
  <c r="E1006" i="74" s="1"/>
  <c r="E1007" i="74" s="1"/>
  <c r="E1008" i="74" s="1"/>
  <c r="D1016" i="74"/>
  <c r="E1016" i="74" s="1"/>
  <c r="E1022" i="74" s="1"/>
  <c r="E1023" i="74" s="1"/>
  <c r="E1024" i="74" s="1"/>
  <c r="D984" i="74"/>
  <c r="E984" i="74" s="1"/>
  <c r="E990" i="74" s="1"/>
  <c r="E991" i="74" s="1"/>
  <c r="E992" i="74" s="1"/>
  <c r="D170" i="79"/>
  <c r="E170" i="79" s="1"/>
  <c r="D151" i="79"/>
  <c r="E151" i="79" s="1"/>
  <c r="D969" i="74"/>
  <c r="E969" i="74" s="1"/>
  <c r="E975" i="74" s="1"/>
  <c r="E976" i="74" s="1"/>
  <c r="E977" i="74" s="1"/>
  <c r="D133" i="79"/>
  <c r="E133" i="79" s="1"/>
  <c r="E139" i="79" s="1"/>
  <c r="E140" i="79" s="1"/>
  <c r="F141" i="79" s="1"/>
  <c r="D152" i="79"/>
  <c r="E152" i="79" s="1"/>
  <c r="D171" i="79"/>
  <c r="E171" i="79" s="1"/>
  <c r="D353" i="74"/>
  <c r="E353" i="74" s="1"/>
  <c r="D107" i="74"/>
  <c r="E107" i="74" s="1"/>
  <c r="D932" i="74"/>
  <c r="E932" i="74" s="1"/>
  <c r="D308" i="76"/>
  <c r="E308" i="76" s="1"/>
  <c r="E315" i="76" s="1"/>
  <c r="E316" i="76" s="1"/>
  <c r="F316" i="76" s="1"/>
  <c r="D936" i="74"/>
  <c r="E936" i="74" s="1"/>
  <c r="D367" i="74"/>
  <c r="E367" i="74" s="1"/>
  <c r="D294" i="76"/>
  <c r="E294" i="76" s="1"/>
  <c r="Q88" i="77"/>
  <c r="R88" i="77" s="1"/>
  <c r="Q79" i="77"/>
  <c r="R79" i="77" s="1"/>
  <c r="D64" i="74"/>
  <c r="E64" i="74" s="1"/>
  <c r="D294" i="74"/>
  <c r="E294" i="74" s="1"/>
  <c r="D128" i="74"/>
  <c r="E128" i="74" s="1"/>
  <c r="D333" i="74"/>
  <c r="E333" i="74" s="1"/>
  <c r="D32" i="79"/>
  <c r="E32" i="79" s="1"/>
  <c r="D368" i="74"/>
  <c r="E368" i="74" s="1"/>
  <c r="D855" i="74"/>
  <c r="E855" i="74" s="1"/>
  <c r="D388" i="74"/>
  <c r="E388" i="74" s="1"/>
  <c r="D209" i="75"/>
  <c r="E209" i="75" s="1"/>
  <c r="E97" i="76"/>
  <c r="F97" i="76" s="1"/>
  <c r="D42" i="75"/>
  <c r="E42" i="75" s="1"/>
  <c r="D1204" i="74"/>
  <c r="E1204" i="74" s="1"/>
  <c r="E108" i="78"/>
  <c r="F108" i="78" s="1"/>
  <c r="F112" i="78" s="1"/>
  <c r="F113" i="78" s="1"/>
  <c r="G113" i="78" s="1"/>
  <c r="D20" i="75"/>
  <c r="E20" i="75" s="1"/>
  <c r="D124" i="75"/>
  <c r="E124" i="75" s="1"/>
  <c r="D232" i="75"/>
  <c r="E232" i="75" s="1"/>
  <c r="D273" i="74"/>
  <c r="E273" i="74" s="1"/>
  <c r="D81" i="75"/>
  <c r="E81" i="75" s="1"/>
  <c r="D62" i="75"/>
  <c r="E62" i="75" s="1"/>
  <c r="D196" i="74"/>
  <c r="E196" i="74" s="1"/>
  <c r="D172" i="74"/>
  <c r="E172" i="74" s="1"/>
  <c r="D502" i="74"/>
  <c r="E502" i="74" s="1"/>
  <c r="D216" i="74"/>
  <c r="E216" i="74" s="1"/>
  <c r="D235" i="74"/>
  <c r="E235" i="74" s="1"/>
  <c r="D434" i="74"/>
  <c r="E434" i="74" s="1"/>
  <c r="D793" i="74"/>
  <c r="E793" i="74" s="1"/>
  <c r="D933" i="74"/>
  <c r="E933" i="74" s="1"/>
  <c r="D5" i="81"/>
  <c r="E5" i="81" s="1"/>
  <c r="D915" i="74"/>
  <c r="E915" i="74" s="1"/>
  <c r="E121" i="78"/>
  <c r="F121" i="78" s="1"/>
  <c r="F125" i="78" s="1"/>
  <c r="F126" i="78" s="1"/>
  <c r="G126" i="78" s="1"/>
  <c r="F341" i="77"/>
  <c r="F342" i="77" s="1"/>
  <c r="G342" i="77" s="1"/>
  <c r="D897" i="74"/>
  <c r="E897" i="74" s="1"/>
  <c r="D876" i="74"/>
  <c r="E876" i="74" s="1"/>
  <c r="D74" i="79"/>
  <c r="E74" i="79" s="1"/>
  <c r="D31" i="79"/>
  <c r="E31" i="79" s="1"/>
  <c r="D52" i="79"/>
  <c r="E52" i="79" s="1"/>
  <c r="D92" i="79"/>
  <c r="E92" i="79" s="1"/>
  <c r="D16" i="79"/>
  <c r="E16" i="79" s="1"/>
  <c r="D93" i="79"/>
  <c r="E93" i="79" s="1"/>
  <c r="D35" i="79"/>
  <c r="E35" i="79" s="1"/>
  <c r="D75" i="79"/>
  <c r="E75" i="79" s="1"/>
  <c r="D55" i="79"/>
  <c r="E55" i="79" s="1"/>
  <c r="Q517" i="50"/>
  <c r="Q60" i="77"/>
  <c r="R60" i="77" s="1"/>
  <c r="R26" i="77"/>
  <c r="R27" i="77" s="1"/>
  <c r="S27" i="77" s="1"/>
  <c r="D191" i="74"/>
  <c r="E191" i="74" s="1"/>
  <c r="D83" i="74"/>
  <c r="E83" i="74" s="1"/>
  <c r="D850" i="74"/>
  <c r="E850" i="74" s="1"/>
  <c r="Q394" i="50"/>
  <c r="R394" i="50" s="1"/>
  <c r="R396" i="50" s="1"/>
  <c r="R397" i="50" s="1"/>
  <c r="S397" i="50" s="1"/>
  <c r="AA93" i="50"/>
  <c r="AB93" i="50" s="1"/>
  <c r="AB96" i="50" s="1"/>
  <c r="AB97" i="50" s="1"/>
  <c r="AC97" i="50" s="1"/>
  <c r="R464" i="50"/>
  <c r="R467" i="50" s="1"/>
  <c r="R468" i="50" s="1"/>
  <c r="S468" i="50" s="1"/>
  <c r="Q472" i="50"/>
  <c r="R472" i="50" s="1"/>
  <c r="R475" i="50" s="1"/>
  <c r="R476" i="50" s="1"/>
  <c r="S476" i="50" s="1"/>
  <c r="R483" i="50"/>
  <c r="R484" i="50" s="1"/>
  <c r="S484" i="50" s="1"/>
  <c r="R403" i="50"/>
  <c r="R404" i="50" s="1"/>
  <c r="S404" i="50" s="1"/>
  <c r="R382" i="50"/>
  <c r="R383" i="50" s="1"/>
  <c r="S383" i="50" s="1"/>
  <c r="F965" i="50"/>
  <c r="F966" i="50" s="1"/>
  <c r="G966" i="50" s="1"/>
  <c r="G746" i="50"/>
  <c r="N225" i="14"/>
  <c r="G733" i="50"/>
  <c r="O211" i="14"/>
  <c r="H815" i="50"/>
  <c r="E323" i="58"/>
  <c r="F323" i="58" s="1"/>
  <c r="O249" i="14"/>
  <c r="O220" i="14"/>
  <c r="M245" i="14"/>
  <c r="M244" i="14"/>
  <c r="F955" i="50"/>
  <c r="F946" i="50"/>
  <c r="F945" i="50"/>
  <c r="F954" i="50"/>
  <c r="F953" i="50"/>
  <c r="F944" i="50"/>
  <c r="H958" i="50"/>
  <c r="H949" i="50"/>
  <c r="D59" i="1"/>
  <c r="D60" i="1"/>
  <c r="K27" i="61"/>
  <c r="K28" i="61"/>
  <c r="E16" i="76" s="1"/>
  <c r="F16" i="76" s="1"/>
  <c r="E182" i="69"/>
  <c r="F182" i="69" s="1"/>
  <c r="F181" i="69"/>
  <c r="F180" i="69"/>
  <c r="E176" i="69"/>
  <c r="F176" i="69" s="1"/>
  <c r="H185" i="69"/>
  <c r="F151" i="35"/>
  <c r="D12" i="73" s="1"/>
  <c r="E12" i="73" s="1"/>
  <c r="F152" i="35"/>
  <c r="F150" i="35"/>
  <c r="F149" i="35"/>
  <c r="F153" i="35"/>
  <c r="H13" i="58"/>
  <c r="H12" i="58"/>
  <c r="F9" i="58"/>
  <c r="F937" i="50"/>
  <c r="F936" i="50"/>
  <c r="F935" i="50"/>
  <c r="F928" i="50"/>
  <c r="F927" i="50"/>
  <c r="F926" i="50"/>
  <c r="H931" i="50"/>
  <c r="F920" i="50"/>
  <c r="F919" i="50"/>
  <c r="F918" i="50"/>
  <c r="H923" i="50"/>
  <c r="F911" i="50"/>
  <c r="F910" i="50"/>
  <c r="F909" i="50"/>
  <c r="H914" i="50"/>
  <c r="F902" i="50"/>
  <c r="F901" i="50"/>
  <c r="F900" i="50"/>
  <c r="H905" i="50"/>
  <c r="E169" i="69"/>
  <c r="F169" i="69" s="1"/>
  <c r="F168" i="69"/>
  <c r="F167" i="69"/>
  <c r="E162" i="69"/>
  <c r="F162" i="69" s="1"/>
  <c r="H172" i="69"/>
  <c r="D149" i="1"/>
  <c r="AA67" i="50" s="1"/>
  <c r="AB67" i="50" s="1"/>
  <c r="D150" i="1"/>
  <c r="AA66" i="50" s="1"/>
  <c r="AB66" i="50" s="1"/>
  <c r="D57" i="1"/>
  <c r="D56" i="1"/>
  <c r="D54" i="1"/>
  <c r="D34" i="1"/>
  <c r="D55" i="1"/>
  <c r="K26" i="61"/>
  <c r="K29" i="61"/>
  <c r="E36" i="9"/>
  <c r="F31" i="35"/>
  <c r="E67" i="61"/>
  <c r="F139" i="35"/>
  <c r="Q213" i="51"/>
  <c r="R213" i="51" s="1"/>
  <c r="R211" i="51"/>
  <c r="R210" i="51"/>
  <c r="Q207" i="51"/>
  <c r="R207" i="51" s="1"/>
  <c r="Q206" i="51"/>
  <c r="R206" i="51" s="1"/>
  <c r="F140" i="35"/>
  <c r="D1096" i="74" l="1"/>
  <c r="E1096" i="74" s="1"/>
  <c r="D635" i="75"/>
  <c r="E635" i="75" s="1"/>
  <c r="E158" i="79"/>
  <c r="E159" i="79" s="1"/>
  <c r="E160" i="79" s="1"/>
  <c r="D1011" i="53"/>
  <c r="E1011" i="53" s="1"/>
  <c r="Q33" i="77"/>
  <c r="R33" i="77" s="1"/>
  <c r="R36" i="77" s="1"/>
  <c r="R37" i="77" s="1"/>
  <c r="S37" i="77" s="1"/>
  <c r="Q346" i="50"/>
  <c r="F938" i="50"/>
  <c r="F939" i="50" s="1"/>
  <c r="G939" i="50" s="1"/>
  <c r="F947" i="50"/>
  <c r="F948" i="50" s="1"/>
  <c r="G948" i="50" s="1"/>
  <c r="F956" i="50"/>
  <c r="F957" i="50" s="1"/>
  <c r="G957" i="50" s="1"/>
  <c r="M247" i="14"/>
  <c r="M248" i="14" s="1"/>
  <c r="N248" i="14" s="1"/>
  <c r="F929" i="50"/>
  <c r="F930" i="50" s="1"/>
  <c r="G930" i="50" s="1"/>
  <c r="F912" i="50"/>
  <c r="F913" i="50" s="1"/>
  <c r="G913" i="50" s="1"/>
  <c r="F921" i="50"/>
  <c r="F922" i="50" s="1"/>
  <c r="G922" i="50" s="1"/>
  <c r="F903" i="50"/>
  <c r="F904" i="50" s="1"/>
  <c r="G904" i="50" s="1"/>
  <c r="E155" i="69" l="1"/>
  <c r="F155" i="69" s="1"/>
  <c r="F154" i="69"/>
  <c r="F153" i="69"/>
  <c r="H158" i="69"/>
  <c r="E140" i="69"/>
  <c r="F140" i="69" s="1"/>
  <c r="F138" i="69"/>
  <c r="F139" i="69"/>
  <c r="E134" i="69"/>
  <c r="F134" i="69" s="1"/>
  <c r="G793" i="52"/>
  <c r="H143" i="69"/>
  <c r="Q349" i="50"/>
  <c r="R349" i="50" s="1"/>
  <c r="R348" i="50"/>
  <c r="R347" i="50"/>
  <c r="R346" i="50"/>
  <c r="Q338" i="50"/>
  <c r="R338" i="50" s="1"/>
  <c r="R337" i="50"/>
  <c r="R336" i="50"/>
  <c r="Q335" i="50"/>
  <c r="R335" i="50" s="1"/>
  <c r="Q327" i="50"/>
  <c r="R327" i="50" s="1"/>
  <c r="R326" i="50"/>
  <c r="R325" i="50"/>
  <c r="Q324" i="50"/>
  <c r="R324" i="50" s="1"/>
  <c r="D33" i="1"/>
  <c r="D32" i="1"/>
  <c r="Q323" i="50" s="1"/>
  <c r="D31" i="1"/>
  <c r="AA102" i="50" s="1"/>
  <c r="AB102" i="50" s="1"/>
  <c r="D790" i="52"/>
  <c r="E790" i="52" s="1"/>
  <c r="E789" i="52"/>
  <c r="E788" i="52"/>
  <c r="E189" i="51"/>
  <c r="E188" i="51"/>
  <c r="E177" i="51"/>
  <c r="E176" i="51"/>
  <c r="K67" i="1"/>
  <c r="E165" i="51"/>
  <c r="E164" i="51"/>
  <c r="F43" i="71"/>
  <c r="F45" i="71"/>
  <c r="D1014" i="53" s="1"/>
  <c r="E1014" i="53" s="1"/>
  <c r="M235" i="14"/>
  <c r="M237" i="14"/>
  <c r="M236" i="14"/>
  <c r="O240" i="14"/>
  <c r="N228" i="14"/>
  <c r="O228" i="14" s="1"/>
  <c r="O227" i="14"/>
  <c r="Q231" i="14"/>
  <c r="D778" i="52"/>
  <c r="E778" i="52" s="1"/>
  <c r="E777" i="52"/>
  <c r="G768" i="52"/>
  <c r="D765" i="52"/>
  <c r="E765" i="52" s="1"/>
  <c r="E764" i="52"/>
  <c r="E1059" i="53"/>
  <c r="E1058" i="53"/>
  <c r="E1057" i="53"/>
  <c r="E1056" i="53"/>
  <c r="D1052" i="53"/>
  <c r="E1052" i="53" s="1"/>
  <c r="D1060" i="53"/>
  <c r="E1060" i="53" s="1"/>
  <c r="G1063" i="53"/>
  <c r="D1041" i="53"/>
  <c r="E1041" i="53" s="1"/>
  <c r="E918" i="53"/>
  <c r="E1040" i="53"/>
  <c r="E1039" i="53"/>
  <c r="E1038" i="53"/>
  <c r="E1037" i="53"/>
  <c r="D1033" i="53"/>
  <c r="E1033" i="53" s="1"/>
  <c r="G1044" i="53"/>
  <c r="D1021" i="53"/>
  <c r="E1021" i="53" s="1"/>
  <c r="E1020" i="53"/>
  <c r="E1019" i="53"/>
  <c r="E1018" i="53"/>
  <c r="E1017" i="53"/>
  <c r="D1003" i="53"/>
  <c r="E1003" i="53" s="1"/>
  <c r="E1002" i="53"/>
  <c r="E1001" i="53"/>
  <c r="E1000" i="53"/>
  <c r="E999" i="53"/>
  <c r="D992" i="53"/>
  <c r="E992" i="53" s="1"/>
  <c r="G1006" i="53"/>
  <c r="G988" i="53"/>
  <c r="E983" i="53"/>
  <c r="D985" i="53"/>
  <c r="E985" i="53" s="1"/>
  <c r="E984" i="53"/>
  <c r="E982" i="53"/>
  <c r="E981" i="53"/>
  <c r="F40" i="71"/>
  <c r="F41" i="71"/>
  <c r="D936" i="53" s="1"/>
  <c r="E936" i="53" s="1"/>
  <c r="F42" i="71"/>
  <c r="D974" i="53"/>
  <c r="E974" i="53" s="1"/>
  <c r="G970" i="53"/>
  <c r="G969" i="53"/>
  <c r="E966" i="53"/>
  <c r="E965" i="53"/>
  <c r="E964" i="53"/>
  <c r="D967" i="53"/>
  <c r="E967" i="53" s="1"/>
  <c r="I970" i="53"/>
  <c r="I947" i="53"/>
  <c r="G947" i="53"/>
  <c r="G946" i="53"/>
  <c r="E942" i="53"/>
  <c r="E941" i="53"/>
  <c r="E943" i="53"/>
  <c r="D944" i="53"/>
  <c r="E944" i="53" s="1"/>
  <c r="F892" i="50"/>
  <c r="F891" i="50"/>
  <c r="E890" i="50"/>
  <c r="F890" i="50" s="1"/>
  <c r="F888" i="50"/>
  <c r="H895" i="50"/>
  <c r="F881" i="50"/>
  <c r="F880" i="50"/>
  <c r="E879" i="50"/>
  <c r="F879" i="50" s="1"/>
  <c r="F877" i="50"/>
  <c r="H884" i="50"/>
  <c r="F855" i="50"/>
  <c r="F870" i="50"/>
  <c r="E868" i="50"/>
  <c r="F868" i="50" s="1"/>
  <c r="F869" i="50"/>
  <c r="E853" i="50"/>
  <c r="F853" i="50" s="1"/>
  <c r="E841" i="50"/>
  <c r="F841" i="50" s="1"/>
  <c r="E830" i="50"/>
  <c r="F830" i="50" s="1"/>
  <c r="F854" i="50"/>
  <c r="H858" i="50"/>
  <c r="F843" i="50"/>
  <c r="H846" i="50"/>
  <c r="F842" i="50"/>
  <c r="F832" i="50"/>
  <c r="F831" i="50"/>
  <c r="F821" i="50"/>
  <c r="F820" i="50"/>
  <c r="H824" i="50"/>
  <c r="F812" i="50"/>
  <c r="F811" i="50"/>
  <c r="F803" i="50"/>
  <c r="F802" i="50"/>
  <c r="H806" i="50"/>
  <c r="J341" i="58"/>
  <c r="H341" i="58"/>
  <c r="H340" i="58"/>
  <c r="E338" i="58"/>
  <c r="F338" i="58" s="1"/>
  <c r="F337" i="58"/>
  <c r="F336" i="58"/>
  <c r="D4" i="71"/>
  <c r="F4" i="71" s="1"/>
  <c r="D874" i="74" s="1"/>
  <c r="E874" i="74" s="1"/>
  <c r="D5" i="71"/>
  <c r="F5" i="71" s="1"/>
  <c r="D775" i="52" s="1"/>
  <c r="E775" i="52" s="1"/>
  <c r="E592" i="50"/>
  <c r="M14" i="71"/>
  <c r="E147" i="69" s="1"/>
  <c r="F147" i="69" s="1"/>
  <c r="E35" i="71"/>
  <c r="E34" i="71"/>
  <c r="F839" i="50" s="1"/>
  <c r="F862" i="50"/>
  <c r="F61" i="71"/>
  <c r="E334" i="58" s="1"/>
  <c r="F334" i="58" s="1"/>
  <c r="F46" i="71"/>
  <c r="C32" i="71"/>
  <c r="C33" i="71"/>
  <c r="C34" i="71"/>
  <c r="C35" i="71"/>
  <c r="C36" i="71"/>
  <c r="C31" i="71"/>
  <c r="L19" i="71"/>
  <c r="D940" i="53" s="1"/>
  <c r="E940" i="53" s="1"/>
  <c r="L24" i="71"/>
  <c r="L23" i="71"/>
  <c r="D787" i="52" s="1"/>
  <c r="E787" i="52" s="1"/>
  <c r="E333" i="58"/>
  <c r="F333" i="58" s="1"/>
  <c r="D145" i="1"/>
  <c r="Q6" i="77" s="1"/>
  <c r="R6" i="77" s="1"/>
  <c r="R8" i="77" s="1"/>
  <c r="R9" i="77" s="1"/>
  <c r="S9" i="77" s="1"/>
  <c r="D146" i="1"/>
  <c r="Q14" i="77" s="1"/>
  <c r="R14" i="77" s="1"/>
  <c r="R16" i="77" s="1"/>
  <c r="R17" i="77" s="1"/>
  <c r="S17" i="77" s="1"/>
  <c r="D148" i="1"/>
  <c r="Q495" i="50" s="1"/>
  <c r="R495" i="50" s="1"/>
  <c r="R497" i="50" s="1"/>
  <c r="R498" i="50" s="1"/>
  <c r="S498" i="50" s="1"/>
  <c r="D144" i="1"/>
  <c r="Q488" i="50" s="1"/>
  <c r="R488" i="50" s="1"/>
  <c r="R490" i="50" s="1"/>
  <c r="R491" i="50" s="1"/>
  <c r="S491" i="50" s="1"/>
  <c r="D873" i="74" l="1"/>
  <c r="E873" i="74" s="1"/>
  <c r="D895" i="74"/>
  <c r="E895" i="74" s="1"/>
  <c r="E173" i="51"/>
  <c r="D975" i="53"/>
  <c r="E975" i="53" s="1"/>
  <c r="D798" i="52"/>
  <c r="E798" i="52" s="1"/>
  <c r="E185" i="51"/>
  <c r="E889" i="50"/>
  <c r="F889" i="50" s="1"/>
  <c r="F893" i="50" s="1"/>
  <c r="F894" i="50" s="1"/>
  <c r="G894" i="50" s="1"/>
  <c r="E165" i="69"/>
  <c r="F165" i="69" s="1"/>
  <c r="E878" i="50"/>
  <c r="F878" i="50" s="1"/>
  <c r="F882" i="50" s="1"/>
  <c r="F883" i="50" s="1"/>
  <c r="G883" i="50" s="1"/>
  <c r="F35" i="71"/>
  <c r="Q345" i="50" s="1"/>
  <c r="R345" i="50" s="1"/>
  <c r="R350" i="50" s="1"/>
  <c r="R351" i="50" s="1"/>
  <c r="S351" i="50" s="1"/>
  <c r="F32" i="71"/>
  <c r="F34" i="71"/>
  <c r="Q334" i="50" s="1"/>
  <c r="R334" i="50" s="1"/>
  <c r="R339" i="50" s="1"/>
  <c r="R340" i="50" s="1"/>
  <c r="S340" i="50" s="1"/>
  <c r="D963" i="53"/>
  <c r="E963" i="53" s="1"/>
  <c r="E149" i="69"/>
  <c r="F149" i="69" s="1"/>
  <c r="E137" i="69"/>
  <c r="F137" i="69" s="1"/>
  <c r="E178" i="69"/>
  <c r="F178" i="69" s="1"/>
  <c r="E163" i="51"/>
  <c r="E160" i="51"/>
  <c r="D960" i="53"/>
  <c r="E960" i="53" s="1"/>
  <c r="D977" i="53"/>
  <c r="E977" i="53" s="1"/>
  <c r="D995" i="53"/>
  <c r="E995" i="53" s="1"/>
  <c r="D998" i="53"/>
  <c r="E998" i="53" s="1"/>
  <c r="D1012" i="53"/>
  <c r="E1012" i="53" s="1"/>
  <c r="D980" i="53"/>
  <c r="E980" i="53" s="1"/>
  <c r="D1016" i="53"/>
  <c r="E1016" i="53" s="1"/>
  <c r="N226" i="14"/>
  <c r="O226" i="14" s="1"/>
  <c r="D993" i="53"/>
  <c r="E993" i="53" s="1"/>
  <c r="M238" i="14"/>
  <c r="M239" i="14" s="1"/>
  <c r="N239" i="14" s="1"/>
  <c r="D958" i="53"/>
  <c r="E958" i="53" s="1"/>
  <c r="F804" i="50"/>
  <c r="F805" i="50" s="1"/>
  <c r="G805" i="50" s="1"/>
  <c r="E590" i="50"/>
  <c r="F828" i="50"/>
  <c r="F813" i="50"/>
  <c r="F814" i="50" s="1"/>
  <c r="G814" i="50" s="1"/>
  <c r="F822" i="50"/>
  <c r="F823" i="50" s="1"/>
  <c r="G823" i="50" s="1"/>
  <c r="J329" i="58"/>
  <c r="H329" i="58"/>
  <c r="H328" i="58"/>
  <c r="F324" i="58"/>
  <c r="F325" i="58"/>
  <c r="E326" i="58"/>
  <c r="F326" i="58" s="1"/>
  <c r="H620" i="50" l="1"/>
  <c r="H12" i="69"/>
  <c r="H25" i="69"/>
  <c r="H37" i="69"/>
  <c r="H49" i="69"/>
  <c r="H61" i="69"/>
  <c r="H88" i="69"/>
  <c r="H103" i="69"/>
  <c r="H117" i="69"/>
  <c r="H130" i="69"/>
  <c r="O202" i="14"/>
  <c r="O193" i="14"/>
  <c r="O184" i="14"/>
  <c r="O175" i="14"/>
  <c r="O166" i="14"/>
  <c r="O157" i="14"/>
  <c r="O148" i="14"/>
  <c r="J498" i="50"/>
  <c r="J490" i="50"/>
  <c r="H752" i="52"/>
  <c r="G724" i="52"/>
  <c r="H693" i="52"/>
  <c r="H679" i="52"/>
  <c r="J278" i="58"/>
  <c r="J291" i="58"/>
  <c r="G922" i="53"/>
  <c r="G901" i="53"/>
  <c r="G880" i="53"/>
  <c r="G860" i="53"/>
  <c r="G841" i="53"/>
  <c r="J824" i="53"/>
  <c r="G795" i="53"/>
  <c r="G773" i="53"/>
  <c r="J753" i="53"/>
  <c r="G733" i="53"/>
  <c r="G776" i="50"/>
  <c r="G761" i="50"/>
  <c r="G722" i="50"/>
  <c r="H646" i="50"/>
  <c r="H633" i="50"/>
  <c r="J574" i="50"/>
  <c r="J698" i="50"/>
  <c r="H711" i="50"/>
  <c r="E794" i="50" l="1"/>
  <c r="E793" i="50"/>
  <c r="E792" i="50"/>
  <c r="E795" i="50" l="1"/>
  <c r="E796" i="50" s="1"/>
  <c r="F796" i="50" s="1"/>
  <c r="M215" i="14"/>
  <c r="M217" i="14"/>
  <c r="M216" i="14"/>
  <c r="M206" i="14"/>
  <c r="M207" i="14"/>
  <c r="M197" i="14"/>
  <c r="M199" i="14"/>
  <c r="M198" i="14"/>
  <c r="F154" i="35"/>
  <c r="E305" i="77" s="1"/>
  <c r="F305" i="77" s="1"/>
  <c r="D919" i="53"/>
  <c r="E919" i="53" s="1"/>
  <c r="E917" i="53"/>
  <c r="E916" i="53"/>
  <c r="E915" i="53"/>
  <c r="D911" i="53"/>
  <c r="E911" i="53" s="1"/>
  <c r="F18" i="35"/>
  <c r="D1048" i="53" s="1"/>
  <c r="E1048" i="53" s="1"/>
  <c r="F148" i="35"/>
  <c r="G788" i="50"/>
  <c r="M218" i="14" l="1"/>
  <c r="M219" i="14" s="1"/>
  <c r="N219" i="14" s="1"/>
  <c r="M209" i="14"/>
  <c r="M210" i="14" s="1"/>
  <c r="N210" i="14" s="1"/>
  <c r="M200" i="14"/>
  <c r="M201" i="14" s="1"/>
  <c r="N201" i="14" s="1"/>
  <c r="F127" i="69"/>
  <c r="E126" i="69"/>
  <c r="F125" i="69"/>
  <c r="F748" i="52"/>
  <c r="E749" i="52"/>
  <c r="F749" i="52" s="1"/>
  <c r="F747" i="52"/>
  <c r="F746" i="52"/>
  <c r="E740" i="52"/>
  <c r="F740" i="52" s="1"/>
  <c r="E729" i="52"/>
  <c r="F729" i="52" s="1"/>
  <c r="D770" i="50" l="1"/>
  <c r="E770" i="50" s="1"/>
  <c r="D785" i="50"/>
  <c r="E785" i="50" s="1"/>
  <c r="E784" i="50"/>
  <c r="E783" i="50"/>
  <c r="D773" i="50"/>
  <c r="E772" i="50"/>
  <c r="E771" i="50"/>
  <c r="E773" i="50" l="1"/>
  <c r="D758" i="50"/>
  <c r="E758" i="50" s="1"/>
  <c r="E757" i="50"/>
  <c r="E756" i="50"/>
  <c r="E742" i="50"/>
  <c r="E741" i="50"/>
  <c r="D743" i="50"/>
  <c r="E743" i="50" s="1"/>
  <c r="D730" i="50"/>
  <c r="E730" i="50" s="1"/>
  <c r="E729" i="50"/>
  <c r="E728" i="50"/>
  <c r="E727" i="50"/>
  <c r="E718" i="50"/>
  <c r="E717" i="50"/>
  <c r="D719" i="50"/>
  <c r="E719" i="50" s="1"/>
  <c r="F708" i="50"/>
  <c r="F707" i="50"/>
  <c r="E706" i="50"/>
  <c r="F706" i="50" s="1"/>
  <c r="G17" i="72"/>
  <c r="H17" i="72" s="1"/>
  <c r="E315" i="50"/>
  <c r="E284" i="50"/>
  <c r="H698" i="50"/>
  <c r="H697" i="50"/>
  <c r="F694" i="50"/>
  <c r="E695" i="50"/>
  <c r="F695" i="50" s="1"/>
  <c r="G32" i="72"/>
  <c r="H32" i="72" s="1"/>
  <c r="E691" i="50" s="1"/>
  <c r="F691" i="50" s="1"/>
  <c r="G16" i="72"/>
  <c r="H16" i="72" s="1"/>
  <c r="E525" i="50"/>
  <c r="E206" i="50"/>
  <c r="F193" i="50"/>
  <c r="F248" i="50"/>
  <c r="G33" i="72"/>
  <c r="H33" i="72" s="1"/>
  <c r="D320" i="77" s="1"/>
  <c r="E320" i="77" s="1"/>
  <c r="O7" i="72"/>
  <c r="G29" i="72"/>
  <c r="H29" i="72" s="1"/>
  <c r="E245" i="50" s="1"/>
  <c r="G30" i="72"/>
  <c r="H30" i="72" s="1"/>
  <c r="G28" i="72"/>
  <c r="H28" i="72" s="1"/>
  <c r="J304" i="58"/>
  <c r="N29" i="14"/>
  <c r="N17" i="52"/>
  <c r="R113" i="51"/>
  <c r="Q106" i="51"/>
  <c r="H10" i="72"/>
  <c r="G9" i="72"/>
  <c r="H9" i="72" s="1"/>
  <c r="F527" i="52"/>
  <c r="H34" i="72"/>
  <c r="G13" i="72"/>
  <c r="H13" i="72" s="1"/>
  <c r="R42" i="53" s="1"/>
  <c r="S42" i="53" s="1"/>
  <c r="G5" i="72"/>
  <c r="H5" i="72" s="1"/>
  <c r="R41" i="53" s="1"/>
  <c r="S41" i="53" s="1"/>
  <c r="G11" i="72"/>
  <c r="H11" i="72" s="1"/>
  <c r="G12" i="72"/>
  <c r="H12" i="72" s="1"/>
  <c r="R39" i="53" s="1"/>
  <c r="S39" i="53" s="1"/>
  <c r="G31" i="72"/>
  <c r="H31" i="72" s="1"/>
  <c r="G35" i="72"/>
  <c r="H35" i="72" s="1"/>
  <c r="E569" i="50" s="1"/>
  <c r="G6" i="72"/>
  <c r="H6" i="72" s="1"/>
  <c r="E568" i="50" s="1"/>
  <c r="D311" i="50" l="1"/>
  <c r="D1086" i="74"/>
  <c r="E1086" i="74" s="1"/>
  <c r="E689" i="50"/>
  <c r="F689" i="50" s="1"/>
  <c r="E36" i="77"/>
  <c r="F36" i="77" s="1"/>
  <c r="R38" i="53"/>
  <c r="S38" i="53" s="1"/>
  <c r="D265" i="74"/>
  <c r="E265" i="74" s="1"/>
  <c r="R44" i="53"/>
  <c r="S44" i="53" s="1"/>
  <c r="D323" i="74"/>
  <c r="E323" i="74" s="1"/>
  <c r="E173" i="75"/>
  <c r="F173" i="75" s="1"/>
  <c r="E50" i="77"/>
  <c r="F50" i="77" s="1"/>
  <c r="E18" i="78"/>
  <c r="F18" i="78" s="1"/>
  <c r="D31" i="73"/>
  <c r="E31" i="73" s="1"/>
  <c r="D11" i="73"/>
  <c r="E11" i="73" s="1"/>
  <c r="E191" i="50"/>
  <c r="E852" i="50"/>
  <c r="F852" i="50" s="1"/>
  <c r="E322" i="58"/>
  <c r="F322" i="58" s="1"/>
  <c r="D202" i="50"/>
  <c r="Q22" i="50"/>
  <c r="R40" i="53"/>
  <c r="S40" i="53" s="1"/>
  <c r="D781" i="50"/>
  <c r="E781" i="50" s="1"/>
  <c r="Q107" i="51"/>
  <c r="E53" i="69"/>
  <c r="E130" i="58"/>
  <c r="D257" i="50"/>
  <c r="R183" i="53"/>
  <c r="R88" i="53"/>
  <c r="D14" i="71"/>
  <c r="F14" i="71" s="1"/>
  <c r="D13" i="71"/>
  <c r="F13" i="71" s="1"/>
  <c r="D939" i="53" s="1"/>
  <c r="E939" i="53" s="1"/>
  <c r="D15" i="71"/>
  <c r="F15" i="71" s="1"/>
  <c r="E175" i="51" s="1"/>
  <c r="G27" i="72"/>
  <c r="H27" i="72" s="1"/>
  <c r="R202" i="53" s="1"/>
  <c r="G26" i="72"/>
  <c r="H26" i="72" s="1"/>
  <c r="E867" i="50" l="1"/>
  <c r="F867" i="50" s="1"/>
  <c r="E309" i="77"/>
  <c r="F309" i="77" s="1"/>
  <c r="D55" i="75"/>
  <c r="E55" i="75" s="1"/>
  <c r="E4" i="76"/>
  <c r="F4" i="76" s="1"/>
  <c r="F9" i="76" s="1"/>
  <c r="Q149" i="53"/>
  <c r="D738" i="50"/>
  <c r="E738" i="50" s="1"/>
  <c r="H680" i="50"/>
  <c r="F677" i="50"/>
  <c r="F676" i="50"/>
  <c r="F675" i="50"/>
  <c r="H671" i="50"/>
  <c r="F668" i="50"/>
  <c r="F667" i="50"/>
  <c r="F666" i="50"/>
  <c r="H662" i="50"/>
  <c r="F659" i="50"/>
  <c r="F658" i="50"/>
  <c r="F657" i="50"/>
  <c r="M181" i="14"/>
  <c r="M190" i="14"/>
  <c r="M154" i="14"/>
  <c r="M163" i="14"/>
  <c r="M172" i="14"/>
  <c r="F651" i="50"/>
  <c r="F650" i="50"/>
  <c r="F649" i="50"/>
  <c r="F689" i="52"/>
  <c r="D721" i="52"/>
  <c r="E721" i="52" s="1"/>
  <c r="E720" i="52"/>
  <c r="E719" i="52"/>
  <c r="E718" i="52"/>
  <c r="E717" i="52"/>
  <c r="D713" i="52"/>
  <c r="E713" i="52" s="1"/>
  <c r="D707" i="52"/>
  <c r="E707" i="52" s="1"/>
  <c r="E683" i="52"/>
  <c r="F683" i="52" s="1"/>
  <c r="E684" i="52"/>
  <c r="F684" i="52" s="1"/>
  <c r="F688" i="52"/>
  <c r="E690" i="52"/>
  <c r="F690" i="52" s="1"/>
  <c r="E676" i="52"/>
  <c r="F676" i="52" s="1"/>
  <c r="F675" i="52"/>
  <c r="F674" i="52"/>
  <c r="F672" i="52"/>
  <c r="D885" i="53"/>
  <c r="E885" i="53" s="1"/>
  <c r="F39" i="35"/>
  <c r="D898" i="53"/>
  <c r="E898" i="53" s="1"/>
  <c r="E897" i="53"/>
  <c r="E896" i="53"/>
  <c r="E895" i="53"/>
  <c r="E894" i="53"/>
  <c r="D889" i="53"/>
  <c r="E889" i="53" s="1"/>
  <c r="D864" i="53"/>
  <c r="E864" i="53" s="1"/>
  <c r="E876" i="53"/>
  <c r="E873" i="53"/>
  <c r="E856" i="53"/>
  <c r="E837" i="53"/>
  <c r="E791" i="53"/>
  <c r="H752" i="53"/>
  <c r="F126" i="69"/>
  <c r="E41" i="69"/>
  <c r="D6" i="64"/>
  <c r="E112" i="76" s="1"/>
  <c r="F112" i="76" s="1"/>
  <c r="E114" i="69"/>
  <c r="F114" i="69" s="1"/>
  <c r="F113" i="69"/>
  <c r="F112" i="69"/>
  <c r="E107" i="69"/>
  <c r="F107" i="69" s="1"/>
  <c r="E637" i="50"/>
  <c r="F637" i="50" s="1"/>
  <c r="F642" i="50"/>
  <c r="F643" i="50"/>
  <c r="E641" i="50"/>
  <c r="F641" i="50" s="1"/>
  <c r="E628" i="50"/>
  <c r="F628" i="50" s="1"/>
  <c r="F629" i="50"/>
  <c r="F630" i="50"/>
  <c r="E494" i="50"/>
  <c r="D137" i="1"/>
  <c r="D139" i="1"/>
  <c r="F615" i="50"/>
  <c r="D30" i="1"/>
  <c r="D26" i="50"/>
  <c r="D18" i="50"/>
  <c r="D17" i="50"/>
  <c r="D16" i="50"/>
  <c r="D6" i="50"/>
  <c r="E21" i="50"/>
  <c r="M188" i="14"/>
  <c r="M179" i="14"/>
  <c r="M189" i="14"/>
  <c r="M180" i="14"/>
  <c r="F617" i="50"/>
  <c r="F616" i="50"/>
  <c r="D865" i="53"/>
  <c r="E865" i="53" s="1"/>
  <c r="D877" i="53"/>
  <c r="E877" i="53" s="1"/>
  <c r="E875" i="53"/>
  <c r="E874" i="53"/>
  <c r="H611" i="50"/>
  <c r="G25" i="72"/>
  <c r="H25" i="72" s="1"/>
  <c r="D105" i="77" s="1"/>
  <c r="E105" i="77" s="1"/>
  <c r="G8" i="72"/>
  <c r="H8" i="72" s="1"/>
  <c r="D739" i="50" s="1"/>
  <c r="E739" i="50" s="1"/>
  <c r="H7" i="72"/>
  <c r="G4" i="72"/>
  <c r="H4" i="72" s="1"/>
  <c r="E307" i="77" s="1"/>
  <c r="F307" i="77" s="1"/>
  <c r="G22" i="72"/>
  <c r="H22" i="72" s="1"/>
  <c r="G21" i="72"/>
  <c r="H21" i="72" s="1"/>
  <c r="G20" i="72"/>
  <c r="H20" i="72" s="1"/>
  <c r="G18" i="72"/>
  <c r="G19" i="72"/>
  <c r="H19" i="72" s="1"/>
  <c r="O6" i="72"/>
  <c r="O5" i="72"/>
  <c r="O4" i="72"/>
  <c r="G23" i="72"/>
  <c r="H23" i="72" s="1"/>
  <c r="E624" i="75" s="1"/>
  <c r="G14" i="72"/>
  <c r="G15" i="72"/>
  <c r="H15" i="72" s="1"/>
  <c r="E607" i="50"/>
  <c r="F607" i="50" s="1"/>
  <c r="F608" i="50"/>
  <c r="F606" i="50"/>
  <c r="E601" i="50"/>
  <c r="F601" i="50" s="1"/>
  <c r="D845" i="53"/>
  <c r="E845" i="53" s="1"/>
  <c r="D846" i="53"/>
  <c r="E846" i="53" s="1"/>
  <c r="D848" i="53"/>
  <c r="E848" i="53" s="1"/>
  <c r="E853" i="53"/>
  <c r="E854" i="53"/>
  <c r="E855" i="53"/>
  <c r="D857" i="53"/>
  <c r="E857" i="53" s="1"/>
  <c r="D838" i="53"/>
  <c r="E838" i="53" s="1"/>
  <c r="D828" i="53"/>
  <c r="E828" i="53" s="1"/>
  <c r="D829" i="53"/>
  <c r="E829" i="53" s="1"/>
  <c r="E833" i="53"/>
  <c r="E836" i="53"/>
  <c r="E835" i="53"/>
  <c r="E802" i="53"/>
  <c r="F802" i="53" s="1"/>
  <c r="H824" i="53"/>
  <c r="H823" i="53"/>
  <c r="E814" i="53"/>
  <c r="F814" i="53" s="1"/>
  <c r="E821" i="53"/>
  <c r="F821" i="53" s="1"/>
  <c r="F820" i="53"/>
  <c r="F819" i="53"/>
  <c r="E29" i="60"/>
  <c r="E28" i="60"/>
  <c r="E27" i="60"/>
  <c r="E26" i="60"/>
  <c r="D792" i="53"/>
  <c r="E792" i="53" s="1"/>
  <c r="E790" i="53"/>
  <c r="E789" i="53"/>
  <c r="E788" i="53"/>
  <c r="D782" i="53"/>
  <c r="E782" i="53" s="1"/>
  <c r="D52" i="20"/>
  <c r="D51" i="20"/>
  <c r="F38" i="35"/>
  <c r="D760" i="53" s="1"/>
  <c r="E760" i="53" s="1"/>
  <c r="D757" i="53"/>
  <c r="E757" i="53" s="1"/>
  <c r="D770" i="53"/>
  <c r="E770" i="53" s="1"/>
  <c r="E769" i="53"/>
  <c r="E768" i="53"/>
  <c r="E767" i="53"/>
  <c r="E766" i="53"/>
  <c r="D762" i="53"/>
  <c r="E762" i="53" s="1"/>
  <c r="E741" i="53"/>
  <c r="F741" i="53" s="1"/>
  <c r="F748" i="53"/>
  <c r="E744" i="53"/>
  <c r="F744" i="53" s="1"/>
  <c r="H753" i="53"/>
  <c r="E750" i="53"/>
  <c r="F750" i="53" s="1"/>
  <c r="F749" i="53"/>
  <c r="D724" i="53"/>
  <c r="E724" i="53" s="1"/>
  <c r="E726" i="53"/>
  <c r="D727" i="53"/>
  <c r="E727" i="53" s="1"/>
  <c r="E728" i="53"/>
  <c r="E729" i="53"/>
  <c r="D730" i="53"/>
  <c r="E730" i="53" s="1"/>
  <c r="D1406" i="74" l="1"/>
  <c r="E1406" i="74" s="1"/>
  <c r="D1320" i="74"/>
  <c r="E1320" i="74" s="1"/>
  <c r="E147" i="76"/>
  <c r="F147" i="76" s="1"/>
  <c r="F152" i="76" s="1"/>
  <c r="D869" i="74"/>
  <c r="E869" i="74" s="1"/>
  <c r="E306" i="77"/>
  <c r="F306" i="77" s="1"/>
  <c r="D384" i="75"/>
  <c r="E384" i="75" s="1"/>
  <c r="D290" i="76"/>
  <c r="E290" i="76" s="1"/>
  <c r="D955" i="74"/>
  <c r="E955" i="74" s="1"/>
  <c r="D928" i="74"/>
  <c r="E928" i="74" s="1"/>
  <c r="E205" i="76"/>
  <c r="F205" i="76" s="1"/>
  <c r="F10" i="76"/>
  <c r="G10" i="76" s="1"/>
  <c r="I10" i="76" s="1"/>
  <c r="G9" i="76"/>
  <c r="AL46" i="50"/>
  <c r="D384" i="74"/>
  <c r="E384" i="74" s="1"/>
  <c r="E48" i="76"/>
  <c r="F48" i="76" s="1"/>
  <c r="D498" i="74"/>
  <c r="E498" i="74" s="1"/>
  <c r="E128" i="76"/>
  <c r="F128" i="76" s="1"/>
  <c r="F132" i="76" s="1"/>
  <c r="E70" i="78"/>
  <c r="F70" i="78" s="1"/>
  <c r="E43" i="78"/>
  <c r="F43" i="78" s="1"/>
  <c r="E18" i="76"/>
  <c r="F18" i="76" s="1"/>
  <c r="E122" i="69"/>
  <c r="F122" i="69" s="1"/>
  <c r="D324" i="74"/>
  <c r="E324" i="74" s="1"/>
  <c r="E89" i="77"/>
  <c r="F89" i="77" s="1"/>
  <c r="D131" i="77"/>
  <c r="E131" i="77" s="1"/>
  <c r="E94" i="78"/>
  <c r="F94" i="78" s="1"/>
  <c r="D104" i="77"/>
  <c r="E104" i="77" s="1"/>
  <c r="E745" i="53"/>
  <c r="F745" i="53" s="1"/>
  <c r="E69" i="76"/>
  <c r="F69" i="76" s="1"/>
  <c r="D867" i="53"/>
  <c r="E867" i="53" s="1"/>
  <c r="E262" i="75"/>
  <c r="F262" i="75" s="1"/>
  <c r="D830" i="53"/>
  <c r="E830" i="53" s="1"/>
  <c r="E53" i="77"/>
  <c r="F53" i="77" s="1"/>
  <c r="E799" i="53"/>
  <c r="F799" i="53" s="1"/>
  <c r="E865" i="50"/>
  <c r="F865" i="50" s="1"/>
  <c r="D751" i="50"/>
  <c r="E751" i="50" s="1"/>
  <c r="E864" i="50"/>
  <c r="F864" i="50" s="1"/>
  <c r="D774" i="52"/>
  <c r="E774" i="52" s="1"/>
  <c r="D957" i="53"/>
  <c r="E957" i="53" s="1"/>
  <c r="E151" i="69"/>
  <c r="F151" i="69" s="1"/>
  <c r="E96" i="69"/>
  <c r="D866" i="53"/>
  <c r="E866" i="53" s="1"/>
  <c r="E687" i="52"/>
  <c r="F687" i="52" s="1"/>
  <c r="D1013" i="53"/>
  <c r="E1013" i="53" s="1"/>
  <c r="E321" i="58"/>
  <c r="F321" i="58" s="1"/>
  <c r="F327" i="58" s="1"/>
  <c r="D847" i="53"/>
  <c r="E847" i="53" s="1"/>
  <c r="E166" i="69"/>
  <c r="F166" i="69" s="1"/>
  <c r="D1015" i="53"/>
  <c r="E1015" i="53" s="1"/>
  <c r="D997" i="53"/>
  <c r="E997" i="53" s="1"/>
  <c r="E111" i="69"/>
  <c r="M191" i="14"/>
  <c r="M192" i="14" s="1"/>
  <c r="N192" i="14" s="1"/>
  <c r="M182" i="14"/>
  <c r="M183" i="14" s="1"/>
  <c r="N183" i="14" s="1"/>
  <c r="E801" i="53"/>
  <c r="F801" i="53" s="1"/>
  <c r="E728" i="52"/>
  <c r="F728" i="52" s="1"/>
  <c r="D752" i="50"/>
  <c r="E752" i="50" s="1"/>
  <c r="D711" i="52"/>
  <c r="E711" i="52" s="1"/>
  <c r="R37" i="53"/>
  <c r="D281" i="50"/>
  <c r="E738" i="53"/>
  <c r="F738" i="53" s="1"/>
  <c r="E688" i="50"/>
  <c r="F688" i="50" s="1"/>
  <c r="E737" i="53"/>
  <c r="F737" i="53" s="1"/>
  <c r="E687" i="50"/>
  <c r="F687" i="50" s="1"/>
  <c r="D215" i="52"/>
  <c r="E215" i="52" s="1"/>
  <c r="D518" i="50"/>
  <c r="F660" i="50"/>
  <c r="F661" i="50" s="1"/>
  <c r="G661" i="50" s="1"/>
  <c r="E739" i="53"/>
  <c r="F739" i="53" s="1"/>
  <c r="Q24" i="53"/>
  <c r="R24" i="53" s="1"/>
  <c r="E800" i="53"/>
  <c r="F800" i="53" s="1"/>
  <c r="H14" i="72"/>
  <c r="R6" i="53"/>
  <c r="H18" i="72"/>
  <c r="Q148" i="53"/>
  <c r="F652" i="50"/>
  <c r="F653" i="50" s="1"/>
  <c r="G653" i="50" s="1"/>
  <c r="F678" i="50"/>
  <c r="F679" i="50" s="1"/>
  <c r="G679" i="50" s="1"/>
  <c r="F669" i="50"/>
  <c r="F670" i="50" s="1"/>
  <c r="D19" i="50"/>
  <c r="D20" i="50" s="1"/>
  <c r="E20" i="50" s="1"/>
  <c r="E602" i="50"/>
  <c r="F602" i="50" s="1"/>
  <c r="D114" i="1"/>
  <c r="D113" i="1"/>
  <c r="D143" i="1"/>
  <c r="F618" i="50" s="1"/>
  <c r="F619" i="50" s="1"/>
  <c r="G619" i="50" s="1"/>
  <c r="H317" i="58"/>
  <c r="H316" i="58"/>
  <c r="E314" i="58"/>
  <c r="F314" i="58" s="1"/>
  <c r="F313" i="58"/>
  <c r="F312" i="58"/>
  <c r="E309" i="58"/>
  <c r="F309" i="58" s="1"/>
  <c r="J317" i="58"/>
  <c r="H304" i="58"/>
  <c r="H303" i="58"/>
  <c r="E288" i="58"/>
  <c r="F288" i="58" s="1"/>
  <c r="E301" i="58"/>
  <c r="F301" i="58" s="1"/>
  <c r="F300" i="58"/>
  <c r="F299" i="58"/>
  <c r="E296" i="58"/>
  <c r="F296" i="58" s="1"/>
  <c r="H291" i="58"/>
  <c r="H290" i="58"/>
  <c r="F273" i="58"/>
  <c r="F286" i="58"/>
  <c r="F287" i="58"/>
  <c r="E283" i="58"/>
  <c r="F283" i="58" s="1"/>
  <c r="H278" i="58"/>
  <c r="H277" i="58"/>
  <c r="E275" i="58"/>
  <c r="F275" i="58" s="1"/>
  <c r="F274" i="58"/>
  <c r="F269" i="58"/>
  <c r="E113" i="51"/>
  <c r="E112" i="51"/>
  <c r="E115" i="51"/>
  <c r="E114" i="51"/>
  <c r="D108" i="51"/>
  <c r="E108" i="51" s="1"/>
  <c r="G118" i="51"/>
  <c r="D20" i="64"/>
  <c r="E591" i="50"/>
  <c r="F592" i="50"/>
  <c r="D826" i="75" l="1"/>
  <c r="E826" i="75" s="1"/>
  <c r="D634" i="75"/>
  <c r="E634" i="75" s="1"/>
  <c r="D1102" i="74"/>
  <c r="E1102" i="74" s="1"/>
  <c r="F153" i="76"/>
  <c r="G153" i="76" s="1"/>
  <c r="I153" i="76" s="1"/>
  <c r="G152" i="76"/>
  <c r="G132" i="76"/>
  <c r="F133" i="76"/>
  <c r="G133" i="76" s="1"/>
  <c r="I133" i="76" s="1"/>
  <c r="D224" i="75"/>
  <c r="E224" i="75" s="1"/>
  <c r="D845" i="74"/>
  <c r="E845" i="74" s="1"/>
  <c r="E66" i="77"/>
  <c r="F66" i="77" s="1"/>
  <c r="D78" i="74"/>
  <c r="E78" i="74" s="1"/>
  <c r="D34" i="75"/>
  <c r="E34" i="75" s="1"/>
  <c r="D186" i="74"/>
  <c r="E186" i="74" s="1"/>
  <c r="E63" i="76"/>
  <c r="F63" i="76" s="1"/>
  <c r="E90" i="77"/>
  <c r="F90" i="77" s="1"/>
  <c r="E96" i="78"/>
  <c r="F96" i="78" s="1"/>
  <c r="E83" i="78"/>
  <c r="F83" i="78" s="1"/>
  <c r="E485" i="74"/>
  <c r="F485" i="74" s="1"/>
  <c r="E469" i="74"/>
  <c r="F469" i="74" s="1"/>
  <c r="E71" i="78"/>
  <c r="F71" i="78" s="1"/>
  <c r="D506" i="74"/>
  <c r="E506" i="74" s="1"/>
  <c r="D43" i="74"/>
  <c r="E43" i="74" s="1"/>
  <c r="E58" i="78"/>
  <c r="F58" i="78" s="1"/>
  <c r="E46" i="78"/>
  <c r="F46" i="78" s="1"/>
  <c r="E32" i="78"/>
  <c r="F32" i="78" s="1"/>
  <c r="E19" i="78"/>
  <c r="F19" i="78" s="1"/>
  <c r="E5" i="78"/>
  <c r="F5" i="78" s="1"/>
  <c r="D392" i="74"/>
  <c r="E392" i="74" s="1"/>
  <c r="D371" i="74"/>
  <c r="E371" i="74" s="1"/>
  <c r="F328" i="58"/>
  <c r="G328" i="58" s="1"/>
  <c r="I328" i="58" s="1"/>
  <c r="G327" i="58"/>
  <c r="E123" i="69"/>
  <c r="F123" i="69" s="1"/>
  <c r="E741" i="52"/>
  <c r="F741" i="52" s="1"/>
  <c r="R43" i="53"/>
  <c r="S43" i="53" s="1"/>
  <c r="E690" i="50"/>
  <c r="F690" i="50" s="1"/>
  <c r="R182" i="53"/>
  <c r="R234" i="53"/>
  <c r="D884" i="53"/>
  <c r="E884" i="53" s="1"/>
  <c r="R45" i="53"/>
  <c r="S45" i="53" s="1"/>
  <c r="E740" i="53"/>
  <c r="F740" i="53" s="1"/>
  <c r="D709" i="52"/>
  <c r="E709" i="52" s="1"/>
  <c r="E109" i="69"/>
  <c r="F109" i="69" s="1"/>
  <c r="G670" i="50"/>
  <c r="E815" i="53"/>
  <c r="F815" i="53" s="1"/>
  <c r="D725" i="53"/>
  <c r="E725" i="53" s="1"/>
  <c r="D9" i="71"/>
  <c r="D7" i="71"/>
  <c r="F7" i="71" s="1"/>
  <c r="D934" i="53" s="1"/>
  <c r="E934" i="53" s="1"/>
  <c r="D6" i="71"/>
  <c r="F6" i="71" s="1"/>
  <c r="D762" i="52" s="1"/>
  <c r="E762" i="52" s="1"/>
  <c r="N18" i="20"/>
  <c r="O18" i="20" s="1"/>
  <c r="N17" i="20"/>
  <c r="K13" i="9"/>
  <c r="F33" i="35"/>
  <c r="F40" i="35"/>
  <c r="F30" i="35"/>
  <c r="F17" i="35"/>
  <c r="M60" i="20"/>
  <c r="E31" i="60"/>
  <c r="E30" i="60"/>
  <c r="F76" i="35"/>
  <c r="D4" i="79" s="1"/>
  <c r="E4" i="79" s="1"/>
  <c r="F36" i="35"/>
  <c r="D797" i="52" s="1"/>
  <c r="E797" i="52" s="1"/>
  <c r="F78" i="35"/>
  <c r="D382" i="75" s="1"/>
  <c r="E382" i="75" s="1"/>
  <c r="F77" i="35"/>
  <c r="F79" i="35"/>
  <c r="E304" i="77" s="1"/>
  <c r="F304" i="77" s="1"/>
  <c r="F313" i="77" s="1"/>
  <c r="F314" i="77" s="1"/>
  <c r="G314" i="77" s="1"/>
  <c r="F65" i="71"/>
  <c r="E13" i="60"/>
  <c r="E308" i="58" s="1"/>
  <c r="F308" i="58" s="1"/>
  <c r="D17" i="71"/>
  <c r="F17" i="71" s="1"/>
  <c r="E187" i="51" s="1"/>
  <c r="D16" i="71"/>
  <c r="F16" i="71" s="1"/>
  <c r="F74" i="35"/>
  <c r="D3" i="75" s="1"/>
  <c r="E3" i="75" s="1"/>
  <c r="F75" i="35"/>
  <c r="E57" i="60"/>
  <c r="E53" i="60"/>
  <c r="E52" i="60"/>
  <c r="F52" i="60" s="1"/>
  <c r="E51" i="60"/>
  <c r="G596" i="52"/>
  <c r="E601" i="52"/>
  <c r="E603" i="52" s="1"/>
  <c r="E604" i="52" s="1"/>
  <c r="F604" i="52" s="1"/>
  <c r="E593" i="52"/>
  <c r="E595" i="52" s="1"/>
  <c r="H264" i="58"/>
  <c r="H263" i="58"/>
  <c r="E252" i="58"/>
  <c r="F252" i="58" s="1"/>
  <c r="N26" i="62"/>
  <c r="O26" i="62" s="1"/>
  <c r="E256" i="58"/>
  <c r="F256" i="58" s="1"/>
  <c r="F260" i="58"/>
  <c r="E261" i="58"/>
  <c r="F261" i="58" s="1"/>
  <c r="F590" i="50"/>
  <c r="F591" i="50"/>
  <c r="F594" i="50"/>
  <c r="F595" i="50"/>
  <c r="L6" i="71"/>
  <c r="L5" i="71"/>
  <c r="E148" i="69" s="1"/>
  <c r="F148" i="69" s="1"/>
  <c r="L4" i="71"/>
  <c r="E177" i="69" s="1"/>
  <c r="F177" i="69" s="1"/>
  <c r="F183" i="69" s="1"/>
  <c r="F184" i="69" s="1"/>
  <c r="G184" i="69" s="1"/>
  <c r="L3" i="71"/>
  <c r="I13" i="64"/>
  <c r="M170" i="14"/>
  <c r="M171" i="14"/>
  <c r="M161" i="14"/>
  <c r="M162" i="14"/>
  <c r="M152" i="14"/>
  <c r="M153" i="14"/>
  <c r="M143" i="14"/>
  <c r="M144" i="14"/>
  <c r="D3" i="71"/>
  <c r="F3" i="71" s="1"/>
  <c r="E372" i="53"/>
  <c r="E29" i="69"/>
  <c r="F80" i="35"/>
  <c r="F141" i="35"/>
  <c r="F73" i="35"/>
  <c r="E730" i="52" s="1"/>
  <c r="F730" i="52" s="1"/>
  <c r="F136" i="35"/>
  <c r="D1050" i="74" l="1"/>
  <c r="E1050" i="74" s="1"/>
  <c r="E610" i="75"/>
  <c r="F610" i="75" s="1"/>
  <c r="D1052" i="74"/>
  <c r="E1052" i="74" s="1"/>
  <c r="D1326" i="74"/>
  <c r="E1326" i="74" s="1"/>
  <c r="E608" i="75"/>
  <c r="F608" i="75" s="1"/>
  <c r="D793" i="75"/>
  <c r="E793" i="75" s="1"/>
  <c r="E759" i="75"/>
  <c r="F759" i="75" s="1"/>
  <c r="D1341" i="74"/>
  <c r="E1341" i="74" s="1"/>
  <c r="E189" i="77"/>
  <c r="F189" i="77" s="1"/>
  <c r="D448" i="75"/>
  <c r="E448" i="75" s="1"/>
  <c r="D249" i="76"/>
  <c r="E249" i="76" s="1"/>
  <c r="D929" i="74"/>
  <c r="E929" i="74" s="1"/>
  <c r="E942" i="74" s="1"/>
  <c r="E943" i="74" s="1"/>
  <c r="F943" i="74" s="1"/>
  <c r="E206" i="76"/>
  <c r="F206" i="76" s="1"/>
  <c r="D33" i="79"/>
  <c r="E33" i="79" s="1"/>
  <c r="E7" i="78"/>
  <c r="F7" i="78" s="1"/>
  <c r="E37" i="77"/>
  <c r="F37" i="77" s="1"/>
  <c r="D204" i="75"/>
  <c r="E204" i="75" s="1"/>
  <c r="E261" i="75"/>
  <c r="F261" i="75" s="1"/>
  <c r="D191" i="75"/>
  <c r="E191" i="75" s="1"/>
  <c r="E119" i="77"/>
  <c r="F119" i="77" s="1"/>
  <c r="E247" i="75"/>
  <c r="F247" i="75" s="1"/>
  <c r="D786" i="52"/>
  <c r="E786" i="52" s="1"/>
  <c r="E791" i="52" s="1"/>
  <c r="E792" i="52" s="1"/>
  <c r="F792" i="52" s="1"/>
  <c r="F82" i="76"/>
  <c r="F88" i="76" s="1"/>
  <c r="D345" i="74"/>
  <c r="E345" i="74" s="1"/>
  <c r="D116" i="75"/>
  <c r="E116" i="75" s="1"/>
  <c r="D1028" i="53"/>
  <c r="E1028" i="53" s="1"/>
  <c r="D905" i="53"/>
  <c r="E905" i="53" s="1"/>
  <c r="D740" i="50"/>
  <c r="E740" i="50" s="1"/>
  <c r="E669" i="52"/>
  <c r="F669" i="52" s="1"/>
  <c r="D785" i="53"/>
  <c r="E785" i="53" s="1"/>
  <c r="D5" i="75"/>
  <c r="E5" i="75" s="1"/>
  <c r="D5" i="79"/>
  <c r="E5" i="79" s="1"/>
  <c r="D23" i="74"/>
  <c r="E23" i="74" s="1"/>
  <c r="D4" i="75"/>
  <c r="E4" i="75" s="1"/>
  <c r="D325" i="74"/>
  <c r="E325" i="74" s="1"/>
  <c r="D208" i="74"/>
  <c r="E208" i="74" s="1"/>
  <c r="D309" i="74"/>
  <c r="E309" i="74" s="1"/>
  <c r="D125" i="74"/>
  <c r="E125" i="74" s="1"/>
  <c r="D250" i="74"/>
  <c r="E250" i="74" s="1"/>
  <c r="D5" i="73"/>
  <c r="E5" i="73" s="1"/>
  <c r="D22" i="74"/>
  <c r="E22" i="74" s="1"/>
  <c r="D24" i="74"/>
  <c r="E24" i="74" s="1"/>
  <c r="D8" i="73"/>
  <c r="E8" i="73" s="1"/>
  <c r="D979" i="53"/>
  <c r="E979" i="53" s="1"/>
  <c r="D1050" i="53"/>
  <c r="E1050" i="53" s="1"/>
  <c r="E705" i="50"/>
  <c r="F705" i="50" s="1"/>
  <c r="E686" i="52"/>
  <c r="F686" i="52" s="1"/>
  <c r="D891" i="53"/>
  <c r="E891" i="53" s="1"/>
  <c r="E742" i="53"/>
  <c r="E670" i="52"/>
  <c r="F670" i="52" s="1"/>
  <c r="D926" i="53"/>
  <c r="E926" i="53" s="1"/>
  <c r="D757" i="52"/>
  <c r="E757" i="52" s="1"/>
  <c r="O225" i="14"/>
  <c r="D1010" i="53"/>
  <c r="E1010" i="53" s="1"/>
  <c r="E1022" i="53" s="1"/>
  <c r="E1023" i="53" s="1"/>
  <c r="F1023" i="53" s="1"/>
  <c r="E703" i="50"/>
  <c r="F703" i="50" s="1"/>
  <c r="D756" i="52"/>
  <c r="E756" i="52" s="1"/>
  <c r="E805" i="53"/>
  <c r="F805" i="53" s="1"/>
  <c r="D772" i="52"/>
  <c r="E772" i="52" s="1"/>
  <c r="D906" i="53"/>
  <c r="E906" i="53" s="1"/>
  <c r="E829" i="50"/>
  <c r="F829" i="50" s="1"/>
  <c r="F833" i="50" s="1"/>
  <c r="F834" i="50" s="1"/>
  <c r="G834" i="50" s="1"/>
  <c r="D927" i="53"/>
  <c r="E927" i="53" s="1"/>
  <c r="E866" i="50"/>
  <c r="F866" i="50" s="1"/>
  <c r="D928" i="53"/>
  <c r="E928" i="53" s="1"/>
  <c r="E255" i="58"/>
  <c r="F255" i="58" s="1"/>
  <c r="D933" i="53"/>
  <c r="E933" i="53" s="1"/>
  <c r="D766" i="50"/>
  <c r="E766" i="50" s="1"/>
  <c r="E666" i="52"/>
  <c r="F666" i="52" s="1"/>
  <c r="D778" i="53"/>
  <c r="E778" i="53" s="1"/>
  <c r="D767" i="50"/>
  <c r="E767" i="50" s="1"/>
  <c r="E667" i="52"/>
  <c r="F667" i="52" s="1"/>
  <c r="E810" i="53"/>
  <c r="F810" i="53" s="1"/>
  <c r="E736" i="52"/>
  <c r="F736" i="52" s="1"/>
  <c r="E110" i="69"/>
  <c r="F110" i="69" s="1"/>
  <c r="E732" i="52"/>
  <c r="F732" i="52" s="1"/>
  <c r="D720" i="53"/>
  <c r="E720" i="53" s="1"/>
  <c r="E803" i="53"/>
  <c r="F803" i="53" s="1"/>
  <c r="E638" i="50"/>
  <c r="F638" i="50" s="1"/>
  <c r="D777" i="53"/>
  <c r="E777" i="53" s="1"/>
  <c r="D831" i="53"/>
  <c r="E831" i="53" s="1"/>
  <c r="D784" i="53"/>
  <c r="E784" i="53" s="1"/>
  <c r="E640" i="50"/>
  <c r="F640" i="50" s="1"/>
  <c r="E627" i="50"/>
  <c r="F627" i="50" s="1"/>
  <c r="H604" i="52"/>
  <c r="F603" i="52"/>
  <c r="E596" i="52"/>
  <c r="F596" i="52" s="1"/>
  <c r="H596" i="52" s="1"/>
  <c r="F595" i="52"/>
  <c r="M173" i="14"/>
  <c r="M174" i="14" s="1"/>
  <c r="N174" i="14" s="1"/>
  <c r="M164" i="14"/>
  <c r="M165" i="14" s="1"/>
  <c r="N165" i="14" s="1"/>
  <c r="M155" i="14"/>
  <c r="M156" i="14" s="1"/>
  <c r="N156" i="14" s="1"/>
  <c r="M146" i="14"/>
  <c r="M147" i="14" s="1"/>
  <c r="N147" i="14" s="1"/>
  <c r="F147" i="35"/>
  <c r="E121" i="69" s="1"/>
  <c r="F121" i="69" s="1"/>
  <c r="I10" i="64"/>
  <c r="E382" i="76" s="1"/>
  <c r="F382" i="76" s="1"/>
  <c r="H586" i="50"/>
  <c r="H585" i="50"/>
  <c r="E583" i="50"/>
  <c r="F583" i="50" s="1"/>
  <c r="F582" i="50"/>
  <c r="G318" i="50"/>
  <c r="G287" i="50"/>
  <c r="G275" i="50"/>
  <c r="G263" i="50"/>
  <c r="H574" i="50"/>
  <c r="H573" i="50"/>
  <c r="E571" i="50"/>
  <c r="F571" i="50" s="1"/>
  <c r="F570" i="50"/>
  <c r="F657" i="52"/>
  <c r="E658" i="52"/>
  <c r="F658" i="52" s="1"/>
  <c r="E653" i="52"/>
  <c r="F653" i="52" s="1"/>
  <c r="H661" i="52"/>
  <c r="E646" i="52"/>
  <c r="F646" i="52" s="1"/>
  <c r="F645" i="52"/>
  <c r="E641" i="52"/>
  <c r="F641" i="52" s="1"/>
  <c r="H649" i="52"/>
  <c r="D45" i="70"/>
  <c r="E45" i="70" s="1"/>
  <c r="F634" i="52"/>
  <c r="G634" i="52" s="1"/>
  <c r="G633" i="52"/>
  <c r="G632" i="52"/>
  <c r="F631" i="52"/>
  <c r="G631" i="52" s="1"/>
  <c r="I637" i="52"/>
  <c r="E237" i="58"/>
  <c r="F237" i="58" s="1"/>
  <c r="F242" i="58"/>
  <c r="F243" i="58"/>
  <c r="H247" i="58"/>
  <c r="H246" i="58"/>
  <c r="E244" i="58"/>
  <c r="F244" i="58" s="1"/>
  <c r="J247" i="58"/>
  <c r="E229" i="58"/>
  <c r="F229" i="58" s="1"/>
  <c r="H232" i="58"/>
  <c r="H231" i="58"/>
  <c r="F228" i="58"/>
  <c r="F227" i="58"/>
  <c r="E222" i="58"/>
  <c r="F222" i="58" s="1"/>
  <c r="J232" i="58"/>
  <c r="H217" i="58"/>
  <c r="H216" i="58"/>
  <c r="F213" i="58"/>
  <c r="F212" i="58"/>
  <c r="E206" i="58"/>
  <c r="F206" i="58" s="1"/>
  <c r="J217" i="58"/>
  <c r="E214" i="58"/>
  <c r="F214" i="58" s="1"/>
  <c r="E205" i="58"/>
  <c r="F205" i="58" s="1"/>
  <c r="D46" i="70"/>
  <c r="E46" i="70" s="1"/>
  <c r="E44" i="70"/>
  <c r="D702" i="53"/>
  <c r="E702" i="53" s="1"/>
  <c r="E710" i="53"/>
  <c r="D713" i="53"/>
  <c r="E713" i="53" s="1"/>
  <c r="E712" i="53"/>
  <c r="E711" i="53"/>
  <c r="E709" i="53"/>
  <c r="D707" i="53"/>
  <c r="E707" i="53" s="1"/>
  <c r="E198" i="58"/>
  <c r="F198" i="58" s="1"/>
  <c r="H201" i="58"/>
  <c r="H200" i="58"/>
  <c r="F197" i="58"/>
  <c r="F196" i="58"/>
  <c r="E193" i="58"/>
  <c r="F193" i="58" s="1"/>
  <c r="J201" i="58"/>
  <c r="E180" i="58"/>
  <c r="F180" i="58" s="1"/>
  <c r="F183" i="58"/>
  <c r="H188" i="58"/>
  <c r="H187" i="58"/>
  <c r="E185" i="58"/>
  <c r="F185" i="58" s="1"/>
  <c r="F184" i="58"/>
  <c r="J188" i="58"/>
  <c r="E4" i="58"/>
  <c r="F31" i="20"/>
  <c r="E19" i="60"/>
  <c r="E643" i="52" s="1"/>
  <c r="F643" i="52" s="1"/>
  <c r="E18" i="60"/>
  <c r="E655" i="52" s="1"/>
  <c r="F655" i="52" s="1"/>
  <c r="F203" i="36"/>
  <c r="F204" i="36"/>
  <c r="E206" i="36"/>
  <c r="F206" i="36" s="1"/>
  <c r="F205" i="36"/>
  <c r="H209" i="36"/>
  <c r="F202" i="36"/>
  <c r="E148" i="51"/>
  <c r="E92" i="69"/>
  <c r="F92" i="69" s="1"/>
  <c r="E94" i="69"/>
  <c r="F94" i="69" s="1"/>
  <c r="F98" i="69"/>
  <c r="F99" i="69"/>
  <c r="E100" i="69"/>
  <c r="F100" i="69" s="1"/>
  <c r="E152" i="51"/>
  <c r="E151" i="51"/>
  <c r="O8" i="69"/>
  <c r="P8" i="69" s="1"/>
  <c r="P7" i="69"/>
  <c r="O4" i="69"/>
  <c r="P4" i="69" s="1"/>
  <c r="F83" i="69"/>
  <c r="F7" i="69"/>
  <c r="F20" i="69"/>
  <c r="F32" i="69"/>
  <c r="F44" i="69"/>
  <c r="F56" i="69"/>
  <c r="F71" i="69"/>
  <c r="R11" i="69"/>
  <c r="E80" i="69"/>
  <c r="F80" i="69" s="1"/>
  <c r="E82" i="69"/>
  <c r="F82" i="69" s="1"/>
  <c r="F84" i="69"/>
  <c r="E85" i="69"/>
  <c r="F85" i="69" s="1"/>
  <c r="G580" i="52"/>
  <c r="E609" i="52"/>
  <c r="E611" i="52" s="1"/>
  <c r="E612" i="52" s="1"/>
  <c r="F612" i="52" s="1"/>
  <c r="E577" i="52"/>
  <c r="E579" i="52" s="1"/>
  <c r="E580" i="52" s="1"/>
  <c r="F580" i="52" s="1"/>
  <c r="G588" i="52"/>
  <c r="E585" i="52"/>
  <c r="E587" i="52" s="1"/>
  <c r="G572" i="52"/>
  <c r="E569" i="52"/>
  <c r="E571" i="52" s="1"/>
  <c r="K22" i="17"/>
  <c r="L22" i="17" s="1"/>
  <c r="E98" i="76" l="1"/>
  <c r="F98" i="76" s="1"/>
  <c r="E278" i="76"/>
  <c r="F278" i="76" s="1"/>
  <c r="F283" i="76" s="1"/>
  <c r="E20" i="76"/>
  <c r="F20" i="76" s="1"/>
  <c r="D108" i="77"/>
  <c r="E108" i="77" s="1"/>
  <c r="F89" i="76"/>
  <c r="G89" i="76" s="1"/>
  <c r="E271" i="58"/>
  <c r="F271" i="58" s="1"/>
  <c r="D755" i="50"/>
  <c r="E755" i="50" s="1"/>
  <c r="E221" i="58"/>
  <c r="F221" i="58" s="1"/>
  <c r="E236" i="58"/>
  <c r="F236" i="58" s="1"/>
  <c r="H612" i="52"/>
  <c r="H580" i="52"/>
  <c r="E47" i="70"/>
  <c r="E48" i="70" s="1"/>
  <c r="F48" i="70" s="1"/>
  <c r="F579" i="52"/>
  <c r="F611" i="52"/>
  <c r="F587" i="52"/>
  <c r="E588" i="52"/>
  <c r="F571" i="52"/>
  <c r="E572" i="52"/>
  <c r="F572" i="52" s="1"/>
  <c r="H572" i="52" s="1"/>
  <c r="F284" i="76" l="1"/>
  <c r="G284" i="76" s="1"/>
  <c r="I284" i="76" s="1"/>
  <c r="G283" i="76"/>
  <c r="F588" i="52"/>
  <c r="H588" i="52" s="1"/>
  <c r="AL84" i="50" l="1"/>
  <c r="AK82" i="50"/>
  <c r="AL82" i="50" s="1"/>
  <c r="AL83" i="50"/>
  <c r="H561" i="50"/>
  <c r="H560" i="50"/>
  <c r="E557" i="50"/>
  <c r="F557" i="50" s="1"/>
  <c r="H553" i="50"/>
  <c r="H552" i="50"/>
  <c r="E549" i="50"/>
  <c r="F549" i="50" s="1"/>
  <c r="H175" i="58"/>
  <c r="H174" i="58"/>
  <c r="E172" i="58"/>
  <c r="F172" i="58" s="1"/>
  <c r="F171" i="58"/>
  <c r="E168" i="58"/>
  <c r="F168" i="58" s="1"/>
  <c r="D142" i="1"/>
  <c r="D141" i="1"/>
  <c r="L21" i="17"/>
  <c r="E65" i="69"/>
  <c r="F65" i="69" s="1"/>
  <c r="E73" i="69"/>
  <c r="F73" i="69" s="1"/>
  <c r="F72" i="69"/>
  <c r="E69" i="69"/>
  <c r="F69" i="69" s="1"/>
  <c r="E58" i="69"/>
  <c r="F58" i="69" s="1"/>
  <c r="F57" i="69"/>
  <c r="E55" i="69"/>
  <c r="F55" i="69" s="1"/>
  <c r="F41" i="69"/>
  <c r="E46" i="69"/>
  <c r="F46" i="69" s="1"/>
  <c r="F45" i="69"/>
  <c r="E43" i="69"/>
  <c r="F43" i="69" s="1"/>
  <c r="E34" i="69"/>
  <c r="F34" i="69" s="1"/>
  <c r="F33" i="69"/>
  <c r="E31" i="69"/>
  <c r="F31" i="69" s="1"/>
  <c r="F29" i="69"/>
  <c r="E22" i="69"/>
  <c r="F22" i="69" s="1"/>
  <c r="F21" i="69"/>
  <c r="E19" i="69"/>
  <c r="F19" i="69" s="1"/>
  <c r="E16" i="69"/>
  <c r="F16" i="69" s="1"/>
  <c r="E9" i="69"/>
  <c r="F9" i="69" s="1"/>
  <c r="F8" i="69"/>
  <c r="E6" i="69"/>
  <c r="F6" i="69" s="1"/>
  <c r="E38" i="70"/>
  <c r="E37" i="70"/>
  <c r="D36" i="70"/>
  <c r="E36" i="70" s="1"/>
  <c r="D29" i="70"/>
  <c r="E29" i="70" s="1"/>
  <c r="D35" i="70"/>
  <c r="E35" i="70" s="1"/>
  <c r="E28" i="70"/>
  <c r="E21" i="70"/>
  <c r="D20" i="70"/>
  <c r="E20" i="70" s="1"/>
  <c r="D15" i="70"/>
  <c r="E15" i="70" s="1"/>
  <c r="E22" i="70"/>
  <c r="E14" i="70"/>
  <c r="D4" i="70"/>
  <c r="E4" i="70" s="1"/>
  <c r="D6" i="70"/>
  <c r="E6" i="70" s="1"/>
  <c r="E8" i="70"/>
  <c r="E7" i="70"/>
  <c r="E3" i="70"/>
  <c r="E562" i="52"/>
  <c r="F562" i="52" s="1"/>
  <c r="E561" i="52"/>
  <c r="F561" i="52" s="1"/>
  <c r="E558" i="52"/>
  <c r="F558" i="52" s="1"/>
  <c r="H565" i="52"/>
  <c r="U197" i="53"/>
  <c r="U196" i="53"/>
  <c r="AL85" i="50" l="1"/>
  <c r="AL86" i="50" s="1"/>
  <c r="AM86" i="50" s="1"/>
  <c r="D531" i="53"/>
  <c r="D622" i="53"/>
  <c r="L5" i="17"/>
  <c r="L6" i="17" s="1"/>
  <c r="L7" i="17" s="1"/>
  <c r="M7" i="17" s="1"/>
  <c r="AK66" i="50" l="1"/>
  <c r="AL66" i="50" s="1"/>
  <c r="AL68" i="50"/>
  <c r="AL67" i="50"/>
  <c r="AL76" i="50"/>
  <c r="AL75" i="50"/>
  <c r="AK74" i="50"/>
  <c r="AL74" i="50" s="1"/>
  <c r="F542" i="50"/>
  <c r="F550" i="50" s="1"/>
  <c r="F543" i="50"/>
  <c r="AD62" i="50"/>
  <c r="E75" i="50"/>
  <c r="E84" i="50"/>
  <c r="D364" i="50"/>
  <c r="D142" i="50"/>
  <c r="D133" i="50"/>
  <c r="F558" i="50" l="1"/>
  <c r="F559" i="50" s="1"/>
  <c r="F551" i="50"/>
  <c r="AL77" i="50"/>
  <c r="AL78" i="50" s="1"/>
  <c r="AM78" i="50" s="1"/>
  <c r="I66" i="58"/>
  <c r="J78" i="58"/>
  <c r="J90" i="58"/>
  <c r="J452" i="53"/>
  <c r="F552" i="50" l="1"/>
  <c r="G551" i="50"/>
  <c r="G559" i="50"/>
  <c r="F560" i="50"/>
  <c r="G560" i="50" s="1"/>
  <c r="I560" i="50" s="1"/>
  <c r="M59" i="20"/>
  <c r="R243" i="53" s="1"/>
  <c r="S243" i="53" s="1"/>
  <c r="U247" i="53"/>
  <c r="U246" i="53"/>
  <c r="R244" i="53"/>
  <c r="S244" i="53" s="1"/>
  <c r="S242" i="53"/>
  <c r="S241" i="53"/>
  <c r="R239" i="53"/>
  <c r="S239" i="53" s="1"/>
  <c r="Q305" i="50"/>
  <c r="R305" i="50" s="1"/>
  <c r="R304" i="50"/>
  <c r="R303" i="50"/>
  <c r="Q316" i="50"/>
  <c r="R316" i="50" s="1"/>
  <c r="R315" i="50"/>
  <c r="R314" i="50"/>
  <c r="T319" i="50"/>
  <c r="T308" i="50"/>
  <c r="D58" i="1"/>
  <c r="E541" i="50" s="1"/>
  <c r="F541" i="50" s="1"/>
  <c r="F544" i="50" s="1"/>
  <c r="F545" i="50" s="1"/>
  <c r="G545" i="50" s="1"/>
  <c r="D25" i="64"/>
  <c r="E694" i="53"/>
  <c r="E695" i="53" s="1"/>
  <c r="F695" i="53" s="1"/>
  <c r="F693" i="53"/>
  <c r="F692" i="53"/>
  <c r="F691" i="53"/>
  <c r="E684" i="53"/>
  <c r="F684" i="53" s="1"/>
  <c r="E596" i="53"/>
  <c r="E597" i="53" s="1"/>
  <c r="F597" i="53" s="1"/>
  <c r="H698" i="53"/>
  <c r="E660" i="53"/>
  <c r="F660" i="53" s="1"/>
  <c r="F667" i="53"/>
  <c r="F668" i="53"/>
  <c r="F669" i="53"/>
  <c r="E670" i="53"/>
  <c r="F670" i="53" s="1"/>
  <c r="H674" i="53"/>
  <c r="E640" i="53"/>
  <c r="F640" i="53" s="1"/>
  <c r="F647" i="53"/>
  <c r="F648" i="53"/>
  <c r="F649" i="53"/>
  <c r="E650" i="53"/>
  <c r="F650" i="53" s="1"/>
  <c r="H654" i="53"/>
  <c r="Q36" i="51"/>
  <c r="D627" i="53"/>
  <c r="E627" i="53" s="1"/>
  <c r="E626" i="53"/>
  <c r="E625" i="53"/>
  <c r="E624" i="53"/>
  <c r="E622" i="53"/>
  <c r="E609" i="53"/>
  <c r="E610" i="53" s="1"/>
  <c r="F610" i="53" s="1"/>
  <c r="F608" i="53"/>
  <c r="F607" i="53"/>
  <c r="F606" i="53"/>
  <c r="E600" i="53"/>
  <c r="F600" i="53" s="1"/>
  <c r="E551" i="52"/>
  <c r="F551" i="52" s="1"/>
  <c r="F550" i="52"/>
  <c r="H554" i="52"/>
  <c r="H163" i="58"/>
  <c r="H162" i="58"/>
  <c r="I9" i="64"/>
  <c r="E111" i="76" s="1"/>
  <c r="F111" i="76" s="1"/>
  <c r="F117" i="76" s="1"/>
  <c r="E160" i="58"/>
  <c r="F160" i="58" s="1"/>
  <c r="W6" i="64"/>
  <c r="F159" i="58"/>
  <c r="E153" i="58"/>
  <c r="F153" i="58" s="1"/>
  <c r="J163" i="58"/>
  <c r="D530" i="53"/>
  <c r="E530" i="53" s="1"/>
  <c r="I3" i="64"/>
  <c r="D227" i="75" s="1"/>
  <c r="E227" i="75" s="1"/>
  <c r="I4" i="64"/>
  <c r="I5" i="64"/>
  <c r="U230" i="53"/>
  <c r="U229" i="53"/>
  <c r="R227" i="53"/>
  <c r="S227" i="53" s="1"/>
  <c r="S226" i="53"/>
  <c r="S225" i="53"/>
  <c r="R221" i="53"/>
  <c r="S221" i="53" s="1"/>
  <c r="U214" i="53"/>
  <c r="U213" i="53"/>
  <c r="R205" i="53"/>
  <c r="S205" i="53" s="1"/>
  <c r="R211" i="53"/>
  <c r="S211" i="53" s="1"/>
  <c r="S210" i="53"/>
  <c r="S209" i="53"/>
  <c r="H592" i="53"/>
  <c r="H591" i="53"/>
  <c r="E589" i="53"/>
  <c r="F589" i="53" s="1"/>
  <c r="F588" i="53"/>
  <c r="F587" i="53"/>
  <c r="E584" i="53"/>
  <c r="F584" i="53" s="1"/>
  <c r="E583" i="53"/>
  <c r="F583" i="53" s="1"/>
  <c r="J592" i="53"/>
  <c r="V31" i="61"/>
  <c r="E29" i="68" s="1"/>
  <c r="F29" i="68" s="1"/>
  <c r="V30" i="61"/>
  <c r="D370" i="75" s="1"/>
  <c r="E370" i="75" s="1"/>
  <c r="D560" i="53"/>
  <c r="E560" i="53" s="1"/>
  <c r="D566" i="53"/>
  <c r="E566" i="53" s="1"/>
  <c r="E568" i="53"/>
  <c r="D571" i="53"/>
  <c r="E571" i="53" s="1"/>
  <c r="E570" i="53"/>
  <c r="E569" i="53"/>
  <c r="G574" i="53"/>
  <c r="Q200" i="51"/>
  <c r="R200" i="51" s="1"/>
  <c r="R199" i="51"/>
  <c r="R198" i="51"/>
  <c r="R197" i="51"/>
  <c r="Q192" i="51"/>
  <c r="R192" i="51" s="1"/>
  <c r="Q191" i="51"/>
  <c r="R191" i="51" s="1"/>
  <c r="D553" i="53"/>
  <c r="E553" i="53" s="1"/>
  <c r="E552" i="53"/>
  <c r="E551" i="53"/>
  <c r="E550" i="53"/>
  <c r="D548" i="53"/>
  <c r="E548" i="53" s="1"/>
  <c r="D543" i="53"/>
  <c r="E543" i="53" s="1"/>
  <c r="D1098" i="74" l="1"/>
  <c r="E1098" i="74" s="1"/>
  <c r="D621" i="75"/>
  <c r="E621" i="75" s="1"/>
  <c r="E598" i="53"/>
  <c r="F598" i="53" s="1"/>
  <c r="D1136" i="74"/>
  <c r="E1136" i="74" s="1"/>
  <c r="D651" i="75"/>
  <c r="E651" i="75" s="1"/>
  <c r="D804" i="75"/>
  <c r="E804" i="75" s="1"/>
  <c r="E808" i="75" s="1"/>
  <c r="E809" i="75" s="1"/>
  <c r="F809" i="75" s="1"/>
  <c r="D780" i="75"/>
  <c r="E780" i="75" s="1"/>
  <c r="D1365" i="74"/>
  <c r="E1365" i="74" s="1"/>
  <c r="E121" i="77"/>
  <c r="F121" i="77" s="1"/>
  <c r="F125" i="77" s="1"/>
  <c r="F126" i="77" s="1"/>
  <c r="G126" i="77" s="1"/>
  <c r="D291" i="76"/>
  <c r="E291" i="76" s="1"/>
  <c r="E466" i="74"/>
  <c r="F466" i="74" s="1"/>
  <c r="D248" i="76"/>
  <c r="E248" i="76" s="1"/>
  <c r="G117" i="76"/>
  <c r="F118" i="76"/>
  <c r="G118" i="76" s="1"/>
  <c r="I118" i="76" s="1"/>
  <c r="E47" i="76"/>
  <c r="F47" i="76" s="1"/>
  <c r="E467" i="74"/>
  <c r="F467" i="74" s="1"/>
  <c r="D72" i="79"/>
  <c r="E72" i="79" s="1"/>
  <c r="E70" i="77"/>
  <c r="F70" i="77" s="1"/>
  <c r="E55" i="77"/>
  <c r="F55" i="77" s="1"/>
  <c r="E8" i="77"/>
  <c r="F8" i="77" s="1"/>
  <c r="E93" i="77"/>
  <c r="F93" i="77" s="1"/>
  <c r="D385" i="74"/>
  <c r="E385" i="74" s="1"/>
  <c r="E22" i="77"/>
  <c r="F22" i="77" s="1"/>
  <c r="D139" i="75"/>
  <c r="E139" i="75" s="1"/>
  <c r="E559" i="52"/>
  <c r="F559" i="52" s="1"/>
  <c r="D148" i="74"/>
  <c r="E148" i="74" s="1"/>
  <c r="D40" i="75"/>
  <c r="E40" i="75" s="1"/>
  <c r="D853" i="74"/>
  <c r="E853" i="74" s="1"/>
  <c r="D86" i="74"/>
  <c r="E86" i="74" s="1"/>
  <c r="D194" i="74"/>
  <c r="E194" i="74" s="1"/>
  <c r="D41" i="74"/>
  <c r="E41" i="74" s="1"/>
  <c r="D18" i="75"/>
  <c r="E18" i="75" s="1"/>
  <c r="E310" i="58"/>
  <c r="F310" i="58" s="1"/>
  <c r="F315" i="58" s="1"/>
  <c r="F316" i="58" s="1"/>
  <c r="G316" i="58" s="1"/>
  <c r="I316" i="58" s="1"/>
  <c r="E17" i="76"/>
  <c r="F17" i="76" s="1"/>
  <c r="D782" i="50"/>
  <c r="E782" i="50" s="1"/>
  <c r="D769" i="50"/>
  <c r="E769" i="50" s="1"/>
  <c r="E692" i="50"/>
  <c r="F692" i="50" s="1"/>
  <c r="D716" i="50"/>
  <c r="E716" i="50" s="1"/>
  <c r="E812" i="53"/>
  <c r="F812" i="53" s="1"/>
  <c r="E738" i="52"/>
  <c r="F738" i="52" s="1"/>
  <c r="E671" i="52"/>
  <c r="F671" i="52" s="1"/>
  <c r="D142" i="58"/>
  <c r="D17" i="70"/>
  <c r="E17" i="70" s="1"/>
  <c r="E157" i="58"/>
  <c r="F157" i="58" s="1"/>
  <c r="O5" i="69"/>
  <c r="P5" i="69" s="1"/>
  <c r="P9" i="69" s="1"/>
  <c r="P10" i="69" s="1"/>
  <c r="Q10" i="69" s="1"/>
  <c r="E239" i="58"/>
  <c r="E224" i="58"/>
  <c r="E181" i="58"/>
  <c r="F181" i="58" s="1"/>
  <c r="F626" i="52"/>
  <c r="G626" i="52" s="1"/>
  <c r="E194" i="58"/>
  <c r="F194" i="58" s="1"/>
  <c r="E207" i="58"/>
  <c r="F207" i="58" s="1"/>
  <c r="AK64" i="50"/>
  <c r="AL64" i="50" s="1"/>
  <c r="E154" i="58"/>
  <c r="F154" i="58" s="1"/>
  <c r="E566" i="50"/>
  <c r="F566" i="50" s="1"/>
  <c r="E567" i="50"/>
  <c r="F567" i="50" s="1"/>
  <c r="E579" i="50"/>
  <c r="F579" i="50" s="1"/>
  <c r="G552" i="50"/>
  <c r="I552" i="50" s="1"/>
  <c r="D620" i="53"/>
  <c r="E620" i="53" s="1"/>
  <c r="E546" i="52"/>
  <c r="F546" i="52" s="1"/>
  <c r="E671" i="53"/>
  <c r="F671" i="53" s="1"/>
  <c r="E651" i="53"/>
  <c r="F651" i="53" s="1"/>
  <c r="F694" i="53"/>
  <c r="F609" i="53"/>
  <c r="F596" i="53"/>
  <c r="G315" i="58" l="1"/>
  <c r="F125" i="53"/>
  <c r="F126" i="53"/>
  <c r="F127" i="53"/>
  <c r="F128" i="53"/>
  <c r="E134" i="53"/>
  <c r="F134" i="53" s="1"/>
  <c r="S136" i="53"/>
  <c r="T136" i="53" s="1"/>
  <c r="T137" i="53"/>
  <c r="E138" i="53"/>
  <c r="F138" i="53" s="1"/>
  <c r="T138" i="53"/>
  <c r="T139" i="53"/>
  <c r="S140" i="53"/>
  <c r="T140" i="53" s="1"/>
  <c r="E35" i="68"/>
  <c r="F35" i="68" s="1"/>
  <c r="F34" i="68"/>
  <c r="E32" i="68"/>
  <c r="F32" i="68" s="1"/>
  <c r="E33" i="68"/>
  <c r="F33" i="68" s="1"/>
  <c r="R194" i="53"/>
  <c r="S194" i="53" s="1"/>
  <c r="S193" i="53"/>
  <c r="S192" i="53"/>
  <c r="S191" i="53"/>
  <c r="R190" i="53"/>
  <c r="S190" i="53" s="1"/>
  <c r="E37" i="61"/>
  <c r="F15" i="35"/>
  <c r="E531" i="53"/>
  <c r="E535" i="53"/>
  <c r="D536" i="53"/>
  <c r="E536" i="53" s="1"/>
  <c r="G539" i="53"/>
  <c r="D140" i="58"/>
  <c r="E140" i="58" s="1"/>
  <c r="E144" i="58"/>
  <c r="D145" i="58"/>
  <c r="E145" i="58" s="1"/>
  <c r="G148" i="58"/>
  <c r="F535" i="50"/>
  <c r="F534" i="50"/>
  <c r="D37" i="1"/>
  <c r="E533" i="50" s="1"/>
  <c r="F533" i="50" s="1"/>
  <c r="E31" i="68"/>
  <c r="F31" i="68" s="1"/>
  <c r="E30" i="68"/>
  <c r="F30" i="68" s="1"/>
  <c r="H38" i="68"/>
  <c r="AN60" i="50"/>
  <c r="AN59" i="50"/>
  <c r="AL57" i="50"/>
  <c r="AK56" i="50"/>
  <c r="AL56" i="50" s="1"/>
  <c r="I541" i="52"/>
  <c r="I540" i="52"/>
  <c r="E135" i="53" l="1"/>
  <c r="F135" i="53" s="1"/>
  <c r="F536" i="50"/>
  <c r="F537" i="50" s="1"/>
  <c r="G537" i="50" s="1"/>
  <c r="AL58" i="50"/>
  <c r="AL59" i="50" s="1"/>
  <c r="F27" i="62"/>
  <c r="F26" i="62"/>
  <c r="F538" i="52"/>
  <c r="G538" i="52" s="1"/>
  <c r="G537" i="52"/>
  <c r="G536" i="52"/>
  <c r="F535" i="52"/>
  <c r="G535" i="52" s="1"/>
  <c r="D519" i="50"/>
  <c r="E519" i="50" s="1"/>
  <c r="D517" i="50"/>
  <c r="E517" i="50" s="1"/>
  <c r="E524" i="50"/>
  <c r="D526" i="50"/>
  <c r="E526" i="50" s="1"/>
  <c r="G529" i="50"/>
  <c r="E520" i="50"/>
  <c r="D510" i="50"/>
  <c r="E510" i="50" s="1"/>
  <c r="E509" i="50"/>
  <c r="E508" i="50"/>
  <c r="D503" i="50"/>
  <c r="E503" i="50" s="1"/>
  <c r="D502" i="50"/>
  <c r="E502" i="50" s="1"/>
  <c r="G513" i="50"/>
  <c r="E504" i="50"/>
  <c r="N135" i="14"/>
  <c r="O135" i="14" s="1"/>
  <c r="N134" i="14"/>
  <c r="O134" i="14" s="1"/>
  <c r="N122" i="14"/>
  <c r="O122" i="14" s="1"/>
  <c r="N121" i="14"/>
  <c r="O121" i="14" s="1"/>
  <c r="N136" i="14"/>
  <c r="O136" i="14" s="1"/>
  <c r="N123" i="14"/>
  <c r="O123" i="14" s="1"/>
  <c r="Q139" i="14"/>
  <c r="Q126" i="14"/>
  <c r="E520" i="52"/>
  <c r="F520" i="52" s="1"/>
  <c r="F518" i="52"/>
  <c r="F519" i="52"/>
  <c r="H523" i="52"/>
  <c r="H526" i="53"/>
  <c r="H525" i="53"/>
  <c r="E523" i="53"/>
  <c r="F523" i="53" s="1"/>
  <c r="F522" i="53"/>
  <c r="F521" i="53"/>
  <c r="E518" i="53"/>
  <c r="F518" i="53" s="1"/>
  <c r="E20" i="68"/>
  <c r="F20" i="68" s="1"/>
  <c r="E8" i="68"/>
  <c r="F8" i="68" s="1"/>
  <c r="E21" i="68"/>
  <c r="F21" i="68" s="1"/>
  <c r="E19" i="68"/>
  <c r="F19" i="68" s="1"/>
  <c r="E18" i="68"/>
  <c r="F18" i="68" s="1"/>
  <c r="E17" i="68"/>
  <c r="F17" i="68" s="1"/>
  <c r="H24" i="68"/>
  <c r="E9" i="68"/>
  <c r="F9" i="68" s="1"/>
  <c r="E5" i="68"/>
  <c r="F5" i="68" s="1"/>
  <c r="E6" i="68"/>
  <c r="F6" i="68" s="1"/>
  <c r="E7" i="68"/>
  <c r="F7" i="68" s="1"/>
  <c r="H12" i="68"/>
  <c r="F41" i="62"/>
  <c r="E505" i="52" s="1"/>
  <c r="F505" i="52" s="1"/>
  <c r="E503" i="52"/>
  <c r="E504" i="52" s="1"/>
  <c r="F504" i="52" s="1"/>
  <c r="F506" i="52"/>
  <c r="E507" i="52"/>
  <c r="F507" i="52" s="1"/>
  <c r="H510" i="52"/>
  <c r="T297" i="50"/>
  <c r="T285" i="50"/>
  <c r="T273" i="50"/>
  <c r="E489" i="53"/>
  <c r="J509" i="53"/>
  <c r="E500" i="53"/>
  <c r="F500" i="53" s="1"/>
  <c r="H509" i="53"/>
  <c r="H508" i="53"/>
  <c r="E506" i="53"/>
  <c r="F506" i="53" s="1"/>
  <c r="F504" i="53"/>
  <c r="F505" i="53"/>
  <c r="E501" i="53"/>
  <c r="F501" i="53" s="1"/>
  <c r="G494" i="53"/>
  <c r="G493" i="53"/>
  <c r="D491" i="53"/>
  <c r="E491" i="53" s="1"/>
  <c r="E490" i="53"/>
  <c r="D481" i="53"/>
  <c r="E481" i="53" s="1"/>
  <c r="I494" i="53"/>
  <c r="Q294" i="50"/>
  <c r="R294" i="50" s="1"/>
  <c r="R293" i="50"/>
  <c r="R292" i="50"/>
  <c r="Q282" i="50"/>
  <c r="R282" i="50" s="1"/>
  <c r="R281" i="50"/>
  <c r="R280" i="50"/>
  <c r="R268" i="50"/>
  <c r="R269" i="50"/>
  <c r="Q270" i="50"/>
  <c r="R270" i="50" s="1"/>
  <c r="D456" i="53"/>
  <c r="AM59" i="50" l="1"/>
  <c r="AO59" i="50" s="1"/>
  <c r="S126" i="53"/>
  <c r="T126" i="53" s="1"/>
  <c r="G527" i="52"/>
  <c r="D480" i="53"/>
  <c r="AM58" i="50"/>
  <c r="F503" i="52"/>
  <c r="F508" i="52" s="1"/>
  <c r="F509" i="52" s="1"/>
  <c r="G509" i="52" s="1"/>
  <c r="I17" i="64" l="1"/>
  <c r="I16" i="64"/>
  <c r="I108" i="52"/>
  <c r="G21" i="52"/>
  <c r="H306" i="50"/>
  <c r="J25" i="58"/>
  <c r="H40" i="58"/>
  <c r="E337" i="52"/>
  <c r="H498" i="50"/>
  <c r="H497" i="50"/>
  <c r="F494" i="50"/>
  <c r="H490" i="50"/>
  <c r="H489" i="50"/>
  <c r="E486" i="50"/>
  <c r="F486" i="50" s="1"/>
  <c r="E38" i="61"/>
  <c r="E499" i="53" s="1"/>
  <c r="F499" i="53" s="1"/>
  <c r="D140" i="1"/>
  <c r="D138" i="1"/>
  <c r="E327" i="53"/>
  <c r="D459" i="53"/>
  <c r="E459" i="53" s="1"/>
  <c r="Q255" i="50"/>
  <c r="R255" i="50" s="1"/>
  <c r="Q258" i="50"/>
  <c r="R258" i="50" s="1"/>
  <c r="R257" i="50"/>
  <c r="R256" i="50"/>
  <c r="Q244" i="50"/>
  <c r="R244" i="50" s="1"/>
  <c r="Q247" i="50"/>
  <c r="R247" i="50" s="1"/>
  <c r="R246" i="50"/>
  <c r="R245" i="50"/>
  <c r="T250" i="50"/>
  <c r="N110" i="14"/>
  <c r="O110" i="14" s="1"/>
  <c r="O109" i="14"/>
  <c r="O108" i="14"/>
  <c r="Q113" i="14"/>
  <c r="N98" i="14"/>
  <c r="O98" i="14" s="1"/>
  <c r="O97" i="14"/>
  <c r="O96" i="14"/>
  <c r="Q101" i="14"/>
  <c r="O84" i="14"/>
  <c r="O85" i="14"/>
  <c r="N86" i="14"/>
  <c r="O86" i="14" s="1"/>
  <c r="Q89" i="14"/>
  <c r="E496" i="52"/>
  <c r="F496" i="52" s="1"/>
  <c r="F495" i="52"/>
  <c r="F494" i="52"/>
  <c r="H499" i="52"/>
  <c r="E484" i="52"/>
  <c r="F484" i="52" s="1"/>
  <c r="F483" i="52"/>
  <c r="F482" i="52"/>
  <c r="H487" i="52"/>
  <c r="E472" i="52"/>
  <c r="F472" i="52" s="1"/>
  <c r="F471" i="52"/>
  <c r="F470" i="52"/>
  <c r="H475" i="52"/>
  <c r="E460" i="52"/>
  <c r="F460" i="52" s="1"/>
  <c r="F459" i="52"/>
  <c r="F458" i="52"/>
  <c r="H463" i="52"/>
  <c r="R170" i="53"/>
  <c r="S170" i="53" s="1"/>
  <c r="U178" i="53"/>
  <c r="U177" i="53"/>
  <c r="R175" i="53"/>
  <c r="S175" i="53" s="1"/>
  <c r="S174" i="53"/>
  <c r="S173" i="53"/>
  <c r="D467" i="53"/>
  <c r="E467" i="53" s="1"/>
  <c r="E466" i="53"/>
  <c r="E465" i="53"/>
  <c r="E464" i="53"/>
  <c r="D462" i="53"/>
  <c r="E462" i="53" s="1"/>
  <c r="G470" i="53"/>
  <c r="H452" i="53"/>
  <c r="H451" i="53"/>
  <c r="E449" i="53"/>
  <c r="F449" i="53" s="1"/>
  <c r="F448" i="53"/>
  <c r="F447" i="53"/>
  <c r="E443" i="53"/>
  <c r="F443" i="53" s="1"/>
  <c r="H437" i="53"/>
  <c r="H436" i="53"/>
  <c r="E434" i="53"/>
  <c r="F434" i="53" s="1"/>
  <c r="F433" i="53"/>
  <c r="F432" i="53"/>
  <c r="E428" i="53"/>
  <c r="F428" i="53" s="1"/>
  <c r="E426" i="53"/>
  <c r="F426" i="53" s="1"/>
  <c r="D446" i="52"/>
  <c r="E446" i="52" s="1"/>
  <c r="D445" i="52"/>
  <c r="E445" i="52" s="1"/>
  <c r="D449" i="52"/>
  <c r="E449" i="52" s="1"/>
  <c r="E448" i="52"/>
  <c r="E447" i="52"/>
  <c r="E407" i="53"/>
  <c r="F407" i="53" s="1"/>
  <c r="E415" i="53"/>
  <c r="F415" i="53" s="1"/>
  <c r="F416" i="53"/>
  <c r="F417" i="53"/>
  <c r="F418" i="53"/>
  <c r="E419" i="53"/>
  <c r="F419" i="53" s="1"/>
  <c r="H422" i="53"/>
  <c r="H136" i="58"/>
  <c r="H135" i="58"/>
  <c r="E133" i="58"/>
  <c r="F133" i="58" s="1"/>
  <c r="E131" i="58"/>
  <c r="F131" i="58" s="1"/>
  <c r="E438" i="52"/>
  <c r="F438" i="52" s="1"/>
  <c r="F437" i="52"/>
  <c r="H441" i="52"/>
  <c r="F436" i="52"/>
  <c r="D390" i="53"/>
  <c r="E390" i="53" s="1"/>
  <c r="D395" i="53"/>
  <c r="E395" i="53" s="1"/>
  <c r="D400" i="53"/>
  <c r="E400" i="53" s="1"/>
  <c r="E399" i="53"/>
  <c r="E398" i="53"/>
  <c r="E397" i="53"/>
  <c r="F410" i="52"/>
  <c r="F422" i="52"/>
  <c r="F425" i="52"/>
  <c r="E426" i="52"/>
  <c r="F426" i="52" s="1"/>
  <c r="F424" i="52"/>
  <c r="H429" i="52"/>
  <c r="F419" i="52"/>
  <c r="E411" i="52"/>
  <c r="F411" i="52" s="1"/>
  <c r="F409" i="52"/>
  <c r="J102" i="58"/>
  <c r="H102" i="58"/>
  <c r="H101" i="58"/>
  <c r="H126" i="58"/>
  <c r="H125" i="58"/>
  <c r="F122" i="58"/>
  <c r="E123" i="58"/>
  <c r="F123" i="58" s="1"/>
  <c r="J126" i="58"/>
  <c r="D399" i="52"/>
  <c r="E399" i="52" s="1"/>
  <c r="E398" i="52"/>
  <c r="E397" i="52"/>
  <c r="H367" i="53"/>
  <c r="H366" i="53"/>
  <c r="G402" i="52"/>
  <c r="F95" i="58"/>
  <c r="D387" i="52"/>
  <c r="E387" i="52" s="1"/>
  <c r="E386" i="52"/>
  <c r="E385" i="52"/>
  <c r="E383" i="52"/>
  <c r="F11" i="62"/>
  <c r="F22" i="62"/>
  <c r="F4" i="62"/>
  <c r="F208" i="58" s="1"/>
  <c r="F5" i="62"/>
  <c r="R218" i="53" s="1"/>
  <c r="S218" i="53" s="1"/>
  <c r="F3" i="62"/>
  <c r="F134" i="35"/>
  <c r="F133" i="35"/>
  <c r="F132" i="35"/>
  <c r="M58" i="20"/>
  <c r="F49" i="35"/>
  <c r="D24" i="64"/>
  <c r="E23" i="60"/>
  <c r="E34" i="9"/>
  <c r="E32" i="9"/>
  <c r="E35" i="9"/>
  <c r="E33" i="9"/>
  <c r="N106" i="14" s="1"/>
  <c r="O106" i="14" s="1"/>
  <c r="F121" i="35"/>
  <c r="F122" i="35"/>
  <c r="F59" i="35"/>
  <c r="E456" i="53" s="1"/>
  <c r="E7" i="60"/>
  <c r="L54" i="9"/>
  <c r="E354" i="53" s="1"/>
  <c r="J114" i="58"/>
  <c r="H114" i="58"/>
  <c r="H113" i="58"/>
  <c r="E107" i="58"/>
  <c r="F107" i="58" s="1"/>
  <c r="E111" i="58"/>
  <c r="F111" i="58" s="1"/>
  <c r="F110" i="58"/>
  <c r="H379" i="52"/>
  <c r="E376" i="52"/>
  <c r="F376" i="52" s="1"/>
  <c r="F375" i="52"/>
  <c r="H482" i="50"/>
  <c r="H481" i="50"/>
  <c r="F472" i="50"/>
  <c r="F471" i="50"/>
  <c r="F487" i="50" s="1"/>
  <c r="D24" i="1"/>
  <c r="E470" i="50" s="1"/>
  <c r="F470" i="50" s="1"/>
  <c r="D23" i="1"/>
  <c r="D151" i="1"/>
  <c r="E478" i="50" s="1"/>
  <c r="F478" i="50" s="1"/>
  <c r="G57" i="50"/>
  <c r="G210" i="50"/>
  <c r="C79" i="50"/>
  <c r="H385" i="53"/>
  <c r="H384" i="53"/>
  <c r="E376" i="53"/>
  <c r="F376" i="53" s="1"/>
  <c r="F379" i="53"/>
  <c r="E382" i="53"/>
  <c r="F382" i="53" s="1"/>
  <c r="F381" i="53"/>
  <c r="F372" i="53"/>
  <c r="J385" i="53"/>
  <c r="G104" i="51"/>
  <c r="G103" i="51"/>
  <c r="I104" i="51"/>
  <c r="E99" i="51"/>
  <c r="E100" i="51"/>
  <c r="E101" i="51"/>
  <c r="E99" i="58"/>
  <c r="F99" i="58" s="1"/>
  <c r="F98" i="58"/>
  <c r="E14" i="60"/>
  <c r="D56" i="79" s="1"/>
  <c r="E56" i="79" s="1"/>
  <c r="E12" i="60"/>
  <c r="K14" i="17" s="1"/>
  <c r="L14" i="17" s="1"/>
  <c r="H90" i="58"/>
  <c r="H89" i="58"/>
  <c r="E87" i="58"/>
  <c r="F87" i="58" s="1"/>
  <c r="F86" i="58"/>
  <c r="E83" i="58"/>
  <c r="F83" i="58" s="1"/>
  <c r="H78" i="58"/>
  <c r="H77" i="58"/>
  <c r="E71" i="58"/>
  <c r="F71" i="58" s="1"/>
  <c r="E75" i="58"/>
  <c r="F75" i="58" s="1"/>
  <c r="F74" i="58"/>
  <c r="F361" i="52"/>
  <c r="E362" i="52"/>
  <c r="F362" i="52" s="1"/>
  <c r="F360" i="52"/>
  <c r="H365" i="52"/>
  <c r="E364" i="53"/>
  <c r="F364" i="53" s="1"/>
  <c r="F363" i="53"/>
  <c r="F362" i="53"/>
  <c r="F361" i="53"/>
  <c r="E358" i="53"/>
  <c r="F358" i="53" s="1"/>
  <c r="F335" i="53"/>
  <c r="E340" i="53"/>
  <c r="F340" i="53" s="1"/>
  <c r="E45" i="53"/>
  <c r="E346" i="53"/>
  <c r="F346" i="53" s="1"/>
  <c r="F345" i="53"/>
  <c r="F344" i="53"/>
  <c r="F343" i="53"/>
  <c r="H349" i="53"/>
  <c r="AO52" i="50"/>
  <c r="C21" i="1"/>
  <c r="E115" i="50" s="1"/>
  <c r="C28" i="1"/>
  <c r="C29" i="1"/>
  <c r="AM49" i="50"/>
  <c r="AM48" i="50"/>
  <c r="U3" i="43"/>
  <c r="F289" i="67"/>
  <c r="F286" i="67"/>
  <c r="F281" i="67"/>
  <c r="M355" i="67"/>
  <c r="M356" i="67"/>
  <c r="G60" i="67"/>
  <c r="G355" i="67"/>
  <c r="G356" i="67"/>
  <c r="O43" i="43"/>
  <c r="O35" i="43"/>
  <c r="D1071" i="74" l="1"/>
  <c r="E1071" i="74" s="1"/>
  <c r="D1183" i="74"/>
  <c r="E1183" i="74" s="1"/>
  <c r="D1163" i="74"/>
  <c r="E1163" i="74" s="1"/>
  <c r="D1389" i="74"/>
  <c r="E1389" i="74" s="1"/>
  <c r="D821" i="75"/>
  <c r="E821" i="75" s="1"/>
  <c r="D1118" i="74"/>
  <c r="E1118" i="74" s="1"/>
  <c r="D1347" i="74"/>
  <c r="E1347" i="74" s="1"/>
  <c r="D1325" i="74"/>
  <c r="E1325" i="74" s="1"/>
  <c r="D1049" i="74"/>
  <c r="E1049" i="74" s="1"/>
  <c r="D792" i="75"/>
  <c r="E792" i="75" s="1"/>
  <c r="E797" i="75" s="1"/>
  <c r="E798" i="75" s="1"/>
  <c r="F798" i="75" s="1"/>
  <c r="D1410" i="74"/>
  <c r="E1410" i="74" s="1"/>
  <c r="E758" i="75"/>
  <c r="F758" i="75" s="1"/>
  <c r="E607" i="75"/>
  <c r="F607" i="75" s="1"/>
  <c r="D500" i="75"/>
  <c r="E500" i="75" s="1"/>
  <c r="D516" i="75"/>
  <c r="E516" i="75" s="1"/>
  <c r="D473" i="75"/>
  <c r="E473" i="75" s="1"/>
  <c r="D486" i="75"/>
  <c r="E486" i="75" s="1"/>
  <c r="D483" i="75"/>
  <c r="E483" i="75" s="1"/>
  <c r="D484" i="75"/>
  <c r="E484" i="75" s="1"/>
  <c r="D446" i="75"/>
  <c r="E446" i="75" s="1"/>
  <c r="D445" i="75"/>
  <c r="E445" i="75" s="1"/>
  <c r="D432" i="75"/>
  <c r="E432" i="75" s="1"/>
  <c r="D892" i="74"/>
  <c r="E892" i="74" s="1"/>
  <c r="E903" i="74" s="1"/>
  <c r="E904" i="74" s="1"/>
  <c r="F904" i="74" s="1"/>
  <c r="D105" i="79"/>
  <c r="E105" i="79" s="1"/>
  <c r="E120" i="79" s="1"/>
  <c r="E121" i="79" s="1"/>
  <c r="F122" i="79" s="1"/>
  <c r="D433" i="75"/>
  <c r="E433" i="75" s="1"/>
  <c r="D343" i="75"/>
  <c r="E343" i="75" s="1"/>
  <c r="D344" i="75"/>
  <c r="E344" i="75" s="1"/>
  <c r="D814" i="74"/>
  <c r="E814" i="74" s="1"/>
  <c r="D682" i="74"/>
  <c r="E682" i="74" s="1"/>
  <c r="D307" i="75"/>
  <c r="E307" i="75" s="1"/>
  <c r="D831" i="74"/>
  <c r="E831" i="74" s="1"/>
  <c r="D346" i="75"/>
  <c r="E346" i="75" s="1"/>
  <c r="D284" i="75"/>
  <c r="E284" i="75" s="1"/>
  <c r="D778" i="74"/>
  <c r="E778" i="74" s="1"/>
  <c r="D737" i="74"/>
  <c r="E737" i="74" s="1"/>
  <c r="D333" i="75"/>
  <c r="E333" i="75" s="1"/>
  <c r="D700" i="74"/>
  <c r="E700" i="74" s="1"/>
  <c r="D663" i="74"/>
  <c r="E663" i="74" s="1"/>
  <c r="D358" i="75"/>
  <c r="E358" i="75" s="1"/>
  <c r="D296" i="75"/>
  <c r="E296" i="75" s="1"/>
  <c r="D756" i="74"/>
  <c r="E756" i="74" s="1"/>
  <c r="D642" i="74"/>
  <c r="E642" i="74" s="1"/>
  <c r="D622" i="74"/>
  <c r="E622" i="74" s="1"/>
  <c r="D601" i="74"/>
  <c r="E601" i="74" s="1"/>
  <c r="D582" i="74"/>
  <c r="E582" i="74" s="1"/>
  <c r="D319" i="75"/>
  <c r="E319" i="75" s="1"/>
  <c r="D719" i="74"/>
  <c r="E719" i="74" s="1"/>
  <c r="D522" i="74"/>
  <c r="E522" i="74" s="1"/>
  <c r="D542" i="74"/>
  <c r="E542" i="74" s="1"/>
  <c r="D562" i="74"/>
  <c r="E562" i="74" s="1"/>
  <c r="D73" i="79"/>
  <c r="E73" i="79" s="1"/>
  <c r="E246" i="75"/>
  <c r="F246" i="75" s="1"/>
  <c r="F252" i="75" s="1"/>
  <c r="F253" i="75" s="1"/>
  <c r="G253" i="75" s="1"/>
  <c r="D207" i="75"/>
  <c r="E207" i="75" s="1"/>
  <c r="E260" i="75"/>
  <c r="F260" i="75" s="1"/>
  <c r="F266" i="75" s="1"/>
  <c r="F267" i="75" s="1"/>
  <c r="G267" i="75" s="1"/>
  <c r="D230" i="75"/>
  <c r="E230" i="75" s="1"/>
  <c r="D447" i="74"/>
  <c r="E447" i="74" s="1"/>
  <c r="D190" i="75"/>
  <c r="E190" i="75" s="1"/>
  <c r="E441" i="53"/>
  <c r="F441" i="53" s="1"/>
  <c r="D89" i="79"/>
  <c r="E89" i="79" s="1"/>
  <c r="E482" i="74"/>
  <c r="F482" i="74" s="1"/>
  <c r="D407" i="74"/>
  <c r="E407" i="74" s="1"/>
  <c r="D36" i="79"/>
  <c r="E36" i="79" s="1"/>
  <c r="D408" i="74"/>
  <c r="E408" i="74" s="1"/>
  <c r="D17" i="79"/>
  <c r="E17" i="79" s="1"/>
  <c r="D76" i="79"/>
  <c r="E76" i="79" s="1"/>
  <c r="D715" i="50"/>
  <c r="E715" i="50" s="1"/>
  <c r="D184" i="74"/>
  <c r="E184" i="74" s="1"/>
  <c r="D7" i="73"/>
  <c r="E7" i="73" s="1"/>
  <c r="D76" i="74"/>
  <c r="E76" i="74" s="1"/>
  <c r="D32" i="75"/>
  <c r="E32" i="75" s="1"/>
  <c r="D8" i="75"/>
  <c r="E8" i="75" s="1"/>
  <c r="D54" i="79"/>
  <c r="E54" i="79" s="1"/>
  <c r="D431" i="74"/>
  <c r="E431" i="74" s="1"/>
  <c r="D79" i="75"/>
  <c r="E79" i="75" s="1"/>
  <c r="D122" i="75"/>
  <c r="E122" i="75" s="1"/>
  <c r="D163" i="75"/>
  <c r="E163" i="75" s="1"/>
  <c r="D351" i="74"/>
  <c r="E351" i="74" s="1"/>
  <c r="D1202" i="74"/>
  <c r="D60" i="75"/>
  <c r="E60" i="75" s="1"/>
  <c r="D34" i="79"/>
  <c r="E34" i="79" s="1"/>
  <c r="D150" i="75"/>
  <c r="E150" i="75" s="1"/>
  <c r="D410" i="74"/>
  <c r="E410" i="74" s="1"/>
  <c r="D214" i="74"/>
  <c r="E214" i="74" s="1"/>
  <c r="D170" i="74"/>
  <c r="E170" i="74" s="1"/>
  <c r="D292" i="74"/>
  <c r="E292" i="74" s="1"/>
  <c r="D271" i="74"/>
  <c r="E271" i="74" s="1"/>
  <c r="D248" i="74"/>
  <c r="E248" i="74" s="1"/>
  <c r="E257" i="74" s="1"/>
  <c r="E258" i="74" s="1"/>
  <c r="F258" i="74" s="1"/>
  <c r="D105" i="74"/>
  <c r="E105" i="74" s="1"/>
  <c r="D62" i="74"/>
  <c r="E62" i="74" s="1"/>
  <c r="D331" i="74"/>
  <c r="E331" i="74" s="1"/>
  <c r="D307" i="74"/>
  <c r="E307" i="74" s="1"/>
  <c r="E316" i="74" s="1"/>
  <c r="E317" i="74" s="1"/>
  <c r="F317" i="74" s="1"/>
  <c r="D8" i="74"/>
  <c r="E8" i="74" s="1"/>
  <c r="D233" i="74"/>
  <c r="E233" i="74" s="1"/>
  <c r="D126" i="74"/>
  <c r="E126" i="74" s="1"/>
  <c r="D1053" i="53"/>
  <c r="E1053" i="53" s="1"/>
  <c r="D1034" i="53"/>
  <c r="E1034" i="53" s="1"/>
  <c r="D912" i="53"/>
  <c r="E912" i="53" s="1"/>
  <c r="E685" i="52"/>
  <c r="F685" i="52" s="1"/>
  <c r="F691" i="52" s="1"/>
  <c r="F692" i="52" s="1"/>
  <c r="G692" i="52" s="1"/>
  <c r="D870" i="53"/>
  <c r="E870" i="53" s="1"/>
  <c r="D714" i="52"/>
  <c r="E714" i="52" s="1"/>
  <c r="D890" i="53"/>
  <c r="E890" i="53" s="1"/>
  <c r="E479" i="52"/>
  <c r="F479" i="52" s="1"/>
  <c r="D953" i="53"/>
  <c r="E953" i="53" s="1"/>
  <c r="D954" i="53"/>
  <c r="E954" i="53" s="1"/>
  <c r="E840" i="50"/>
  <c r="F840" i="50" s="1"/>
  <c r="F844" i="50" s="1"/>
  <c r="F845" i="50" s="1"/>
  <c r="G845" i="50" s="1"/>
  <c r="E806" i="53"/>
  <c r="F806" i="53" s="1"/>
  <c r="E733" i="52"/>
  <c r="F733" i="52" s="1"/>
  <c r="K16" i="17"/>
  <c r="L16" i="17" s="1"/>
  <c r="E807" i="53"/>
  <c r="F807" i="53" s="1"/>
  <c r="D705" i="53"/>
  <c r="E705" i="53" s="1"/>
  <c r="D783" i="53"/>
  <c r="E783" i="53" s="1"/>
  <c r="D852" i="53"/>
  <c r="E852" i="53" s="1"/>
  <c r="D832" i="53"/>
  <c r="E832" i="53" s="1"/>
  <c r="D763" i="53"/>
  <c r="E763" i="53" s="1"/>
  <c r="F742" i="53"/>
  <c r="S202" i="53"/>
  <c r="E155" i="58"/>
  <c r="F155" i="58" s="1"/>
  <c r="E66" i="69"/>
  <c r="F66" i="69" s="1"/>
  <c r="F96" i="69"/>
  <c r="Q278" i="50"/>
  <c r="R278" i="50" s="1"/>
  <c r="E642" i="52"/>
  <c r="F642" i="52" s="1"/>
  <c r="E238" i="58"/>
  <c r="F238" i="58" s="1"/>
  <c r="E514" i="53"/>
  <c r="F514" i="53" s="1"/>
  <c r="N133" i="14"/>
  <c r="O133" i="14" s="1"/>
  <c r="E515" i="52"/>
  <c r="F515" i="52" s="1"/>
  <c r="E223" i="58"/>
  <c r="F223" i="58" s="1"/>
  <c r="E654" i="52"/>
  <c r="F654" i="52" s="1"/>
  <c r="E240" i="58"/>
  <c r="F240" i="58" s="1"/>
  <c r="E656" i="52"/>
  <c r="F656" i="52" s="1"/>
  <c r="E644" i="52"/>
  <c r="F644" i="52" s="1"/>
  <c r="E225" i="58"/>
  <c r="F225" i="58" s="1"/>
  <c r="K15" i="17"/>
  <c r="L15" i="17" s="1"/>
  <c r="D32" i="70"/>
  <c r="E32" i="70" s="1"/>
  <c r="R63" i="53"/>
  <c r="D33" i="70"/>
  <c r="E33" i="70" s="1"/>
  <c r="K18" i="17"/>
  <c r="L18" i="17" s="1"/>
  <c r="D34" i="70"/>
  <c r="E34" i="70" s="1"/>
  <c r="K13" i="17"/>
  <c r="L13" i="17" s="1"/>
  <c r="D19" i="70"/>
  <c r="E19" i="70" s="1"/>
  <c r="D4" i="14"/>
  <c r="D5" i="14"/>
  <c r="E467" i="52"/>
  <c r="F467" i="52" s="1"/>
  <c r="N82" i="14"/>
  <c r="O82" i="14" s="1"/>
  <c r="Q290" i="50"/>
  <c r="R290" i="50" s="1"/>
  <c r="E545" i="52"/>
  <c r="F545" i="52" s="1"/>
  <c r="N118" i="14"/>
  <c r="O118" i="14" s="1"/>
  <c r="N131" i="14"/>
  <c r="O131" i="14" s="1"/>
  <c r="E491" i="52"/>
  <c r="F491" i="52" s="1"/>
  <c r="R62" i="53"/>
  <c r="R66" i="53"/>
  <c r="S66" i="53" s="1"/>
  <c r="Q313" i="50"/>
  <c r="R313" i="50" s="1"/>
  <c r="E94" i="58"/>
  <c r="F94" i="58" s="1"/>
  <c r="E28" i="68"/>
  <c r="F28" i="68" s="1"/>
  <c r="F36" i="68" s="1"/>
  <c r="F37" i="68" s="1"/>
  <c r="G37" i="68" s="1"/>
  <c r="E4" i="68"/>
  <c r="F4" i="68" s="1"/>
  <c r="F10" i="68" s="1"/>
  <c r="F11" i="68" s="1"/>
  <c r="G11" i="68" s="1"/>
  <c r="E118" i="58"/>
  <c r="F118" i="58" s="1"/>
  <c r="E16" i="68"/>
  <c r="F16" i="68" s="1"/>
  <c r="F22" i="68" s="1"/>
  <c r="F23" i="68" s="1"/>
  <c r="G23" i="68" s="1"/>
  <c r="D393" i="53"/>
  <c r="E393" i="53" s="1"/>
  <c r="E582" i="53"/>
  <c r="F582" i="53" s="1"/>
  <c r="E427" i="53"/>
  <c r="F427" i="53" s="1"/>
  <c r="D479" i="53"/>
  <c r="E479" i="53" s="1"/>
  <c r="F488" i="50"/>
  <c r="G488" i="50" s="1"/>
  <c r="E450" i="52"/>
  <c r="E451" i="52" s="1"/>
  <c r="F451" i="52" s="1"/>
  <c r="F473" i="50"/>
  <c r="F474" i="50" s="1"/>
  <c r="G474" i="50" s="1"/>
  <c r="O46" i="43"/>
  <c r="O47" i="43" s="1"/>
  <c r="P47" i="43" s="1"/>
  <c r="O38" i="43"/>
  <c r="O39" i="43" s="1"/>
  <c r="P39" i="43" s="1"/>
  <c r="F240" i="67"/>
  <c r="G240" i="67" s="1"/>
  <c r="I47" i="11"/>
  <c r="N4" i="11"/>
  <c r="F210" i="67"/>
  <c r="G210" i="67" s="1"/>
  <c r="F350" i="67"/>
  <c r="G350" i="67" s="1"/>
  <c r="F247" i="67"/>
  <c r="G247" i="67" s="1"/>
  <c r="F149" i="67"/>
  <c r="G149" i="67" s="1"/>
  <c r="F131" i="67"/>
  <c r="G131" i="67" s="1"/>
  <c r="F132" i="67"/>
  <c r="G132" i="67" s="1"/>
  <c r="F146" i="67"/>
  <c r="G146" i="67" s="1"/>
  <c r="F151" i="67"/>
  <c r="G151" i="67" s="1"/>
  <c r="I90" i="11"/>
  <c r="I59" i="11"/>
  <c r="H352" i="52"/>
  <c r="F298" i="67" s="1"/>
  <c r="G298" i="67" s="1"/>
  <c r="E349" i="52"/>
  <c r="F349" i="52" s="1"/>
  <c r="F348" i="52"/>
  <c r="F31" i="62"/>
  <c r="E37" i="9"/>
  <c r="L53" i="9"/>
  <c r="G341" i="52"/>
  <c r="E338" i="52"/>
  <c r="G306" i="53"/>
  <c r="G305" i="53"/>
  <c r="G331" i="53"/>
  <c r="G330" i="53"/>
  <c r="E328" i="53"/>
  <c r="E11" i="60"/>
  <c r="F357" i="67"/>
  <c r="G357" i="67" s="1"/>
  <c r="F358" i="67"/>
  <c r="G358" i="67" s="1"/>
  <c r="F9" i="67"/>
  <c r="G9" i="67" s="1"/>
  <c r="F8" i="67"/>
  <c r="G8" i="67" s="1"/>
  <c r="F7" i="67"/>
  <c r="G7" i="67" s="1"/>
  <c r="F6" i="67"/>
  <c r="G6" i="67" s="1"/>
  <c r="F354" i="67"/>
  <c r="G354" i="67" s="1"/>
  <c r="F29" i="67"/>
  <c r="G29" i="67" s="1"/>
  <c r="F27" i="67"/>
  <c r="G27" i="67" s="1"/>
  <c r="F26" i="67"/>
  <c r="G26" i="67" s="1"/>
  <c r="F24" i="67"/>
  <c r="G24" i="67" s="1"/>
  <c r="F28" i="67"/>
  <c r="G28" i="67" s="1"/>
  <c r="F25" i="67"/>
  <c r="G25" i="67" s="1"/>
  <c r="F23" i="67"/>
  <c r="G23" i="67" s="1"/>
  <c r="F21" i="67"/>
  <c r="G21" i="67" s="1"/>
  <c r="F22" i="67"/>
  <c r="G22" i="67" s="1"/>
  <c r="F20" i="67"/>
  <c r="G20" i="67" s="1"/>
  <c r="F19" i="67"/>
  <c r="G19" i="67" s="1"/>
  <c r="F18" i="67"/>
  <c r="G18" i="67" s="1"/>
  <c r="F17" i="67"/>
  <c r="G17" i="67" s="1"/>
  <c r="F16" i="67"/>
  <c r="G16" i="67" s="1"/>
  <c r="F15" i="67"/>
  <c r="G15" i="67" s="1"/>
  <c r="F14" i="67"/>
  <c r="G14" i="67" s="1"/>
  <c r="F13" i="67"/>
  <c r="G13" i="67" s="1"/>
  <c r="F12" i="67"/>
  <c r="G12" i="67" s="1"/>
  <c r="F11" i="67"/>
  <c r="G11" i="67" s="1"/>
  <c r="F10" i="67"/>
  <c r="G10" i="67" s="1"/>
  <c r="F4" i="67"/>
  <c r="G4" i="67" s="1"/>
  <c r="F5" i="67"/>
  <c r="G5" i="67" s="1"/>
  <c r="F3" i="67"/>
  <c r="G3" i="67" s="1"/>
  <c r="F2" i="67"/>
  <c r="G2" i="67" s="1"/>
  <c r="F262" i="67"/>
  <c r="G262" i="67" s="1"/>
  <c r="F162" i="67"/>
  <c r="G162" i="67" s="1"/>
  <c r="F161" i="67"/>
  <c r="G161" i="67" s="1"/>
  <c r="F160" i="67"/>
  <c r="G160" i="67" s="1"/>
  <c r="F159" i="67"/>
  <c r="G159" i="67" s="1"/>
  <c r="F156" i="67"/>
  <c r="G156" i="67" s="1"/>
  <c r="F155" i="67"/>
  <c r="G155" i="67" s="1"/>
  <c r="F154" i="67"/>
  <c r="G154" i="67" s="1"/>
  <c r="F273" i="67"/>
  <c r="G273" i="67" s="1"/>
  <c r="F276" i="67"/>
  <c r="G276" i="67" s="1"/>
  <c r="F275" i="67"/>
  <c r="G275" i="67" s="1"/>
  <c r="F274" i="67"/>
  <c r="G274" i="67" s="1"/>
  <c r="F272" i="67"/>
  <c r="G272" i="67" s="1"/>
  <c r="F153" i="67"/>
  <c r="G153" i="67" s="1"/>
  <c r="F152" i="67"/>
  <c r="G152" i="67" s="1"/>
  <c r="F150" i="67"/>
  <c r="G150" i="67" s="1"/>
  <c r="F147" i="67"/>
  <c r="G147" i="67" s="1"/>
  <c r="F148" i="67"/>
  <c r="G148" i="67" s="1"/>
  <c r="F145" i="67"/>
  <c r="G145" i="67" s="1"/>
  <c r="F144" i="67"/>
  <c r="G144" i="67" s="1"/>
  <c r="F138" i="67"/>
  <c r="G138" i="67" s="1"/>
  <c r="F137" i="67"/>
  <c r="G137" i="67" s="1"/>
  <c r="F139" i="67"/>
  <c r="G139" i="67" s="1"/>
  <c r="F136" i="67"/>
  <c r="G136" i="67" s="1"/>
  <c r="F134" i="67"/>
  <c r="G134" i="67" s="1"/>
  <c r="F133" i="67"/>
  <c r="G133" i="67" s="1"/>
  <c r="F135" i="67"/>
  <c r="G135" i="67" s="1"/>
  <c r="F130" i="67"/>
  <c r="G130" i="67" s="1"/>
  <c r="F124" i="67"/>
  <c r="G124" i="67" s="1"/>
  <c r="F122" i="67"/>
  <c r="G122" i="67" s="1"/>
  <c r="F92" i="67"/>
  <c r="G92" i="67" s="1"/>
  <c r="F91" i="67"/>
  <c r="G91" i="67" s="1"/>
  <c r="F87" i="67"/>
  <c r="G87" i="67" s="1"/>
  <c r="F86" i="67"/>
  <c r="G86" i="67" s="1"/>
  <c r="F85" i="67"/>
  <c r="G85" i="67" s="1"/>
  <c r="F84" i="67"/>
  <c r="G84" i="67" s="1"/>
  <c r="F83" i="67"/>
  <c r="G83" i="67" s="1"/>
  <c r="F82" i="67"/>
  <c r="G82" i="67" s="1"/>
  <c r="F78" i="67"/>
  <c r="G78" i="67" s="1"/>
  <c r="F77" i="67"/>
  <c r="G77" i="67" s="1"/>
  <c r="F76" i="67"/>
  <c r="G76" i="67" s="1"/>
  <c r="F70" i="67"/>
  <c r="G70" i="67" s="1"/>
  <c r="F67" i="67"/>
  <c r="G67" i="67" s="1"/>
  <c r="F66" i="67"/>
  <c r="G66" i="67" s="1"/>
  <c r="F64" i="67"/>
  <c r="G64" i="67" s="1"/>
  <c r="F59" i="67"/>
  <c r="G59" i="67" s="1"/>
  <c r="F55" i="67"/>
  <c r="G55" i="67" s="1"/>
  <c r="F51" i="67"/>
  <c r="G51" i="67" s="1"/>
  <c r="F53" i="67"/>
  <c r="G53" i="67" s="1"/>
  <c r="F50" i="67"/>
  <c r="G50" i="67" s="1"/>
  <c r="F52" i="67"/>
  <c r="G52" i="67" s="1"/>
  <c r="F46" i="67"/>
  <c r="G46" i="67" s="1"/>
  <c r="F43" i="67"/>
  <c r="G43" i="67" s="1"/>
  <c r="F40" i="67"/>
  <c r="G40" i="67" s="1"/>
  <c r="F39" i="67"/>
  <c r="G39" i="67" s="1"/>
  <c r="F37" i="67"/>
  <c r="G37" i="67" s="1"/>
  <c r="F31" i="67"/>
  <c r="G31" i="67" s="1"/>
  <c r="F30" i="67"/>
  <c r="G30" i="67" s="1"/>
  <c r="F32" i="67"/>
  <c r="G32" i="67" s="1"/>
  <c r="D91" i="11"/>
  <c r="D78" i="11"/>
  <c r="D75" i="11"/>
  <c r="D85" i="11"/>
  <c r="D93" i="11"/>
  <c r="D92" i="11"/>
  <c r="D87" i="11"/>
  <c r="D86" i="11"/>
  <c r="D84" i="11"/>
  <c r="D81" i="11"/>
  <c r="D80" i="11"/>
  <c r="D79" i="11"/>
  <c r="D77" i="11"/>
  <c r="D76" i="11"/>
  <c r="D74" i="11"/>
  <c r="F360" i="67"/>
  <c r="G360" i="67" s="1"/>
  <c r="F351" i="67"/>
  <c r="F324" i="67"/>
  <c r="F323" i="67"/>
  <c r="G323" i="67" s="1"/>
  <c r="F322" i="67"/>
  <c r="G322" i="67" s="1"/>
  <c r="F280" i="67"/>
  <c r="G280" i="67" s="1"/>
  <c r="F239" i="67"/>
  <c r="G239" i="67" s="1"/>
  <c r="F232" i="67"/>
  <c r="G232" i="67" s="1"/>
  <c r="F231" i="67"/>
  <c r="G231" i="67" s="1"/>
  <c r="F230" i="67"/>
  <c r="G230" i="67" s="1"/>
  <c r="F226" i="67"/>
  <c r="G226" i="67" s="1"/>
  <c r="F220" i="67"/>
  <c r="G220" i="67" s="1"/>
  <c r="F218" i="67"/>
  <c r="G218" i="67" s="1"/>
  <c r="F215" i="67"/>
  <c r="G215" i="67" s="1"/>
  <c r="F212" i="67"/>
  <c r="G212" i="67" s="1"/>
  <c r="F244" i="67"/>
  <c r="G244" i="67" s="1"/>
  <c r="F243" i="67"/>
  <c r="G243" i="67" s="1"/>
  <c r="F242" i="67"/>
  <c r="G242" i="67" s="1"/>
  <c r="F251" i="67"/>
  <c r="G251" i="67" s="1"/>
  <c r="F250" i="67"/>
  <c r="G250" i="67" s="1"/>
  <c r="F229" i="67"/>
  <c r="G229" i="67" s="1"/>
  <c r="F186" i="67"/>
  <c r="G186" i="67" s="1"/>
  <c r="F228" i="67"/>
  <c r="G228" i="67" s="1"/>
  <c r="F216" i="67"/>
  <c r="G216" i="67" s="1"/>
  <c r="F219" i="67"/>
  <c r="G219" i="67" s="1"/>
  <c r="F217" i="67"/>
  <c r="G217" i="67" s="1"/>
  <c r="F206" i="67"/>
  <c r="G206" i="67" s="1"/>
  <c r="M3" i="11"/>
  <c r="M6" i="11"/>
  <c r="L9" i="11"/>
  <c r="L10" i="11"/>
  <c r="M12" i="11"/>
  <c r="M13" i="11"/>
  <c r="M14" i="11"/>
  <c r="M15" i="11"/>
  <c r="L17" i="11"/>
  <c r="M17" i="11"/>
  <c r="L21" i="11"/>
  <c r="M21" i="11"/>
  <c r="L22" i="11"/>
  <c r="M22" i="11"/>
  <c r="L24" i="11"/>
  <c r="Q235" i="50"/>
  <c r="R235" i="50" s="1"/>
  <c r="R237" i="50"/>
  <c r="R236" i="50"/>
  <c r="Q226" i="50"/>
  <c r="R226" i="50" s="1"/>
  <c r="R228" i="50"/>
  <c r="R227" i="50"/>
  <c r="R219" i="50"/>
  <c r="R218" i="50"/>
  <c r="Q217" i="50"/>
  <c r="R217" i="50" s="1"/>
  <c r="R209" i="50"/>
  <c r="R210" i="50"/>
  <c r="R202" i="50"/>
  <c r="R201" i="50"/>
  <c r="Q200" i="50"/>
  <c r="R200" i="50" s="1"/>
  <c r="D3" i="66"/>
  <c r="G3" i="66"/>
  <c r="H3" i="66"/>
  <c r="M3" i="66"/>
  <c r="N3" i="66"/>
  <c r="D4" i="66"/>
  <c r="I5" i="66"/>
  <c r="M5" i="66"/>
  <c r="D6" i="66"/>
  <c r="H6" i="66"/>
  <c r="N6" i="66"/>
  <c r="D7" i="66"/>
  <c r="C8" i="66"/>
  <c r="H8" i="66"/>
  <c r="L8" i="66"/>
  <c r="D9" i="66"/>
  <c r="L9" i="66"/>
  <c r="H10" i="66"/>
  <c r="C11" i="66"/>
  <c r="H11" i="66"/>
  <c r="M11" i="66"/>
  <c r="C12" i="66"/>
  <c r="H12" i="66"/>
  <c r="M12" i="66"/>
  <c r="H13" i="66"/>
  <c r="M13" i="66"/>
  <c r="H14" i="66"/>
  <c r="M14" i="66"/>
  <c r="C15" i="66"/>
  <c r="H15" i="66"/>
  <c r="L16" i="66"/>
  <c r="M16" i="66"/>
  <c r="D17" i="66"/>
  <c r="D18" i="66" s="1"/>
  <c r="H17" i="66"/>
  <c r="H18" i="66"/>
  <c r="D19" i="66"/>
  <c r="D20" i="66" s="1"/>
  <c r="H20" i="66"/>
  <c r="L20" i="66"/>
  <c r="M20" i="66"/>
  <c r="C21" i="66"/>
  <c r="L21" i="66"/>
  <c r="M21" i="66"/>
  <c r="C22" i="66"/>
  <c r="I22" i="66"/>
  <c r="C23" i="66"/>
  <c r="H23" i="66"/>
  <c r="L23" i="66"/>
  <c r="C24" i="66"/>
  <c r="I24" i="66"/>
  <c r="D25" i="66"/>
  <c r="I25" i="66"/>
  <c r="C26" i="66"/>
  <c r="H26" i="66"/>
  <c r="B27" i="66"/>
  <c r="C27" i="66"/>
  <c r="H27" i="66"/>
  <c r="D28" i="66"/>
  <c r="H28" i="66"/>
  <c r="C29" i="66"/>
  <c r="I29" i="66"/>
  <c r="B30" i="66"/>
  <c r="D30" i="66"/>
  <c r="I30" i="66"/>
  <c r="C31" i="66"/>
  <c r="I31" i="66"/>
  <c r="C32" i="66"/>
  <c r="G32" i="66"/>
  <c r="H32" i="66"/>
  <c r="D33" i="66"/>
  <c r="I33" i="66"/>
  <c r="C34" i="66"/>
  <c r="I34" i="66"/>
  <c r="B35" i="66"/>
  <c r="C35" i="66"/>
  <c r="H35" i="66"/>
  <c r="I36" i="66"/>
  <c r="I37" i="66"/>
  <c r="C38" i="66"/>
  <c r="C39" i="66"/>
  <c r="D39" i="66"/>
  <c r="B40" i="66"/>
  <c r="C40" i="66"/>
  <c r="C41" i="66"/>
  <c r="H41" i="66"/>
  <c r="D42" i="66"/>
  <c r="H42" i="66"/>
  <c r="C43" i="66"/>
  <c r="H43" i="66"/>
  <c r="D44" i="66"/>
  <c r="D45" i="66"/>
  <c r="H45" i="66"/>
  <c r="C46" i="66"/>
  <c r="H46" i="66"/>
  <c r="B47" i="66"/>
  <c r="C47" i="66"/>
  <c r="D47" i="66"/>
  <c r="D48" i="66"/>
  <c r="D49" i="66" s="1"/>
  <c r="D50" i="66" s="1"/>
  <c r="H49" i="66"/>
  <c r="H50" i="66"/>
  <c r="D52" i="66"/>
  <c r="I52" i="66"/>
  <c r="C53" i="66"/>
  <c r="G53" i="66"/>
  <c r="I53" i="66"/>
  <c r="C54" i="66"/>
  <c r="I54" i="66"/>
  <c r="D55" i="66"/>
  <c r="H55" i="66"/>
  <c r="C56" i="66"/>
  <c r="I56" i="66"/>
  <c r="C57" i="66"/>
  <c r="I58" i="66"/>
  <c r="B59" i="66"/>
  <c r="C59" i="66"/>
  <c r="H59" i="66"/>
  <c r="B60" i="66"/>
  <c r="C60" i="66"/>
  <c r="H60" i="66"/>
  <c r="C61" i="66"/>
  <c r="H61" i="66"/>
  <c r="B62" i="66"/>
  <c r="C62" i="66"/>
  <c r="H62" i="66"/>
  <c r="C63" i="66"/>
  <c r="I64" i="66"/>
  <c r="C65" i="66"/>
  <c r="H65" i="66"/>
  <c r="B66" i="66"/>
  <c r="C66" i="66"/>
  <c r="I66" i="66"/>
  <c r="I67" i="66"/>
  <c r="C68" i="66"/>
  <c r="H68" i="66"/>
  <c r="C69" i="66"/>
  <c r="G69" i="66"/>
  <c r="H69" i="66"/>
  <c r="C70" i="66"/>
  <c r="B71" i="66"/>
  <c r="C71" i="66"/>
  <c r="G71" i="66"/>
  <c r="H72" i="66"/>
  <c r="I74" i="66"/>
  <c r="B75" i="66"/>
  <c r="H76" i="66"/>
  <c r="H77" i="66" s="1"/>
  <c r="H79" i="66"/>
  <c r="H78" i="66" s="1"/>
  <c r="D80" i="66"/>
  <c r="C81" i="66"/>
  <c r="H81" i="66"/>
  <c r="H82" i="66"/>
  <c r="H83" i="66"/>
  <c r="H84" i="66"/>
  <c r="D85" i="66"/>
  <c r="H85" i="66"/>
  <c r="H86" i="66"/>
  <c r="D87" i="66"/>
  <c r="D67" i="66" s="1"/>
  <c r="G88" i="66"/>
  <c r="H88" i="66"/>
  <c r="D89" i="66"/>
  <c r="C91" i="66"/>
  <c r="G91" i="66"/>
  <c r="I91" i="66"/>
  <c r="C92" i="66"/>
  <c r="H92" i="66"/>
  <c r="C93" i="66"/>
  <c r="H93" i="66"/>
  <c r="C94" i="66"/>
  <c r="H95" i="66"/>
  <c r="D96" i="66"/>
  <c r="D97" i="66" s="1"/>
  <c r="I96" i="66"/>
  <c r="I97" i="66"/>
  <c r="D98" i="66"/>
  <c r="D99" i="66" s="1"/>
  <c r="H98" i="66"/>
  <c r="D100" i="66"/>
  <c r="H100" i="66"/>
  <c r="H101" i="66"/>
  <c r="C102" i="66"/>
  <c r="I102" i="66"/>
  <c r="D104" i="66"/>
  <c r="D105" i="66"/>
  <c r="D106" i="66"/>
  <c r="H106" i="66"/>
  <c r="B107" i="66"/>
  <c r="C107" i="66"/>
  <c r="D108" i="66"/>
  <c r="G108" i="66"/>
  <c r="H108" i="66"/>
  <c r="D109" i="66"/>
  <c r="H109" i="66"/>
  <c r="D110" i="66"/>
  <c r="H110" i="66"/>
  <c r="D111" i="66"/>
  <c r="H111" i="66"/>
  <c r="H113" i="66"/>
  <c r="I114" i="66"/>
  <c r="H115" i="66"/>
  <c r="G116" i="66"/>
  <c r="H116" i="66"/>
  <c r="H117" i="66"/>
  <c r="I55" i="11"/>
  <c r="I103" i="11"/>
  <c r="D330" i="52"/>
  <c r="E330" i="52" s="1"/>
  <c r="E329" i="52"/>
  <c r="E328" i="52"/>
  <c r="D327" i="52"/>
  <c r="E327" i="52" s="1"/>
  <c r="D326" i="52"/>
  <c r="E326" i="52" s="1"/>
  <c r="I33" i="11"/>
  <c r="I34" i="11"/>
  <c r="I31" i="11"/>
  <c r="Q149" i="51"/>
  <c r="Q135" i="51"/>
  <c r="D320" i="53"/>
  <c r="E320" i="53" s="1"/>
  <c r="E319" i="53"/>
  <c r="E318" i="53"/>
  <c r="E317" i="53"/>
  <c r="D315" i="53"/>
  <c r="E315" i="53" s="1"/>
  <c r="D310" i="53"/>
  <c r="E310" i="53" s="1"/>
  <c r="I5" i="11"/>
  <c r="H66" i="58"/>
  <c r="H65" i="58"/>
  <c r="E63" i="58"/>
  <c r="F63" i="58" s="1"/>
  <c r="F62" i="58"/>
  <c r="E59" i="58"/>
  <c r="F59" i="58" s="1"/>
  <c r="K63" i="1"/>
  <c r="D34" i="64"/>
  <c r="D56" i="11"/>
  <c r="D4" i="11"/>
  <c r="H466" i="50"/>
  <c r="H458" i="50"/>
  <c r="H450" i="50"/>
  <c r="H442" i="50"/>
  <c r="H465" i="50"/>
  <c r="H449" i="50"/>
  <c r="H441" i="50"/>
  <c r="F462" i="50"/>
  <c r="E462" i="50"/>
  <c r="F454" i="50"/>
  <c r="E454" i="50"/>
  <c r="D27" i="1"/>
  <c r="D136" i="1"/>
  <c r="D82" i="11"/>
  <c r="R192" i="50"/>
  <c r="R191" i="50"/>
  <c r="Q190" i="50"/>
  <c r="R190" i="50" s="1"/>
  <c r="F25" i="53"/>
  <c r="I53" i="11"/>
  <c r="M40" i="14"/>
  <c r="E383" i="76" l="1"/>
  <c r="F383" i="76" s="1"/>
  <c r="F388" i="76" s="1"/>
  <c r="D396" i="76"/>
  <c r="E396" i="76" s="1"/>
  <c r="E403" i="76" s="1"/>
  <c r="D366" i="76"/>
  <c r="E366" i="76" s="1"/>
  <c r="D289" i="76"/>
  <c r="E289" i="76" s="1"/>
  <c r="E300" i="76" s="1"/>
  <c r="E301" i="76" s="1"/>
  <c r="F301" i="76" s="1"/>
  <c r="D322" i="76"/>
  <c r="E322" i="76" s="1"/>
  <c r="D569" i="75"/>
  <c r="E569" i="75" s="1"/>
  <c r="D568" i="75"/>
  <c r="E568" i="75" s="1"/>
  <c r="D324" i="76"/>
  <c r="E324" i="76" s="1"/>
  <c r="D323" i="76"/>
  <c r="E323" i="76" s="1"/>
  <c r="E490" i="75"/>
  <c r="E491" i="75" s="1"/>
  <c r="F491" i="75" s="1"/>
  <c r="E451" i="75"/>
  <c r="E452" i="75" s="1"/>
  <c r="F452" i="75" s="1"/>
  <c r="E265" i="76"/>
  <c r="F265" i="76" s="1"/>
  <c r="E234" i="76"/>
  <c r="F234" i="76" s="1"/>
  <c r="E220" i="76"/>
  <c r="F220" i="76" s="1"/>
  <c r="E62" i="76"/>
  <c r="F62" i="76" s="1"/>
  <c r="E203" i="76"/>
  <c r="F203" i="76" s="1"/>
  <c r="F212" i="76" s="1"/>
  <c r="E31" i="76"/>
  <c r="F31" i="76" s="1"/>
  <c r="E349" i="75"/>
  <c r="E350" i="75" s="1"/>
  <c r="F350" i="75" s="1"/>
  <c r="E71" i="76"/>
  <c r="F71" i="76" s="1"/>
  <c r="E96" i="76"/>
  <c r="F96" i="76" s="1"/>
  <c r="F103" i="76" s="1"/>
  <c r="E41" i="79"/>
  <c r="E42" i="79" s="1"/>
  <c r="F43" i="79" s="1"/>
  <c r="E335" i="58"/>
  <c r="F335" i="58" s="1"/>
  <c r="F339" i="58" s="1"/>
  <c r="F340" i="58" s="1"/>
  <c r="G340" i="58" s="1"/>
  <c r="I340" i="58" s="1"/>
  <c r="E33" i="76"/>
  <c r="F33" i="76" s="1"/>
  <c r="E737" i="52"/>
  <c r="F737" i="52" s="1"/>
  <c r="E811" i="53"/>
  <c r="F811" i="53" s="1"/>
  <c r="E259" i="58"/>
  <c r="F259" i="58" s="1"/>
  <c r="E297" i="58"/>
  <c r="F297" i="58" s="1"/>
  <c r="E284" i="58"/>
  <c r="F284" i="58" s="1"/>
  <c r="E270" i="58"/>
  <c r="F270" i="58" s="1"/>
  <c r="F647" i="52"/>
  <c r="F648" i="52" s="1"/>
  <c r="G648" i="52" s="1"/>
  <c r="E548" i="52"/>
  <c r="F548" i="52" s="1"/>
  <c r="D563" i="53"/>
  <c r="E563" i="53" s="1"/>
  <c r="D474" i="53"/>
  <c r="E474" i="53" s="1"/>
  <c r="N120" i="14"/>
  <c r="O120" i="14" s="1"/>
  <c r="E435" i="52"/>
  <c r="F435" i="52" s="1"/>
  <c r="F659" i="52"/>
  <c r="F660" i="52" s="1"/>
  <c r="G660" i="52" s="1"/>
  <c r="E152" i="58"/>
  <c r="F152" i="58" s="1"/>
  <c r="E179" i="58"/>
  <c r="F179" i="58" s="1"/>
  <c r="F186" i="58" s="1"/>
  <c r="E60" i="58"/>
  <c r="F60" i="58" s="1"/>
  <c r="E169" i="58"/>
  <c r="F169" i="58" s="1"/>
  <c r="F489" i="50"/>
  <c r="D97" i="51"/>
  <c r="E97" i="51" s="1"/>
  <c r="D395" i="52"/>
  <c r="E395" i="52" s="1"/>
  <c r="I89" i="11"/>
  <c r="F354" i="53"/>
  <c r="E357" i="52"/>
  <c r="F357" i="52" s="1"/>
  <c r="E106" i="58"/>
  <c r="F106" i="58" s="1"/>
  <c r="E371" i="53"/>
  <c r="F371" i="53" s="1"/>
  <c r="E82" i="58"/>
  <c r="F82" i="58" s="1"/>
  <c r="E70" i="58"/>
  <c r="F70" i="58" s="1"/>
  <c r="I97" i="11"/>
  <c r="F353" i="67"/>
  <c r="G353" i="67" s="1"/>
  <c r="G351" i="67"/>
  <c r="F325" i="67"/>
  <c r="G324" i="67"/>
  <c r="F318" i="67"/>
  <c r="G318" i="67" s="1"/>
  <c r="E339" i="52"/>
  <c r="F339" i="52" s="1"/>
  <c r="L350" i="67" s="1"/>
  <c r="M350" i="67" s="1"/>
  <c r="O30" i="43"/>
  <c r="O31" i="43" s="1"/>
  <c r="P31" i="43" s="1"/>
  <c r="E329" i="53"/>
  <c r="E330" i="53" s="1"/>
  <c r="F330" i="53" s="1"/>
  <c r="F352" i="67"/>
  <c r="G352" i="67" s="1"/>
  <c r="D64" i="66"/>
  <c r="D88" i="66"/>
  <c r="D73" i="66"/>
  <c r="D74" i="66" s="1"/>
  <c r="D75" i="66" s="1"/>
  <c r="D76" i="66" s="1"/>
  <c r="D77" i="66" s="1"/>
  <c r="D78" i="66" s="1"/>
  <c r="D79" i="66" s="1"/>
  <c r="E331" i="52"/>
  <c r="H112" i="66"/>
  <c r="E315" i="52"/>
  <c r="G187" i="52"/>
  <c r="E156" i="52"/>
  <c r="I37" i="11"/>
  <c r="I24" i="11"/>
  <c r="I32" i="66"/>
  <c r="T31" i="51"/>
  <c r="I35" i="66" s="1"/>
  <c r="G81" i="51"/>
  <c r="H19" i="66" s="1"/>
  <c r="G47" i="51"/>
  <c r="H16" i="66" s="1"/>
  <c r="G37" i="51"/>
  <c r="E18" i="58"/>
  <c r="I47" i="66"/>
  <c r="G333" i="50"/>
  <c r="D88" i="11"/>
  <c r="T177" i="50"/>
  <c r="F143" i="67" s="1"/>
  <c r="G143" i="67" s="1"/>
  <c r="G373" i="50"/>
  <c r="D24" i="66" s="1"/>
  <c r="I11" i="64"/>
  <c r="E242" i="52"/>
  <c r="F242" i="52" s="1"/>
  <c r="E143" i="50"/>
  <c r="E90" i="51"/>
  <c r="E89" i="51"/>
  <c r="E88" i="51"/>
  <c r="D86" i="51"/>
  <c r="E86" i="51" s="1"/>
  <c r="G93" i="51"/>
  <c r="F201" i="67" s="1"/>
  <c r="G201" i="67" s="1"/>
  <c r="D4" i="54"/>
  <c r="E123" i="51"/>
  <c r="D32" i="61"/>
  <c r="C67" i="9"/>
  <c r="O77" i="14"/>
  <c r="M72" i="14"/>
  <c r="F20" i="20"/>
  <c r="D44" i="9"/>
  <c r="D43" i="9" s="1"/>
  <c r="D45" i="11"/>
  <c r="D34" i="11"/>
  <c r="D7" i="11"/>
  <c r="E54" i="61"/>
  <c r="E55" i="61"/>
  <c r="E57" i="61"/>
  <c r="E59" i="61"/>
  <c r="E60" i="61"/>
  <c r="E61" i="61"/>
  <c r="E62" i="61"/>
  <c r="J47" i="61"/>
  <c r="K47" i="61" s="1"/>
  <c r="K48" i="61"/>
  <c r="J48" i="1"/>
  <c r="W5" i="64"/>
  <c r="W4" i="64"/>
  <c r="W3" i="64"/>
  <c r="D175" i="79" s="1"/>
  <c r="E175" i="79" s="1"/>
  <c r="E178" i="79" s="1"/>
  <c r="E179" i="79" s="1"/>
  <c r="E180" i="79" s="1"/>
  <c r="I14" i="64"/>
  <c r="I12" i="64"/>
  <c r="I8" i="64"/>
  <c r="I7" i="64"/>
  <c r="I6" i="64"/>
  <c r="D37" i="64"/>
  <c r="D33" i="64"/>
  <c r="D32" i="64"/>
  <c r="D31" i="64"/>
  <c r="D30" i="64"/>
  <c r="D26" i="64"/>
  <c r="D21" i="64"/>
  <c r="E480" i="53" s="1"/>
  <c r="D18" i="64"/>
  <c r="D17" i="64"/>
  <c r="D16" i="64"/>
  <c r="D15" i="64"/>
  <c r="D14" i="64"/>
  <c r="D11" i="64"/>
  <c r="D322" i="77" s="1"/>
  <c r="E322" i="77" s="1"/>
  <c r="D8" i="64"/>
  <c r="D4" i="81" s="1"/>
  <c r="E4" i="81" s="1"/>
  <c r="D7" i="64"/>
  <c r="D5" i="64"/>
  <c r="D1105" i="74" s="1"/>
  <c r="D4" i="64"/>
  <c r="D3" i="64"/>
  <c r="D3" i="1"/>
  <c r="D4" i="1"/>
  <c r="D5" i="1"/>
  <c r="E603" i="50" s="1"/>
  <c r="F603" i="50" s="1"/>
  <c r="D6" i="1"/>
  <c r="D7" i="1"/>
  <c r="D28" i="1"/>
  <c r="D29" i="1"/>
  <c r="D8" i="1"/>
  <c r="D750" i="50" s="1"/>
  <c r="E750" i="50" s="1"/>
  <c r="D9" i="1"/>
  <c r="D726" i="50" s="1"/>
  <c r="E726" i="50" s="1"/>
  <c r="E731" i="50" s="1"/>
  <c r="E732" i="50" s="1"/>
  <c r="F732" i="50" s="1"/>
  <c r="D10" i="1"/>
  <c r="D11" i="1"/>
  <c r="D12" i="1"/>
  <c r="D18" i="1"/>
  <c r="D13" i="1"/>
  <c r="D14" i="1"/>
  <c r="D15" i="1"/>
  <c r="D714" i="50" s="1"/>
  <c r="E714" i="50" s="1"/>
  <c r="E720" i="50" s="1"/>
  <c r="E721" i="50" s="1"/>
  <c r="F721" i="50" s="1"/>
  <c r="D16" i="1"/>
  <c r="D17" i="1"/>
  <c r="D86" i="1"/>
  <c r="D20" i="1"/>
  <c r="D19" i="1"/>
  <c r="D50" i="1"/>
  <c r="D51" i="1"/>
  <c r="D52" i="1"/>
  <c r="D53" i="1"/>
  <c r="D25" i="1"/>
  <c r="D26" i="1"/>
  <c r="D81" i="1"/>
  <c r="D82" i="1"/>
  <c r="D83" i="1"/>
  <c r="D84" i="1"/>
  <c r="D85" i="1"/>
  <c r="D87" i="1"/>
  <c r="D96" i="1"/>
  <c r="Q69" i="77" s="1"/>
  <c r="R69" i="77" s="1"/>
  <c r="D98" i="1"/>
  <c r="D99" i="1"/>
  <c r="D100" i="1"/>
  <c r="Q45" i="50" s="1"/>
  <c r="D102" i="1"/>
  <c r="T3" i="1"/>
  <c r="T14" i="1"/>
  <c r="H434" i="50"/>
  <c r="H433" i="50"/>
  <c r="F431" i="50"/>
  <c r="F439" i="50"/>
  <c r="E446" i="50"/>
  <c r="F446" i="50" s="1"/>
  <c r="E438" i="50"/>
  <c r="F438" i="50" s="1"/>
  <c r="E430" i="50"/>
  <c r="F430" i="50" s="1"/>
  <c r="D135" i="1"/>
  <c r="D1184" i="74" l="1"/>
  <c r="E1184" i="74" s="1"/>
  <c r="D1072" i="74"/>
  <c r="E1072" i="74" s="1"/>
  <c r="D1180" i="74"/>
  <c r="E1180" i="74" s="1"/>
  <c r="D1068" i="74"/>
  <c r="E1068" i="74" s="1"/>
  <c r="D1181" i="74"/>
  <c r="E1181" i="74" s="1"/>
  <c r="D1069" i="74"/>
  <c r="E1069" i="74" s="1"/>
  <c r="D1160" i="74"/>
  <c r="E1160" i="74" s="1"/>
  <c r="D1394" i="74"/>
  <c r="E1394" i="74" s="1"/>
  <c r="D654" i="75"/>
  <c r="E654" i="75" s="1"/>
  <c r="E1105" i="74"/>
  <c r="D637" i="75"/>
  <c r="E637" i="75" s="1"/>
  <c r="D824" i="75"/>
  <c r="E824" i="75" s="1"/>
  <c r="D369" i="76"/>
  <c r="E369" i="76" s="1"/>
  <c r="E374" i="76" s="1"/>
  <c r="D1120" i="74"/>
  <c r="E1120" i="74" s="1"/>
  <c r="D1139" i="74"/>
  <c r="E1139" i="74" s="1"/>
  <c r="D822" i="75"/>
  <c r="E822" i="75" s="1"/>
  <c r="D1388" i="74"/>
  <c r="E1388" i="74" s="1"/>
  <c r="D1099" i="74"/>
  <c r="E1099" i="74" s="1"/>
  <c r="D622" i="75"/>
  <c r="E622" i="75" s="1"/>
  <c r="D41" i="81"/>
  <c r="E41" i="81" s="1"/>
  <c r="E45" i="81" s="1"/>
  <c r="E46" i="81" s="1"/>
  <c r="F46" i="81" s="1"/>
  <c r="D1395" i="74"/>
  <c r="E1395" i="74" s="1"/>
  <c r="D655" i="75"/>
  <c r="E655" i="75" s="1"/>
  <c r="D1106" i="74"/>
  <c r="E1106" i="74" s="1"/>
  <c r="D638" i="75"/>
  <c r="E638" i="75" s="1"/>
  <c r="D825" i="75"/>
  <c r="E825" i="75" s="1"/>
  <c r="D1121" i="74"/>
  <c r="E1121" i="74" s="1"/>
  <c r="D1140" i="74"/>
  <c r="E1140" i="74" s="1"/>
  <c r="D1161" i="74"/>
  <c r="E1161" i="74" s="1"/>
  <c r="D632" i="75"/>
  <c r="E632" i="75" s="1"/>
  <c r="D1100" i="74"/>
  <c r="E1100" i="74" s="1"/>
  <c r="E404" i="76"/>
  <c r="F404" i="76" s="1"/>
  <c r="H404" i="76" s="1"/>
  <c r="F403" i="76"/>
  <c r="D1392" i="74"/>
  <c r="E1392" i="74" s="1"/>
  <c r="D1103" i="74"/>
  <c r="E1103" i="74" s="1"/>
  <c r="D1164" i="74"/>
  <c r="E1164" i="74" s="1"/>
  <c r="D820" i="75"/>
  <c r="E820" i="75" s="1"/>
  <c r="D623" i="75"/>
  <c r="E623" i="75" s="1"/>
  <c r="D652" i="75"/>
  <c r="E652" i="75" s="1"/>
  <c r="G388" i="76"/>
  <c r="F389" i="76"/>
  <c r="G389" i="76" s="1"/>
  <c r="I389" i="76" s="1"/>
  <c r="E577" i="75"/>
  <c r="E578" i="75" s="1"/>
  <c r="E579" i="75" s="1"/>
  <c r="D1366" i="74"/>
  <c r="E1366" i="74" s="1"/>
  <c r="D1051" i="74"/>
  <c r="E1051" i="74" s="1"/>
  <c r="E1059" i="74" s="1"/>
  <c r="E1060" i="74" s="1"/>
  <c r="F1060" i="74" s="1"/>
  <c r="D1346" i="74"/>
  <c r="E1346" i="74" s="1"/>
  <c r="E761" i="75"/>
  <c r="F761" i="75" s="1"/>
  <c r="E609" i="75"/>
  <c r="F609" i="75" s="1"/>
  <c r="F614" i="75" s="1"/>
  <c r="F615" i="75" s="1"/>
  <c r="G615" i="75" s="1"/>
  <c r="D1349" i="74"/>
  <c r="E1349" i="74" s="1"/>
  <c r="D781" i="75"/>
  <c r="E781" i="75" s="1"/>
  <c r="E762" i="75"/>
  <c r="F762" i="75" s="1"/>
  <c r="D1321" i="74"/>
  <c r="E1321" i="74" s="1"/>
  <c r="D1367" i="74"/>
  <c r="E1367" i="74" s="1"/>
  <c r="D1407" i="74"/>
  <c r="E1407" i="74" s="1"/>
  <c r="E763" i="75"/>
  <c r="F763" i="75" s="1"/>
  <c r="D1322" i="74"/>
  <c r="E1322" i="74" s="1"/>
  <c r="D1368" i="74"/>
  <c r="E1368" i="74" s="1"/>
  <c r="D1408" i="74"/>
  <c r="E1408" i="74" s="1"/>
  <c r="D782" i="75"/>
  <c r="E782" i="75" s="1"/>
  <c r="D1350" i="74"/>
  <c r="E1350" i="74" s="1"/>
  <c r="D475" i="53"/>
  <c r="E475" i="53" s="1"/>
  <c r="D1364" i="74"/>
  <c r="E1364" i="74" s="1"/>
  <c r="D778" i="75"/>
  <c r="E778" i="75" s="1"/>
  <c r="D517" i="75"/>
  <c r="E517" i="75" s="1"/>
  <c r="D501" i="75"/>
  <c r="E501" i="75" s="1"/>
  <c r="D460" i="75"/>
  <c r="E460" i="75" s="1"/>
  <c r="E331" i="76"/>
  <c r="E336" i="76" s="1"/>
  <c r="E1035" i="74"/>
  <c r="E353" i="76"/>
  <c r="D911" i="74"/>
  <c r="E911" i="74" s="1"/>
  <c r="D515" i="75"/>
  <c r="E515" i="75" s="1"/>
  <c r="D499" i="75"/>
  <c r="E499" i="75" s="1"/>
  <c r="F39" i="76"/>
  <c r="F40" i="76" s="1"/>
  <c r="E235" i="76"/>
  <c r="F235" i="76" s="1"/>
  <c r="E221" i="76"/>
  <c r="F221" i="76" s="1"/>
  <c r="B10" i="64"/>
  <c r="D10" i="64" s="1"/>
  <c r="D956" i="74"/>
  <c r="E956" i="74" s="1"/>
  <c r="E961" i="74" s="1"/>
  <c r="E962" i="74" s="1"/>
  <c r="F962" i="74" s="1"/>
  <c r="D521" i="50"/>
  <c r="E521" i="50" s="1"/>
  <c r="D409" i="75"/>
  <c r="E409" i="75" s="1"/>
  <c r="E414" i="75" s="1"/>
  <c r="E415" i="75" s="1"/>
  <c r="F415" i="75" s="1"/>
  <c r="D250" i="76"/>
  <c r="E250" i="76" s="1"/>
  <c r="D435" i="75"/>
  <c r="E435" i="75" s="1"/>
  <c r="N174" i="75"/>
  <c r="O174" i="75" s="1"/>
  <c r="E175" i="75"/>
  <c r="F175" i="75" s="1"/>
  <c r="D436" i="75"/>
  <c r="E436" i="75" s="1"/>
  <c r="D811" i="74"/>
  <c r="E811" i="74" s="1"/>
  <c r="E178" i="76"/>
  <c r="F178" i="76" s="1"/>
  <c r="D23" i="81"/>
  <c r="E23" i="81" s="1"/>
  <c r="D137" i="51"/>
  <c r="E137" i="51" s="1"/>
  <c r="D10" i="74"/>
  <c r="E10" i="74" s="1"/>
  <c r="D21" i="51"/>
  <c r="E21" i="51" s="1"/>
  <c r="D321" i="77"/>
  <c r="E321" i="77" s="1"/>
  <c r="E326" i="77" s="1"/>
  <c r="E327" i="77" s="1"/>
  <c r="F327" i="77" s="1"/>
  <c r="D24" i="81"/>
  <c r="E24" i="81" s="1"/>
  <c r="D912" i="74"/>
  <c r="E912" i="74" s="1"/>
  <c r="D369" i="75"/>
  <c r="E369" i="75" s="1"/>
  <c r="E376" i="75" s="1"/>
  <c r="E377" i="75" s="1"/>
  <c r="F377" i="75" s="1"/>
  <c r="G212" i="76"/>
  <c r="F213" i="76"/>
  <c r="G213" i="76" s="1"/>
  <c r="I213" i="76" s="1"/>
  <c r="D141" i="58"/>
  <c r="E141" i="58" s="1"/>
  <c r="D247" i="76"/>
  <c r="E247" i="76" s="1"/>
  <c r="D136" i="51"/>
  <c r="E136" i="51" s="1"/>
  <c r="D124" i="51"/>
  <c r="E124" i="51" s="1"/>
  <c r="E129" i="51" s="1"/>
  <c r="D161" i="51"/>
  <c r="E161" i="51" s="1"/>
  <c r="E219" i="77"/>
  <c r="F219" i="77" s="1"/>
  <c r="F223" i="77" s="1"/>
  <c r="F224" i="77" s="1"/>
  <c r="G224" i="77" s="1"/>
  <c r="E205" i="77"/>
  <c r="F205" i="77" s="1"/>
  <c r="F209" i="77" s="1"/>
  <c r="F210" i="77" s="1"/>
  <c r="G210" i="77" s="1"/>
  <c r="D758" i="74"/>
  <c r="E758" i="74" s="1"/>
  <c r="D644" i="74"/>
  <c r="E644" i="74" s="1"/>
  <c r="D624" i="74"/>
  <c r="E624" i="74" s="1"/>
  <c r="D603" i="74"/>
  <c r="E603" i="74" s="1"/>
  <c r="D702" i="74"/>
  <c r="E702" i="74" s="1"/>
  <c r="D665" i="74"/>
  <c r="E665" i="74" s="1"/>
  <c r="D584" i="74"/>
  <c r="E584" i="74" s="1"/>
  <c r="D828" i="74"/>
  <c r="E828" i="74" s="1"/>
  <c r="D661" i="74"/>
  <c r="E661" i="74" s="1"/>
  <c r="D599" i="74"/>
  <c r="E599" i="74" s="1"/>
  <c r="D717" i="74"/>
  <c r="E717" i="74" s="1"/>
  <c r="D792" i="74"/>
  <c r="E792" i="74" s="1"/>
  <c r="E802" i="74" s="1"/>
  <c r="E803" i="74" s="1"/>
  <c r="F803" i="74" s="1"/>
  <c r="D774" i="74"/>
  <c r="E774" i="74" s="1"/>
  <c r="D735" i="74"/>
  <c r="E735" i="74" s="1"/>
  <c r="D619" i="74"/>
  <c r="E619" i="74" s="1"/>
  <c r="D680" i="74"/>
  <c r="E680" i="74" s="1"/>
  <c r="D753" i="74"/>
  <c r="E753" i="74" s="1"/>
  <c r="D639" i="74"/>
  <c r="E639" i="74" s="1"/>
  <c r="D579" i="74"/>
  <c r="E579" i="74" s="1"/>
  <c r="D697" i="74"/>
  <c r="E697" i="74" s="1"/>
  <c r="G103" i="76"/>
  <c r="F104" i="76"/>
  <c r="G104" i="76" s="1"/>
  <c r="I104" i="76" s="1"/>
  <c r="D696" i="74"/>
  <c r="E696" i="74" s="1"/>
  <c r="D598" i="74"/>
  <c r="E598" i="74" s="1"/>
  <c r="D827" i="74"/>
  <c r="E827" i="74" s="1"/>
  <c r="D660" i="74"/>
  <c r="E660" i="74" s="1"/>
  <c r="D679" i="74"/>
  <c r="E679" i="74" s="1"/>
  <c r="D810" i="74"/>
  <c r="E810" i="74" s="1"/>
  <c r="D618" i="74"/>
  <c r="E618" i="74" s="1"/>
  <c r="D716" i="74"/>
  <c r="E716" i="74" s="1"/>
  <c r="D773" i="74"/>
  <c r="E773" i="74" s="1"/>
  <c r="D752" i="74"/>
  <c r="E752" i="74" s="1"/>
  <c r="D734" i="74"/>
  <c r="E734" i="74" s="1"/>
  <c r="D638" i="74"/>
  <c r="E638" i="74" s="1"/>
  <c r="D578" i="74"/>
  <c r="E578" i="74" s="1"/>
  <c r="E233" i="77"/>
  <c r="F233" i="77" s="1"/>
  <c r="F237" i="77" s="1"/>
  <c r="F238" i="77" s="1"/>
  <c r="G238" i="77" s="1"/>
  <c r="E246" i="77"/>
  <c r="F246" i="77" s="1"/>
  <c r="F250" i="77" s="1"/>
  <c r="F251" i="77" s="1"/>
  <c r="G251" i="77" s="1"/>
  <c r="E191" i="77"/>
  <c r="F191" i="77" s="1"/>
  <c r="F195" i="77" s="1"/>
  <c r="F196" i="77" s="1"/>
  <c r="G196" i="77" s="1"/>
  <c r="D524" i="74"/>
  <c r="E524" i="74" s="1"/>
  <c r="D544" i="74"/>
  <c r="E544" i="74" s="1"/>
  <c r="D564" i="74"/>
  <c r="E564" i="74" s="1"/>
  <c r="D519" i="74"/>
  <c r="E519" i="74" s="1"/>
  <c r="D558" i="74"/>
  <c r="E558" i="74" s="1"/>
  <c r="D538" i="74"/>
  <c r="E538" i="74" s="1"/>
  <c r="D520" i="74"/>
  <c r="E520" i="74" s="1"/>
  <c r="D539" i="74"/>
  <c r="E539" i="74" s="1"/>
  <c r="D559" i="74"/>
  <c r="E559" i="74" s="1"/>
  <c r="D449" i="74"/>
  <c r="E449" i="74" s="1"/>
  <c r="E177" i="75"/>
  <c r="F177" i="75" s="1"/>
  <c r="D208" i="75"/>
  <c r="E208" i="75" s="1"/>
  <c r="E49" i="76"/>
  <c r="F49" i="76" s="1"/>
  <c r="F55" i="76" s="1"/>
  <c r="D499" i="74"/>
  <c r="E499" i="74" s="1"/>
  <c r="E19" i="76"/>
  <c r="F19" i="76" s="1"/>
  <c r="F25" i="76" s="1"/>
  <c r="D715" i="52"/>
  <c r="E715" i="52" s="1"/>
  <c r="D231" i="75"/>
  <c r="E231" i="75" s="1"/>
  <c r="E51" i="77"/>
  <c r="F51" i="77" s="1"/>
  <c r="E470" i="74"/>
  <c r="F470" i="74" s="1"/>
  <c r="E24" i="77"/>
  <c r="F24" i="77" s="1"/>
  <c r="E69" i="77"/>
  <c r="F69" i="77" s="1"/>
  <c r="F74" i="77" s="1"/>
  <c r="F75" i="77" s="1"/>
  <c r="G75" i="77" s="1"/>
  <c r="E64" i="76"/>
  <c r="F64" i="76" s="1"/>
  <c r="D150" i="74"/>
  <c r="E150" i="74" s="1"/>
  <c r="D133" i="77"/>
  <c r="E133" i="77" s="1"/>
  <c r="E6" i="78"/>
  <c r="F6" i="78" s="1"/>
  <c r="F11" i="78" s="1"/>
  <c r="F12" i="78" s="1"/>
  <c r="G12" i="78" s="1"/>
  <c r="E9" i="77"/>
  <c r="F9" i="77" s="1"/>
  <c r="F13" i="77" s="1"/>
  <c r="F14" i="77" s="1"/>
  <c r="G14" i="77" s="1"/>
  <c r="E92" i="77"/>
  <c r="F92" i="77" s="1"/>
  <c r="F97" i="77" s="1"/>
  <c r="F98" i="77" s="1"/>
  <c r="G98" i="77" s="1"/>
  <c r="E95" i="78"/>
  <c r="F95" i="78" s="1"/>
  <c r="D107" i="77"/>
  <c r="E107" i="77" s="1"/>
  <c r="E57" i="78"/>
  <c r="F57" i="78" s="1"/>
  <c r="F62" i="78" s="1"/>
  <c r="F63" i="78" s="1"/>
  <c r="G63" i="78" s="1"/>
  <c r="E38" i="77"/>
  <c r="F38" i="77" s="1"/>
  <c r="F42" i="77" s="1"/>
  <c r="F43" i="77" s="1"/>
  <c r="G43" i="77" s="1"/>
  <c r="E20" i="78"/>
  <c r="F20" i="78" s="1"/>
  <c r="F24" i="78" s="1"/>
  <c r="F25" i="78" s="1"/>
  <c r="G25" i="78" s="1"/>
  <c r="D3" i="81"/>
  <c r="E3" i="81" s="1"/>
  <c r="E11" i="81" s="1"/>
  <c r="D203" i="75"/>
  <c r="E203" i="75" s="1"/>
  <c r="D501" i="74"/>
  <c r="E501" i="74" s="1"/>
  <c r="D387" i="74"/>
  <c r="E387" i="74" s="1"/>
  <c r="E398" i="74" s="1"/>
  <c r="E399" i="74" s="1"/>
  <c r="F399" i="74" s="1"/>
  <c r="D76" i="75"/>
  <c r="E76" i="75" s="1"/>
  <c r="D451" i="74"/>
  <c r="E451" i="74" s="1"/>
  <c r="D57" i="75"/>
  <c r="E57" i="75" s="1"/>
  <c r="D119" i="75"/>
  <c r="E119" i="75" s="1"/>
  <c r="D348" i="74"/>
  <c r="E348" i="74" s="1"/>
  <c r="D366" i="74"/>
  <c r="E366" i="74" s="1"/>
  <c r="E377" i="74" s="1"/>
  <c r="E378" i="74" s="1"/>
  <c r="F378" i="74" s="1"/>
  <c r="D223" i="75"/>
  <c r="E223" i="75" s="1"/>
  <c r="E486" i="74"/>
  <c r="F486" i="74" s="1"/>
  <c r="D416" i="74"/>
  <c r="E416" i="74" s="1"/>
  <c r="D1199" i="74"/>
  <c r="E1199" i="74" s="1"/>
  <c r="E69" i="78"/>
  <c r="F69" i="78" s="1"/>
  <c r="E471" i="74"/>
  <c r="F471" i="74" s="1"/>
  <c r="D88" i="79"/>
  <c r="E88" i="79" s="1"/>
  <c r="E98" i="79" s="1"/>
  <c r="E99" i="79" s="1"/>
  <c r="F100" i="79" s="1"/>
  <c r="D68" i="79"/>
  <c r="E68" i="79" s="1"/>
  <c r="E483" i="74"/>
  <c r="F483" i="74" s="1"/>
  <c r="E462" i="74"/>
  <c r="F462" i="74" s="1"/>
  <c r="D29" i="73"/>
  <c r="E29" i="73" s="1"/>
  <c r="E65" i="76"/>
  <c r="F65" i="76" s="1"/>
  <c r="Q555" i="50"/>
  <c r="R555" i="50" s="1"/>
  <c r="R558" i="50" s="1"/>
  <c r="R559" i="50" s="1"/>
  <c r="S559" i="50" s="1"/>
  <c r="Q51" i="77"/>
  <c r="R51" i="77" s="1"/>
  <c r="Q42" i="77"/>
  <c r="R42" i="77" s="1"/>
  <c r="D118" i="75"/>
  <c r="E118" i="75" s="1"/>
  <c r="E176" i="75"/>
  <c r="F176" i="75" s="1"/>
  <c r="D450" i="74"/>
  <c r="E450" i="74" s="1"/>
  <c r="D75" i="75"/>
  <c r="E75" i="75" s="1"/>
  <c r="D222" i="75"/>
  <c r="E222" i="75" s="1"/>
  <c r="D202" i="75"/>
  <c r="E202" i="75" s="1"/>
  <c r="E68" i="78"/>
  <c r="F68" i="78" s="1"/>
  <c r="D1198" i="74"/>
  <c r="E1198" i="74" s="1"/>
  <c r="D56" i="75"/>
  <c r="E56" i="75" s="1"/>
  <c r="E82" i="78"/>
  <c r="F82" i="78" s="1"/>
  <c r="F87" i="78" s="1"/>
  <c r="F88" i="78" s="1"/>
  <c r="G88" i="78" s="1"/>
  <c r="E31" i="78"/>
  <c r="F31" i="78" s="1"/>
  <c r="F36" i="78" s="1"/>
  <c r="F37" i="78" s="1"/>
  <c r="G37" i="78" s="1"/>
  <c r="D347" i="74"/>
  <c r="E347" i="74" s="1"/>
  <c r="E604" i="50"/>
  <c r="F604" i="50" s="1"/>
  <c r="E45" i="78"/>
  <c r="F45" i="78" s="1"/>
  <c r="E23" i="77"/>
  <c r="F23" i="77" s="1"/>
  <c r="E44" i="78"/>
  <c r="F44" i="78" s="1"/>
  <c r="D53" i="79"/>
  <c r="E53" i="79" s="1"/>
  <c r="D411" i="74"/>
  <c r="E411" i="74" s="1"/>
  <c r="D432" i="74"/>
  <c r="E432" i="74" s="1"/>
  <c r="D80" i="75"/>
  <c r="E80" i="75" s="1"/>
  <c r="D1203" i="74"/>
  <c r="E1203" i="74" s="1"/>
  <c r="D352" i="74"/>
  <c r="E352" i="74" s="1"/>
  <c r="D138" i="75"/>
  <c r="E138" i="75" s="1"/>
  <c r="D123" i="75"/>
  <c r="E123" i="75" s="1"/>
  <c r="D61" i="75"/>
  <c r="E61" i="75" s="1"/>
  <c r="G339" i="58"/>
  <c r="D32" i="73"/>
  <c r="E32" i="73" s="1"/>
  <c r="D36" i="74"/>
  <c r="E36" i="74" s="1"/>
  <c r="D14" i="73"/>
  <c r="E14" i="73" s="1"/>
  <c r="D15" i="75"/>
  <c r="E15" i="75" s="1"/>
  <c r="D41" i="75"/>
  <c r="E41" i="75" s="1"/>
  <c r="D293" i="74"/>
  <c r="E293" i="74" s="1"/>
  <c r="D272" i="74"/>
  <c r="E272" i="74" s="1"/>
  <c r="D215" i="74"/>
  <c r="E215" i="74" s="1"/>
  <c r="E106" i="74"/>
  <c r="D63" i="74"/>
  <c r="E63" i="74" s="1"/>
  <c r="D42" i="74"/>
  <c r="E42" i="74" s="1"/>
  <c r="D87" i="74"/>
  <c r="E87" i="74" s="1"/>
  <c r="D149" i="74"/>
  <c r="E149" i="74" s="1"/>
  <c r="D19" i="75"/>
  <c r="E19" i="75" s="1"/>
  <c r="D332" i="74"/>
  <c r="E332" i="74" s="1"/>
  <c r="D854" i="74"/>
  <c r="E854" i="74" s="1"/>
  <c r="D234" i="74"/>
  <c r="E234" i="74" s="1"/>
  <c r="D127" i="74"/>
  <c r="E127" i="74" s="1"/>
  <c r="D195" i="74"/>
  <c r="E195" i="74" s="1"/>
  <c r="D9" i="74"/>
  <c r="E9" i="74" s="1"/>
  <c r="D171" i="74"/>
  <c r="E171" i="74" s="1"/>
  <c r="E818" i="53"/>
  <c r="F818" i="53" s="1"/>
  <c r="D44" i="74"/>
  <c r="E44" i="74" s="1"/>
  <c r="D190" i="74"/>
  <c r="E190" i="74" s="1"/>
  <c r="D15" i="73"/>
  <c r="E15" i="73" s="1"/>
  <c r="D33" i="73"/>
  <c r="E33" i="73" s="1"/>
  <c r="D144" i="74"/>
  <c r="E144" i="74" s="1"/>
  <c r="D82" i="74"/>
  <c r="E82" i="74" s="1"/>
  <c r="D145" i="74"/>
  <c r="E145" i="74" s="1"/>
  <c r="D122" i="74"/>
  <c r="E122" i="74" s="1"/>
  <c r="D5" i="74"/>
  <c r="E5" i="74" s="1"/>
  <c r="D167" i="74"/>
  <c r="E167" i="74" s="1"/>
  <c r="D211" i="74"/>
  <c r="E211" i="74" s="1"/>
  <c r="D166" i="74"/>
  <c r="E166" i="74" s="1"/>
  <c r="D39" i="74"/>
  <c r="E39" i="74" s="1"/>
  <c r="D849" i="74"/>
  <c r="E849" i="74" s="1"/>
  <c r="D102" i="74"/>
  <c r="E102" i="74" s="1"/>
  <c r="D59" i="74"/>
  <c r="E59" i="74" s="1"/>
  <c r="D37" i="75"/>
  <c r="E37" i="75" s="1"/>
  <c r="D289" i="74"/>
  <c r="E289" i="74" s="1"/>
  <c r="D268" i="74"/>
  <c r="E268" i="74" s="1"/>
  <c r="D328" i="74"/>
  <c r="E328" i="74" s="1"/>
  <c r="D230" i="74"/>
  <c r="E230" i="74" s="1"/>
  <c r="D327" i="74"/>
  <c r="E327" i="74" s="1"/>
  <c r="D4" i="74"/>
  <c r="E4" i="74" s="1"/>
  <c r="D229" i="74"/>
  <c r="E229" i="74" s="1"/>
  <c r="D189" i="74"/>
  <c r="E189" i="74" s="1"/>
  <c r="D81" i="74"/>
  <c r="E81" i="74" s="1"/>
  <c r="D143" i="74"/>
  <c r="E143" i="74" s="1"/>
  <c r="D121" i="74"/>
  <c r="E121" i="74" s="1"/>
  <c r="D210" i="74"/>
  <c r="E210" i="74" s="1"/>
  <c r="D165" i="74"/>
  <c r="E165" i="74" s="1"/>
  <c r="D38" i="74"/>
  <c r="E38" i="74" s="1"/>
  <c r="D848" i="74"/>
  <c r="E848" i="74" s="1"/>
  <c r="D101" i="74"/>
  <c r="E101" i="74" s="1"/>
  <c r="D58" i="74"/>
  <c r="E58" i="74" s="1"/>
  <c r="D36" i="75"/>
  <c r="E36" i="75" s="1"/>
  <c r="D288" i="74"/>
  <c r="E288" i="74" s="1"/>
  <c r="D267" i="74"/>
  <c r="E267" i="74" s="1"/>
  <c r="D16" i="73"/>
  <c r="E16" i="73" s="1"/>
  <c r="D34" i="73"/>
  <c r="E34" i="73" s="1"/>
  <c r="Q47" i="50"/>
  <c r="Q547" i="50"/>
  <c r="R547" i="50" s="1"/>
  <c r="R550" i="50" s="1"/>
  <c r="R551" i="50" s="1"/>
  <c r="S551" i="50" s="1"/>
  <c r="Q140" i="50"/>
  <c r="Q456" i="50"/>
  <c r="R456" i="50" s="1"/>
  <c r="R459" i="50" s="1"/>
  <c r="R460" i="50" s="1"/>
  <c r="S460" i="50" s="1"/>
  <c r="Q525" i="50"/>
  <c r="R525" i="50" s="1"/>
  <c r="R528" i="50" s="1"/>
  <c r="R529" i="50" s="1"/>
  <c r="S529" i="50" s="1"/>
  <c r="Q509" i="50"/>
  <c r="R509" i="50" s="1"/>
  <c r="R512" i="50" s="1"/>
  <c r="R513" i="50" s="1"/>
  <c r="S513" i="50" s="1"/>
  <c r="R448" i="50"/>
  <c r="R451" i="50" s="1"/>
  <c r="R452" i="50" s="1"/>
  <c r="S452" i="50" s="1"/>
  <c r="R517" i="50"/>
  <c r="R520" i="50" s="1"/>
  <c r="R521" i="50" s="1"/>
  <c r="S521" i="50" s="1"/>
  <c r="E164" i="69"/>
  <c r="F164" i="69" s="1"/>
  <c r="D768" i="50"/>
  <c r="E768" i="50" s="1"/>
  <c r="E163" i="69"/>
  <c r="F163" i="69" s="1"/>
  <c r="E704" i="50"/>
  <c r="F704" i="50" s="1"/>
  <c r="E626" i="50"/>
  <c r="F626" i="50" s="1"/>
  <c r="E745" i="52"/>
  <c r="F745" i="52" s="1"/>
  <c r="E124" i="69"/>
  <c r="F124" i="69" s="1"/>
  <c r="F128" i="69" s="1"/>
  <c r="F129" i="69" s="1"/>
  <c r="G129" i="69" s="1"/>
  <c r="D710" i="52"/>
  <c r="E710" i="52" s="1"/>
  <c r="E851" i="50"/>
  <c r="F851" i="50" s="1"/>
  <c r="F856" i="50" s="1"/>
  <c r="F857" i="50" s="1"/>
  <c r="G857" i="50" s="1"/>
  <c r="D754" i="50"/>
  <c r="E754" i="50" s="1"/>
  <c r="D1054" i="53"/>
  <c r="E1054" i="53" s="1"/>
  <c r="D1035" i="53"/>
  <c r="E1035" i="53" s="1"/>
  <c r="D978" i="53"/>
  <c r="E978" i="53" s="1"/>
  <c r="D937" i="53"/>
  <c r="E937" i="53" s="1"/>
  <c r="D996" i="53"/>
  <c r="E996" i="53" s="1"/>
  <c r="D961" i="53"/>
  <c r="E961" i="53" s="1"/>
  <c r="D913" i="53"/>
  <c r="E913" i="53" s="1"/>
  <c r="E739" i="52"/>
  <c r="F739" i="52" s="1"/>
  <c r="E686" i="50"/>
  <c r="F686" i="50" s="1"/>
  <c r="D1049" i="53"/>
  <c r="E1049" i="53" s="1"/>
  <c r="E863" i="50"/>
  <c r="F863" i="50" s="1"/>
  <c r="F871" i="50" s="1"/>
  <c r="F872" i="50" s="1"/>
  <c r="G872" i="50" s="1"/>
  <c r="Q208" i="51"/>
  <c r="R208" i="51" s="1"/>
  <c r="E135" i="69"/>
  <c r="F135" i="69" s="1"/>
  <c r="D1030" i="53"/>
  <c r="E1030" i="53" s="1"/>
  <c r="D908" i="53"/>
  <c r="E908" i="53" s="1"/>
  <c r="E742" i="52"/>
  <c r="F742" i="52" s="1"/>
  <c r="E693" i="50"/>
  <c r="F693" i="50" s="1"/>
  <c r="E746" i="53"/>
  <c r="F746" i="53" s="1"/>
  <c r="D708" i="52"/>
  <c r="E708" i="52" s="1"/>
  <c r="D886" i="53"/>
  <c r="E886" i="53" s="1"/>
  <c r="D868" i="53"/>
  <c r="E868" i="53" s="1"/>
  <c r="D110" i="51"/>
  <c r="E110" i="51" s="1"/>
  <c r="E152" i="69"/>
  <c r="F152" i="69" s="1"/>
  <c r="F156" i="69" s="1"/>
  <c r="F157" i="69" s="1"/>
  <c r="G157" i="69" s="1"/>
  <c r="E136" i="69"/>
  <c r="F136" i="69" s="1"/>
  <c r="D162" i="51"/>
  <c r="E162" i="51" s="1"/>
  <c r="D962" i="53"/>
  <c r="E962" i="53" s="1"/>
  <c r="E747" i="53"/>
  <c r="F747" i="53" s="1"/>
  <c r="E150" i="51"/>
  <c r="D1055" i="53"/>
  <c r="E1055" i="53" s="1"/>
  <c r="D1036" i="53"/>
  <c r="E1036" i="53" s="1"/>
  <c r="D914" i="53"/>
  <c r="E914" i="53" s="1"/>
  <c r="D716" i="52"/>
  <c r="E716" i="52" s="1"/>
  <c r="D893" i="53"/>
  <c r="E893" i="53" s="1"/>
  <c r="Q209" i="51"/>
  <c r="R209" i="51" s="1"/>
  <c r="D1031" i="53"/>
  <c r="E1031" i="53" s="1"/>
  <c r="D909" i="53"/>
  <c r="E909" i="53" s="1"/>
  <c r="E743" i="52"/>
  <c r="F743" i="52" s="1"/>
  <c r="D887" i="53"/>
  <c r="E887" i="53" s="1"/>
  <c r="E673" i="52"/>
  <c r="F673" i="52" s="1"/>
  <c r="D834" i="53"/>
  <c r="E834" i="53" s="1"/>
  <c r="E839" i="53" s="1"/>
  <c r="E840" i="53" s="1"/>
  <c r="F840" i="53" s="1"/>
  <c r="D174" i="51"/>
  <c r="E174" i="51" s="1"/>
  <c r="E179" i="51" s="1"/>
  <c r="E180" i="51" s="1"/>
  <c r="F180" i="51" s="1"/>
  <c r="D186" i="51"/>
  <c r="E186" i="51" s="1"/>
  <c r="E191" i="51" s="1"/>
  <c r="E192" i="51" s="1"/>
  <c r="F192" i="51" s="1"/>
  <c r="D938" i="53"/>
  <c r="E938" i="53" s="1"/>
  <c r="Q416" i="50"/>
  <c r="R416" i="50" s="1"/>
  <c r="R419" i="50" s="1"/>
  <c r="R420" i="50" s="1"/>
  <c r="S420" i="50" s="1"/>
  <c r="Q440" i="50"/>
  <c r="R440" i="50" s="1"/>
  <c r="R443" i="50" s="1"/>
  <c r="R444" i="50" s="1"/>
  <c r="S444" i="50" s="1"/>
  <c r="Q432" i="50"/>
  <c r="Q424" i="50"/>
  <c r="Q372" i="50"/>
  <c r="R372" i="50" s="1"/>
  <c r="R375" i="50" s="1"/>
  <c r="R376" i="50" s="1"/>
  <c r="S376" i="50" s="1"/>
  <c r="Q408" i="50"/>
  <c r="R408" i="50" s="1"/>
  <c r="R411" i="50" s="1"/>
  <c r="R412" i="50" s="1"/>
  <c r="S412" i="50" s="1"/>
  <c r="Q364" i="50"/>
  <c r="R364" i="50" s="1"/>
  <c r="R367" i="50" s="1"/>
  <c r="R368" i="50" s="1"/>
  <c r="S368" i="50" s="1"/>
  <c r="R356" i="50"/>
  <c r="E702" i="50"/>
  <c r="F702" i="50" s="1"/>
  <c r="E624" i="50"/>
  <c r="F624" i="50" s="1"/>
  <c r="D780" i="50"/>
  <c r="E780" i="50" s="1"/>
  <c r="E786" i="50" s="1"/>
  <c r="E787" i="50" s="1"/>
  <c r="F787" i="50" s="1"/>
  <c r="D765" i="50"/>
  <c r="E765" i="50" s="1"/>
  <c r="D737" i="50"/>
  <c r="E737" i="50" s="1"/>
  <c r="E744" i="50" s="1"/>
  <c r="E745" i="50" s="1"/>
  <c r="F745" i="50" s="1"/>
  <c r="D872" i="53"/>
  <c r="E872" i="53" s="1"/>
  <c r="D892" i="53"/>
  <c r="E892" i="53" s="1"/>
  <c r="D721" i="53"/>
  <c r="E721" i="53" s="1"/>
  <c r="D780" i="53"/>
  <c r="E780" i="53" s="1"/>
  <c r="D851" i="53"/>
  <c r="E851" i="53" s="1"/>
  <c r="E817" i="53"/>
  <c r="F817" i="53" s="1"/>
  <c r="D758" i="53"/>
  <c r="E758" i="53" s="1"/>
  <c r="E108" i="69"/>
  <c r="F108" i="69" s="1"/>
  <c r="E639" i="50"/>
  <c r="F639" i="50" s="1"/>
  <c r="F644" i="50" s="1"/>
  <c r="F645" i="50" s="1"/>
  <c r="G645" i="50" s="1"/>
  <c r="F111" i="69"/>
  <c r="D722" i="53"/>
  <c r="E722" i="53" s="1"/>
  <c r="D109" i="51"/>
  <c r="E109" i="51" s="1"/>
  <c r="E593" i="50"/>
  <c r="F593" i="50" s="1"/>
  <c r="F596" i="50" s="1"/>
  <c r="F597" i="50" s="1"/>
  <c r="G597" i="50" s="1"/>
  <c r="E605" i="50"/>
  <c r="F605" i="50" s="1"/>
  <c r="D759" i="53"/>
  <c r="E759" i="53" s="1"/>
  <c r="D779" i="53"/>
  <c r="E779" i="53" s="1"/>
  <c r="D850" i="53"/>
  <c r="E850" i="53" s="1"/>
  <c r="E816" i="53"/>
  <c r="F816" i="53" s="1"/>
  <c r="E813" i="53"/>
  <c r="F813" i="53" s="1"/>
  <c r="D786" i="53"/>
  <c r="E786" i="53" s="1"/>
  <c r="E743" i="53"/>
  <c r="F743" i="53" s="1"/>
  <c r="D764" i="53"/>
  <c r="E764" i="53" s="1"/>
  <c r="D487" i="53"/>
  <c r="E487" i="53" s="1"/>
  <c r="D869" i="53"/>
  <c r="E869" i="53" s="1"/>
  <c r="D787" i="53"/>
  <c r="E787" i="53" s="1"/>
  <c r="D849" i="53"/>
  <c r="E849" i="53" s="1"/>
  <c r="D765" i="53"/>
  <c r="E765" i="53" s="1"/>
  <c r="D111" i="51"/>
  <c r="E111" i="51" s="1"/>
  <c r="D523" i="50"/>
  <c r="E523" i="50" s="1"/>
  <c r="F254" i="58"/>
  <c r="F530" i="52"/>
  <c r="G530" i="52" s="1"/>
  <c r="E253" i="58"/>
  <c r="F253" i="58" s="1"/>
  <c r="E18" i="69"/>
  <c r="F18" i="69" s="1"/>
  <c r="E257" i="58"/>
  <c r="F257" i="58" s="1"/>
  <c r="F187" i="58"/>
  <c r="G187" i="58" s="1"/>
  <c r="I187" i="58" s="1"/>
  <c r="G186" i="58"/>
  <c r="D149" i="51"/>
  <c r="E149" i="51" s="1"/>
  <c r="E67" i="69"/>
  <c r="F67" i="69" s="1"/>
  <c r="F210" i="58"/>
  <c r="E97" i="69"/>
  <c r="F97" i="69" s="1"/>
  <c r="D10" i="54"/>
  <c r="E42" i="69"/>
  <c r="F42" i="69" s="1"/>
  <c r="F47" i="69" s="1"/>
  <c r="F48" i="69" s="1"/>
  <c r="G48" i="69" s="1"/>
  <c r="AK65" i="50"/>
  <c r="AL65" i="50" s="1"/>
  <c r="AL69" i="50" s="1"/>
  <c r="AL70" i="50" s="1"/>
  <c r="AM70" i="50" s="1"/>
  <c r="D703" i="53"/>
  <c r="E703" i="53" s="1"/>
  <c r="E17" i="69"/>
  <c r="F17" i="69" s="1"/>
  <c r="R235" i="53"/>
  <c r="S235" i="53" s="1"/>
  <c r="D706" i="53"/>
  <c r="E706" i="53" s="1"/>
  <c r="F629" i="52"/>
  <c r="G629" i="52" s="1"/>
  <c r="D18" i="70"/>
  <c r="E18" i="70" s="1"/>
  <c r="R238" i="53"/>
  <c r="S238" i="53" s="1"/>
  <c r="E81" i="69"/>
  <c r="F81" i="69" s="1"/>
  <c r="F86" i="69" s="1"/>
  <c r="F87" i="69" s="1"/>
  <c r="G87" i="69" s="1"/>
  <c r="E93" i="69"/>
  <c r="F93" i="69" s="1"/>
  <c r="E68" i="69"/>
  <c r="F68" i="69" s="1"/>
  <c r="E30" i="69"/>
  <c r="F30" i="69" s="1"/>
  <c r="F35" i="69" s="1"/>
  <c r="F36" i="69" s="1"/>
  <c r="G36" i="69" s="1"/>
  <c r="E54" i="69"/>
  <c r="F54" i="69" s="1"/>
  <c r="D708" i="53"/>
  <c r="E708" i="53" s="1"/>
  <c r="F628" i="52"/>
  <c r="G628" i="52" s="1"/>
  <c r="Q196" i="51"/>
  <c r="R196" i="51" s="1"/>
  <c r="R240" i="53"/>
  <c r="S240" i="53" s="1"/>
  <c r="F627" i="52"/>
  <c r="G627" i="52" s="1"/>
  <c r="R237" i="53"/>
  <c r="S237" i="53" s="1"/>
  <c r="D704" i="53"/>
  <c r="E704" i="53" s="1"/>
  <c r="F209" i="58"/>
  <c r="E5" i="69"/>
  <c r="F5" i="69" s="1"/>
  <c r="R236" i="53"/>
  <c r="S236" i="53" s="1"/>
  <c r="G489" i="50"/>
  <c r="I489" i="50" s="1"/>
  <c r="E95" i="58"/>
  <c r="D16" i="70"/>
  <c r="E16" i="70" s="1"/>
  <c r="D5" i="70"/>
  <c r="E5" i="70" s="1"/>
  <c r="E9" i="70" s="1"/>
  <c r="E10" i="70" s="1"/>
  <c r="F10" i="70" s="1"/>
  <c r="Q312" i="50"/>
  <c r="R312" i="50" s="1"/>
  <c r="R317" i="50" s="1"/>
  <c r="R318" i="50" s="1"/>
  <c r="S318" i="50" s="1"/>
  <c r="Q301" i="50"/>
  <c r="R301" i="50" s="1"/>
  <c r="Q194" i="51"/>
  <c r="R194" i="51" s="1"/>
  <c r="E666" i="53"/>
  <c r="F666" i="53" s="1"/>
  <c r="E644" i="53"/>
  <c r="F644" i="53" s="1"/>
  <c r="E603" i="53"/>
  <c r="F603" i="53" s="1"/>
  <c r="D623" i="53"/>
  <c r="E623" i="53" s="1"/>
  <c r="E688" i="53"/>
  <c r="F688" i="53" s="1"/>
  <c r="E664" i="53"/>
  <c r="F664" i="53" s="1"/>
  <c r="D618" i="53"/>
  <c r="E618" i="53" s="1"/>
  <c r="E690" i="53"/>
  <c r="F690" i="53" s="1"/>
  <c r="E646" i="53"/>
  <c r="F646" i="53" s="1"/>
  <c r="E605" i="53"/>
  <c r="F605" i="53" s="1"/>
  <c r="E137" i="53"/>
  <c r="F137" i="53" s="1"/>
  <c r="E599" i="53"/>
  <c r="F599" i="53" s="1"/>
  <c r="E604" i="53"/>
  <c r="F604" i="53" s="1"/>
  <c r="E645" i="53"/>
  <c r="F645" i="53" s="1"/>
  <c r="D617" i="53"/>
  <c r="E617" i="53" s="1"/>
  <c r="E665" i="53"/>
  <c r="F665" i="53" s="1"/>
  <c r="E689" i="53"/>
  <c r="F689" i="53" s="1"/>
  <c r="E686" i="53"/>
  <c r="F686" i="53" s="1"/>
  <c r="D621" i="53"/>
  <c r="E621" i="53" s="1"/>
  <c r="E662" i="53"/>
  <c r="F662" i="53" s="1"/>
  <c r="E642" i="53"/>
  <c r="F642" i="53" s="1"/>
  <c r="E687" i="53"/>
  <c r="F687" i="53" s="1"/>
  <c r="E643" i="53"/>
  <c r="F643" i="53" s="1"/>
  <c r="D619" i="53"/>
  <c r="E619" i="53" s="1"/>
  <c r="E602" i="53"/>
  <c r="F602" i="53" s="1"/>
  <c r="E549" i="52"/>
  <c r="F549" i="52" s="1"/>
  <c r="E663" i="53"/>
  <c r="F663" i="53" s="1"/>
  <c r="R204" i="53"/>
  <c r="S204" i="53" s="1"/>
  <c r="R188" i="53"/>
  <c r="S188" i="53" s="1"/>
  <c r="F533" i="52"/>
  <c r="G533" i="52" s="1"/>
  <c r="D534" i="53"/>
  <c r="E534" i="53" s="1"/>
  <c r="D544" i="53"/>
  <c r="E544" i="53" s="1"/>
  <c r="R207" i="53"/>
  <c r="S207" i="53" s="1"/>
  <c r="E585" i="53"/>
  <c r="F585" i="53" s="1"/>
  <c r="D561" i="53"/>
  <c r="E561" i="53" s="1"/>
  <c r="Q193" i="51"/>
  <c r="R193" i="51" s="1"/>
  <c r="R223" i="53"/>
  <c r="S223" i="53" s="1"/>
  <c r="E142" i="53"/>
  <c r="F142" i="53" s="1"/>
  <c r="R185" i="53"/>
  <c r="S185" i="53" s="1"/>
  <c r="S130" i="53"/>
  <c r="T130" i="53" s="1"/>
  <c r="E502" i="53"/>
  <c r="F502" i="53" s="1"/>
  <c r="F528" i="52"/>
  <c r="G528" i="52" s="1"/>
  <c r="D522" i="50"/>
  <c r="E522" i="50" s="1"/>
  <c r="E519" i="53"/>
  <c r="F519" i="53" s="1"/>
  <c r="D484" i="53"/>
  <c r="E484" i="53" s="1"/>
  <c r="R220" i="53"/>
  <c r="S220" i="53" s="1"/>
  <c r="D547" i="53"/>
  <c r="E547" i="53" s="1"/>
  <c r="D565" i="53"/>
  <c r="E565" i="53" s="1"/>
  <c r="S134" i="53"/>
  <c r="T134" i="53" s="1"/>
  <c r="D143" i="58"/>
  <c r="E143" i="58" s="1"/>
  <c r="E140" i="53"/>
  <c r="F140" i="53" s="1"/>
  <c r="E515" i="53"/>
  <c r="F515" i="53" s="1"/>
  <c r="D567" i="53"/>
  <c r="E567" i="53" s="1"/>
  <c r="D549" i="53"/>
  <c r="E549" i="53" s="1"/>
  <c r="R187" i="53"/>
  <c r="S187" i="53" s="1"/>
  <c r="E141" i="53"/>
  <c r="F141" i="53" s="1"/>
  <c r="S133" i="53"/>
  <c r="T133" i="53" s="1"/>
  <c r="E586" i="53"/>
  <c r="F586" i="53" s="1"/>
  <c r="D545" i="53"/>
  <c r="E545" i="53" s="1"/>
  <c r="Q195" i="51"/>
  <c r="R195" i="51" s="1"/>
  <c r="E156" i="58"/>
  <c r="F156" i="58" s="1"/>
  <c r="D562" i="53"/>
  <c r="E562" i="53" s="1"/>
  <c r="R224" i="53"/>
  <c r="S224" i="53" s="1"/>
  <c r="R208" i="53"/>
  <c r="S208" i="53" s="1"/>
  <c r="S131" i="53"/>
  <c r="T131" i="53" s="1"/>
  <c r="E143" i="53"/>
  <c r="F143" i="53" s="1"/>
  <c r="Q109" i="51"/>
  <c r="R186" i="53"/>
  <c r="S186" i="53" s="1"/>
  <c r="R222" i="53"/>
  <c r="S222" i="53" s="1"/>
  <c r="R206" i="53"/>
  <c r="S206" i="53" s="1"/>
  <c r="D564" i="53"/>
  <c r="E564" i="53" s="1"/>
  <c r="D546" i="53"/>
  <c r="E546" i="53" s="1"/>
  <c r="S132" i="53"/>
  <c r="T132" i="53" s="1"/>
  <c r="AL47" i="50"/>
  <c r="AM47" i="50" s="1"/>
  <c r="D507" i="50"/>
  <c r="E507" i="50" s="1"/>
  <c r="E442" i="53"/>
  <c r="F442" i="53" s="1"/>
  <c r="E578" i="53"/>
  <c r="F578" i="53" s="1"/>
  <c r="E516" i="52"/>
  <c r="F516" i="52" s="1"/>
  <c r="N132" i="14"/>
  <c r="O132" i="14" s="1"/>
  <c r="N119" i="14"/>
  <c r="O119" i="14" s="1"/>
  <c r="E136" i="53"/>
  <c r="F136" i="53" s="1"/>
  <c r="E142" i="58"/>
  <c r="F532" i="52"/>
  <c r="G532" i="52" s="1"/>
  <c r="E517" i="53"/>
  <c r="F517" i="53" s="1"/>
  <c r="Q289" i="50"/>
  <c r="R289" i="50" s="1"/>
  <c r="Q265" i="50"/>
  <c r="R265" i="50" s="1"/>
  <c r="Q277" i="50"/>
  <c r="R277" i="50" s="1"/>
  <c r="Q254" i="50"/>
  <c r="R254" i="50" s="1"/>
  <c r="R259" i="50" s="1"/>
  <c r="R260" i="50" s="1"/>
  <c r="S260" i="50" s="1"/>
  <c r="D485" i="53"/>
  <c r="E485" i="53" s="1"/>
  <c r="D486" i="53"/>
  <c r="E486" i="53" s="1"/>
  <c r="E503" i="53"/>
  <c r="F503" i="53" s="1"/>
  <c r="E520" i="53"/>
  <c r="F520" i="53" s="1"/>
  <c r="E516" i="53"/>
  <c r="F516" i="53" s="1"/>
  <c r="F529" i="52"/>
  <c r="G529" i="52" s="1"/>
  <c r="E132" i="58"/>
  <c r="F132" i="58" s="1"/>
  <c r="Q279" i="50"/>
  <c r="R279" i="50" s="1"/>
  <c r="Q291" i="50"/>
  <c r="R291" i="50" s="1"/>
  <c r="Q267" i="50"/>
  <c r="R267" i="50" s="1"/>
  <c r="E375" i="53"/>
  <c r="F375" i="53" s="1"/>
  <c r="D488" i="53"/>
  <c r="E488" i="53" s="1"/>
  <c r="E120" i="58"/>
  <c r="F120" i="58" s="1"/>
  <c r="D483" i="53"/>
  <c r="E483" i="53" s="1"/>
  <c r="E410" i="53"/>
  <c r="F410" i="53" s="1"/>
  <c r="D392" i="53"/>
  <c r="E392" i="53" s="1"/>
  <c r="E429" i="53"/>
  <c r="F429" i="53" s="1"/>
  <c r="E444" i="53"/>
  <c r="F444" i="53" s="1"/>
  <c r="D463" i="53"/>
  <c r="E463" i="53" s="1"/>
  <c r="D396" i="53"/>
  <c r="E396" i="53" s="1"/>
  <c r="D396" i="52"/>
  <c r="E396" i="52" s="1"/>
  <c r="E400" i="52" s="1"/>
  <c r="E401" i="52" s="1"/>
  <c r="F401" i="52" s="1"/>
  <c r="E412" i="53"/>
  <c r="F412" i="53" s="1"/>
  <c r="D384" i="52"/>
  <c r="E384" i="52" s="1"/>
  <c r="E388" i="52" s="1"/>
  <c r="E389" i="52" s="1"/>
  <c r="F389" i="52" s="1"/>
  <c r="D98" i="51"/>
  <c r="E98" i="51" s="1"/>
  <c r="E102" i="51" s="1"/>
  <c r="R172" i="53"/>
  <c r="S172" i="53" s="1"/>
  <c r="E431" i="53"/>
  <c r="F431" i="53" s="1"/>
  <c r="D458" i="53"/>
  <c r="E458" i="53" s="1"/>
  <c r="R171" i="53"/>
  <c r="S171" i="53" s="1"/>
  <c r="E421" i="52"/>
  <c r="F421" i="52" s="1"/>
  <c r="E446" i="53"/>
  <c r="F446" i="53" s="1"/>
  <c r="E411" i="53"/>
  <c r="D460" i="53"/>
  <c r="E460" i="53" s="1"/>
  <c r="D457" i="53"/>
  <c r="E457" i="53" s="1"/>
  <c r="E409" i="53"/>
  <c r="F409" i="53" s="1"/>
  <c r="D391" i="53"/>
  <c r="E391" i="53" s="1"/>
  <c r="E445" i="53"/>
  <c r="F445" i="53" s="1"/>
  <c r="E430" i="53"/>
  <c r="F430" i="53" s="1"/>
  <c r="H330" i="53"/>
  <c r="E468" i="52"/>
  <c r="F468" i="52" s="1"/>
  <c r="E456" i="52"/>
  <c r="F456" i="52" s="1"/>
  <c r="N83" i="14"/>
  <c r="O83" i="14" s="1"/>
  <c r="E480" i="52"/>
  <c r="F480" i="52" s="1"/>
  <c r="N107" i="14"/>
  <c r="O107" i="14" s="1"/>
  <c r="N95" i="14"/>
  <c r="O95" i="14" s="1"/>
  <c r="E492" i="52"/>
  <c r="F492" i="52" s="1"/>
  <c r="D461" i="53"/>
  <c r="E461" i="53" s="1"/>
  <c r="D394" i="53"/>
  <c r="E394" i="53" s="1"/>
  <c r="E413" i="53"/>
  <c r="F413" i="53" s="1"/>
  <c r="Q243" i="50"/>
  <c r="R243" i="50" s="1"/>
  <c r="R248" i="50" s="1"/>
  <c r="R249" i="50" s="1"/>
  <c r="S249" i="50" s="1"/>
  <c r="E420" i="52"/>
  <c r="F420" i="52" s="1"/>
  <c r="E407" i="52"/>
  <c r="F407" i="52" s="1"/>
  <c r="D316" i="53"/>
  <c r="E316" i="53" s="1"/>
  <c r="E357" i="53"/>
  <c r="F357" i="53" s="1"/>
  <c r="E377" i="53"/>
  <c r="F377" i="53" s="1"/>
  <c r="E339" i="53"/>
  <c r="F339" i="53" s="1"/>
  <c r="E72" i="58"/>
  <c r="F72" i="58" s="1"/>
  <c r="F76" i="58" s="1"/>
  <c r="G76" i="58" s="1"/>
  <c r="E108" i="58"/>
  <c r="F108" i="58" s="1"/>
  <c r="F112" i="58" s="1"/>
  <c r="E84" i="58"/>
  <c r="F84" i="58" s="1"/>
  <c r="F88" i="58" s="1"/>
  <c r="F89" i="58" s="1"/>
  <c r="G89" i="58" s="1"/>
  <c r="I89" i="58" s="1"/>
  <c r="E373" i="53"/>
  <c r="F373" i="53" s="1"/>
  <c r="E96" i="58"/>
  <c r="F96" i="58" s="1"/>
  <c r="F100" i="58" s="1"/>
  <c r="E341" i="53"/>
  <c r="F341" i="53" s="1"/>
  <c r="E342" i="53"/>
  <c r="F342" i="53" s="1"/>
  <c r="E360" i="53"/>
  <c r="F360" i="53" s="1"/>
  <c r="E346" i="52"/>
  <c r="F346" i="52" s="1"/>
  <c r="E358" i="52"/>
  <c r="F358" i="52" s="1"/>
  <c r="D313" i="53"/>
  <c r="E313" i="53" s="1"/>
  <c r="E356" i="53"/>
  <c r="F356" i="53" s="1"/>
  <c r="E338" i="53"/>
  <c r="F338" i="53" s="1"/>
  <c r="E373" i="52"/>
  <c r="F373" i="52" s="1"/>
  <c r="E378" i="53"/>
  <c r="F378" i="53" s="1"/>
  <c r="E359" i="53"/>
  <c r="F359" i="53" s="1"/>
  <c r="D314" i="53"/>
  <c r="E314" i="53" s="1"/>
  <c r="E355" i="53"/>
  <c r="F355" i="53" s="1"/>
  <c r="E337" i="53"/>
  <c r="F337" i="53" s="1"/>
  <c r="D21" i="1"/>
  <c r="D22" i="1"/>
  <c r="F326" i="67"/>
  <c r="G325" i="67"/>
  <c r="D38" i="66"/>
  <c r="F75" i="67"/>
  <c r="G75" i="67" s="1"/>
  <c r="F329" i="53"/>
  <c r="L247" i="67" s="1"/>
  <c r="M247" i="67" s="1"/>
  <c r="F165" i="67"/>
  <c r="G165" i="67" s="1"/>
  <c r="F166" i="67"/>
  <c r="G166" i="67" s="1"/>
  <c r="F164" i="67"/>
  <c r="G164" i="67" s="1"/>
  <c r="F163" i="67"/>
  <c r="G163" i="67" s="1"/>
  <c r="F167" i="67"/>
  <c r="G167" i="67" s="1"/>
  <c r="E340" i="52"/>
  <c r="I95" i="11"/>
  <c r="F317" i="67"/>
  <c r="G317" i="67" s="1"/>
  <c r="I90" i="66"/>
  <c r="E332" i="52"/>
  <c r="F332" i="52" s="1"/>
  <c r="L323" i="67"/>
  <c r="M323" i="67" s="1"/>
  <c r="Q189" i="50"/>
  <c r="R189" i="50" s="1"/>
  <c r="R193" i="50" s="1"/>
  <c r="Q234" i="50"/>
  <c r="R234" i="50" s="1"/>
  <c r="R238" i="50" s="1"/>
  <c r="Q216" i="50"/>
  <c r="R216" i="50" s="1"/>
  <c r="R220" i="50" s="1"/>
  <c r="Q225" i="50"/>
  <c r="R225" i="50" s="1"/>
  <c r="R229" i="50" s="1"/>
  <c r="D7" i="54"/>
  <c r="D311" i="53"/>
  <c r="E311" i="53" s="1"/>
  <c r="D8" i="54"/>
  <c r="D312" i="53"/>
  <c r="E312" i="53" s="1"/>
  <c r="E155" i="57"/>
  <c r="E79" i="55"/>
  <c r="Q208" i="50"/>
  <c r="R208" i="50" s="1"/>
  <c r="R211" i="50" s="1"/>
  <c r="Q199" i="50"/>
  <c r="R199" i="50" s="1"/>
  <c r="R203" i="50" s="1"/>
  <c r="D89" i="11"/>
  <c r="D86" i="66"/>
  <c r="D82" i="66"/>
  <c r="D83" i="66" s="1"/>
  <c r="D84" i="66" s="1"/>
  <c r="D81" i="66"/>
  <c r="F463" i="50"/>
  <c r="F447" i="50"/>
  <c r="F455" i="50"/>
  <c r="H457" i="50"/>
  <c r="Q108" i="51"/>
  <c r="E296" i="50"/>
  <c r="D87" i="51"/>
  <c r="E87" i="51" s="1"/>
  <c r="E91" i="51" s="1"/>
  <c r="F432" i="50"/>
  <c r="F440" i="50"/>
  <c r="E1079" i="74" l="1"/>
  <c r="E1080" i="74" s="1"/>
  <c r="F1080" i="74" s="1"/>
  <c r="E1191" i="74"/>
  <c r="E1192" i="74" s="1"/>
  <c r="F1192" i="74" s="1"/>
  <c r="E1129" i="74"/>
  <c r="E1130" i="74" s="1"/>
  <c r="F1130" i="74" s="1"/>
  <c r="E375" i="76"/>
  <c r="F375" i="76" s="1"/>
  <c r="H375" i="76" s="1"/>
  <c r="F374" i="76"/>
  <c r="E662" i="75"/>
  <c r="E663" i="75" s="1"/>
  <c r="F663" i="75" s="1"/>
  <c r="E1148" i="74"/>
  <c r="E1149" i="74" s="1"/>
  <c r="F1149" i="74" s="1"/>
  <c r="E1171" i="74"/>
  <c r="E1172" i="74" s="1"/>
  <c r="F1172" i="74" s="1"/>
  <c r="E31" i="81"/>
  <c r="E32" i="81" s="1"/>
  <c r="F32" i="81" s="1"/>
  <c r="E785" i="75"/>
  <c r="E786" i="75" s="1"/>
  <c r="F786" i="75" s="1"/>
  <c r="E1417" i="74"/>
  <c r="E1418" i="74" s="1"/>
  <c r="F1418" i="74" s="1"/>
  <c r="F769" i="75"/>
  <c r="F770" i="75" s="1"/>
  <c r="G770" i="75" s="1"/>
  <c r="E1333" i="74"/>
  <c r="E1334" i="74" s="1"/>
  <c r="F1334" i="74" s="1"/>
  <c r="E337" i="76"/>
  <c r="F337" i="76" s="1"/>
  <c r="H337" i="76" s="1"/>
  <c r="F336" i="76"/>
  <c r="E921" i="74"/>
  <c r="E922" i="74" s="1"/>
  <c r="F922" i="74" s="1"/>
  <c r="E820" i="74"/>
  <c r="F820" i="74" s="1"/>
  <c r="G39" i="76"/>
  <c r="E255" i="76"/>
  <c r="E256" i="76" s="1"/>
  <c r="F256" i="76" s="1"/>
  <c r="E142" i="51"/>
  <c r="E143" i="51" s="1"/>
  <c r="F143" i="51" s="1"/>
  <c r="E439" i="75"/>
  <c r="E440" i="75" s="1"/>
  <c r="F440" i="75" s="1"/>
  <c r="F75" i="78"/>
  <c r="F76" i="78" s="1"/>
  <c r="G76" i="78" s="1"/>
  <c r="G40" i="76"/>
  <c r="I40" i="76" s="1"/>
  <c r="E689" i="74"/>
  <c r="E690" i="74" s="1"/>
  <c r="F690" i="74" s="1"/>
  <c r="E726" i="74"/>
  <c r="E727" i="74" s="1"/>
  <c r="F727" i="74" s="1"/>
  <c r="E837" i="74"/>
  <c r="F837" i="74" s="1"/>
  <c r="E744" i="74"/>
  <c r="E745" i="74" s="1"/>
  <c r="F745" i="74" s="1"/>
  <c r="E784" i="74"/>
  <c r="F74" i="76"/>
  <c r="G74" i="76" s="1"/>
  <c r="E512" i="74"/>
  <c r="E513" i="74" s="1"/>
  <c r="F513" i="74" s="1"/>
  <c r="F28" i="77"/>
  <c r="F29" i="77" s="1"/>
  <c r="G29" i="77" s="1"/>
  <c r="F491" i="74"/>
  <c r="G491" i="74" s="1"/>
  <c r="E12" i="81"/>
  <c r="F12" i="81" s="1"/>
  <c r="H12" i="81" s="1"/>
  <c r="F11" i="81"/>
  <c r="F56" i="76"/>
  <c r="G55" i="76"/>
  <c r="F609" i="50"/>
  <c r="F610" i="50" s="1"/>
  <c r="G610" i="50" s="1"/>
  <c r="E1209" i="74"/>
  <c r="E1210" i="74" s="1"/>
  <c r="F1210" i="74" s="1"/>
  <c r="H1210" i="74" s="1"/>
  <c r="E61" i="79"/>
  <c r="E62" i="79" s="1"/>
  <c r="F63" i="79" s="1"/>
  <c r="F50" i="78"/>
  <c r="F51" i="78" s="1"/>
  <c r="G51" i="78" s="1"/>
  <c r="G25" i="76"/>
  <c r="F26" i="76"/>
  <c r="E167" i="51"/>
  <c r="E168" i="51" s="1"/>
  <c r="F168" i="51" s="1"/>
  <c r="F709" i="50"/>
  <c r="F710" i="50" s="1"/>
  <c r="G710" i="50" s="1"/>
  <c r="F170" i="69"/>
  <c r="F171" i="69" s="1"/>
  <c r="G171" i="69" s="1"/>
  <c r="E774" i="50"/>
  <c r="E775" i="50" s="1"/>
  <c r="F775" i="50" s="1"/>
  <c r="F141" i="69"/>
  <c r="F142" i="69" s="1"/>
  <c r="G142" i="69" s="1"/>
  <c r="R214" i="51"/>
  <c r="R215" i="51" s="1"/>
  <c r="S215" i="51" s="1"/>
  <c r="E154" i="51"/>
  <c r="E155" i="51" s="1"/>
  <c r="F155" i="51" s="1"/>
  <c r="R359" i="50"/>
  <c r="R360" i="50" s="1"/>
  <c r="S360" i="50" s="1"/>
  <c r="F115" i="69"/>
  <c r="F116" i="69" s="1"/>
  <c r="G116" i="69" s="1"/>
  <c r="F751" i="53"/>
  <c r="F752" i="53" s="1"/>
  <c r="G752" i="53" s="1"/>
  <c r="I752" i="53" s="1"/>
  <c r="F215" i="58"/>
  <c r="G215" i="58" s="1"/>
  <c r="E858" i="53"/>
  <c r="E859" i="53" s="1"/>
  <c r="F859" i="53" s="1"/>
  <c r="E116" i="51"/>
  <c r="E117" i="51" s="1"/>
  <c r="F117" i="51" s="1"/>
  <c r="F23" i="69"/>
  <c r="F24" i="69" s="1"/>
  <c r="G24" i="69" s="1"/>
  <c r="F101" i="69"/>
  <c r="F102" i="69" s="1"/>
  <c r="G102" i="69" s="1"/>
  <c r="E23" i="70"/>
  <c r="E24" i="70" s="1"/>
  <c r="F24" i="70" s="1"/>
  <c r="E714" i="53"/>
  <c r="E715" i="53" s="1"/>
  <c r="F715" i="53" s="1"/>
  <c r="F74" i="69"/>
  <c r="F75" i="69" s="1"/>
  <c r="G75" i="69" s="1"/>
  <c r="E146" i="58"/>
  <c r="E147" i="58" s="1"/>
  <c r="F147" i="58" s="1"/>
  <c r="R201" i="51"/>
  <c r="R202" i="51" s="1"/>
  <c r="S202" i="51" s="1"/>
  <c r="E572" i="53"/>
  <c r="E573" i="53" s="1"/>
  <c r="F573" i="53" s="1"/>
  <c r="E554" i="53"/>
  <c r="E555" i="53" s="1"/>
  <c r="F555" i="53" s="1"/>
  <c r="F161" i="58"/>
  <c r="G161" i="58" s="1"/>
  <c r="R295" i="50"/>
  <c r="R296" i="50" s="1"/>
  <c r="S296" i="50" s="1"/>
  <c r="R283" i="50"/>
  <c r="R284" i="50" s="1"/>
  <c r="S284" i="50" s="1"/>
  <c r="E130" i="51"/>
  <c r="F450" i="53"/>
  <c r="F451" i="53" s="1"/>
  <c r="G451" i="53" s="1"/>
  <c r="I451" i="53" s="1"/>
  <c r="F435" i="53"/>
  <c r="G435" i="53" s="1"/>
  <c r="F102" i="51"/>
  <c r="E103" i="51"/>
  <c r="F103" i="51" s="1"/>
  <c r="H103" i="51" s="1"/>
  <c r="E401" i="53"/>
  <c r="E402" i="53" s="1"/>
  <c r="F402" i="53" s="1"/>
  <c r="E468" i="53"/>
  <c r="E469" i="53" s="1"/>
  <c r="F469" i="53" s="1"/>
  <c r="F340" i="52"/>
  <c r="H340" i="52" s="1"/>
  <c r="F456" i="50"/>
  <c r="F457" i="50" s="1"/>
  <c r="G457" i="50" s="1"/>
  <c r="I457" i="50" s="1"/>
  <c r="F479" i="50"/>
  <c r="F101" i="58"/>
  <c r="G101" i="58" s="1"/>
  <c r="I101" i="58" s="1"/>
  <c r="G100" i="58"/>
  <c r="G88" i="58"/>
  <c r="G112" i="58"/>
  <c r="F113" i="58"/>
  <c r="G113" i="58" s="1"/>
  <c r="F77" i="58"/>
  <c r="G77" i="58" s="1"/>
  <c r="I77" i="58" s="1"/>
  <c r="E321" i="53"/>
  <c r="L210" i="67" s="1"/>
  <c r="M210" i="67" s="1"/>
  <c r="F327" i="67"/>
  <c r="G327" i="67" s="1"/>
  <c r="G326" i="67"/>
  <c r="R239" i="50"/>
  <c r="S239" i="50" s="1"/>
  <c r="L131" i="67"/>
  <c r="M131" i="67" s="1"/>
  <c r="R204" i="50"/>
  <c r="S204" i="50" s="1"/>
  <c r="L146" i="67"/>
  <c r="M146" i="67" s="1"/>
  <c r="R230" i="50"/>
  <c r="S230" i="50" s="1"/>
  <c r="L132" i="67"/>
  <c r="M132" i="67" s="1"/>
  <c r="R212" i="50"/>
  <c r="S212" i="50" s="1"/>
  <c r="L149" i="67"/>
  <c r="M149" i="67" s="1"/>
  <c r="R221" i="50"/>
  <c r="S221" i="50" s="1"/>
  <c r="L151" i="67"/>
  <c r="M151" i="67" s="1"/>
  <c r="F441" i="50"/>
  <c r="G441" i="50" s="1"/>
  <c r="I441" i="50" s="1"/>
  <c r="G440" i="50"/>
  <c r="L82" i="67" s="1"/>
  <c r="M82" i="67" s="1"/>
  <c r="F433" i="50"/>
  <c r="G433" i="50" s="1"/>
  <c r="I433" i="50" s="1"/>
  <c r="G432" i="50"/>
  <c r="L70" i="67" s="1"/>
  <c r="M70" i="67" s="1"/>
  <c r="R194" i="50"/>
  <c r="S194" i="50" s="1"/>
  <c r="L136" i="67"/>
  <c r="M136" i="67" s="1"/>
  <c r="E92" i="51"/>
  <c r="F92" i="51" s="1"/>
  <c r="L201" i="67"/>
  <c r="M201" i="67" s="1"/>
  <c r="F448" i="50"/>
  <c r="G448" i="50" s="1"/>
  <c r="L40" i="67" s="1"/>
  <c r="M40" i="67" s="1"/>
  <c r="E41" i="20"/>
  <c r="E42" i="20"/>
  <c r="E43" i="20"/>
  <c r="E44" i="20"/>
  <c r="E45" i="20"/>
  <c r="E314" i="52" s="1"/>
  <c r="E46" i="20"/>
  <c r="F315" i="52"/>
  <c r="O21" i="62"/>
  <c r="O19" i="62"/>
  <c r="R183" i="50"/>
  <c r="R182" i="50"/>
  <c r="R175" i="50"/>
  <c r="R174" i="50"/>
  <c r="R166" i="50"/>
  <c r="R167" i="50"/>
  <c r="N15" i="62"/>
  <c r="O15" i="62" s="1"/>
  <c r="N16" i="62"/>
  <c r="O16" i="62" s="1"/>
  <c r="Q63" i="51" s="1"/>
  <c r="N17" i="62"/>
  <c r="O17" i="62" s="1"/>
  <c r="N18" i="62"/>
  <c r="O18" i="62" s="1"/>
  <c r="N20" i="62"/>
  <c r="O20" i="62" s="1"/>
  <c r="N22" i="62"/>
  <c r="O22" i="62" s="1"/>
  <c r="N23" i="62"/>
  <c r="O23" i="62" s="1"/>
  <c r="N24" i="62"/>
  <c r="O24" i="62" s="1"/>
  <c r="E498" i="53" s="1"/>
  <c r="F498" i="53" s="1"/>
  <c r="F507" i="53" s="1"/>
  <c r="F508" i="53" s="1"/>
  <c r="G508" i="53" s="1"/>
  <c r="I508" i="53" s="1"/>
  <c r="N25" i="62"/>
  <c r="O25" i="62" s="1"/>
  <c r="O27" i="62"/>
  <c r="N4" i="62"/>
  <c r="O4" i="62" s="1"/>
  <c r="N5" i="62"/>
  <c r="O5" i="62" s="1"/>
  <c r="N6" i="62"/>
  <c r="O6" i="62" s="1"/>
  <c r="N7" i="62"/>
  <c r="O7" i="62" s="1"/>
  <c r="N8" i="62"/>
  <c r="O8" i="62" s="1"/>
  <c r="N9" i="62"/>
  <c r="O9" i="62" s="1"/>
  <c r="N10" i="62"/>
  <c r="O10" i="62" s="1"/>
  <c r="N11" i="62"/>
  <c r="O11" i="62" s="1"/>
  <c r="N12" i="62"/>
  <c r="O12" i="62" s="1"/>
  <c r="N13" i="62"/>
  <c r="O13" i="62" s="1"/>
  <c r="N14" i="62"/>
  <c r="O14" i="62" s="1"/>
  <c r="F318" i="52"/>
  <c r="E319" i="52"/>
  <c r="F319" i="52" s="1"/>
  <c r="H322" i="52"/>
  <c r="E29" i="58"/>
  <c r="F29" i="58" s="1"/>
  <c r="E37" i="58"/>
  <c r="F37" i="58" s="1"/>
  <c r="F36" i="58"/>
  <c r="F35" i="58"/>
  <c r="F30" i="58"/>
  <c r="F264" i="67"/>
  <c r="AM46" i="50"/>
  <c r="AM50" i="50" s="1"/>
  <c r="F6" i="62"/>
  <c r="F7" i="62"/>
  <c r="E639" i="53" s="1"/>
  <c r="F639" i="53" s="1"/>
  <c r="F8" i="62"/>
  <c r="F9" i="62"/>
  <c r="F10" i="62"/>
  <c r="F12" i="62"/>
  <c r="F28" i="62"/>
  <c r="F29" i="62"/>
  <c r="F30" i="62"/>
  <c r="F15" i="62"/>
  <c r="F16" i="62"/>
  <c r="F17" i="62"/>
  <c r="F18" i="62"/>
  <c r="F19" i="62"/>
  <c r="E278" i="55" s="1"/>
  <c r="F20" i="62"/>
  <c r="F224" i="58" s="1"/>
  <c r="F230" i="58" s="1"/>
  <c r="F21" i="62"/>
  <c r="S183" i="53" s="1"/>
  <c r="F23" i="62"/>
  <c r="F24" i="62"/>
  <c r="F569" i="50" s="1"/>
  <c r="F25" i="62"/>
  <c r="F14" i="62"/>
  <c r="S127" i="53" s="1"/>
  <c r="T127" i="53" s="1"/>
  <c r="F13" i="62"/>
  <c r="F33" i="62"/>
  <c r="F531" i="52" s="1"/>
  <c r="G531" i="52" s="1"/>
  <c r="F36" i="62"/>
  <c r="F32" i="62"/>
  <c r="F37" i="62"/>
  <c r="E581" i="50" s="1"/>
  <c r="F581" i="50" s="1"/>
  <c r="F35" i="62"/>
  <c r="F239" i="58" s="1"/>
  <c r="F245" i="58" s="1"/>
  <c r="F34" i="62"/>
  <c r="F38" i="62"/>
  <c r="F39" i="62"/>
  <c r="F40" i="62"/>
  <c r="F54" i="35"/>
  <c r="D478" i="53" s="1"/>
  <c r="E478" i="53" s="1"/>
  <c r="E821" i="74" l="1"/>
  <c r="F821" i="74" s="1"/>
  <c r="H821" i="74" s="1"/>
  <c r="G56" i="76"/>
  <c r="I56" i="76" s="1"/>
  <c r="G26" i="76"/>
  <c r="I26" i="76" s="1"/>
  <c r="E838" i="74"/>
  <c r="F838" i="74" s="1"/>
  <c r="H838" i="74" s="1"/>
  <c r="F75" i="76"/>
  <c r="F784" i="74"/>
  <c r="E785" i="74"/>
  <c r="F785" i="74" s="1"/>
  <c r="H785" i="74" s="1"/>
  <c r="F492" i="74"/>
  <c r="F1209" i="74"/>
  <c r="F130" i="51"/>
  <c r="F216" i="58"/>
  <c r="G216" i="58" s="1"/>
  <c r="I216" i="58" s="1"/>
  <c r="G751" i="53"/>
  <c r="F231" i="58"/>
  <c r="G231" i="58" s="1"/>
  <c r="I231" i="58" s="1"/>
  <c r="G230" i="58"/>
  <c r="E580" i="50"/>
  <c r="F580" i="50" s="1"/>
  <c r="F568" i="50"/>
  <c r="F246" i="58"/>
  <c r="G246" i="58" s="1"/>
  <c r="I246" i="58" s="1"/>
  <c r="G245" i="58"/>
  <c r="F130" i="58"/>
  <c r="F134" i="58" s="1"/>
  <c r="F135" i="58" s="1"/>
  <c r="F53" i="69"/>
  <c r="F59" i="69" s="1"/>
  <c r="F60" i="69" s="1"/>
  <c r="G60" i="69" s="1"/>
  <c r="E514" i="52"/>
  <c r="F514" i="52" s="1"/>
  <c r="E513" i="53"/>
  <c r="F513" i="53" s="1"/>
  <c r="F524" i="53" s="1"/>
  <c r="F525" i="53" s="1"/>
  <c r="G525" i="53" s="1"/>
  <c r="I525" i="53" s="1"/>
  <c r="G524" i="53" s="1"/>
  <c r="E638" i="53"/>
  <c r="F638" i="53" s="1"/>
  <c r="E683" i="53"/>
  <c r="F683" i="53" s="1"/>
  <c r="S182" i="53"/>
  <c r="S234" i="53"/>
  <c r="S245" i="53" s="1"/>
  <c r="E659" i="53"/>
  <c r="F659" i="53" s="1"/>
  <c r="R107" i="51"/>
  <c r="E374" i="53"/>
  <c r="F374" i="53" s="1"/>
  <c r="F383" i="53" s="1"/>
  <c r="G383" i="53" s="1"/>
  <c r="S128" i="53"/>
  <c r="T128" i="53" s="1"/>
  <c r="D482" i="53"/>
  <c r="E482" i="53" s="1"/>
  <c r="E518" i="50"/>
  <c r="E527" i="50" s="1"/>
  <c r="E528" i="50" s="1"/>
  <c r="F528" i="50" s="1"/>
  <c r="R167" i="53"/>
  <c r="S167" i="53" s="1"/>
  <c r="G507" i="53"/>
  <c r="F162" i="58"/>
  <c r="AM51" i="50"/>
  <c r="F436" i="53"/>
  <c r="G436" i="53" s="1"/>
  <c r="I436" i="53" s="1"/>
  <c r="G450" i="53"/>
  <c r="F480" i="50"/>
  <c r="F481" i="50" s="1"/>
  <c r="G481" i="50" s="1"/>
  <c r="F495" i="50"/>
  <c r="F496" i="50" s="1"/>
  <c r="E119" i="58"/>
  <c r="F119" i="58" s="1"/>
  <c r="F124" i="58" s="1"/>
  <c r="G456" i="50"/>
  <c r="L37" i="67" s="1"/>
  <c r="M37" i="67" s="1"/>
  <c r="I113" i="58"/>
  <c r="E353" i="53"/>
  <c r="F353" i="53" s="1"/>
  <c r="F365" i="53" s="1"/>
  <c r="E356" i="52"/>
  <c r="F356" i="52" s="1"/>
  <c r="L216" i="67"/>
  <c r="M216" i="67" s="1"/>
  <c r="E322" i="53"/>
  <c r="F322" i="53" s="1"/>
  <c r="F265" i="67"/>
  <c r="F266" i="67" s="1"/>
  <c r="G264" i="67"/>
  <c r="I4" i="11"/>
  <c r="F263" i="67"/>
  <c r="G263" i="67" s="1"/>
  <c r="I4" i="66"/>
  <c r="D52" i="56"/>
  <c r="D53" i="56"/>
  <c r="E90" i="57"/>
  <c r="E125" i="57"/>
  <c r="E244" i="55"/>
  <c r="O7" i="59"/>
  <c r="E280" i="55"/>
  <c r="E120" i="55"/>
  <c r="E70" i="57"/>
  <c r="E91" i="57"/>
  <c r="E295" i="50"/>
  <c r="E230" i="50"/>
  <c r="E279" i="55"/>
  <c r="E243" i="55"/>
  <c r="E124" i="57"/>
  <c r="I104" i="66"/>
  <c r="I110" i="11"/>
  <c r="F328" i="67"/>
  <c r="G328" i="67" s="1"/>
  <c r="D24" i="56"/>
  <c r="E100" i="56"/>
  <c r="F449" i="50"/>
  <c r="F464" i="50"/>
  <c r="L53" i="61"/>
  <c r="M53" i="61" s="1"/>
  <c r="E371" i="52" s="1"/>
  <c r="F371" i="52" s="1"/>
  <c r="M52" i="61"/>
  <c r="D219" i="53"/>
  <c r="E9" i="60"/>
  <c r="D82" i="52" s="1"/>
  <c r="Q62" i="51"/>
  <c r="R62" i="51" s="1"/>
  <c r="F114" i="35"/>
  <c r="E10" i="60"/>
  <c r="F56" i="35"/>
  <c r="F14" i="35"/>
  <c r="E345" i="52" s="1"/>
  <c r="F345" i="52" s="1"/>
  <c r="F13" i="35"/>
  <c r="Q181" i="50"/>
  <c r="R181" i="50" s="1"/>
  <c r="R184" i="50" s="1"/>
  <c r="D131" i="1"/>
  <c r="E316" i="52"/>
  <c r="F316" i="52" s="1"/>
  <c r="E31" i="58"/>
  <c r="F31" i="58" s="1"/>
  <c r="E32" i="58"/>
  <c r="F32" i="58" s="1"/>
  <c r="D344" i="76" l="1"/>
  <c r="E344" i="76" s="1"/>
  <c r="D343" i="76"/>
  <c r="E343" i="76" s="1"/>
  <c r="D342" i="76"/>
  <c r="E342" i="76" s="1"/>
  <c r="D585" i="75"/>
  <c r="E585" i="75" s="1"/>
  <c r="E596" i="75" s="1"/>
  <c r="E597" i="75" s="1"/>
  <c r="E598" i="75" s="1"/>
  <c r="D584" i="75"/>
  <c r="E584" i="75" s="1"/>
  <c r="E159" i="76"/>
  <c r="F159" i="76" s="1"/>
  <c r="E175" i="76"/>
  <c r="F175" i="76" s="1"/>
  <c r="E174" i="76"/>
  <c r="F174" i="76" s="1"/>
  <c r="E158" i="76"/>
  <c r="F158" i="76" s="1"/>
  <c r="E190" i="76"/>
  <c r="F190" i="76" s="1"/>
  <c r="F197" i="76" s="1"/>
  <c r="G492" i="74"/>
  <c r="I492" i="74" s="1"/>
  <c r="G75" i="76"/>
  <c r="I75" i="76" s="1"/>
  <c r="G449" i="50"/>
  <c r="I449" i="50" s="1"/>
  <c r="E192" i="58"/>
  <c r="F192" i="58" s="1"/>
  <c r="F199" i="58" s="1"/>
  <c r="F200" i="58" s="1"/>
  <c r="G200" i="58" s="1"/>
  <c r="I200" i="58" s="1"/>
  <c r="E251" i="58"/>
  <c r="F251" i="58" s="1"/>
  <c r="F262" i="58" s="1"/>
  <c r="G262" i="58" s="1"/>
  <c r="G135" i="58"/>
  <c r="I135" i="58" s="1"/>
  <c r="G134" i="58"/>
  <c r="E58" i="58"/>
  <c r="F58" i="58" s="1"/>
  <c r="F64" i="58" s="1"/>
  <c r="G64" i="58" s="1"/>
  <c r="L262" i="67" s="1"/>
  <c r="M262" i="67" s="1"/>
  <c r="E167" i="58"/>
  <c r="F167" i="58" s="1"/>
  <c r="F173" i="58" s="1"/>
  <c r="F384" i="53"/>
  <c r="G384" i="53" s="1"/>
  <c r="I384" i="53" s="1"/>
  <c r="S246" i="53"/>
  <c r="T245" i="53"/>
  <c r="G162" i="58"/>
  <c r="I162" i="58" s="1"/>
  <c r="G480" i="50"/>
  <c r="G496" i="50"/>
  <c r="F497" i="50"/>
  <c r="G497" i="50" s="1"/>
  <c r="G124" i="58"/>
  <c r="F125" i="58"/>
  <c r="G125" i="58" s="1"/>
  <c r="I125" i="58" s="1"/>
  <c r="I481" i="50"/>
  <c r="F366" i="53"/>
  <c r="G366" i="53" s="1"/>
  <c r="I366" i="53" s="1"/>
  <c r="G365" i="53" s="1"/>
  <c r="R185" i="50"/>
  <c r="S185" i="50" s="1"/>
  <c r="L134" i="67"/>
  <c r="M134" i="67" s="1"/>
  <c r="F465" i="50"/>
  <c r="G465" i="50" s="1"/>
  <c r="I465" i="50" s="1"/>
  <c r="G464" i="50"/>
  <c r="L92" i="67" s="1"/>
  <c r="M92" i="67" s="1"/>
  <c r="D294" i="53"/>
  <c r="D168" i="52"/>
  <c r="Q25" i="53"/>
  <c r="R112" i="53"/>
  <c r="D216" i="52"/>
  <c r="E44" i="53"/>
  <c r="D99" i="53"/>
  <c r="Q173" i="50"/>
  <c r="R173" i="50" s="1"/>
  <c r="R176" i="50" s="1"/>
  <c r="Q165" i="50"/>
  <c r="R165" i="50" s="1"/>
  <c r="R168" i="50" s="1"/>
  <c r="R70" i="53"/>
  <c r="R85" i="50"/>
  <c r="R84" i="50"/>
  <c r="R72" i="53"/>
  <c r="E28" i="61"/>
  <c r="K33" i="61"/>
  <c r="K34" i="61"/>
  <c r="K35" i="61"/>
  <c r="K36" i="61"/>
  <c r="K37" i="61"/>
  <c r="K38" i="61"/>
  <c r="K39" i="61"/>
  <c r="K40" i="61"/>
  <c r="K41" i="61"/>
  <c r="K42" i="61"/>
  <c r="E372" i="52" s="1"/>
  <c r="F372" i="52" s="1"/>
  <c r="K43" i="61"/>
  <c r="K44" i="61"/>
  <c r="K45" i="61"/>
  <c r="K46" i="61"/>
  <c r="K20" i="61"/>
  <c r="K19" i="61"/>
  <c r="K18" i="61"/>
  <c r="K17" i="61"/>
  <c r="E27" i="61"/>
  <c r="E26" i="61"/>
  <c r="E25" i="61"/>
  <c r="E24" i="61"/>
  <c r="T14" i="61"/>
  <c r="T15" i="61"/>
  <c r="T16" i="61"/>
  <c r="T17" i="61"/>
  <c r="T18" i="61"/>
  <c r="T19" i="61"/>
  <c r="L3" i="61"/>
  <c r="L4" i="61"/>
  <c r="D14" i="52" s="1"/>
  <c r="L5" i="61"/>
  <c r="L6" i="61"/>
  <c r="L7" i="61"/>
  <c r="L8" i="61"/>
  <c r="L9" i="61"/>
  <c r="L10" i="61"/>
  <c r="L11" i="61"/>
  <c r="L12" i="61"/>
  <c r="L13" i="61"/>
  <c r="B20" i="61"/>
  <c r="K24" i="61"/>
  <c r="K25" i="61"/>
  <c r="E358" i="76" l="1"/>
  <c r="E359" i="76" s="1"/>
  <c r="F359" i="76" s="1"/>
  <c r="H359" i="76" s="1"/>
  <c r="F184" i="76"/>
  <c r="F185" i="76" s="1"/>
  <c r="G185" i="76" s="1"/>
  <c r="F168" i="76"/>
  <c r="F169" i="76" s="1"/>
  <c r="G169" i="76" s="1"/>
  <c r="G197" i="76"/>
  <c r="F198" i="76"/>
  <c r="G198" i="76" s="1"/>
  <c r="I198" i="76" s="1"/>
  <c r="E581" i="53"/>
  <c r="F581" i="53" s="1"/>
  <c r="D71" i="79"/>
  <c r="E71" i="79" s="1"/>
  <c r="E465" i="74"/>
  <c r="F465" i="74" s="1"/>
  <c r="E580" i="53"/>
  <c r="F580" i="53" s="1"/>
  <c r="D70" i="79"/>
  <c r="E70" i="79" s="1"/>
  <c r="E464" i="74"/>
  <c r="F464" i="74" s="1"/>
  <c r="E579" i="53"/>
  <c r="F579" i="53" s="1"/>
  <c r="D69" i="79"/>
  <c r="E69" i="79" s="1"/>
  <c r="E463" i="74"/>
  <c r="F463" i="74" s="1"/>
  <c r="T246" i="53"/>
  <c r="V246" i="53" s="1"/>
  <c r="G199" i="58"/>
  <c r="F263" i="58"/>
  <c r="G263" i="58" s="1"/>
  <c r="I497" i="50"/>
  <c r="G173" i="58"/>
  <c r="F174" i="58"/>
  <c r="G174" i="58" s="1"/>
  <c r="I174" i="58" s="1"/>
  <c r="R177" i="50"/>
  <c r="S177" i="50" s="1"/>
  <c r="L143" i="67"/>
  <c r="M143" i="67" s="1"/>
  <c r="R169" i="50"/>
  <c r="S169" i="50" s="1"/>
  <c r="L144" i="67"/>
  <c r="M144" i="67" s="1"/>
  <c r="F65" i="58"/>
  <c r="G65" i="58" s="1"/>
  <c r="F275" i="52"/>
  <c r="F98" i="52"/>
  <c r="R71" i="53"/>
  <c r="E53" i="52"/>
  <c r="E233" i="52"/>
  <c r="F57" i="60"/>
  <c r="F53" i="60"/>
  <c r="F51" i="60"/>
  <c r="B61" i="60" s="1"/>
  <c r="E261" i="76" s="1"/>
  <c r="F261" i="76" s="1"/>
  <c r="F270" i="76" s="1"/>
  <c r="L9" i="60"/>
  <c r="L7" i="60"/>
  <c r="L6" i="60"/>
  <c r="D386" i="75" s="1"/>
  <c r="E386" i="75" s="1"/>
  <c r="E389" i="75" s="1"/>
  <c r="E390" i="75" s="1"/>
  <c r="F390" i="75" s="1"/>
  <c r="L5" i="60"/>
  <c r="L3" i="60"/>
  <c r="E685" i="50" s="1"/>
  <c r="F685" i="50" s="1"/>
  <c r="E5" i="60"/>
  <c r="E4" i="60"/>
  <c r="E3" i="60"/>
  <c r="C10" i="3"/>
  <c r="D423" i="50"/>
  <c r="E423" i="50" s="1"/>
  <c r="E422" i="50"/>
  <c r="E421" i="50"/>
  <c r="D417" i="50"/>
  <c r="E417" i="50" s="1"/>
  <c r="G426" i="50"/>
  <c r="Q178" i="51"/>
  <c r="R178" i="51" s="1"/>
  <c r="Q185" i="51"/>
  <c r="R185" i="51" s="1"/>
  <c r="R183" i="51"/>
  <c r="R184" i="51"/>
  <c r="R182" i="51"/>
  <c r="Q180" i="51"/>
  <c r="R180" i="51" s="1"/>
  <c r="Q179" i="51"/>
  <c r="R179" i="51" s="1"/>
  <c r="Q171" i="51"/>
  <c r="R171" i="51" s="1"/>
  <c r="R169" i="51"/>
  <c r="R170" i="51"/>
  <c r="R168" i="51"/>
  <c r="Q164" i="51"/>
  <c r="R164" i="51" s="1"/>
  <c r="Q163" i="51"/>
  <c r="R163" i="51" s="1"/>
  <c r="F358" i="76" l="1"/>
  <c r="D1029" i="74"/>
  <c r="E1029" i="74" s="1"/>
  <c r="D1030" i="74"/>
  <c r="E1030" i="74" s="1"/>
  <c r="D1031" i="74"/>
  <c r="E1031" i="74" s="1"/>
  <c r="D513" i="75"/>
  <c r="E513" i="75" s="1"/>
  <c r="D512" i="75"/>
  <c r="E512" i="75" s="1"/>
  <c r="D872" i="74"/>
  <c r="E872" i="74" s="1"/>
  <c r="E882" i="74" s="1"/>
  <c r="E883" i="74" s="1"/>
  <c r="F883" i="74" s="1"/>
  <c r="D1345" i="74"/>
  <c r="E1345" i="74" s="1"/>
  <c r="E1355" i="74" s="1"/>
  <c r="E3" i="36"/>
  <c r="E121" i="36" s="1"/>
  <c r="D496" i="75"/>
  <c r="E496" i="75" s="1"/>
  <c r="D497" i="75"/>
  <c r="E497" i="75" s="1"/>
  <c r="G270" i="76"/>
  <c r="F271" i="76"/>
  <c r="G271" i="76" s="1"/>
  <c r="I271" i="76" s="1"/>
  <c r="D723" i="53"/>
  <c r="E723" i="53" s="1"/>
  <c r="E731" i="53" s="1"/>
  <c r="E732" i="53" s="1"/>
  <c r="F732" i="53" s="1"/>
  <c r="D471" i="75"/>
  <c r="E471" i="75" s="1"/>
  <c r="D470" i="75"/>
  <c r="E470" i="75" s="1"/>
  <c r="E44" i="43"/>
  <c r="F44" i="43" s="1"/>
  <c r="F52" i="43" s="1"/>
  <c r="F53" i="43" s="1"/>
  <c r="G53" i="43" s="1"/>
  <c r="E61" i="43"/>
  <c r="F61" i="43" s="1"/>
  <c r="E28" i="43"/>
  <c r="F28" i="43" s="1"/>
  <c r="E31" i="43"/>
  <c r="F31" i="43" s="1"/>
  <c r="E47" i="43"/>
  <c r="F47" i="43" s="1"/>
  <c r="E64" i="43"/>
  <c r="F64" i="43" s="1"/>
  <c r="D458" i="75"/>
  <c r="E458" i="75" s="1"/>
  <c r="D457" i="75"/>
  <c r="E457" i="75" s="1"/>
  <c r="E3" i="58"/>
  <c r="E218" i="76"/>
  <c r="F218" i="76" s="1"/>
  <c r="F226" i="76" s="1"/>
  <c r="E232" i="76"/>
  <c r="F232" i="76" s="1"/>
  <c r="F240" i="76" s="1"/>
  <c r="E81" i="79"/>
  <c r="E82" i="79" s="1"/>
  <c r="F83" i="79" s="1"/>
  <c r="D274" i="75"/>
  <c r="E274" i="75" s="1"/>
  <c r="E277" i="75" s="1"/>
  <c r="E278" i="75" s="1"/>
  <c r="F278" i="75" s="1"/>
  <c r="D297" i="75"/>
  <c r="E297" i="75" s="1"/>
  <c r="E300" i="75" s="1"/>
  <c r="E301" i="75" s="1"/>
  <c r="F301" i="75" s="1"/>
  <c r="D320" i="75"/>
  <c r="E320" i="75" s="1"/>
  <c r="E323" i="75" s="1"/>
  <c r="E324" i="75" s="1"/>
  <c r="F324" i="75" s="1"/>
  <c r="D308" i="75"/>
  <c r="E308" i="75" s="1"/>
  <c r="E311" i="75" s="1"/>
  <c r="E312" i="75" s="1"/>
  <c r="F312" i="75" s="1"/>
  <c r="D285" i="75"/>
  <c r="E285" i="75" s="1"/>
  <c r="E288" i="75" s="1"/>
  <c r="E289" i="75" s="1"/>
  <c r="F289" i="75" s="1"/>
  <c r="D334" i="75"/>
  <c r="E334" i="75" s="1"/>
  <c r="E337" i="75" s="1"/>
  <c r="E338" i="75" s="1"/>
  <c r="F338" i="75" s="1"/>
  <c r="E178" i="75"/>
  <c r="F178" i="75" s="1"/>
  <c r="N175" i="75"/>
  <c r="D356" i="75"/>
  <c r="E356" i="75" s="1"/>
  <c r="D355" i="75"/>
  <c r="E355" i="75" s="1"/>
  <c r="D563" i="74"/>
  <c r="E563" i="74" s="1"/>
  <c r="E570" i="74" s="1"/>
  <c r="D757" i="74"/>
  <c r="E757" i="74" s="1"/>
  <c r="E764" i="74" s="1"/>
  <c r="D543" i="74"/>
  <c r="E543" i="74" s="1"/>
  <c r="E551" i="74" s="1"/>
  <c r="E552" i="74" s="1"/>
  <c r="F552" i="74" s="1"/>
  <c r="D701" i="74"/>
  <c r="E701" i="74" s="1"/>
  <c r="E708" i="74" s="1"/>
  <c r="D523" i="74"/>
  <c r="E523" i="74" s="1"/>
  <c r="E531" i="74" s="1"/>
  <c r="E532" i="74" s="1"/>
  <c r="F532" i="74" s="1"/>
  <c r="D583" i="74"/>
  <c r="E583" i="74" s="1"/>
  <c r="E590" i="74" s="1"/>
  <c r="D664" i="74"/>
  <c r="E664" i="74" s="1"/>
  <c r="E671" i="74" s="1"/>
  <c r="D643" i="74"/>
  <c r="E643" i="74" s="1"/>
  <c r="E650" i="74" s="1"/>
  <c r="D623" i="74"/>
  <c r="E623" i="74" s="1"/>
  <c r="E630" i="74" s="1"/>
  <c r="D602" i="74"/>
  <c r="E602" i="74" s="1"/>
  <c r="E610" i="74" s="1"/>
  <c r="E611" i="74" s="1"/>
  <c r="F611" i="74" s="1"/>
  <c r="F590" i="53"/>
  <c r="G590" i="53" s="1"/>
  <c r="D192" i="75"/>
  <c r="E192" i="75" s="1"/>
  <c r="D164" i="75"/>
  <c r="E164" i="75" s="1"/>
  <c r="E167" i="75" s="1"/>
  <c r="E168" i="75" s="1"/>
  <c r="F168" i="75" s="1"/>
  <c r="D446" i="74"/>
  <c r="E446" i="74" s="1"/>
  <c r="E456" i="74" s="1"/>
  <c r="E457" i="74" s="1"/>
  <c r="F457" i="74" s="1"/>
  <c r="D228" i="75"/>
  <c r="E228" i="75" s="1"/>
  <c r="E238" i="75" s="1"/>
  <c r="E239" i="75" s="1"/>
  <c r="F239" i="75" s="1"/>
  <c r="D205" i="75"/>
  <c r="E205" i="75" s="1"/>
  <c r="E215" i="75" s="1"/>
  <c r="E216" i="75" s="1"/>
  <c r="F216" i="75" s="1"/>
  <c r="F476" i="74"/>
  <c r="D430" i="74"/>
  <c r="E430" i="74" s="1"/>
  <c r="D409" i="74"/>
  <c r="E409" i="74" s="1"/>
  <c r="D151" i="75"/>
  <c r="E151" i="75" s="1"/>
  <c r="E154" i="75" s="1"/>
  <c r="E155" i="75" s="1"/>
  <c r="F155" i="75" s="1"/>
  <c r="D140" i="75"/>
  <c r="E140" i="75" s="1"/>
  <c r="E143" i="75" s="1"/>
  <c r="E144" i="75" s="1"/>
  <c r="F144" i="75" s="1"/>
  <c r="D58" i="75"/>
  <c r="E58" i="75" s="1"/>
  <c r="E68" i="75" s="1"/>
  <c r="E69" i="75" s="1"/>
  <c r="F69" i="75" s="1"/>
  <c r="D77" i="75"/>
  <c r="E77" i="75" s="1"/>
  <c r="E87" i="75" s="1"/>
  <c r="E88" i="75" s="1"/>
  <c r="F88" i="75" s="1"/>
  <c r="D349" i="74"/>
  <c r="E349" i="74" s="1"/>
  <c r="E358" i="74" s="1"/>
  <c r="D120" i="75"/>
  <c r="E120" i="75" s="1"/>
  <c r="E130" i="75" s="1"/>
  <c r="E131" i="75" s="1"/>
  <c r="F131" i="75" s="1"/>
  <c r="D290" i="74"/>
  <c r="E290" i="74" s="1"/>
  <c r="D38" i="75"/>
  <c r="E38" i="75" s="1"/>
  <c r="E48" i="75" s="1"/>
  <c r="E49" i="75" s="1"/>
  <c r="F49" i="75" s="1"/>
  <c r="D269" i="74"/>
  <c r="E269" i="74" s="1"/>
  <c r="D16" i="75"/>
  <c r="E16" i="75" s="1"/>
  <c r="D329" i="74"/>
  <c r="E329" i="74" s="1"/>
  <c r="D851" i="74"/>
  <c r="E851" i="74" s="1"/>
  <c r="E861" i="74" s="1"/>
  <c r="D168" i="74"/>
  <c r="E168" i="74" s="1"/>
  <c r="D37" i="74"/>
  <c r="E37" i="74" s="1"/>
  <c r="D123" i="74"/>
  <c r="E123" i="74" s="1"/>
  <c r="E134" i="74" s="1"/>
  <c r="E135" i="74" s="1"/>
  <c r="F135" i="74" s="1"/>
  <c r="D60" i="74"/>
  <c r="E60" i="74" s="1"/>
  <c r="D231" i="74"/>
  <c r="E231" i="74" s="1"/>
  <c r="D212" i="74"/>
  <c r="E212" i="74" s="1"/>
  <c r="E222" i="74" s="1"/>
  <c r="E223" i="74" s="1"/>
  <c r="F223" i="74" s="1"/>
  <c r="D146" i="74"/>
  <c r="E146" i="74" s="1"/>
  <c r="D192" i="74"/>
  <c r="E192" i="74" s="1"/>
  <c r="E6" i="74"/>
  <c r="E16" i="74" s="1"/>
  <c r="E17" i="74" s="1"/>
  <c r="F17" i="74" s="1"/>
  <c r="D84" i="74"/>
  <c r="E84" i="74" s="1"/>
  <c r="E93" i="74" s="1"/>
  <c r="D103" i="74"/>
  <c r="E103" i="74" s="1"/>
  <c r="N224" i="14"/>
  <c r="O224" i="14" s="1"/>
  <c r="O229" i="14" s="1"/>
  <c r="O230" i="14" s="1"/>
  <c r="P230" i="14" s="1"/>
  <c r="D763" i="52"/>
  <c r="E763" i="52" s="1"/>
  <c r="E668" i="52"/>
  <c r="F668" i="52" s="1"/>
  <c r="F677" i="52" s="1"/>
  <c r="F678" i="52" s="1"/>
  <c r="G678" i="52" s="1"/>
  <c r="D959" i="53"/>
  <c r="E959" i="53" s="1"/>
  <c r="D976" i="53"/>
  <c r="E976" i="53" s="1"/>
  <c r="E986" i="53" s="1"/>
  <c r="E987" i="53" s="1"/>
  <c r="F987" i="53" s="1"/>
  <c r="D935" i="53"/>
  <c r="E935" i="53" s="1"/>
  <c r="D1051" i="53"/>
  <c r="E1051" i="53" s="1"/>
  <c r="E1061" i="53" s="1"/>
  <c r="E1062" i="53" s="1"/>
  <c r="F1062" i="53" s="1"/>
  <c r="D994" i="53"/>
  <c r="E994" i="53" s="1"/>
  <c r="E1004" i="53" s="1"/>
  <c r="E1005" i="53" s="1"/>
  <c r="F1005" i="53" s="1"/>
  <c r="D1032" i="53"/>
  <c r="E1032" i="53" s="1"/>
  <c r="D910" i="53"/>
  <c r="E910" i="53" s="1"/>
  <c r="D799" i="52"/>
  <c r="E799" i="52" s="1"/>
  <c r="E802" i="52" s="1"/>
  <c r="E803" i="52" s="1"/>
  <c r="F803" i="52" s="1"/>
  <c r="D776" i="52"/>
  <c r="E776" i="52" s="1"/>
  <c r="I263" i="58"/>
  <c r="D712" i="52"/>
  <c r="E712" i="52" s="1"/>
  <c r="E722" i="52" s="1"/>
  <c r="E723" i="52" s="1"/>
  <c r="F723" i="52" s="1"/>
  <c r="D888" i="53"/>
  <c r="E888" i="53" s="1"/>
  <c r="E899" i="53" s="1"/>
  <c r="E900" i="53" s="1"/>
  <c r="F900" i="53" s="1"/>
  <c r="D871" i="53"/>
  <c r="E871" i="53" s="1"/>
  <c r="E878" i="53" s="1"/>
  <c r="E879" i="53" s="1"/>
  <c r="F879" i="53" s="1"/>
  <c r="D781" i="53"/>
  <c r="E781" i="53" s="1"/>
  <c r="E793" i="53" s="1"/>
  <c r="E794" i="53" s="1"/>
  <c r="F794" i="53" s="1"/>
  <c r="D761" i="53"/>
  <c r="E761" i="53" s="1"/>
  <c r="E771" i="53" s="1"/>
  <c r="E772" i="53" s="1"/>
  <c r="F772" i="53" s="1"/>
  <c r="F630" i="52"/>
  <c r="G630" i="52" s="1"/>
  <c r="R203" i="53"/>
  <c r="S203" i="53" s="1"/>
  <c r="S212" i="53" s="1"/>
  <c r="E601" i="53"/>
  <c r="F601" i="53" s="1"/>
  <c r="F611" i="53" s="1"/>
  <c r="F612" i="53" s="1"/>
  <c r="G612" i="53" s="1"/>
  <c r="R189" i="53"/>
  <c r="S189" i="53" s="1"/>
  <c r="E560" i="52"/>
  <c r="F560" i="52" s="1"/>
  <c r="F563" i="52" s="1"/>
  <c r="F564" i="52" s="1"/>
  <c r="G564" i="52" s="1"/>
  <c r="E547" i="52"/>
  <c r="F547" i="52" s="1"/>
  <c r="F552" i="52" s="1"/>
  <c r="F553" i="52" s="1"/>
  <c r="G553" i="52" s="1"/>
  <c r="E517" i="52"/>
  <c r="F517" i="52" s="1"/>
  <c r="F521" i="52" s="1"/>
  <c r="F522" i="52" s="1"/>
  <c r="G522" i="52" s="1"/>
  <c r="N130" i="14"/>
  <c r="O130" i="14" s="1"/>
  <c r="O137" i="14" s="1"/>
  <c r="O138" i="14" s="1"/>
  <c r="P138" i="14" s="1"/>
  <c r="N117" i="14"/>
  <c r="O117" i="14" s="1"/>
  <c r="O124" i="14" s="1"/>
  <c r="O125" i="14" s="1"/>
  <c r="P125" i="14" s="1"/>
  <c r="E457" i="52"/>
  <c r="F457" i="52" s="1"/>
  <c r="E493" i="52"/>
  <c r="F493" i="52" s="1"/>
  <c r="F497" i="52" s="1"/>
  <c r="F498" i="52" s="1"/>
  <c r="G498" i="52" s="1"/>
  <c r="N105" i="14"/>
  <c r="O105" i="14" s="1"/>
  <c r="O111" i="14" s="1"/>
  <c r="O112" i="14" s="1"/>
  <c r="P112" i="14" s="1"/>
  <c r="E423" i="52"/>
  <c r="F423" i="52" s="1"/>
  <c r="F427" i="52" s="1"/>
  <c r="F428" i="52" s="1"/>
  <c r="G428" i="52" s="1"/>
  <c r="E469" i="52"/>
  <c r="F469" i="52" s="1"/>
  <c r="F473" i="52" s="1"/>
  <c r="F474" i="52" s="1"/>
  <c r="G474" i="52" s="1"/>
  <c r="N81" i="14"/>
  <c r="O81" i="14" s="1"/>
  <c r="O87" i="14" s="1"/>
  <c r="O88" i="14" s="1"/>
  <c r="P88" i="14" s="1"/>
  <c r="E481" i="52"/>
  <c r="F481" i="52" s="1"/>
  <c r="F485" i="52" s="1"/>
  <c r="F486" i="52" s="1"/>
  <c r="G486" i="52" s="1"/>
  <c r="E408" i="52"/>
  <c r="F408" i="52" s="1"/>
  <c r="N93" i="14"/>
  <c r="O93" i="14" s="1"/>
  <c r="E200" i="36"/>
  <c r="F200" i="36" s="1"/>
  <c r="D533" i="53"/>
  <c r="E533" i="53" s="1"/>
  <c r="D532" i="53"/>
  <c r="E532" i="53" s="1"/>
  <c r="E433" i="52"/>
  <c r="R169" i="53"/>
  <c r="S169" i="53" s="1"/>
  <c r="E661" i="53"/>
  <c r="F661" i="53" s="1"/>
  <c r="R219" i="53"/>
  <c r="S219" i="53" s="1"/>
  <c r="S228" i="53" s="1"/>
  <c r="E685" i="53"/>
  <c r="F685" i="53" s="1"/>
  <c r="E641" i="53"/>
  <c r="F641" i="53" s="1"/>
  <c r="S135" i="53"/>
  <c r="T135" i="53" s="1"/>
  <c r="E139" i="53"/>
  <c r="F139" i="53" s="1"/>
  <c r="F534" i="52"/>
  <c r="G534" i="52" s="1"/>
  <c r="E414" i="53"/>
  <c r="E359" i="52"/>
  <c r="F359" i="52" s="1"/>
  <c r="F363" i="52" s="1"/>
  <c r="F364" i="52" s="1"/>
  <c r="G364" i="52" s="1"/>
  <c r="E374" i="52"/>
  <c r="F374" i="52" s="1"/>
  <c r="F377" i="52" s="1"/>
  <c r="F378" i="52" s="1"/>
  <c r="G378" i="52" s="1"/>
  <c r="F58" i="67"/>
  <c r="G58" i="67" s="1"/>
  <c r="F57" i="67"/>
  <c r="G57" i="67" s="1"/>
  <c r="E317" i="52"/>
  <c r="F317" i="52" s="1"/>
  <c r="E347" i="52"/>
  <c r="F347" i="52" s="1"/>
  <c r="F350" i="52" s="1"/>
  <c r="E38" i="52"/>
  <c r="E39" i="52" s="1"/>
  <c r="E3" i="57"/>
  <c r="E4" i="57" s="1"/>
  <c r="E5" i="57" s="1"/>
  <c r="E6" i="57" s="1"/>
  <c r="E153" i="57"/>
  <c r="E77" i="55"/>
  <c r="D191" i="52"/>
  <c r="D178" i="52"/>
  <c r="E42" i="53"/>
  <c r="E58" i="52"/>
  <c r="E59" i="52" s="1"/>
  <c r="E227" i="52"/>
  <c r="E228" i="52" s="1"/>
  <c r="F181" i="36"/>
  <c r="E521" i="75" l="1"/>
  <c r="E522" i="75" s="1"/>
  <c r="E523" i="75" s="1"/>
  <c r="E505" i="75"/>
  <c r="E506" i="75" s="1"/>
  <c r="E507" i="75" s="1"/>
  <c r="F36" i="43"/>
  <c r="F37" i="43" s="1"/>
  <c r="G37" i="43" s="1"/>
  <c r="E1356" i="74"/>
  <c r="F1356" i="74" s="1"/>
  <c r="H1356" i="74" s="1"/>
  <c r="F1355" i="74"/>
  <c r="E17" i="36"/>
  <c r="E37" i="36" s="1"/>
  <c r="E53" i="36" s="1"/>
  <c r="E69" i="36" s="1"/>
  <c r="E102" i="36" s="1"/>
  <c r="F69" i="43"/>
  <c r="F70" i="43" s="1"/>
  <c r="G70" i="43" s="1"/>
  <c r="E1040" i="74"/>
  <c r="E464" i="75"/>
  <c r="E465" i="75" s="1"/>
  <c r="F465" i="75" s="1"/>
  <c r="E477" i="75"/>
  <c r="E478" i="75" s="1"/>
  <c r="F478" i="75" s="1"/>
  <c r="F241" i="76"/>
  <c r="G241" i="76" s="1"/>
  <c r="I241" i="76" s="1"/>
  <c r="G240" i="76"/>
  <c r="F227" i="76"/>
  <c r="G227" i="76" s="1"/>
  <c r="I227" i="76" s="1"/>
  <c r="G226" i="76"/>
  <c r="E361" i="75"/>
  <c r="E362" i="75" s="1"/>
  <c r="F362" i="75" s="1"/>
  <c r="E195" i="75"/>
  <c r="E196" i="75" s="1"/>
  <c r="F196" i="75" s="1"/>
  <c r="E709" i="74"/>
  <c r="F709" i="74" s="1"/>
  <c r="H709" i="74" s="1"/>
  <c r="F708" i="74"/>
  <c r="E765" i="74"/>
  <c r="F765" i="74" s="1"/>
  <c r="H765" i="74" s="1"/>
  <c r="F764" i="74"/>
  <c r="E591" i="74"/>
  <c r="F591" i="74" s="1"/>
  <c r="H591" i="74" s="1"/>
  <c r="F590" i="74"/>
  <c r="E631" i="74"/>
  <c r="F631" i="74" s="1"/>
  <c r="H631" i="74" s="1"/>
  <c r="F630" i="74"/>
  <c r="E571" i="74"/>
  <c r="F571" i="74" s="1"/>
  <c r="H571" i="74" s="1"/>
  <c r="F570" i="74"/>
  <c r="E179" i="75"/>
  <c r="F179" i="75" s="1"/>
  <c r="F183" i="75" s="1"/>
  <c r="F184" i="75" s="1"/>
  <c r="G184" i="75" s="1"/>
  <c r="F650" i="74"/>
  <c r="E651" i="74"/>
  <c r="F651" i="74" s="1"/>
  <c r="H651" i="74" s="1"/>
  <c r="N176" i="75"/>
  <c r="O176" i="75" s="1"/>
  <c r="O175" i="75"/>
  <c r="F671" i="74"/>
  <c r="E672" i="74"/>
  <c r="F672" i="74" s="1"/>
  <c r="H672" i="74" s="1"/>
  <c r="F591" i="53"/>
  <c r="G591" i="53" s="1"/>
  <c r="I591" i="53" s="1"/>
  <c r="E339" i="74"/>
  <c r="E340" i="74" s="1"/>
  <c r="F340" i="74" s="1"/>
  <c r="G476" i="74"/>
  <c r="F477" i="74"/>
  <c r="G477" i="74" s="1"/>
  <c r="I477" i="74" s="1"/>
  <c r="E862" i="74"/>
  <c r="F862" i="74" s="1"/>
  <c r="H862" i="74" s="1"/>
  <c r="F861" i="74"/>
  <c r="E94" i="74"/>
  <c r="F94" i="74" s="1"/>
  <c r="H94" i="74" s="1"/>
  <c r="F93" i="74"/>
  <c r="E420" i="74"/>
  <c r="E421" i="74" s="1"/>
  <c r="F421" i="74" s="1"/>
  <c r="F358" i="74"/>
  <c r="E178" i="74"/>
  <c r="E157" i="74"/>
  <c r="E158" i="74" s="1"/>
  <c r="F158" i="74" s="1"/>
  <c r="E241" i="74"/>
  <c r="E242" i="74" s="1"/>
  <c r="F242" i="74" s="1"/>
  <c r="E280" i="74"/>
  <c r="E281" i="74" s="1"/>
  <c r="F281" i="74" s="1"/>
  <c r="E201" i="74"/>
  <c r="E70" i="74"/>
  <c r="E71" i="74" s="1"/>
  <c r="F71" i="74" s="1"/>
  <c r="E113" i="74"/>
  <c r="E295" i="58"/>
  <c r="F295" i="58" s="1"/>
  <c r="F302" i="58" s="1"/>
  <c r="E268" i="58"/>
  <c r="F268" i="58" s="1"/>
  <c r="F276" i="58" s="1"/>
  <c r="E282" i="58"/>
  <c r="F282" i="58" s="1"/>
  <c r="F289" i="58" s="1"/>
  <c r="E537" i="53"/>
  <c r="E538" i="53" s="1"/>
  <c r="F538" i="53" s="1"/>
  <c r="F433" i="52"/>
  <c r="E434" i="52"/>
  <c r="F434" i="52" s="1"/>
  <c r="S229" i="53"/>
  <c r="T229" i="53" s="1"/>
  <c r="V229" i="53" s="1"/>
  <c r="T228" i="53"/>
  <c r="T212" i="53"/>
  <c r="S213" i="53"/>
  <c r="F351" i="52"/>
  <c r="G351" i="52" s="1"/>
  <c r="L298" i="67"/>
  <c r="M298" i="67" s="1"/>
  <c r="L318" i="67"/>
  <c r="M318" i="67" s="1"/>
  <c r="E86" i="36"/>
  <c r="Q157" i="51"/>
  <c r="R157" i="51" s="1"/>
  <c r="R155" i="51"/>
  <c r="R156" i="51"/>
  <c r="R154" i="51"/>
  <c r="Q150" i="51"/>
  <c r="R150" i="51" s="1"/>
  <c r="R149" i="51"/>
  <c r="Q143" i="51"/>
  <c r="R143" i="51" s="1"/>
  <c r="R142" i="51"/>
  <c r="R141" i="51"/>
  <c r="R140" i="51"/>
  <c r="Q136" i="51"/>
  <c r="R136" i="51" s="1"/>
  <c r="R135" i="51"/>
  <c r="Q121" i="51"/>
  <c r="R121" i="51" s="1"/>
  <c r="Q129" i="51"/>
  <c r="R129" i="51" s="1"/>
  <c r="R128" i="51"/>
  <c r="R127" i="51"/>
  <c r="R126" i="51"/>
  <c r="Q122" i="51"/>
  <c r="R122" i="51" s="1"/>
  <c r="I22" i="11"/>
  <c r="E337" i="50"/>
  <c r="E1041" i="74" l="1"/>
  <c r="F1041" i="74" s="1"/>
  <c r="H1041" i="74" s="1"/>
  <c r="F1040" i="74"/>
  <c r="O179" i="75"/>
  <c r="O180" i="75" s="1"/>
  <c r="P180" i="75" s="1"/>
  <c r="E202" i="74"/>
  <c r="F202" i="74" s="1"/>
  <c r="H202" i="74" s="1"/>
  <c r="F201" i="74"/>
  <c r="E179" i="74"/>
  <c r="F179" i="74" s="1"/>
  <c r="H179" i="74" s="1"/>
  <c r="F178" i="74"/>
  <c r="E114" i="74"/>
  <c r="F114" i="74" s="1"/>
  <c r="H114" i="74" s="1"/>
  <c r="F113" i="74"/>
  <c r="E359" i="74"/>
  <c r="F359" i="74" s="1"/>
  <c r="H359" i="74" s="1"/>
  <c r="T213" i="53"/>
  <c r="V213" i="53" s="1"/>
  <c r="F290" i="58"/>
  <c r="G289" i="58"/>
  <c r="F277" i="58"/>
  <c r="G277" i="58" s="1"/>
  <c r="I277" i="58" s="1"/>
  <c r="G276" i="58"/>
  <c r="G302" i="58"/>
  <c r="F303" i="58"/>
  <c r="G303" i="58" s="1"/>
  <c r="I303" i="58" s="1"/>
  <c r="F439" i="52"/>
  <c r="F440" i="52" s="1"/>
  <c r="G440" i="52" s="1"/>
  <c r="J43" i="1"/>
  <c r="I5" i="1"/>
  <c r="I4" i="1"/>
  <c r="G290" i="58" l="1"/>
  <c r="I290" i="58" s="1"/>
  <c r="N4" i="52"/>
  <c r="K25" i="9"/>
  <c r="D167" i="52" l="1"/>
  <c r="E167" i="52" s="1"/>
  <c r="E168" i="52"/>
  <c r="E169" i="52"/>
  <c r="E170" i="52"/>
  <c r="D171" i="52"/>
  <c r="E171" i="52" s="1"/>
  <c r="G174" i="52"/>
  <c r="E254" i="52"/>
  <c r="D255" i="52"/>
  <c r="E255" i="52" s="1"/>
  <c r="D261" i="52"/>
  <c r="E261" i="52" s="1"/>
  <c r="E262" i="52"/>
  <c r="E263" i="52"/>
  <c r="E264" i="52"/>
  <c r="D265" i="52"/>
  <c r="E265" i="52" s="1"/>
  <c r="O157" i="52"/>
  <c r="P157" i="52" s="1"/>
  <c r="P160" i="52"/>
  <c r="F145" i="57" s="1"/>
  <c r="O161" i="52"/>
  <c r="P161" i="52" s="1"/>
  <c r="R164" i="52"/>
  <c r="F271" i="52"/>
  <c r="G271" i="52" s="1"/>
  <c r="F276" i="52"/>
  <c r="G276" i="52" s="1"/>
  <c r="G280" i="52"/>
  <c r="G281" i="52"/>
  <c r="F282" i="52"/>
  <c r="G282" i="52" s="1"/>
  <c r="I285" i="52"/>
  <c r="E291" i="52"/>
  <c r="F291" i="52" s="1"/>
  <c r="F293" i="52"/>
  <c r="E294" i="52"/>
  <c r="F294" i="52" s="1"/>
  <c r="H297" i="52"/>
  <c r="D301" i="52"/>
  <c r="E301" i="52" s="1"/>
  <c r="D302" i="52"/>
  <c r="E302" i="52" s="1"/>
  <c r="E304" i="52"/>
  <c r="E305" i="52"/>
  <c r="D306" i="52"/>
  <c r="E306" i="52" s="1"/>
  <c r="G309" i="52"/>
  <c r="E240" i="52"/>
  <c r="F240" i="52" s="1"/>
  <c r="E241" i="52"/>
  <c r="F241" i="52" s="1"/>
  <c r="F244" i="52"/>
  <c r="E245" i="52"/>
  <c r="F245" i="52" s="1"/>
  <c r="F227" i="52"/>
  <c r="F228" i="52"/>
  <c r="F232" i="52"/>
  <c r="F233" i="52"/>
  <c r="H236" i="52"/>
  <c r="G222" i="52"/>
  <c r="H107" i="66" s="1"/>
  <c r="G223" i="52"/>
  <c r="D220" i="52"/>
  <c r="E220" i="52" s="1"/>
  <c r="E219" i="52"/>
  <c r="E216" i="52"/>
  <c r="D205" i="52"/>
  <c r="E205" i="52" s="1"/>
  <c r="E206" i="52"/>
  <c r="E207" i="52"/>
  <c r="G210" i="52"/>
  <c r="I122" i="11" s="1"/>
  <c r="F112" i="52"/>
  <c r="G112" i="52" s="1"/>
  <c r="F117" i="52"/>
  <c r="G117" i="52" s="1"/>
  <c r="F120" i="52"/>
  <c r="G120" i="52" s="1"/>
  <c r="G121" i="52"/>
  <c r="G122" i="52"/>
  <c r="F123" i="52"/>
  <c r="G123" i="52" s="1"/>
  <c r="I126" i="52"/>
  <c r="E131" i="52"/>
  <c r="F131" i="52" s="1"/>
  <c r="E134" i="52"/>
  <c r="E135" i="52" s="1"/>
  <c r="F135" i="52" s="1"/>
  <c r="F136" i="52"/>
  <c r="E137" i="52"/>
  <c r="F137" i="52" s="1"/>
  <c r="H141" i="52"/>
  <c r="E146" i="52"/>
  <c r="F146" i="52" s="1"/>
  <c r="F148" i="52"/>
  <c r="E149" i="52"/>
  <c r="F149" i="52" s="1"/>
  <c r="H152" i="52"/>
  <c r="F156" i="52"/>
  <c r="F159" i="52"/>
  <c r="E160" i="52"/>
  <c r="F160" i="52" s="1"/>
  <c r="H163" i="52"/>
  <c r="D179" i="52"/>
  <c r="E179" i="52" s="1"/>
  <c r="D180" i="52"/>
  <c r="E180" i="52" s="1"/>
  <c r="E182" i="52"/>
  <c r="D184" i="52"/>
  <c r="E184" i="52" s="1"/>
  <c r="E191" i="52"/>
  <c r="D193" i="52"/>
  <c r="E193" i="52" s="1"/>
  <c r="E196" i="52"/>
  <c r="D198" i="52"/>
  <c r="E198" i="52" s="1"/>
  <c r="G201" i="52"/>
  <c r="F105" i="52"/>
  <c r="G105" i="52" s="1"/>
  <c r="G104" i="52"/>
  <c r="G103" i="52"/>
  <c r="F102" i="52"/>
  <c r="G102" i="52" s="1"/>
  <c r="F99" i="52"/>
  <c r="G99" i="52" s="1"/>
  <c r="F94" i="52"/>
  <c r="G94" i="52" s="1"/>
  <c r="H163" i="57"/>
  <c r="E160" i="57"/>
  <c r="F160" i="57" s="1"/>
  <c r="F159" i="57"/>
  <c r="F158" i="57"/>
  <c r="E156" i="57"/>
  <c r="F156" i="57" s="1"/>
  <c r="F155" i="57"/>
  <c r="F153" i="57"/>
  <c r="H149" i="57"/>
  <c r="I101" i="66" s="1"/>
  <c r="E146" i="57"/>
  <c r="F146" i="57" s="1"/>
  <c r="H138" i="57"/>
  <c r="E135" i="57"/>
  <c r="F135" i="57" s="1"/>
  <c r="F134" i="57"/>
  <c r="E132" i="57"/>
  <c r="F132" i="57" s="1"/>
  <c r="E72" i="57"/>
  <c r="F72" i="57" s="1"/>
  <c r="E74" i="57"/>
  <c r="F74" i="57" s="1"/>
  <c r="F76" i="57"/>
  <c r="F77" i="57"/>
  <c r="E78" i="57"/>
  <c r="F78" i="57" s="1"/>
  <c r="H81" i="57"/>
  <c r="F279" i="67" s="1"/>
  <c r="G279" i="67" s="1"/>
  <c r="F89" i="57"/>
  <c r="E94" i="57"/>
  <c r="F94" i="57" s="1"/>
  <c r="E96" i="57"/>
  <c r="F96" i="57" s="1"/>
  <c r="F99" i="57"/>
  <c r="F100" i="57"/>
  <c r="E101" i="57"/>
  <c r="F101" i="57" s="1"/>
  <c r="H104" i="57"/>
  <c r="D108" i="57"/>
  <c r="E108" i="57" s="1"/>
  <c r="D112" i="57"/>
  <c r="E112" i="57" s="1"/>
  <c r="D114" i="57"/>
  <c r="E114" i="57" s="1"/>
  <c r="E115" i="57"/>
  <c r="E116" i="57"/>
  <c r="D117" i="57"/>
  <c r="E117" i="57" s="1"/>
  <c r="G120" i="57"/>
  <c r="E28" i="57"/>
  <c r="F28" i="57" s="1"/>
  <c r="E31" i="57"/>
  <c r="F31" i="57" s="1"/>
  <c r="F35" i="57"/>
  <c r="E36" i="57"/>
  <c r="E37" i="57" s="1"/>
  <c r="F37" i="57" s="1"/>
  <c r="H40" i="57"/>
  <c r="E48" i="57"/>
  <c r="F48" i="57" s="1"/>
  <c r="E50" i="57"/>
  <c r="F50" i="57" s="1"/>
  <c r="F53" i="57"/>
  <c r="F54" i="57"/>
  <c r="E55" i="57"/>
  <c r="F55" i="57" s="1"/>
  <c r="H58" i="57"/>
  <c r="F19" i="57"/>
  <c r="E20" i="57"/>
  <c r="F20" i="57" s="1"/>
  <c r="H23" i="57"/>
  <c r="G90" i="52"/>
  <c r="F296" i="67" s="1"/>
  <c r="G296" i="67" s="1"/>
  <c r="D87" i="52"/>
  <c r="E87" i="52" s="1"/>
  <c r="E86" i="52"/>
  <c r="D84" i="52"/>
  <c r="E84" i="52" s="1"/>
  <c r="F3" i="57"/>
  <c r="F4" i="57"/>
  <c r="F5" i="57"/>
  <c r="F6" i="57"/>
  <c r="F7" i="57"/>
  <c r="F8" i="57"/>
  <c r="E9" i="57"/>
  <c r="F9" i="57" s="1"/>
  <c r="H12" i="57"/>
  <c r="M18" i="52"/>
  <c r="N18" i="52" s="1"/>
  <c r="M16" i="52"/>
  <c r="N16" i="52" s="1"/>
  <c r="P10" i="52"/>
  <c r="M7" i="52"/>
  <c r="N7" i="52" s="1"/>
  <c r="N6" i="52"/>
  <c r="N5" i="52"/>
  <c r="M3" i="52"/>
  <c r="N3" i="52" s="1"/>
  <c r="F302" i="67"/>
  <c r="G302" i="67" s="1"/>
  <c r="E75" i="52"/>
  <c r="F75" i="52" s="1"/>
  <c r="F74" i="52"/>
  <c r="E69" i="52"/>
  <c r="F69" i="52" s="1"/>
  <c r="E61" i="52"/>
  <c r="E62" i="52" s="1"/>
  <c r="F62" i="52" s="1"/>
  <c r="F60" i="52"/>
  <c r="F59" i="52"/>
  <c r="F58" i="52"/>
  <c r="E54" i="52"/>
  <c r="F54" i="52" s="1"/>
  <c r="H49" i="52"/>
  <c r="I98" i="66" s="1"/>
  <c r="E46" i="52"/>
  <c r="F46" i="52" s="1"/>
  <c r="F45" i="52"/>
  <c r="F40" i="52"/>
  <c r="F39" i="52"/>
  <c r="F38" i="52"/>
  <c r="G33" i="52"/>
  <c r="D30" i="52"/>
  <c r="E30" i="52" s="1"/>
  <c r="E29" i="52"/>
  <c r="D18" i="52"/>
  <c r="E18" i="52" s="1"/>
  <c r="E16" i="52"/>
  <c r="D15" i="52"/>
  <c r="E15" i="52" s="1"/>
  <c r="E8" i="52"/>
  <c r="C5" i="52"/>
  <c r="C4" i="52"/>
  <c r="T163" i="53"/>
  <c r="T162" i="53"/>
  <c r="Q159" i="53"/>
  <c r="Q160" i="53" s="1"/>
  <c r="R160" i="53" s="1"/>
  <c r="R158" i="53"/>
  <c r="R157" i="53"/>
  <c r="Q151" i="53"/>
  <c r="R151" i="53" s="1"/>
  <c r="Q147" i="53"/>
  <c r="R147" i="53" s="1"/>
  <c r="I106" i="66" l="1"/>
  <c r="F288" i="67"/>
  <c r="G288" i="67" s="1"/>
  <c r="F284" i="67"/>
  <c r="I100" i="66"/>
  <c r="I93" i="66"/>
  <c r="F282" i="67"/>
  <c r="G282" i="67" s="1"/>
  <c r="F333" i="67"/>
  <c r="G333" i="67" s="1"/>
  <c r="F332" i="67"/>
  <c r="G332" i="67" s="1"/>
  <c r="F277" i="67"/>
  <c r="G277" i="67" s="1"/>
  <c r="I84" i="66"/>
  <c r="I123" i="11"/>
  <c r="F293" i="67"/>
  <c r="G293" i="67" s="1"/>
  <c r="I88" i="66"/>
  <c r="I117" i="66"/>
  <c r="I118" i="66"/>
  <c r="F278" i="67"/>
  <c r="G278" i="67" s="1"/>
  <c r="I85" i="66"/>
  <c r="F292" i="67"/>
  <c r="G292" i="67" s="1"/>
  <c r="I113" i="66"/>
  <c r="I108" i="66"/>
  <c r="F291" i="67"/>
  <c r="G291" i="67" s="1"/>
  <c r="F347" i="67"/>
  <c r="I121" i="11"/>
  <c r="H33" i="52"/>
  <c r="F319" i="67" s="1"/>
  <c r="H94" i="66"/>
  <c r="F287" i="67"/>
  <c r="I99" i="66"/>
  <c r="F301" i="67"/>
  <c r="G301" i="67" s="1"/>
  <c r="I89" i="66"/>
  <c r="I116" i="66"/>
  <c r="F349" i="67"/>
  <c r="G349" i="67" s="1"/>
  <c r="I107" i="66"/>
  <c r="F331" i="67"/>
  <c r="G331" i="67" s="1"/>
  <c r="I86" i="66"/>
  <c r="F299" i="67"/>
  <c r="G299" i="67" s="1"/>
  <c r="F309" i="67"/>
  <c r="G309" i="67" s="1"/>
  <c r="I92" i="66"/>
  <c r="I112" i="66"/>
  <c r="F346" i="67"/>
  <c r="G346" i="67" s="1"/>
  <c r="I87" i="66"/>
  <c r="F300" i="67"/>
  <c r="G300" i="67" s="1"/>
  <c r="I110" i="66"/>
  <c r="F341" i="67"/>
  <c r="F329" i="67"/>
  <c r="G329" i="67" s="1"/>
  <c r="I103" i="66"/>
  <c r="I109" i="66"/>
  <c r="F321" i="67"/>
  <c r="G321" i="67" s="1"/>
  <c r="I95" i="66"/>
  <c r="I111" i="11"/>
  <c r="I105" i="66"/>
  <c r="F330" i="67"/>
  <c r="G330" i="67" s="1"/>
  <c r="I82" i="66"/>
  <c r="F297" i="67"/>
  <c r="G297" i="67" s="1"/>
  <c r="F295" i="67"/>
  <c r="G295" i="67" s="1"/>
  <c r="I83" i="66"/>
  <c r="F294" i="67"/>
  <c r="G294" i="67" s="1"/>
  <c r="I81" i="66"/>
  <c r="F345" i="67"/>
  <c r="G345" i="67" s="1"/>
  <c r="I111" i="66"/>
  <c r="I49" i="11"/>
  <c r="F211" i="67"/>
  <c r="G211" i="67" s="1"/>
  <c r="I48" i="66"/>
  <c r="F36" i="57"/>
  <c r="E172" i="52"/>
  <c r="E173" i="52" s="1"/>
  <c r="F173" i="52" s="1"/>
  <c r="D192" i="52"/>
  <c r="E192" i="52" s="1"/>
  <c r="F134" i="52"/>
  <c r="E208" i="52"/>
  <c r="L349" i="67" s="1"/>
  <c r="M349" i="67" s="1"/>
  <c r="E266" i="52"/>
  <c r="E178" i="52"/>
  <c r="N8" i="52"/>
  <c r="D28" i="52"/>
  <c r="E28" i="52" s="1"/>
  <c r="F61" i="52"/>
  <c r="E138" i="52"/>
  <c r="F138" i="52" s="1"/>
  <c r="F10" i="57"/>
  <c r="R159" i="53"/>
  <c r="G341" i="67" l="1"/>
  <c r="F342" i="67"/>
  <c r="F343" i="67" s="1"/>
  <c r="F344" i="67" s="1"/>
  <c r="G287" i="67"/>
  <c r="F348" i="67"/>
  <c r="G348" i="67" s="1"/>
  <c r="G347" i="67"/>
  <c r="F285" i="67"/>
  <c r="G284" i="67"/>
  <c r="F320" i="67"/>
  <c r="I94" i="66"/>
  <c r="E267" i="52"/>
  <c r="F267" i="52" s="1"/>
  <c r="L322" i="67"/>
  <c r="M322" i="67" s="1"/>
  <c r="N9" i="52"/>
  <c r="L295" i="67"/>
  <c r="M295" i="67" s="1"/>
  <c r="F11" i="57"/>
  <c r="L284" i="67"/>
  <c r="W122" i="53"/>
  <c r="U122" i="53"/>
  <c r="U121" i="53"/>
  <c r="R118" i="53"/>
  <c r="R119" i="53" s="1"/>
  <c r="S119" i="53" s="1"/>
  <c r="S117" i="53"/>
  <c r="S116" i="53"/>
  <c r="S115" i="53"/>
  <c r="S112" i="53"/>
  <c r="R109" i="53"/>
  <c r="S109" i="53" s="1"/>
  <c r="R108" i="53"/>
  <c r="S108" i="53" s="1"/>
  <c r="R107" i="53"/>
  <c r="S107" i="53" s="1"/>
  <c r="R35" i="59"/>
  <c r="O32" i="59"/>
  <c r="P32" i="59" s="1"/>
  <c r="P31" i="59"/>
  <c r="P30" i="59"/>
  <c r="P29" i="59"/>
  <c r="O27" i="59"/>
  <c r="P27" i="59" s="1"/>
  <c r="O18" i="59"/>
  <c r="O19" i="59" s="1"/>
  <c r="P19" i="59" s="1"/>
  <c r="P17" i="59"/>
  <c r="P16" i="59"/>
  <c r="P15" i="59"/>
  <c r="O14" i="59"/>
  <c r="P14" i="59" s="1"/>
  <c r="O10" i="59"/>
  <c r="P10" i="59" s="1"/>
  <c r="O9" i="59"/>
  <c r="P9" i="59" s="1"/>
  <c r="O6" i="59"/>
  <c r="P6" i="59" s="1"/>
  <c r="D6" i="59"/>
  <c r="E6" i="59" s="1"/>
  <c r="E8" i="59"/>
  <c r="E9" i="59"/>
  <c r="E10" i="59"/>
  <c r="G13" i="59"/>
  <c r="D17" i="59"/>
  <c r="E17" i="59" s="1"/>
  <c r="E19" i="59"/>
  <c r="E20" i="59"/>
  <c r="E21" i="59"/>
  <c r="D22" i="59"/>
  <c r="E22" i="59" s="1"/>
  <c r="G25" i="59"/>
  <c r="R75" i="56"/>
  <c r="F129" i="67" s="1"/>
  <c r="G129" i="67" s="1"/>
  <c r="O72" i="56"/>
  <c r="P72" i="56" s="1"/>
  <c r="P71" i="56"/>
  <c r="P70" i="56"/>
  <c r="O57" i="56"/>
  <c r="P57" i="56" s="1"/>
  <c r="P58" i="56"/>
  <c r="P59" i="56"/>
  <c r="R62" i="56"/>
  <c r="P48" i="56"/>
  <c r="P49" i="56"/>
  <c r="R52" i="56"/>
  <c r="F95" i="67" s="1"/>
  <c r="G95" i="67" s="1"/>
  <c r="R40" i="56"/>
  <c r="F96" i="67" s="1"/>
  <c r="G96" i="67" s="1"/>
  <c r="O37" i="56"/>
  <c r="P37" i="56" s="1"/>
  <c r="P36" i="56"/>
  <c r="P35" i="56"/>
  <c r="R27" i="56"/>
  <c r="F123" i="67" s="1"/>
  <c r="G123" i="67" s="1"/>
  <c r="O24" i="56"/>
  <c r="P24" i="56" s="1"/>
  <c r="P23" i="56"/>
  <c r="P22" i="56"/>
  <c r="O20" i="56"/>
  <c r="P20" i="56" s="1"/>
  <c r="F94" i="67"/>
  <c r="G94" i="67" s="1"/>
  <c r="AF27" i="51"/>
  <c r="AD23" i="51"/>
  <c r="AD22" i="51"/>
  <c r="AC20" i="51"/>
  <c r="AD20" i="51" s="1"/>
  <c r="AF14" i="51"/>
  <c r="AD10" i="51"/>
  <c r="AD9" i="51"/>
  <c r="AC7" i="51"/>
  <c r="AD7" i="51" s="1"/>
  <c r="AC6" i="51"/>
  <c r="AD6" i="51" s="1"/>
  <c r="E274" i="53"/>
  <c r="F274" i="53" s="1"/>
  <c r="L285" i="67" l="1"/>
  <c r="M284" i="67"/>
  <c r="G319" i="67"/>
  <c r="G320" i="67"/>
  <c r="G286" i="67"/>
  <c r="G285" i="67"/>
  <c r="F290" i="67"/>
  <c r="G290" i="67" s="1"/>
  <c r="G289" i="67"/>
  <c r="F127" i="67"/>
  <c r="G127" i="67" s="1"/>
  <c r="F126" i="67"/>
  <c r="G126" i="67" s="1"/>
  <c r="F192" i="67"/>
  <c r="G192" i="67" s="1"/>
  <c r="I20" i="66"/>
  <c r="F176" i="67"/>
  <c r="G176" i="67" s="1"/>
  <c r="I26" i="66"/>
  <c r="F197" i="67"/>
  <c r="G197" i="67" s="1"/>
  <c r="I10" i="66"/>
  <c r="I11" i="66"/>
  <c r="F195" i="67"/>
  <c r="G195" i="67" s="1"/>
  <c r="I63" i="66"/>
  <c r="F185" i="67"/>
  <c r="G185" i="67" s="1"/>
  <c r="I57" i="66"/>
  <c r="F221" i="67"/>
  <c r="G221" i="67" s="1"/>
  <c r="O9" i="52"/>
  <c r="G83" i="66"/>
  <c r="G11" i="57"/>
  <c r="G100" i="66"/>
  <c r="P18" i="59"/>
  <c r="S118" i="53"/>
  <c r="E116" i="56"/>
  <c r="F116" i="56" s="1"/>
  <c r="F117" i="56"/>
  <c r="F118" i="56"/>
  <c r="E98" i="56"/>
  <c r="F98" i="56" s="1"/>
  <c r="E105" i="56"/>
  <c r="F105" i="56" s="1"/>
  <c r="F107" i="56"/>
  <c r="F108" i="56"/>
  <c r="E109" i="56"/>
  <c r="F109" i="56" s="1"/>
  <c r="H112" i="56"/>
  <c r="H94" i="56"/>
  <c r="D56" i="66" s="1"/>
  <c r="F91" i="56"/>
  <c r="F90" i="56"/>
  <c r="F89" i="56"/>
  <c r="E85" i="56"/>
  <c r="F85" i="56" s="1"/>
  <c r="E84" i="56"/>
  <c r="F84" i="56" s="1"/>
  <c r="G80" i="56"/>
  <c r="D77" i="56"/>
  <c r="E77" i="56" s="1"/>
  <c r="E76" i="56"/>
  <c r="E75" i="56"/>
  <c r="D72" i="56"/>
  <c r="E72" i="56" s="1"/>
  <c r="D70" i="56"/>
  <c r="E70" i="56" s="1"/>
  <c r="G66" i="56"/>
  <c r="D63" i="56"/>
  <c r="E63" i="56" s="1"/>
  <c r="E62" i="56"/>
  <c r="E61" i="56"/>
  <c r="D50" i="56"/>
  <c r="E50" i="56" s="1"/>
  <c r="H46" i="56"/>
  <c r="E43" i="56"/>
  <c r="F43" i="56" s="1"/>
  <c r="F42" i="56"/>
  <c r="F41" i="56"/>
  <c r="E36" i="56"/>
  <c r="F36" i="56" s="1"/>
  <c r="G32" i="56"/>
  <c r="D29" i="56"/>
  <c r="E29" i="56" s="1"/>
  <c r="E28" i="56"/>
  <c r="E27" i="56"/>
  <c r="D22" i="56"/>
  <c r="E22" i="56" s="1"/>
  <c r="D21" i="56"/>
  <c r="E21" i="56" s="1"/>
  <c r="G15" i="56"/>
  <c r="D12" i="56"/>
  <c r="E12" i="56" s="1"/>
  <c r="E11" i="56"/>
  <c r="E10" i="56"/>
  <c r="D6" i="56"/>
  <c r="E6" i="56" s="1"/>
  <c r="Q6" i="55"/>
  <c r="R6" i="55" s="1"/>
  <c r="R7" i="55"/>
  <c r="Q8" i="55"/>
  <c r="R8" i="55" s="1"/>
  <c r="R12" i="55"/>
  <c r="R13" i="55"/>
  <c r="Q14" i="55"/>
  <c r="R14" i="55" s="1"/>
  <c r="T17" i="55"/>
  <c r="H49" i="54"/>
  <c r="E46" i="54"/>
  <c r="F46" i="54" s="1"/>
  <c r="F45" i="54"/>
  <c r="F44" i="54"/>
  <c r="F43" i="54"/>
  <c r="E40" i="54"/>
  <c r="F40" i="54" s="1"/>
  <c r="E37" i="54"/>
  <c r="F37" i="54" s="1"/>
  <c r="E36" i="54"/>
  <c r="F36" i="54" s="1"/>
  <c r="E34" i="54"/>
  <c r="F34" i="54" s="1"/>
  <c r="U103" i="53"/>
  <c r="U102" i="53"/>
  <c r="H39" i="66" s="1"/>
  <c r="R99" i="53"/>
  <c r="R100" i="53" s="1"/>
  <c r="S100" i="53" s="1"/>
  <c r="S98" i="53"/>
  <c r="S97" i="53"/>
  <c r="S96" i="53"/>
  <c r="R91" i="53"/>
  <c r="S91" i="53" s="1"/>
  <c r="R90" i="53"/>
  <c r="S90" i="53" s="1"/>
  <c r="R82" i="53"/>
  <c r="S82" i="53" s="1"/>
  <c r="S81" i="53"/>
  <c r="S80" i="53"/>
  <c r="S79" i="53"/>
  <c r="R76" i="53"/>
  <c r="S76" i="53" s="1"/>
  <c r="R74" i="53"/>
  <c r="S74" i="53" s="1"/>
  <c r="U57" i="53"/>
  <c r="U56" i="53"/>
  <c r="R54" i="53"/>
  <c r="S54" i="53" s="1"/>
  <c r="S53" i="53"/>
  <c r="S52" i="53"/>
  <c r="R49" i="53"/>
  <c r="S49" i="53" s="1"/>
  <c r="R47" i="53"/>
  <c r="S47" i="53" s="1"/>
  <c r="S37" i="53"/>
  <c r="T34" i="53"/>
  <c r="T33" i="53"/>
  <c r="Q31" i="53"/>
  <c r="R31" i="53" s="1"/>
  <c r="R30" i="53"/>
  <c r="R29" i="53"/>
  <c r="R25" i="53"/>
  <c r="Q23" i="53"/>
  <c r="R23" i="53" s="1"/>
  <c r="G356" i="55"/>
  <c r="D352" i="55"/>
  <c r="E352" i="55" s="1"/>
  <c r="E351" i="55"/>
  <c r="E350" i="55"/>
  <c r="E349" i="55"/>
  <c r="D348" i="55"/>
  <c r="E348" i="55" s="1"/>
  <c r="D347" i="55"/>
  <c r="E347" i="55" s="1"/>
  <c r="D342" i="55"/>
  <c r="E342" i="55" s="1"/>
  <c r="F194" i="67"/>
  <c r="G194" i="67" s="1"/>
  <c r="H295" i="55"/>
  <c r="E291" i="55"/>
  <c r="F291" i="55" s="1"/>
  <c r="F290" i="55"/>
  <c r="F289" i="55"/>
  <c r="F288" i="55"/>
  <c r="E285" i="55"/>
  <c r="F285" i="55" s="1"/>
  <c r="E283" i="55"/>
  <c r="F283" i="55" s="1"/>
  <c r="H267" i="55"/>
  <c r="E263" i="55"/>
  <c r="E264" i="55" s="1"/>
  <c r="F264" i="55" s="1"/>
  <c r="F262" i="55"/>
  <c r="F261" i="55"/>
  <c r="F260" i="55"/>
  <c r="E257" i="55"/>
  <c r="F257" i="55" s="1"/>
  <c r="E256" i="55"/>
  <c r="F256" i="55" s="1"/>
  <c r="E252" i="55"/>
  <c r="F252" i="55" s="1"/>
  <c r="I239" i="55"/>
  <c r="F236" i="55"/>
  <c r="G236" i="55" s="1"/>
  <c r="G235" i="55"/>
  <c r="G234" i="55"/>
  <c r="F231" i="55"/>
  <c r="G231" i="55" s="1"/>
  <c r="F228" i="55"/>
  <c r="G228" i="55" s="1"/>
  <c r="F222" i="55"/>
  <c r="G222" i="55" s="1"/>
  <c r="G221" i="55"/>
  <c r="G220" i="55"/>
  <c r="G219" i="55"/>
  <c r="F218" i="55"/>
  <c r="G218" i="55" s="1"/>
  <c r="F214" i="55"/>
  <c r="G214" i="55" s="1"/>
  <c r="F211" i="55"/>
  <c r="G211" i="55" s="1"/>
  <c r="F208" i="55"/>
  <c r="G208" i="55" s="1"/>
  <c r="I204" i="55"/>
  <c r="F200" i="55"/>
  <c r="G200" i="55" s="1"/>
  <c r="G199" i="55"/>
  <c r="G198" i="55"/>
  <c r="G197" i="55"/>
  <c r="F196" i="55"/>
  <c r="G196" i="55" s="1"/>
  <c r="F193" i="55"/>
  <c r="G193" i="55" s="1"/>
  <c r="F189" i="55"/>
  <c r="G189" i="55" s="1"/>
  <c r="F186" i="55"/>
  <c r="F187" i="55" s="1"/>
  <c r="I182" i="55"/>
  <c r="F178" i="55"/>
  <c r="F179" i="55" s="1"/>
  <c r="G179" i="55" s="1"/>
  <c r="G177" i="55"/>
  <c r="G176" i="55"/>
  <c r="G175" i="55"/>
  <c r="F174" i="55"/>
  <c r="G174" i="55" s="1"/>
  <c r="F170" i="55"/>
  <c r="G170" i="55" s="1"/>
  <c r="F169" i="55"/>
  <c r="G169" i="55" s="1"/>
  <c r="F166" i="55"/>
  <c r="G166" i="55" s="1"/>
  <c r="I162" i="55"/>
  <c r="F158" i="55"/>
  <c r="F159" i="55" s="1"/>
  <c r="G159" i="55" s="1"/>
  <c r="G156" i="55"/>
  <c r="G155" i="55"/>
  <c r="G154" i="55"/>
  <c r="F153" i="55"/>
  <c r="G153" i="55" s="1"/>
  <c r="F149" i="55"/>
  <c r="G149" i="55" s="1"/>
  <c r="F148" i="55"/>
  <c r="G148" i="55" s="1"/>
  <c r="F137" i="55"/>
  <c r="G137" i="55" s="1"/>
  <c r="H133" i="55"/>
  <c r="E130" i="55"/>
  <c r="F130" i="55" s="1"/>
  <c r="F129" i="55"/>
  <c r="F128" i="55"/>
  <c r="F127" i="55"/>
  <c r="E124" i="55"/>
  <c r="F124" i="55" s="1"/>
  <c r="E122" i="55"/>
  <c r="F122" i="55" s="1"/>
  <c r="H108" i="55"/>
  <c r="E105" i="55"/>
  <c r="F105" i="55" s="1"/>
  <c r="F104" i="55"/>
  <c r="F103" i="55"/>
  <c r="F102" i="55"/>
  <c r="E99" i="55"/>
  <c r="F99" i="55" s="1"/>
  <c r="E97" i="55"/>
  <c r="F97" i="55" s="1"/>
  <c r="H89" i="55"/>
  <c r="E86" i="55"/>
  <c r="F86" i="55" s="1"/>
  <c r="F85" i="55"/>
  <c r="F84" i="55"/>
  <c r="F83" i="55"/>
  <c r="E80" i="55"/>
  <c r="F80" i="55" s="1"/>
  <c r="F79" i="55"/>
  <c r="F77" i="55"/>
  <c r="H54" i="55"/>
  <c r="E51" i="55"/>
  <c r="F51" i="55" s="1"/>
  <c r="H34" i="55"/>
  <c r="F173" i="67" s="1"/>
  <c r="E31" i="55"/>
  <c r="F31" i="55" s="1"/>
  <c r="F30" i="55"/>
  <c r="F50" i="55" s="1"/>
  <c r="F29" i="55"/>
  <c r="F49" i="55" s="1"/>
  <c r="F28" i="55"/>
  <c r="F48" i="55" s="1"/>
  <c r="E25" i="55"/>
  <c r="E45" i="55" s="1"/>
  <c r="F45" i="55" s="1"/>
  <c r="E20" i="55"/>
  <c r="E40" i="55" s="1"/>
  <c r="F40" i="55" s="1"/>
  <c r="F4" i="58"/>
  <c r="E10" i="58"/>
  <c r="F10" i="58" s="1"/>
  <c r="F18" i="58"/>
  <c r="F21" i="58"/>
  <c r="E22" i="58"/>
  <c r="F22" i="58" s="1"/>
  <c r="H24" i="58"/>
  <c r="H25" i="58"/>
  <c r="U19" i="53"/>
  <c r="U18" i="53"/>
  <c r="R16" i="53"/>
  <c r="S16" i="53" s="1"/>
  <c r="S15" i="53"/>
  <c r="S14" i="53"/>
  <c r="S13" i="53"/>
  <c r="R12" i="53"/>
  <c r="S12" i="53" s="1"/>
  <c r="R11" i="53"/>
  <c r="S11" i="53" s="1"/>
  <c r="E294" i="53"/>
  <c r="D295" i="53"/>
  <c r="E295" i="53" s="1"/>
  <c r="E301" i="53"/>
  <c r="E302" i="53"/>
  <c r="D303" i="53"/>
  <c r="E303" i="53" s="1"/>
  <c r="I306" i="53"/>
  <c r="E26" i="54"/>
  <c r="E25" i="54"/>
  <c r="D23" i="54"/>
  <c r="E23" i="54" s="1"/>
  <c r="D14" i="54"/>
  <c r="E14" i="54" s="1"/>
  <c r="E13" i="54"/>
  <c r="E12" i="54"/>
  <c r="E11" i="54"/>
  <c r="E10" i="54"/>
  <c r="D9" i="54"/>
  <c r="E9" i="54" s="1"/>
  <c r="E7" i="54"/>
  <c r="D5" i="54"/>
  <c r="E5" i="54" s="1"/>
  <c r="E4" i="54"/>
  <c r="D196" i="53"/>
  <c r="E196" i="53" s="1"/>
  <c r="D201" i="53"/>
  <c r="E201" i="53" s="1"/>
  <c r="D202" i="53"/>
  <c r="E202" i="53" s="1"/>
  <c r="E203" i="53"/>
  <c r="E204" i="53"/>
  <c r="E205" i="53"/>
  <c r="D206" i="53"/>
  <c r="E206" i="53" s="1"/>
  <c r="D213" i="53"/>
  <c r="E213" i="53" s="1"/>
  <c r="D218" i="53"/>
  <c r="E218" i="53" s="1"/>
  <c r="E219" i="53"/>
  <c r="E220" i="53"/>
  <c r="E221" i="53"/>
  <c r="E222" i="53"/>
  <c r="D223" i="53"/>
  <c r="E223" i="53" s="1"/>
  <c r="G225" i="53"/>
  <c r="G226" i="53"/>
  <c r="I226" i="53"/>
  <c r="I75" i="11" s="1"/>
  <c r="D230" i="53"/>
  <c r="E230" i="53" s="1"/>
  <c r="D235" i="53"/>
  <c r="E235" i="53" s="1"/>
  <c r="D236" i="53"/>
  <c r="E236" i="53" s="1"/>
  <c r="E237" i="53"/>
  <c r="E238" i="53"/>
  <c r="E239" i="53"/>
  <c r="D240" i="53"/>
  <c r="E240" i="53" s="1"/>
  <c r="G243" i="53"/>
  <c r="F245" i="67" s="1"/>
  <c r="G245" i="67" s="1"/>
  <c r="F247" i="53"/>
  <c r="F248" i="53" s="1"/>
  <c r="G248" i="53" s="1"/>
  <c r="F251" i="53"/>
  <c r="G251" i="53" s="1"/>
  <c r="F252" i="53"/>
  <c r="G252" i="53" s="1"/>
  <c r="F256" i="53"/>
  <c r="G256" i="53" s="1"/>
  <c r="G257" i="53"/>
  <c r="G258" i="53"/>
  <c r="G259" i="53"/>
  <c r="F260" i="53"/>
  <c r="F261" i="53" s="1"/>
  <c r="G261" i="53" s="1"/>
  <c r="I264" i="53"/>
  <c r="E268" i="53"/>
  <c r="F268" i="53" s="1"/>
  <c r="E275" i="53"/>
  <c r="F275" i="53" s="1"/>
  <c r="F276" i="53"/>
  <c r="F277" i="53"/>
  <c r="F278" i="53"/>
  <c r="E279" i="53"/>
  <c r="F279" i="53" s="1"/>
  <c r="H282" i="53"/>
  <c r="E155" i="53"/>
  <c r="E156" i="53" s="1"/>
  <c r="F156" i="53" s="1"/>
  <c r="E159" i="53"/>
  <c r="F159" i="53" s="1"/>
  <c r="E162" i="53"/>
  <c r="F162" i="53" s="1"/>
  <c r="F165" i="53"/>
  <c r="F166" i="53"/>
  <c r="F167" i="53"/>
  <c r="E168" i="53"/>
  <c r="F168" i="53" s="1"/>
  <c r="H172" i="53"/>
  <c r="E176" i="53"/>
  <c r="F176" i="53" s="1"/>
  <c r="E180" i="53"/>
  <c r="F180" i="53" s="1"/>
  <c r="E183" i="53"/>
  <c r="F183" i="53" s="1"/>
  <c r="F186" i="53"/>
  <c r="F187" i="53"/>
  <c r="F188" i="53"/>
  <c r="E189" i="53"/>
  <c r="E190" i="53" s="1"/>
  <c r="F190" i="53" s="1"/>
  <c r="F144" i="53"/>
  <c r="F145" i="53"/>
  <c r="F146" i="53"/>
  <c r="E147" i="53"/>
  <c r="F147" i="53" s="1"/>
  <c r="E122" i="53"/>
  <c r="F122" i="53" s="1"/>
  <c r="E115" i="53"/>
  <c r="F115" i="53" s="1"/>
  <c r="E114" i="53"/>
  <c r="F114" i="53" s="1"/>
  <c r="E112" i="53"/>
  <c r="G107" i="53"/>
  <c r="D103" i="53"/>
  <c r="E103" i="53" s="1"/>
  <c r="E102" i="53"/>
  <c r="E101" i="53"/>
  <c r="E100" i="53"/>
  <c r="E99" i="53"/>
  <c r="D98" i="53"/>
  <c r="E98" i="53" s="1"/>
  <c r="D94" i="53"/>
  <c r="E94" i="53" s="1"/>
  <c r="H90" i="53"/>
  <c r="E87" i="53"/>
  <c r="F87" i="53" s="1"/>
  <c r="F86" i="53"/>
  <c r="F85" i="53"/>
  <c r="F84" i="53"/>
  <c r="E83" i="53"/>
  <c r="F83" i="53" s="1"/>
  <c r="E80" i="53"/>
  <c r="F80" i="53" s="1"/>
  <c r="E76" i="53"/>
  <c r="F76" i="53" s="1"/>
  <c r="E58" i="53"/>
  <c r="F58" i="53" s="1"/>
  <c r="E62" i="53"/>
  <c r="F62" i="53" s="1"/>
  <c r="E65" i="53"/>
  <c r="F65" i="53" s="1"/>
  <c r="F66" i="53"/>
  <c r="F67" i="53"/>
  <c r="F68" i="53"/>
  <c r="E69" i="53"/>
  <c r="F69" i="53" s="1"/>
  <c r="H72" i="53"/>
  <c r="F42" i="53"/>
  <c r="E43" i="53"/>
  <c r="F43" i="53" s="1"/>
  <c r="F44" i="53"/>
  <c r="F45" i="53"/>
  <c r="F48" i="53"/>
  <c r="F49" i="53"/>
  <c r="F50" i="53"/>
  <c r="E51" i="53"/>
  <c r="F51" i="53" s="1"/>
  <c r="H54" i="53"/>
  <c r="G36" i="53"/>
  <c r="G35" i="53"/>
  <c r="G34" i="53"/>
  <c r="G33" i="53"/>
  <c r="F32" i="53"/>
  <c r="G32" i="53" s="1"/>
  <c r="F29" i="53"/>
  <c r="G29" i="53" s="1"/>
  <c r="G25" i="53"/>
  <c r="H21" i="53"/>
  <c r="F235" i="67" s="1"/>
  <c r="E18" i="53"/>
  <c r="F18" i="53" s="1"/>
  <c r="F17" i="53"/>
  <c r="F16" i="53"/>
  <c r="F15" i="53"/>
  <c r="E12" i="53"/>
  <c r="F12" i="53" s="1"/>
  <c r="E7" i="53"/>
  <c r="E8" i="53" s="1"/>
  <c r="F8" i="53" s="1"/>
  <c r="E6" i="53"/>
  <c r="F6" i="53" s="1"/>
  <c r="F172" i="67" l="1"/>
  <c r="F174" i="67"/>
  <c r="F175" i="67" s="1"/>
  <c r="L286" i="67"/>
  <c r="M286" i="67" s="1"/>
  <c r="M285" i="67"/>
  <c r="F61" i="67"/>
  <c r="G61" i="67" s="1"/>
  <c r="D27" i="66"/>
  <c r="F63" i="67"/>
  <c r="G63" i="67" s="1"/>
  <c r="F62" i="67"/>
  <c r="G62" i="67" s="1"/>
  <c r="F187" i="67"/>
  <c r="G187" i="67" s="1"/>
  <c r="I65" i="66"/>
  <c r="I43" i="66"/>
  <c r="F169" i="67"/>
  <c r="G169" i="67" s="1"/>
  <c r="F177" i="67"/>
  <c r="G177" i="67" s="1"/>
  <c r="I60" i="66"/>
  <c r="I46" i="66"/>
  <c r="F170" i="67"/>
  <c r="F261" i="67"/>
  <c r="G261" i="67" s="1"/>
  <c r="H7" i="66"/>
  <c r="I8" i="66"/>
  <c r="D29" i="66"/>
  <c r="F65" i="67"/>
  <c r="G65" i="67" s="1"/>
  <c r="F223" i="67"/>
  <c r="G223" i="67" s="1"/>
  <c r="F222" i="67"/>
  <c r="G222" i="67" s="1"/>
  <c r="F224" i="67"/>
  <c r="G224" i="67" s="1"/>
  <c r="F225" i="67"/>
  <c r="G225" i="67" s="1"/>
  <c r="I27" i="66"/>
  <c r="F253" i="67"/>
  <c r="G253" i="67" s="1"/>
  <c r="F255" i="67"/>
  <c r="G255" i="67" s="1"/>
  <c r="F256" i="67"/>
  <c r="G256" i="67" s="1"/>
  <c r="F254" i="67"/>
  <c r="G254" i="67" s="1"/>
  <c r="D102" i="66"/>
  <c r="I62" i="66"/>
  <c r="F184" i="67"/>
  <c r="G184" i="67" s="1"/>
  <c r="I69" i="66"/>
  <c r="F188" i="67"/>
  <c r="I61" i="66"/>
  <c r="F183" i="67"/>
  <c r="G183" i="67" s="1"/>
  <c r="F79" i="67"/>
  <c r="G79" i="67" s="1"/>
  <c r="D40" i="66"/>
  <c r="D57" i="66"/>
  <c r="F93" i="67"/>
  <c r="G93" i="67" s="1"/>
  <c r="G173" i="67"/>
  <c r="I55" i="66"/>
  <c r="I50" i="66"/>
  <c r="F171" i="67"/>
  <c r="F246" i="67"/>
  <c r="G246" i="67" s="1"/>
  <c r="I79" i="66"/>
  <c r="F257" i="67"/>
  <c r="F258" i="67" s="1"/>
  <c r="F259" i="67" s="1"/>
  <c r="F260" i="67" s="1"/>
  <c r="I3" i="66"/>
  <c r="F71" i="67"/>
  <c r="G71" i="67" s="1"/>
  <c r="D34" i="66"/>
  <c r="I6" i="66"/>
  <c r="F268" i="67"/>
  <c r="G268" i="67" s="1"/>
  <c r="F267" i="67"/>
  <c r="G267" i="67" s="1"/>
  <c r="F214" i="67"/>
  <c r="G214" i="67" s="1"/>
  <c r="I49" i="66"/>
  <c r="I7" i="66"/>
  <c r="F269" i="67"/>
  <c r="G269" i="67" s="1"/>
  <c r="F168" i="67"/>
  <c r="G168" i="67" s="1"/>
  <c r="I41" i="66"/>
  <c r="I76" i="66"/>
  <c r="I77" i="66" s="1"/>
  <c r="F193" i="67"/>
  <c r="G193" i="67" s="1"/>
  <c r="F191" i="67"/>
  <c r="G191" i="67" s="1"/>
  <c r="I72" i="66"/>
  <c r="F179" i="67"/>
  <c r="G179" i="67" s="1"/>
  <c r="F181" i="67"/>
  <c r="G181" i="67" s="1"/>
  <c r="I59" i="66"/>
  <c r="F178" i="67"/>
  <c r="G178" i="67" s="1"/>
  <c r="F48" i="67"/>
  <c r="G48" i="67" s="1"/>
  <c r="D15" i="66"/>
  <c r="I68" i="66"/>
  <c r="F233" i="67"/>
  <c r="G233" i="67" s="1"/>
  <c r="F238" i="67"/>
  <c r="G238" i="67" s="1"/>
  <c r="I73" i="66"/>
  <c r="I45" i="66"/>
  <c r="F249" i="67"/>
  <c r="G249" i="67" s="1"/>
  <c r="I44" i="66"/>
  <c r="F209" i="67"/>
  <c r="G209" i="67" s="1"/>
  <c r="I44" i="11"/>
  <c r="I71" i="66"/>
  <c r="F237" i="67"/>
  <c r="G237" i="67" s="1"/>
  <c r="F205" i="67"/>
  <c r="G205" i="67" s="1"/>
  <c r="I39" i="66"/>
  <c r="F234" i="67"/>
  <c r="I70" i="66"/>
  <c r="F208" i="67"/>
  <c r="G208" i="67" s="1"/>
  <c r="I42" i="66"/>
  <c r="I78" i="66" s="1"/>
  <c r="I40" i="66"/>
  <c r="F248" i="67"/>
  <c r="G248" i="67" s="1"/>
  <c r="I51" i="66"/>
  <c r="F213" i="67"/>
  <c r="G213" i="67" s="1"/>
  <c r="I75" i="66"/>
  <c r="F252" i="67"/>
  <c r="G252" i="67" s="1"/>
  <c r="I115" i="66"/>
  <c r="F241" i="67"/>
  <c r="G241" i="67" s="1"/>
  <c r="S99" i="53"/>
  <c r="G260" i="53"/>
  <c r="F189" i="53"/>
  <c r="E113" i="53"/>
  <c r="F113" i="53" s="1"/>
  <c r="F279" i="52"/>
  <c r="G279" i="52" s="1"/>
  <c r="D353" i="55"/>
  <c r="E353" i="55" s="1"/>
  <c r="F119" i="56"/>
  <c r="F201" i="55"/>
  <c r="G201" i="55" s="1"/>
  <c r="F263" i="55"/>
  <c r="F138" i="55"/>
  <c r="F139" i="55" s="1"/>
  <c r="G139" i="55" s="1"/>
  <c r="E292" i="55"/>
  <c r="F292" i="55" s="1"/>
  <c r="F209" i="55"/>
  <c r="G209" i="55" s="1"/>
  <c r="D27" i="54"/>
  <c r="E27" i="54" s="1"/>
  <c r="G59" i="66" s="1"/>
  <c r="E177" i="53"/>
  <c r="F177" i="53" s="1"/>
  <c r="F155" i="53"/>
  <c r="E148" i="53"/>
  <c r="F148" i="53" s="1"/>
  <c r="E169" i="53"/>
  <c r="F169" i="53" s="1"/>
  <c r="F112" i="53"/>
  <c r="G247" i="53"/>
  <c r="F7" i="53"/>
  <c r="D104" i="53"/>
  <c r="E104" i="53" s="1"/>
  <c r="E269" i="53"/>
  <c r="F269" i="53" s="1"/>
  <c r="F188" i="55"/>
  <c r="G188" i="55" s="1"/>
  <c r="G187" i="55"/>
  <c r="G158" i="55"/>
  <c r="G178" i="55"/>
  <c r="G186" i="55"/>
  <c r="E21" i="55"/>
  <c r="E41" i="55" s="1"/>
  <c r="F41" i="55" s="1"/>
  <c r="F25" i="55"/>
  <c r="F20" i="55"/>
  <c r="G188" i="67" l="1"/>
  <c r="F189" i="67"/>
  <c r="F190" i="67" s="1"/>
  <c r="G190" i="67" s="1"/>
  <c r="F236" i="67"/>
  <c r="G236" i="67" s="1"/>
  <c r="G234" i="67"/>
  <c r="G257" i="67"/>
  <c r="G172" i="67"/>
  <c r="G170" i="67"/>
  <c r="G171" i="67"/>
  <c r="F271" i="67"/>
  <c r="G271" i="67" s="1"/>
  <c r="F270" i="67"/>
  <c r="G270" i="67" s="1"/>
  <c r="F180" i="67"/>
  <c r="G180" i="67" s="1"/>
  <c r="F182" i="67"/>
  <c r="G182" i="67" s="1"/>
  <c r="G258" i="67"/>
  <c r="G235" i="67"/>
  <c r="F120" i="56"/>
  <c r="G120" i="56" s="1"/>
  <c r="L83" i="67"/>
  <c r="M83" i="67" s="1"/>
  <c r="L214" i="67"/>
  <c r="M214" i="67" s="1"/>
  <c r="G138" i="55"/>
  <c r="F210" i="55"/>
  <c r="G210" i="55" s="1"/>
  <c r="F21" i="55"/>
  <c r="G189" i="67" l="1"/>
  <c r="G175" i="67"/>
  <c r="G174" i="67"/>
  <c r="G265" i="67"/>
  <c r="G260" i="67"/>
  <c r="G266" i="67"/>
  <c r="G259" i="67"/>
  <c r="R100" i="51"/>
  <c r="R99" i="51"/>
  <c r="R98" i="51"/>
  <c r="R96" i="51"/>
  <c r="Q95" i="51"/>
  <c r="R95" i="51" s="1"/>
  <c r="Q82" i="51"/>
  <c r="R82" i="51" s="1"/>
  <c r="Q83" i="51"/>
  <c r="R83" i="51" s="1"/>
  <c r="R85" i="51"/>
  <c r="R86" i="51"/>
  <c r="R87" i="51"/>
  <c r="Q88" i="51"/>
  <c r="R88" i="51" s="1"/>
  <c r="T91" i="51"/>
  <c r="Q35" i="51"/>
  <c r="R35" i="51" s="1"/>
  <c r="R36" i="51"/>
  <c r="R40" i="51"/>
  <c r="R41" i="51"/>
  <c r="R42" i="51"/>
  <c r="Q43" i="51"/>
  <c r="R43" i="51" s="1"/>
  <c r="T46" i="51"/>
  <c r="R106" i="51"/>
  <c r="R108" i="51"/>
  <c r="Q110" i="51"/>
  <c r="R110" i="51" s="1"/>
  <c r="R111" i="51"/>
  <c r="R112" i="51"/>
  <c r="Q114" i="51"/>
  <c r="R114" i="51" s="1"/>
  <c r="E74" i="51"/>
  <c r="D75" i="51"/>
  <c r="E75" i="51" s="1"/>
  <c r="E77" i="51"/>
  <c r="E78" i="51"/>
  <c r="D79" i="51"/>
  <c r="E79" i="51" s="1"/>
  <c r="G82" i="51"/>
  <c r="E52" i="51"/>
  <c r="E53" i="51"/>
  <c r="G59" i="51"/>
  <c r="D63" i="51"/>
  <c r="E63" i="51" s="1"/>
  <c r="E65" i="51"/>
  <c r="E66" i="51"/>
  <c r="E67" i="51"/>
  <c r="G70" i="51"/>
  <c r="Q56" i="51"/>
  <c r="R56" i="51" s="1"/>
  <c r="R55" i="51"/>
  <c r="R54" i="51"/>
  <c r="R53" i="51"/>
  <c r="Q50" i="51"/>
  <c r="R50" i="51" s="1"/>
  <c r="Q74" i="51"/>
  <c r="R74" i="51" s="1"/>
  <c r="R73" i="51"/>
  <c r="R72" i="51"/>
  <c r="R71" i="51"/>
  <c r="Q66" i="51"/>
  <c r="R66" i="51" s="1"/>
  <c r="Q65" i="51"/>
  <c r="R65" i="51" s="1"/>
  <c r="Q28" i="51"/>
  <c r="R28" i="51" s="1"/>
  <c r="R27" i="51"/>
  <c r="R26" i="51"/>
  <c r="R25" i="51"/>
  <c r="R22" i="51"/>
  <c r="Q21" i="51"/>
  <c r="R21" i="51" s="1"/>
  <c r="Q15" i="51"/>
  <c r="R15" i="51" s="1"/>
  <c r="R14" i="51"/>
  <c r="R13" i="51"/>
  <c r="R12" i="51"/>
  <c r="Q9" i="51"/>
  <c r="R9" i="51" s="1"/>
  <c r="Q7" i="51"/>
  <c r="R7" i="51" s="1"/>
  <c r="Q6" i="51"/>
  <c r="R6" i="51" s="1"/>
  <c r="E22" i="51"/>
  <c r="D18" i="51"/>
  <c r="E18" i="51" s="1"/>
  <c r="D42" i="51"/>
  <c r="E42" i="51" s="1"/>
  <c r="E43" i="51"/>
  <c r="E44" i="51"/>
  <c r="E45" i="51"/>
  <c r="G48" i="51"/>
  <c r="I48" i="51"/>
  <c r="E30" i="51"/>
  <c r="E32" i="51"/>
  <c r="E33" i="51"/>
  <c r="E34" i="51"/>
  <c r="D35" i="51"/>
  <c r="E35" i="51" s="1"/>
  <c r="G38" i="51"/>
  <c r="I38" i="51"/>
  <c r="D6" i="51"/>
  <c r="E6" i="51" s="1"/>
  <c r="E8" i="51"/>
  <c r="E9" i="51"/>
  <c r="E10" i="51"/>
  <c r="D11" i="51"/>
  <c r="E11" i="51" s="1"/>
  <c r="G14" i="51"/>
  <c r="AL40" i="50"/>
  <c r="AL39" i="50"/>
  <c r="AL31" i="50"/>
  <c r="AL32" i="50"/>
  <c r="AL24" i="50"/>
  <c r="AL23" i="50"/>
  <c r="AL16" i="50"/>
  <c r="AL15" i="50"/>
  <c r="AL8" i="50"/>
  <c r="AL7" i="50"/>
  <c r="AB47" i="50"/>
  <c r="AB48" i="50"/>
  <c r="AD51" i="50"/>
  <c r="F34" i="67" s="1"/>
  <c r="G34" i="67" s="1"/>
  <c r="AB58" i="50"/>
  <c r="AB59" i="50"/>
  <c r="AB36" i="50"/>
  <c r="AB37" i="50"/>
  <c r="AD40" i="50"/>
  <c r="F35" i="67" s="1"/>
  <c r="G35" i="67" s="1"/>
  <c r="AA19" i="50"/>
  <c r="AB19" i="50" s="1"/>
  <c r="AB22" i="50"/>
  <c r="AB23" i="50"/>
  <c r="AD26" i="50"/>
  <c r="F36" i="67" s="1"/>
  <c r="G36" i="67" s="1"/>
  <c r="AD15" i="50"/>
  <c r="AB12" i="50"/>
  <c r="AB11" i="50"/>
  <c r="R57" i="50"/>
  <c r="R56" i="50"/>
  <c r="Q141" i="50"/>
  <c r="R141" i="50" s="1"/>
  <c r="R142" i="50"/>
  <c r="R150" i="50"/>
  <c r="R151" i="50"/>
  <c r="Q158" i="50"/>
  <c r="R158" i="50" s="1"/>
  <c r="R159" i="50"/>
  <c r="Q130" i="50"/>
  <c r="R130" i="50" s="1"/>
  <c r="Q131" i="50"/>
  <c r="R131" i="50" s="1"/>
  <c r="R132" i="50"/>
  <c r="R133" i="50"/>
  <c r="Q134" i="50"/>
  <c r="R134" i="50" s="1"/>
  <c r="R111" i="50"/>
  <c r="R112" i="50"/>
  <c r="T115" i="50"/>
  <c r="F125" i="67" s="1"/>
  <c r="G125" i="67" s="1"/>
  <c r="R121" i="50"/>
  <c r="R122" i="50"/>
  <c r="T125" i="50"/>
  <c r="R103" i="50"/>
  <c r="R102" i="50"/>
  <c r="R94" i="50"/>
  <c r="R93" i="50"/>
  <c r="T16" i="50"/>
  <c r="Q13" i="50"/>
  <c r="R13" i="50" s="1"/>
  <c r="R12" i="50"/>
  <c r="R11" i="50"/>
  <c r="Q82" i="50"/>
  <c r="R82" i="50" s="1"/>
  <c r="R75" i="50"/>
  <c r="R74" i="50"/>
  <c r="Q73" i="50"/>
  <c r="R73" i="50" s="1"/>
  <c r="Q566" i="50"/>
  <c r="R566" i="50" s="1"/>
  <c r="R565" i="50"/>
  <c r="R66" i="50"/>
  <c r="R65" i="50"/>
  <c r="Q64" i="50"/>
  <c r="R64" i="50" s="1"/>
  <c r="R48" i="50"/>
  <c r="R46" i="50"/>
  <c r="Q38" i="50"/>
  <c r="R38" i="50" s="1"/>
  <c r="R37" i="50"/>
  <c r="Q36" i="50"/>
  <c r="R36" i="50" s="1"/>
  <c r="F128" i="67"/>
  <c r="G128" i="67" s="1"/>
  <c r="R27" i="50"/>
  <c r="R26" i="50"/>
  <c r="Q21" i="50"/>
  <c r="R21" i="50" s="1"/>
  <c r="F383" i="50"/>
  <c r="F384" i="50"/>
  <c r="E385" i="50"/>
  <c r="F385" i="50" s="1"/>
  <c r="H388" i="50"/>
  <c r="E364" i="50"/>
  <c r="E368" i="50"/>
  <c r="E369" i="50"/>
  <c r="D370" i="50"/>
  <c r="E370" i="50" s="1"/>
  <c r="E392" i="50"/>
  <c r="F392" i="50" s="1"/>
  <c r="F395" i="50"/>
  <c r="F396" i="50"/>
  <c r="E397" i="50"/>
  <c r="F397" i="50" s="1"/>
  <c r="E404" i="50"/>
  <c r="F404" i="50" s="1"/>
  <c r="F408" i="50"/>
  <c r="F409" i="50"/>
  <c r="E410" i="50"/>
  <c r="F410" i="50" s="1"/>
  <c r="H413" i="50"/>
  <c r="D323" i="50"/>
  <c r="E323" i="50" s="1"/>
  <c r="D327" i="50"/>
  <c r="E327" i="50" s="1"/>
  <c r="E328" i="50"/>
  <c r="E329" i="50"/>
  <c r="D330" i="50"/>
  <c r="E330" i="50" s="1"/>
  <c r="E314" i="50"/>
  <c r="D316" i="50"/>
  <c r="E316" i="50" s="1"/>
  <c r="G319" i="50"/>
  <c r="E294" i="50"/>
  <c r="F294" i="50" s="1"/>
  <c r="F296" i="50"/>
  <c r="F301" i="50"/>
  <c r="F302" i="50"/>
  <c r="E303" i="50"/>
  <c r="F303" i="50" s="1"/>
  <c r="E281" i="50"/>
  <c r="E283" i="50"/>
  <c r="D285" i="50"/>
  <c r="E285" i="50" s="1"/>
  <c r="G288" i="50"/>
  <c r="D267" i="50"/>
  <c r="E267" i="50" s="1"/>
  <c r="D269" i="50"/>
  <c r="E269" i="50" s="1"/>
  <c r="E271" i="50"/>
  <c r="E272" i="50"/>
  <c r="D273" i="50"/>
  <c r="E273" i="50" s="1"/>
  <c r="G276" i="50"/>
  <c r="D256" i="50"/>
  <c r="E256" i="50" s="1"/>
  <c r="E260" i="50"/>
  <c r="D261" i="50"/>
  <c r="E261" i="50" s="1"/>
  <c r="G264" i="50"/>
  <c r="F337" i="50"/>
  <c r="F340" i="50"/>
  <c r="F341" i="50"/>
  <c r="E342" i="50"/>
  <c r="F342" i="50" s="1"/>
  <c r="H345" i="50"/>
  <c r="E54" i="50"/>
  <c r="E53" i="50"/>
  <c r="D52" i="50"/>
  <c r="E52" i="50" s="1"/>
  <c r="E355" i="50"/>
  <c r="E356" i="50"/>
  <c r="D357" i="50"/>
  <c r="E357" i="50" s="1"/>
  <c r="G360" i="50"/>
  <c r="D179" i="50"/>
  <c r="E179" i="50" s="1"/>
  <c r="E180" i="50"/>
  <c r="E181" i="50"/>
  <c r="D182" i="50"/>
  <c r="E182" i="50" s="1"/>
  <c r="G185" i="50"/>
  <c r="D201" i="50"/>
  <c r="E201" i="50" s="1"/>
  <c r="E205" i="50"/>
  <c r="D207" i="50"/>
  <c r="E207" i="50" s="1"/>
  <c r="E884" i="13"/>
  <c r="F884" i="13" s="1"/>
  <c r="F883" i="13"/>
  <c r="F882" i="13"/>
  <c r="F881" i="13"/>
  <c r="E877" i="13"/>
  <c r="F877" i="13" s="1"/>
  <c r="E874" i="13"/>
  <c r="F874" i="13" s="1"/>
  <c r="E873" i="13"/>
  <c r="F873" i="13" s="1"/>
  <c r="H887" i="13"/>
  <c r="F46" i="50"/>
  <c r="F45" i="50"/>
  <c r="E44" i="50"/>
  <c r="F44" i="50" s="1"/>
  <c r="D34" i="50"/>
  <c r="E144" i="50"/>
  <c r="G111" i="50"/>
  <c r="E108" i="50"/>
  <c r="E107" i="50"/>
  <c r="D106" i="50"/>
  <c r="E106" i="50" s="1"/>
  <c r="G102" i="50"/>
  <c r="E99" i="50"/>
  <c r="E98" i="50"/>
  <c r="D97" i="50"/>
  <c r="E97" i="50" s="1"/>
  <c r="G93" i="50"/>
  <c r="E90" i="50"/>
  <c r="E89" i="50"/>
  <c r="D88" i="50"/>
  <c r="E88" i="50" s="1"/>
  <c r="E170" i="50"/>
  <c r="E171" i="50"/>
  <c r="G174" i="50"/>
  <c r="F161" i="50"/>
  <c r="F160" i="50"/>
  <c r="F126" i="50"/>
  <c r="F125" i="50"/>
  <c r="E124" i="50"/>
  <c r="F124" i="50" s="1"/>
  <c r="E153" i="50"/>
  <c r="E152" i="50"/>
  <c r="D151" i="50"/>
  <c r="E151" i="50" s="1"/>
  <c r="E135" i="50"/>
  <c r="E134" i="50"/>
  <c r="D84" i="50"/>
  <c r="E28" i="50"/>
  <c r="E27" i="50"/>
  <c r="E26" i="50"/>
  <c r="F117" i="50"/>
  <c r="F116" i="50"/>
  <c r="F115" i="50"/>
  <c r="F244" i="50"/>
  <c r="F247" i="50"/>
  <c r="D26" i="66"/>
  <c r="E216" i="50"/>
  <c r="F216" i="50" s="1"/>
  <c r="F219" i="50"/>
  <c r="F220" i="50"/>
  <c r="E221" i="50"/>
  <c r="F221" i="50" s="1"/>
  <c r="H224" i="50"/>
  <c r="F73" i="67" l="1"/>
  <c r="G73" i="67" s="1"/>
  <c r="D63" i="66"/>
  <c r="F120" i="67"/>
  <c r="G120" i="67" s="1"/>
  <c r="F116" i="67"/>
  <c r="G116" i="67" s="1"/>
  <c r="F112" i="67"/>
  <c r="G112" i="67" s="1"/>
  <c r="F108" i="67"/>
  <c r="G108" i="67" s="1"/>
  <c r="F104" i="67"/>
  <c r="G104" i="67" s="1"/>
  <c r="F100" i="67"/>
  <c r="G100" i="67" s="1"/>
  <c r="F119" i="67"/>
  <c r="G119" i="67" s="1"/>
  <c r="F115" i="67"/>
  <c r="G115" i="67" s="1"/>
  <c r="F111" i="67"/>
  <c r="G111" i="67" s="1"/>
  <c r="F107" i="67"/>
  <c r="G107" i="67" s="1"/>
  <c r="F103" i="67"/>
  <c r="G103" i="67" s="1"/>
  <c r="F99" i="67"/>
  <c r="G99" i="67" s="1"/>
  <c r="F118" i="67"/>
  <c r="G118" i="67" s="1"/>
  <c r="F114" i="67"/>
  <c r="G114" i="67" s="1"/>
  <c r="F110" i="67"/>
  <c r="G110" i="67" s="1"/>
  <c r="F106" i="67"/>
  <c r="G106" i="67" s="1"/>
  <c r="F102" i="67"/>
  <c r="G102" i="67" s="1"/>
  <c r="F98" i="67"/>
  <c r="G98" i="67" s="1"/>
  <c r="F109" i="67"/>
  <c r="G109" i="67" s="1"/>
  <c r="F121" i="67"/>
  <c r="G121" i="67" s="1"/>
  <c r="F105" i="67"/>
  <c r="G105" i="67" s="1"/>
  <c r="F113" i="67"/>
  <c r="G113" i="67" s="1"/>
  <c r="F117" i="67"/>
  <c r="G117" i="67" s="1"/>
  <c r="F101" i="67"/>
  <c r="G101" i="67" s="1"/>
  <c r="I14" i="66"/>
  <c r="F199" i="67"/>
  <c r="G199" i="67" s="1"/>
  <c r="D21" i="66"/>
  <c r="F54" i="67"/>
  <c r="G54" i="67" s="1"/>
  <c r="D12" i="66"/>
  <c r="F47" i="67"/>
  <c r="G47" i="67" s="1"/>
  <c r="D11" i="66"/>
  <c r="F68" i="67"/>
  <c r="G68" i="67" s="1"/>
  <c r="F44" i="67"/>
  <c r="G44" i="67" s="1"/>
  <c r="D41" i="66"/>
  <c r="F80" i="67"/>
  <c r="G80" i="67" s="1"/>
  <c r="F196" i="67"/>
  <c r="G196" i="67" s="1"/>
  <c r="I12" i="66"/>
  <c r="F227" i="67"/>
  <c r="G227" i="67" s="1"/>
  <c r="I28" i="66"/>
  <c r="D16" i="66"/>
  <c r="F49" i="67"/>
  <c r="G49" i="67" s="1"/>
  <c r="D83" i="11"/>
  <c r="F141" i="67"/>
  <c r="G141" i="67" s="1"/>
  <c r="F140" i="67"/>
  <c r="G140" i="67" s="1"/>
  <c r="F97" i="67"/>
  <c r="G97" i="67" s="1"/>
  <c r="F142" i="67"/>
  <c r="G142" i="67" s="1"/>
  <c r="F203" i="67"/>
  <c r="G203" i="67" s="1"/>
  <c r="I18" i="66"/>
  <c r="D54" i="66"/>
  <c r="F88" i="67"/>
  <c r="G88" i="67" s="1"/>
  <c r="D8" i="66"/>
  <c r="F42" i="67"/>
  <c r="G42" i="67" s="1"/>
  <c r="F202" i="67"/>
  <c r="G202" i="67" s="1"/>
  <c r="I16" i="66"/>
  <c r="I23" i="66"/>
  <c r="F207" i="67"/>
  <c r="G207" i="67" s="1"/>
  <c r="D10" i="66"/>
  <c r="F41" i="67"/>
  <c r="G41" i="67" s="1"/>
  <c r="D5" i="66"/>
  <c r="F38" i="67"/>
  <c r="G38" i="67" s="1"/>
  <c r="D36" i="66"/>
  <c r="D37" i="66" s="1"/>
  <c r="F74" i="67"/>
  <c r="G74" i="67" s="1"/>
  <c r="F72" i="67"/>
  <c r="G72" i="67" s="1"/>
  <c r="D14" i="66"/>
  <c r="F45" i="67"/>
  <c r="G45" i="67" s="1"/>
  <c r="D91" i="66"/>
  <c r="D92" i="66" s="1"/>
  <c r="D93" i="66" s="1"/>
  <c r="D94" i="66" s="1"/>
  <c r="F33" i="67"/>
  <c r="G33" i="67" s="1"/>
  <c r="F198" i="67"/>
  <c r="G198" i="67" s="1"/>
  <c r="I13" i="66"/>
  <c r="I15" i="66"/>
  <c r="I17" i="66" s="1"/>
  <c r="F200" i="67"/>
  <c r="G200" i="67" s="1"/>
  <c r="I19" i="11"/>
  <c r="I19" i="66"/>
  <c r="F204" i="67"/>
  <c r="G204" i="67" s="1"/>
  <c r="D36" i="11"/>
  <c r="D35" i="66"/>
  <c r="D69" i="11"/>
  <c r="D68" i="66"/>
  <c r="D31" i="11"/>
  <c r="D31" i="66"/>
  <c r="D71" i="11"/>
  <c r="D70" i="66"/>
  <c r="E57" i="51"/>
  <c r="Q115" i="51"/>
  <c r="R115" i="51" s="1"/>
  <c r="E46" i="51"/>
  <c r="E55" i="50"/>
  <c r="F47" i="50"/>
  <c r="E100" i="50"/>
  <c r="E109" i="50"/>
  <c r="F127" i="50"/>
  <c r="E91" i="50"/>
  <c r="E154" i="50"/>
  <c r="E29" i="50"/>
  <c r="F118" i="50"/>
  <c r="F89" i="67"/>
  <c r="G89" i="67" s="1"/>
  <c r="E11" i="50"/>
  <c r="H197" i="50"/>
  <c r="E194" i="50"/>
  <c r="F194" i="50" s="1"/>
  <c r="F192" i="50"/>
  <c r="E189" i="50"/>
  <c r="F189" i="50" s="1"/>
  <c r="H240" i="50"/>
  <c r="F237" i="50"/>
  <c r="F236" i="50"/>
  <c r="F235" i="50"/>
  <c r="E228" i="50"/>
  <c r="F228" i="50" s="1"/>
  <c r="D75" i="50"/>
  <c r="C81" i="50"/>
  <c r="C72" i="50"/>
  <c r="C80" i="50"/>
  <c r="C71" i="50"/>
  <c r="C70" i="50"/>
  <c r="C61" i="50"/>
  <c r="C62" i="50"/>
  <c r="C63" i="50"/>
  <c r="D66" i="50"/>
  <c r="E66" i="50"/>
  <c r="D46" i="66" s="1"/>
  <c r="F40" i="50"/>
  <c r="E40" i="50"/>
  <c r="D37" i="50"/>
  <c r="D8" i="50" s="1"/>
  <c r="D36" i="50"/>
  <c r="D7" i="50" s="1"/>
  <c r="E58" i="51" l="1"/>
  <c r="F58" i="51" s="1"/>
  <c r="L199" i="67"/>
  <c r="M199" i="67" s="1"/>
  <c r="D43" i="66"/>
  <c r="F81" i="67"/>
  <c r="G81" i="67" s="1"/>
  <c r="D53" i="66"/>
  <c r="F90" i="67"/>
  <c r="G90" i="67" s="1"/>
  <c r="D23" i="66"/>
  <c r="F56" i="67"/>
  <c r="G56" i="67" s="1"/>
  <c r="D32" i="66"/>
  <c r="F69" i="67"/>
  <c r="G69" i="67" s="1"/>
  <c r="E101" i="50"/>
  <c r="F101" i="50" s="1"/>
  <c r="L68" i="67"/>
  <c r="M68" i="67" s="1"/>
  <c r="L31" i="67"/>
  <c r="M31" i="67" s="1"/>
  <c r="L30" i="67"/>
  <c r="M30" i="67" s="1"/>
  <c r="L32" i="67"/>
  <c r="M32" i="67" s="1"/>
  <c r="F119" i="50"/>
  <c r="G119" i="50" s="1"/>
  <c r="L86" i="67"/>
  <c r="M86" i="67" s="1"/>
  <c r="L85" i="67"/>
  <c r="M85" i="67" s="1"/>
  <c r="L87" i="67"/>
  <c r="M87" i="67" s="1"/>
  <c r="E56" i="50"/>
  <c r="F56" i="50" s="1"/>
  <c r="L55" i="67"/>
  <c r="M55" i="67" s="1"/>
  <c r="E110" i="50"/>
  <c r="F110" i="50" s="1"/>
  <c r="L41" i="67"/>
  <c r="M41" i="67" s="1"/>
  <c r="E47" i="51"/>
  <c r="G16" i="66" s="1"/>
  <c r="F46" i="51"/>
  <c r="L202" i="67" s="1"/>
  <c r="M202" i="67" s="1"/>
  <c r="E30" i="50"/>
  <c r="F30" i="50" s="1"/>
  <c r="L91" i="67"/>
  <c r="M91" i="67" s="1"/>
  <c r="E155" i="50"/>
  <c r="F155" i="50" s="1"/>
  <c r="L66" i="67"/>
  <c r="M66" i="67" s="1"/>
  <c r="L77" i="67"/>
  <c r="M77" i="67" s="1"/>
  <c r="E92" i="50"/>
  <c r="F92" i="50" s="1"/>
  <c r="L44" i="67"/>
  <c r="M44" i="67" s="1"/>
  <c r="L47" i="67"/>
  <c r="M47" i="67" s="1"/>
  <c r="F128" i="50"/>
  <c r="G128" i="50" s="1"/>
  <c r="L84" i="67"/>
  <c r="M84" i="67" s="1"/>
  <c r="L46" i="67"/>
  <c r="M46" i="67" s="1"/>
  <c r="D52" i="11"/>
  <c r="D51" i="66"/>
  <c r="F48" i="50"/>
  <c r="G48" i="50" s="1"/>
  <c r="C64" i="50"/>
  <c r="C65" i="50" s="1"/>
  <c r="C73" i="50"/>
  <c r="C82" i="50"/>
  <c r="F47" i="51" l="1"/>
  <c r="H47" i="51" s="1"/>
  <c r="C74" i="50"/>
  <c r="D74" i="50" s="1"/>
  <c r="L69" i="67"/>
  <c r="M69" i="67" s="1"/>
  <c r="B22" i="66"/>
  <c r="C83" i="50"/>
  <c r="B31" i="66" s="1"/>
  <c r="L67" i="67"/>
  <c r="M67" i="67" s="1"/>
  <c r="D65" i="50"/>
  <c r="B46" i="66"/>
  <c r="N864" i="13"/>
  <c r="O864" i="13" s="1"/>
  <c r="O863" i="13"/>
  <c r="O862" i="13"/>
  <c r="N855" i="13"/>
  <c r="O855" i="13" s="1"/>
  <c r="Q867" i="13"/>
  <c r="O861" i="13"/>
  <c r="F865" i="13"/>
  <c r="F864" i="13"/>
  <c r="D83" i="50" l="1"/>
  <c r="N856" i="13"/>
  <c r="O856" i="13" s="1"/>
  <c r="F863" i="13" l="1"/>
  <c r="E855" i="13"/>
  <c r="F855" i="13" s="1"/>
  <c r="E854" i="13"/>
  <c r="H869" i="13"/>
  <c r="E856" i="13" l="1"/>
  <c r="F856" i="13" s="1"/>
  <c r="F854" i="13"/>
  <c r="N854" i="13"/>
  <c r="O854" i="13" s="1"/>
  <c r="C83" i="11" l="1"/>
  <c r="I16" i="11"/>
  <c r="I12" i="11"/>
  <c r="I117" i="11"/>
  <c r="D104" i="11"/>
  <c r="D102" i="11"/>
  <c r="D103" i="11" s="1"/>
  <c r="D100" i="11"/>
  <c r="D101" i="11" s="1"/>
  <c r="AK14" i="50"/>
  <c r="AL14" i="50" s="1"/>
  <c r="AL17" i="50" s="1"/>
  <c r="AK6" i="50"/>
  <c r="AL6" i="50" s="1"/>
  <c r="AL9" i="50" s="1"/>
  <c r="AK30" i="50"/>
  <c r="AL30" i="50" s="1"/>
  <c r="AL33" i="50" s="1"/>
  <c r="D90" i="11"/>
  <c r="Q55" i="50"/>
  <c r="R55" i="50" s="1"/>
  <c r="D11" i="11"/>
  <c r="D30" i="11"/>
  <c r="AL18" i="50" l="1"/>
  <c r="AM18" i="50" s="1"/>
  <c r="L276" i="67"/>
  <c r="M276" i="67" s="1"/>
  <c r="AL10" i="50"/>
  <c r="AM10" i="50" s="1"/>
  <c r="L272" i="67"/>
  <c r="M272" i="67" s="1"/>
  <c r="AL34" i="50"/>
  <c r="AM34" i="50" s="1"/>
  <c r="L275" i="67"/>
  <c r="M275" i="67" s="1"/>
  <c r="D68" i="11"/>
  <c r="D65" i="11"/>
  <c r="I113" i="11"/>
  <c r="I118" i="11"/>
  <c r="D28" i="11"/>
  <c r="D25" i="11"/>
  <c r="D9" i="11"/>
  <c r="D6" i="11"/>
  <c r="I78" i="11" l="1"/>
  <c r="I77" i="11"/>
  <c r="I72" i="11" l="1"/>
  <c r="I39" i="11"/>
  <c r="I76" i="11"/>
  <c r="I73" i="11"/>
  <c r="I58" i="11"/>
  <c r="I68" i="11"/>
  <c r="I7" i="11"/>
  <c r="I6" i="11"/>
  <c r="H6" i="11"/>
  <c r="I57" i="11"/>
  <c r="D16" i="11"/>
  <c r="I52" i="11"/>
  <c r="I40" i="11"/>
  <c r="I84" i="11"/>
  <c r="H84" i="11"/>
  <c r="I92" i="11"/>
  <c r="D14" i="11"/>
  <c r="I94" i="11" l="1"/>
  <c r="D299" i="53" l="1"/>
  <c r="E299" i="53" s="1"/>
  <c r="E55" i="52" l="1"/>
  <c r="F55" i="52" s="1"/>
  <c r="E88" i="56"/>
  <c r="F88" i="56" s="1"/>
  <c r="D57" i="56"/>
  <c r="F145" i="55"/>
  <c r="G145" i="55" s="1"/>
  <c r="E39" i="56"/>
  <c r="F39" i="56" s="1"/>
  <c r="D270" i="50"/>
  <c r="E270" i="50" s="1"/>
  <c r="Q24" i="50"/>
  <c r="R24" i="50" s="1"/>
  <c r="E380" i="50"/>
  <c r="E394" i="50"/>
  <c r="F394" i="50" s="1"/>
  <c r="E407" i="50"/>
  <c r="F407" i="50" s="1"/>
  <c r="E233" i="50"/>
  <c r="F233" i="50" s="1"/>
  <c r="E234" i="50"/>
  <c r="F234" i="50" s="1"/>
  <c r="F3" i="58" l="1"/>
  <c r="E17" i="58"/>
  <c r="F17" i="58" s="1"/>
  <c r="F380" i="50"/>
  <c r="E381" i="50"/>
  <c r="F381" i="50" s="1"/>
  <c r="E57" i="56"/>
  <c r="D58" i="56"/>
  <c r="E58" i="56" s="1"/>
  <c r="I48" i="11"/>
  <c r="C95" i="11" l="1"/>
  <c r="D42" i="11"/>
  <c r="D95" i="11"/>
  <c r="D96" i="11" s="1"/>
  <c r="D115" i="11" l="1"/>
  <c r="D114" i="11"/>
  <c r="D113" i="11"/>
  <c r="D112" i="11"/>
  <c r="D110" i="11"/>
  <c r="D109" i="11"/>
  <c r="F43" i="35" l="1"/>
  <c r="D291" i="53" s="1"/>
  <c r="E291" i="53" s="1"/>
  <c r="E31" i="9" l="1"/>
  <c r="E29" i="9" l="1"/>
  <c r="E30" i="9"/>
  <c r="E28" i="9"/>
  <c r="E405" i="50" s="1"/>
  <c r="F405" i="50" s="1"/>
  <c r="F16" i="35"/>
  <c r="E393" i="50" s="1"/>
  <c r="F393" i="50" s="1"/>
  <c r="F398" i="50" s="1"/>
  <c r="E257" i="50"/>
  <c r="F50" i="35"/>
  <c r="D476" i="53" s="1"/>
  <c r="E476" i="53" s="1"/>
  <c r="F119" i="35"/>
  <c r="F116" i="35"/>
  <c r="F53" i="35"/>
  <c r="R149" i="53"/>
  <c r="D6" i="75" l="1"/>
  <c r="E6" i="75" s="1"/>
  <c r="D6" i="79"/>
  <c r="E6" i="79" s="1"/>
  <c r="D25" i="74"/>
  <c r="E25" i="74" s="1"/>
  <c r="D28" i="73"/>
  <c r="E28" i="73" s="1"/>
  <c r="E39" i="73" s="1"/>
  <c r="D761" i="52"/>
  <c r="E761" i="52" s="1"/>
  <c r="D932" i="53"/>
  <c r="E932" i="53" s="1"/>
  <c r="D956" i="53"/>
  <c r="E956" i="53" s="1"/>
  <c r="D758" i="52"/>
  <c r="E758" i="52" s="1"/>
  <c r="D952" i="53"/>
  <c r="E952" i="53" s="1"/>
  <c r="D930" i="53"/>
  <c r="E930" i="53" s="1"/>
  <c r="E808" i="53"/>
  <c r="F808" i="53" s="1"/>
  <c r="E734" i="52"/>
  <c r="F734" i="52" s="1"/>
  <c r="D616" i="53"/>
  <c r="E616" i="53" s="1"/>
  <c r="E628" i="53" s="1"/>
  <c r="E629" i="53" s="1"/>
  <c r="F629" i="53" s="1"/>
  <c r="F625" i="52"/>
  <c r="G625" i="52" s="1"/>
  <c r="G635" i="52" s="1"/>
  <c r="G636" i="52" s="1"/>
  <c r="H636" i="52" s="1"/>
  <c r="F399" i="50"/>
  <c r="G399" i="50" s="1"/>
  <c r="L45" i="67"/>
  <c r="M45" i="67" s="1"/>
  <c r="E6" i="58"/>
  <c r="F6" i="58" s="1"/>
  <c r="N15" i="52"/>
  <c r="R148" i="53"/>
  <c r="E217" i="50"/>
  <c r="F116" i="52"/>
  <c r="G116" i="52" s="1"/>
  <c r="S6" i="53"/>
  <c r="E289" i="52"/>
  <c r="E32" i="57"/>
  <c r="D252" i="52"/>
  <c r="D8" i="56"/>
  <c r="E8" i="56" s="1"/>
  <c r="D108" i="11"/>
  <c r="M64" i="14"/>
  <c r="N7" i="11"/>
  <c r="E843" i="13"/>
  <c r="F843" i="13" s="1"/>
  <c r="F845" i="13"/>
  <c r="E846" i="13"/>
  <c r="F846" i="13" s="1"/>
  <c r="H850" i="13"/>
  <c r="G31" i="73" l="1"/>
  <c r="H31" i="73" s="1"/>
  <c r="I31" i="73" s="1"/>
  <c r="G34" i="73"/>
  <c r="H34" i="73" s="1"/>
  <c r="I34" i="73" s="1"/>
  <c r="G33" i="73"/>
  <c r="H33" i="73" s="1"/>
  <c r="I33" i="73" s="1"/>
  <c r="F39" i="73"/>
  <c r="G32" i="73"/>
  <c r="H32" i="73" s="1"/>
  <c r="I32" i="73" s="1"/>
  <c r="E40" i="73"/>
  <c r="F40" i="73" s="1"/>
  <c r="F32" i="57"/>
  <c r="E33" i="57"/>
  <c r="F33" i="57" s="1"/>
  <c r="F289" i="52"/>
  <c r="E290" i="52"/>
  <c r="F290" i="52" s="1"/>
  <c r="E130" i="52"/>
  <c r="F130" i="52" s="1"/>
  <c r="D253" i="52"/>
  <c r="E253" i="52" s="1"/>
  <c r="E252" i="52"/>
  <c r="E847" i="13"/>
  <c r="E844" i="13"/>
  <c r="F844" i="13" s="1"/>
  <c r="J34" i="73" l="1"/>
  <c r="J32" i="73"/>
  <c r="J33" i="73"/>
  <c r="J31" i="73"/>
  <c r="H40" i="73"/>
  <c r="F847" i="13"/>
  <c r="E866" i="13"/>
  <c r="F866" i="13" s="1"/>
  <c r="F58" i="35"/>
  <c r="F42" i="35" l="1"/>
  <c r="F57" i="35"/>
  <c r="D293" i="53" s="1"/>
  <c r="E293" i="53" s="1"/>
  <c r="F52" i="35"/>
  <c r="D289" i="53" s="1"/>
  <c r="E289" i="53" s="1"/>
  <c r="F36" i="20"/>
  <c r="F37" i="20"/>
  <c r="F314" i="52"/>
  <c r="E34" i="20"/>
  <c r="M61" i="20"/>
  <c r="F62" i="35"/>
  <c r="F115" i="35"/>
  <c r="D288" i="53" s="1"/>
  <c r="E288" i="53" s="1"/>
  <c r="F113" i="35"/>
  <c r="Q302" i="50" l="1"/>
  <c r="R302" i="50" s="1"/>
  <c r="R306" i="50" s="1"/>
  <c r="R307" i="50" s="1"/>
  <c r="S307" i="50" s="1"/>
  <c r="E4" i="69"/>
  <c r="F4" i="69" s="1"/>
  <c r="F10" i="69" s="1"/>
  <c r="F11" i="69" s="1"/>
  <c r="G11" i="69" s="1"/>
  <c r="D418" i="50"/>
  <c r="E418" i="50" s="1"/>
  <c r="D477" i="53"/>
  <c r="E477" i="53" s="1"/>
  <c r="E492" i="53" s="1"/>
  <c r="R64" i="53"/>
  <c r="S64" i="53" s="1"/>
  <c r="Q110" i="50"/>
  <c r="R110" i="50" s="1"/>
  <c r="E7" i="58"/>
  <c r="F7" i="58" s="1"/>
  <c r="E19" i="58"/>
  <c r="F19" i="58" s="1"/>
  <c r="F23" i="58" s="1"/>
  <c r="G23" i="58" s="1"/>
  <c r="L269" i="67" s="1"/>
  <c r="M269" i="67" s="1"/>
  <c r="D53" i="11"/>
  <c r="D49" i="11"/>
  <c r="D50" i="11" s="1"/>
  <c r="D51" i="11" s="1"/>
  <c r="D46" i="11"/>
  <c r="D39" i="11"/>
  <c r="D19" i="11"/>
  <c r="D20" i="11" s="1"/>
  <c r="D17" i="11"/>
  <c r="D18" i="11" s="1"/>
  <c r="D48" i="11"/>
  <c r="D3" i="11"/>
  <c r="E493" i="53" l="1"/>
  <c r="F492" i="53"/>
  <c r="F24" i="58"/>
  <c r="G193" i="36"/>
  <c r="G192" i="36"/>
  <c r="G181" i="36"/>
  <c r="G188" i="36"/>
  <c r="G24" i="58" l="1"/>
  <c r="I24" i="58" s="1"/>
  <c r="F493" i="53"/>
  <c r="H493" i="53" s="1"/>
  <c r="L271" i="67"/>
  <c r="M271" i="67" s="1"/>
  <c r="L270" i="67"/>
  <c r="M270" i="67" s="1"/>
  <c r="I109" i="11"/>
  <c r="H836" i="13" l="1"/>
  <c r="F831" i="13"/>
  <c r="E833" i="13"/>
  <c r="F832" i="13"/>
  <c r="E827" i="13" l="1"/>
  <c r="F827" i="13" s="1"/>
  <c r="E826" i="13"/>
  <c r="F826" i="13" s="1"/>
  <c r="F833" i="13"/>
  <c r="M50" i="14" l="1"/>
  <c r="M58" i="14" s="1"/>
  <c r="M74" i="14" s="1"/>
  <c r="M49" i="14"/>
  <c r="M41" i="14" s="1"/>
  <c r="M56" i="14"/>
  <c r="M48" i="14"/>
  <c r="M57" i="14" l="1"/>
  <c r="M65" i="14" s="1"/>
  <c r="M73" i="14" s="1"/>
  <c r="M75" i="14" s="1"/>
  <c r="M51" i="14"/>
  <c r="AK38" i="50"/>
  <c r="AL38" i="50" s="1"/>
  <c r="AL41" i="50" s="1"/>
  <c r="AK22" i="50"/>
  <c r="AL22" i="50" s="1"/>
  <c r="AL25" i="50" s="1"/>
  <c r="M59" i="14" l="1"/>
  <c r="L159" i="67" s="1"/>
  <c r="M159" i="67" s="1"/>
  <c r="M76" i="14"/>
  <c r="N76" i="14" s="1"/>
  <c r="L165" i="67"/>
  <c r="M165" i="67" s="1"/>
  <c r="L166" i="67"/>
  <c r="M166" i="67" s="1"/>
  <c r="L164" i="67"/>
  <c r="M164" i="67" s="1"/>
  <c r="L163" i="67"/>
  <c r="M163" i="67" s="1"/>
  <c r="L167" i="67"/>
  <c r="M167" i="67" s="1"/>
  <c r="AL26" i="50"/>
  <c r="AM26" i="50" s="1"/>
  <c r="L274" i="67"/>
  <c r="M274" i="67" s="1"/>
  <c r="AL42" i="50"/>
  <c r="AM42" i="50" s="1"/>
  <c r="L273" i="67"/>
  <c r="M273" i="67" s="1"/>
  <c r="M52" i="14"/>
  <c r="N52" i="14" s="1"/>
  <c r="L161" i="67"/>
  <c r="M161" i="67" s="1"/>
  <c r="M67" i="14"/>
  <c r="D5" i="11"/>
  <c r="M60" i="14" l="1"/>
  <c r="N60" i="14" s="1"/>
  <c r="M68" i="14"/>
  <c r="N68" i="14" s="1"/>
  <c r="L154" i="67"/>
  <c r="M154" i="67" s="1"/>
  <c r="C43" i="37"/>
  <c r="C72" i="11"/>
  <c r="C40" i="37" s="1"/>
  <c r="C11" i="11"/>
  <c r="C36" i="37" s="1"/>
  <c r="C12" i="11"/>
  <c r="C77" i="37" l="1"/>
  <c r="C8" i="11"/>
  <c r="C27" i="37" s="1"/>
  <c r="C24" i="11"/>
  <c r="C26" i="37" s="1"/>
  <c r="C29" i="11"/>
  <c r="C25" i="37" s="1"/>
  <c r="C35" i="11"/>
  <c r="C39" i="11"/>
  <c r="C58" i="11"/>
  <c r="C31" i="37" s="1"/>
  <c r="C57" i="11"/>
  <c r="C30" i="37" s="1"/>
  <c r="H88" i="11"/>
  <c r="C115" i="37" s="1"/>
  <c r="H87" i="11"/>
  <c r="C116" i="37" s="1"/>
  <c r="H122" i="11"/>
  <c r="C117" i="37" s="1"/>
  <c r="H121" i="11"/>
  <c r="C118" i="37" s="1"/>
  <c r="C113" i="37"/>
  <c r="H119" i="11"/>
  <c r="C112" i="37" s="1"/>
  <c r="H107" i="11"/>
  <c r="C114" i="37" s="1"/>
  <c r="H82" i="11"/>
  <c r="H81" i="11" s="1"/>
  <c r="C90" i="37" s="1"/>
  <c r="H79" i="11"/>
  <c r="H80" i="11" s="1"/>
  <c r="C89" i="37" s="1"/>
  <c r="H74" i="11"/>
  <c r="C86" i="37" s="1"/>
  <c r="H63" i="11"/>
  <c r="C83" i="37" s="1"/>
  <c r="H62" i="11"/>
  <c r="C82" i="37" s="1"/>
  <c r="H61" i="11"/>
  <c r="H50" i="11"/>
  <c r="C81" i="37" s="1"/>
  <c r="H46" i="11"/>
  <c r="C80" i="37" s="1"/>
  <c r="H43" i="11"/>
  <c r="C79" i="37" s="1"/>
  <c r="H42" i="11"/>
  <c r="C78" i="37" s="1"/>
  <c r="H41" i="11"/>
  <c r="C76" i="37" s="1"/>
  <c r="H39" i="11"/>
  <c r="C75" i="37" s="1"/>
  <c r="H28" i="11"/>
  <c r="C73" i="37" s="1"/>
  <c r="H23" i="11"/>
  <c r="C72" i="37" s="1"/>
  <c r="H19" i="11"/>
  <c r="C49" i="37" s="1"/>
  <c r="H15" i="11"/>
  <c r="H8" i="11"/>
  <c r="C92" i="37" s="1"/>
  <c r="C69" i="11"/>
  <c r="C37" i="37" s="1"/>
  <c r="C67" i="11"/>
  <c r="C41" i="37" s="1"/>
  <c r="C62" i="11"/>
  <c r="C39" i="37" s="1"/>
  <c r="C60" i="11"/>
  <c r="C35" i="37" l="1"/>
  <c r="C38" i="37"/>
  <c r="C88" i="37"/>
  <c r="C87" i="37"/>
  <c r="C91" i="37"/>
  <c r="D7" i="14" l="1"/>
  <c r="E7" i="14" s="1"/>
  <c r="E174" i="36" l="1"/>
  <c r="F194" i="36" s="1"/>
  <c r="G194" i="36" s="1"/>
  <c r="F172" i="36"/>
  <c r="F171" i="36"/>
  <c r="E169" i="36"/>
  <c r="F169" i="36" s="1"/>
  <c r="E161" i="36"/>
  <c r="F161" i="36" s="1"/>
  <c r="H177" i="36"/>
  <c r="N6" i="11" l="1"/>
  <c r="F359" i="67"/>
  <c r="G359" i="67" s="1"/>
  <c r="N5" i="66"/>
  <c r="F174" i="36"/>
  <c r="D123" i="1"/>
  <c r="D97" i="11"/>
  <c r="D98" i="11" s="1"/>
  <c r="E68" i="17" l="1"/>
  <c r="F68" i="17" s="1"/>
  <c r="F66" i="17"/>
  <c r="I66" i="11"/>
  <c r="E60" i="17"/>
  <c r="F60" i="17" s="1"/>
  <c r="E59" i="17"/>
  <c r="F59" i="17" s="1"/>
  <c r="E58" i="17"/>
  <c r="F58" i="17" s="1"/>
  <c r="E52" i="17"/>
  <c r="F52" i="17" s="1"/>
  <c r="F51" i="17"/>
  <c r="E50" i="17"/>
  <c r="F50" i="17" s="1"/>
  <c r="E45" i="17"/>
  <c r="F45" i="17" s="1"/>
  <c r="I105" i="11" l="1"/>
  <c r="I107" i="11"/>
  <c r="F55" i="35"/>
  <c r="D292" i="53" s="1"/>
  <c r="E292" i="53" s="1"/>
  <c r="D290" i="53"/>
  <c r="E290" i="53" s="1"/>
  <c r="B60" i="11"/>
  <c r="I36" i="11"/>
  <c r="Q51" i="51"/>
  <c r="R51" i="51" s="1"/>
  <c r="R564" i="50"/>
  <c r="O130" i="1"/>
  <c r="Q149" i="50" s="1"/>
  <c r="R149" i="50" s="1"/>
  <c r="Q8" i="51"/>
  <c r="R8" i="51" s="1"/>
  <c r="M19" i="20"/>
  <c r="O51" i="1" l="1"/>
  <c r="O120" i="1"/>
  <c r="Q92" i="50" s="1"/>
  <c r="R92" i="50" s="1"/>
  <c r="D134" i="1"/>
  <c r="C133" i="1"/>
  <c r="D133" i="1" s="1"/>
  <c r="AA56" i="50" s="1"/>
  <c r="AB56" i="50" s="1"/>
  <c r="E159" i="50"/>
  <c r="F159" i="50" s="1"/>
  <c r="F162" i="50" s="1"/>
  <c r="D819" i="13"/>
  <c r="E819" i="13" s="1"/>
  <c r="D817" i="13"/>
  <c r="E817" i="13" s="1"/>
  <c r="G822" i="13"/>
  <c r="E202" i="50"/>
  <c r="AA45" i="50" l="1"/>
  <c r="AB45" i="50" s="1"/>
  <c r="AA70" i="50"/>
  <c r="AB70" i="50" s="1"/>
  <c r="AB73" i="50" s="1"/>
  <c r="AB74" i="50" s="1"/>
  <c r="AC74" i="50" s="1"/>
  <c r="F163" i="50"/>
  <c r="G163" i="50" s="1"/>
  <c r="L78" i="67"/>
  <c r="M78" i="67" s="1"/>
  <c r="F278" i="52"/>
  <c r="G278" i="52" s="1"/>
  <c r="E879" i="13"/>
  <c r="F879" i="13" s="1"/>
  <c r="D258" i="50"/>
  <c r="E258" i="50" s="1"/>
  <c r="D132" i="1"/>
  <c r="B67" i="11"/>
  <c r="B72" i="11"/>
  <c r="E133" i="50" l="1"/>
  <c r="E136" i="50" s="1"/>
  <c r="AA55" i="50"/>
  <c r="AB55" i="50" s="1"/>
  <c r="E142" i="50"/>
  <c r="E145" i="50" s="1"/>
  <c r="D10" i="11"/>
  <c r="D12" i="11"/>
  <c r="E146" i="50" l="1"/>
  <c r="F146" i="50" s="1"/>
  <c r="L51" i="67"/>
  <c r="M51" i="67" s="1"/>
  <c r="L53" i="67"/>
  <c r="M53" i="67" s="1"/>
  <c r="E137" i="50"/>
  <c r="F137" i="50" s="1"/>
  <c r="L50" i="67"/>
  <c r="M50" i="67" s="1"/>
  <c r="L52" i="67"/>
  <c r="M52" i="67" s="1"/>
  <c r="I69" i="11"/>
  <c r="I30" i="11" l="1"/>
  <c r="I60" i="11"/>
  <c r="I38" i="17" l="1"/>
  <c r="I32" i="17"/>
  <c r="C38" i="17"/>
  <c r="C32" i="17"/>
  <c r="N3" i="11"/>
  <c r="C33" i="17" l="1"/>
  <c r="D33" i="17" s="1"/>
  <c r="L6" i="67"/>
  <c r="M6" i="67" s="1"/>
  <c r="C39" i="17"/>
  <c r="D39" i="17" s="1"/>
  <c r="L7" i="67"/>
  <c r="M7" i="67" s="1"/>
  <c r="I33" i="17"/>
  <c r="J33" i="17" s="1"/>
  <c r="L9" i="67"/>
  <c r="M9" i="67" s="1"/>
  <c r="I39" i="17"/>
  <c r="J39" i="17" s="1"/>
  <c r="L8" i="67"/>
  <c r="M8" i="67" s="1"/>
  <c r="O33" i="56"/>
  <c r="P33" i="56" s="1"/>
  <c r="O68" i="56"/>
  <c r="P68" i="56" s="1"/>
  <c r="F295" i="50"/>
  <c r="I88" i="11"/>
  <c r="G121" i="11"/>
  <c r="I102" i="11"/>
  <c r="I120" i="11"/>
  <c r="I43" i="11" l="1"/>
  <c r="D57" i="11" l="1"/>
  <c r="D8" i="11" l="1"/>
  <c r="D35" i="11"/>
  <c r="E311" i="50" l="1"/>
  <c r="I119" i="11"/>
  <c r="M45" i="20"/>
  <c r="M46" i="20" s="1"/>
  <c r="M47" i="20" s="1"/>
  <c r="M48" i="20" s="1"/>
  <c r="M49" i="20" s="1"/>
  <c r="M50" i="20" s="1"/>
  <c r="D58" i="11"/>
  <c r="I23" i="11"/>
  <c r="I42" i="11"/>
  <c r="D29" i="11"/>
  <c r="F41" i="35"/>
  <c r="D24" i="11"/>
  <c r="D130" i="1"/>
  <c r="E684" i="50" s="1"/>
  <c r="F684" i="50" s="1"/>
  <c r="F696" i="50" s="1"/>
  <c r="E27" i="9"/>
  <c r="D760" i="52" l="1"/>
  <c r="E760" i="52" s="1"/>
  <c r="D773" i="52"/>
  <c r="E773" i="52" s="1"/>
  <c r="E779" i="52" s="1"/>
  <c r="E780" i="52" s="1"/>
  <c r="F780" i="52" s="1"/>
  <c r="D955" i="53"/>
  <c r="E955" i="53" s="1"/>
  <c r="E968" i="53" s="1"/>
  <c r="E744" i="52"/>
  <c r="F744" i="52" s="1"/>
  <c r="D365" i="50"/>
  <c r="E365" i="50" s="1"/>
  <c r="D931" i="53"/>
  <c r="E931" i="53" s="1"/>
  <c r="F697" i="50"/>
  <c r="G696" i="50"/>
  <c r="E46" i="17"/>
  <c r="F46" i="17" s="1"/>
  <c r="E143" i="57"/>
  <c r="F143" i="57" s="1"/>
  <c r="D296" i="53"/>
  <c r="E296" i="53" s="1"/>
  <c r="D233" i="53"/>
  <c r="E233" i="53" s="1"/>
  <c r="D216" i="53"/>
  <c r="E216" i="53" s="1"/>
  <c r="D96" i="53"/>
  <c r="E96" i="53" s="1"/>
  <c r="E79" i="53"/>
  <c r="F79" i="53" s="1"/>
  <c r="E840" i="13"/>
  <c r="F840" i="13" s="1"/>
  <c r="E48" i="17"/>
  <c r="F48" i="17" s="1"/>
  <c r="D118" i="1"/>
  <c r="D129" i="1"/>
  <c r="I74" i="11"/>
  <c r="I28" i="11"/>
  <c r="R323" i="50" l="1"/>
  <c r="R328" i="50" s="1"/>
  <c r="R329" i="50" s="1"/>
  <c r="S329" i="50" s="1"/>
  <c r="AA104" i="50"/>
  <c r="AB104" i="50" s="1"/>
  <c r="AB108" i="50" s="1"/>
  <c r="AB109" i="50" s="1"/>
  <c r="AC109" i="50" s="1"/>
  <c r="D310" i="50"/>
  <c r="E310" i="50" s="1"/>
  <c r="R424" i="50"/>
  <c r="F968" i="53"/>
  <c r="E969" i="53"/>
  <c r="F969" i="53" s="1"/>
  <c r="H969" i="53" s="1"/>
  <c r="G697" i="50"/>
  <c r="I697" i="50" s="1"/>
  <c r="E378" i="50"/>
  <c r="F378" i="50" s="1"/>
  <c r="D280" i="50"/>
  <c r="E280" i="50" s="1"/>
  <c r="I8" i="11"/>
  <c r="H7" i="11"/>
  <c r="Q36" i="14"/>
  <c r="D111" i="11" l="1"/>
  <c r="F157" i="67"/>
  <c r="G157" i="67" s="1"/>
  <c r="D107" i="66"/>
  <c r="F158" i="67"/>
  <c r="G158" i="67" s="1"/>
  <c r="U5" i="43"/>
  <c r="V5" i="43" s="1"/>
  <c r="D24" i="12"/>
  <c r="U11" i="43" s="1"/>
  <c r="V11" i="43" s="1"/>
  <c r="C33" i="11"/>
  <c r="C32" i="37" s="1"/>
  <c r="D178" i="50" l="1"/>
  <c r="E178" i="50" s="1"/>
  <c r="E183" i="50" s="1"/>
  <c r="E184" i="50" l="1"/>
  <c r="F184" i="50" s="1"/>
  <c r="L88" i="67"/>
  <c r="M88" i="67" s="1"/>
  <c r="F112" i="35"/>
  <c r="E275" i="55" l="1"/>
  <c r="F275" i="55" s="1"/>
  <c r="D31" i="74"/>
  <c r="E31" i="74" s="1"/>
  <c r="B54" i="66"/>
  <c r="E276" i="55"/>
  <c r="F276" i="55" s="1"/>
  <c r="E86" i="56"/>
  <c r="F86" i="56" s="1"/>
  <c r="D54" i="56"/>
  <c r="E54" i="56" s="1"/>
  <c r="E243" i="52" l="1"/>
  <c r="F243" i="52" s="1"/>
  <c r="F246" i="52" s="1"/>
  <c r="F114" i="52"/>
  <c r="G114" i="52" s="1"/>
  <c r="E71" i="57"/>
  <c r="F71" i="57" s="1"/>
  <c r="E71" i="52"/>
  <c r="F71" i="52" s="1"/>
  <c r="E292" i="52"/>
  <c r="F292" i="52" s="1"/>
  <c r="F295" i="52" s="1"/>
  <c r="E133" i="52"/>
  <c r="F133" i="52" s="1"/>
  <c r="Q155" i="53"/>
  <c r="R155" i="53" s="1"/>
  <c r="E231" i="52"/>
  <c r="F231" i="52" s="1"/>
  <c r="D194" i="52"/>
  <c r="E194" i="52" s="1"/>
  <c r="E41" i="52"/>
  <c r="F41" i="52" s="1"/>
  <c r="F273" i="52"/>
  <c r="D218" i="52"/>
  <c r="E218" i="52" s="1"/>
  <c r="E93" i="57"/>
  <c r="F93" i="57" s="1"/>
  <c r="F96" i="52"/>
  <c r="R111" i="53"/>
  <c r="S111" i="53" s="1"/>
  <c r="R93" i="53"/>
  <c r="S93" i="53" s="1"/>
  <c r="R46" i="53"/>
  <c r="S46" i="53" s="1"/>
  <c r="Q27" i="53"/>
  <c r="R27" i="53" s="1"/>
  <c r="E282" i="55"/>
  <c r="F282" i="55" s="1"/>
  <c r="D199" i="53"/>
  <c r="E199" i="53" s="1"/>
  <c r="F253" i="53"/>
  <c r="G253" i="53" s="1"/>
  <c r="F192" i="55"/>
  <c r="G192" i="55" s="1"/>
  <c r="R73" i="53"/>
  <c r="S73" i="53" s="1"/>
  <c r="F150" i="55"/>
  <c r="G150" i="55" s="1"/>
  <c r="R9" i="53"/>
  <c r="S9" i="53" s="1"/>
  <c r="E101" i="56"/>
  <c r="F101" i="56" s="1"/>
  <c r="E258" i="55"/>
  <c r="F258" i="55" s="1"/>
  <c r="E24" i="55"/>
  <c r="F171" i="55"/>
  <c r="G171" i="55" s="1"/>
  <c r="F28" i="53"/>
  <c r="F215" i="55"/>
  <c r="G215" i="55" s="1"/>
  <c r="E121" i="55"/>
  <c r="F121" i="55" s="1"/>
  <c r="E121" i="53"/>
  <c r="E11" i="53"/>
  <c r="F11" i="53" s="1"/>
  <c r="E382" i="50"/>
  <c r="F382" i="50" s="1"/>
  <c r="E878" i="13"/>
  <c r="F878" i="13" s="1"/>
  <c r="H14" i="11"/>
  <c r="C70" i="37" s="1"/>
  <c r="H93" i="11"/>
  <c r="C111" i="37" s="1"/>
  <c r="G93" i="11"/>
  <c r="I93" i="11"/>
  <c r="H112" i="11"/>
  <c r="C110" i="37" s="1"/>
  <c r="I112" i="11"/>
  <c r="F296" i="52" l="1"/>
  <c r="G296" i="52" s="1"/>
  <c r="L329" i="67"/>
  <c r="M329" i="67" s="1"/>
  <c r="F247" i="52"/>
  <c r="G247" i="52" s="1"/>
  <c r="L324" i="67"/>
  <c r="M324" i="67" s="1"/>
  <c r="E44" i="55"/>
  <c r="F44" i="55" s="1"/>
  <c r="F24" i="55"/>
  <c r="H113" i="11"/>
  <c r="C109" i="37" s="1"/>
  <c r="C111" i="11"/>
  <c r="H114" i="11"/>
  <c r="H26" i="11"/>
  <c r="C65" i="37" s="1"/>
  <c r="H32" i="11"/>
  <c r="H3" i="11"/>
  <c r="H71" i="11"/>
  <c r="C61" i="11"/>
  <c r="C19" i="37" s="1"/>
  <c r="C43" i="11"/>
  <c r="C24" i="37" s="1"/>
  <c r="C41" i="11"/>
  <c r="C36" i="11"/>
  <c r="C28" i="37" s="1"/>
  <c r="C27" i="11"/>
  <c r="H51" i="11"/>
  <c r="C69" i="37" s="1"/>
  <c r="H64" i="11"/>
  <c r="H67" i="11"/>
  <c r="C68" i="37" s="1"/>
  <c r="H45" i="11"/>
  <c r="C67" i="37" s="1"/>
  <c r="L326" i="67" l="1"/>
  <c r="M326" i="67" s="1"/>
  <c r="L325" i="67"/>
  <c r="M325" i="67" s="1"/>
  <c r="L327" i="67"/>
  <c r="M327" i="67" s="1"/>
  <c r="C85" i="37"/>
  <c r="C57" i="37"/>
  <c r="C106" i="37"/>
  <c r="C107" i="37" s="1"/>
  <c r="C108" i="37"/>
  <c r="C20" i="37"/>
  <c r="C21" i="37" s="1"/>
  <c r="C22" i="37" s="1"/>
  <c r="C23" i="37" s="1"/>
  <c r="C84" i="37"/>
  <c r="C63" i="37"/>
  <c r="C74" i="37"/>
  <c r="C64" i="37"/>
  <c r="C17" i="37"/>
  <c r="C18" i="37" s="1"/>
  <c r="C59" i="37"/>
  <c r="C60" i="37" s="1"/>
  <c r="C61" i="37" s="1"/>
  <c r="C62" i="37" s="1"/>
  <c r="I79" i="11" l="1"/>
  <c r="I80" i="11" s="1"/>
  <c r="I82" i="11" l="1"/>
  <c r="I46" i="11"/>
  <c r="I41" i="11"/>
  <c r="I15" i="11" l="1"/>
  <c r="I17" i="11" s="1"/>
  <c r="I67" i="11"/>
  <c r="I45" i="11"/>
  <c r="I81" i="11" s="1"/>
  <c r="I87" i="11"/>
  <c r="I99" i="11"/>
  <c r="C116" i="1"/>
  <c r="D116" i="1" s="1"/>
  <c r="D117" i="1"/>
  <c r="R387" i="50" s="1"/>
  <c r="R389" i="50" s="1"/>
  <c r="R390" i="50" s="1"/>
  <c r="S390" i="50" s="1"/>
  <c r="D37" i="11"/>
  <c r="D38" i="11" s="1"/>
  <c r="I62" i="11"/>
  <c r="E26" i="9"/>
  <c r="I63" i="11"/>
  <c r="D127" i="1"/>
  <c r="E565" i="50" l="1"/>
  <c r="F565" i="50" s="1"/>
  <c r="F572" i="50" s="1"/>
  <c r="E578" i="50"/>
  <c r="F578" i="50" s="1"/>
  <c r="F584" i="50" s="1"/>
  <c r="E142" i="57"/>
  <c r="F142" i="57" s="1"/>
  <c r="E37" i="56"/>
  <c r="F37" i="56" s="1"/>
  <c r="D287" i="53"/>
  <c r="E287" i="53" s="1"/>
  <c r="E249" i="55"/>
  <c r="F249" i="55" s="1"/>
  <c r="AA46" i="50"/>
  <c r="AB46" i="50" s="1"/>
  <c r="D169" i="50"/>
  <c r="E169" i="50" s="1"/>
  <c r="AA57" i="50"/>
  <c r="AB57" i="50" s="1"/>
  <c r="AB60" i="50" s="1"/>
  <c r="I51" i="11"/>
  <c r="F573" i="50" l="1"/>
  <c r="G572" i="50"/>
  <c r="F585" i="50"/>
  <c r="G585" i="50" s="1"/>
  <c r="I585" i="50" s="1"/>
  <c r="G584" i="50"/>
  <c r="AB61" i="50"/>
  <c r="AC61" i="50" s="1"/>
  <c r="L33" i="67"/>
  <c r="M33" i="67" s="1"/>
  <c r="E377" i="50"/>
  <c r="F377" i="50" s="1"/>
  <c r="E292" i="50"/>
  <c r="F292" i="50" s="1"/>
  <c r="G573" i="50" l="1"/>
  <c r="I573" i="50" s="1"/>
  <c r="E27" i="57"/>
  <c r="F27" i="57" s="1"/>
  <c r="F140" i="55"/>
  <c r="G140" i="55" s="1"/>
  <c r="D3" i="14"/>
  <c r="E47" i="17"/>
  <c r="F47" i="17" s="1"/>
  <c r="H99" i="11"/>
  <c r="O125" i="1" l="1"/>
  <c r="D251" i="52" s="1"/>
  <c r="E251" i="52" s="1"/>
  <c r="E256" i="52" s="1"/>
  <c r="E257" i="52" s="1"/>
  <c r="F257" i="52" s="1"/>
  <c r="D807" i="13" l="1"/>
  <c r="E807" i="13" s="1"/>
  <c r="E805" i="13"/>
  <c r="E806" i="13"/>
  <c r="E804" i="13"/>
  <c r="G810" i="13"/>
  <c r="E92" i="57" l="1"/>
  <c r="F92" i="57" s="1"/>
  <c r="E116" i="53"/>
  <c r="F116" i="53" s="1"/>
  <c r="E281" i="55"/>
  <c r="F281" i="55" s="1"/>
  <c r="E794" i="13"/>
  <c r="E793" i="13"/>
  <c r="E792" i="13"/>
  <c r="D789" i="13"/>
  <c r="E789" i="13" s="1"/>
  <c r="F797" i="13"/>
  <c r="I14" i="11" l="1"/>
  <c r="E25" i="9" l="1"/>
  <c r="E293" i="50"/>
  <c r="F293" i="50" s="1"/>
  <c r="E128" i="57" l="1"/>
  <c r="F128" i="57" s="1"/>
  <c r="E44" i="57"/>
  <c r="F44" i="57" s="1"/>
  <c r="S62" i="53"/>
  <c r="E247" i="55"/>
  <c r="F247" i="55" s="1"/>
  <c r="E93" i="55"/>
  <c r="F93" i="55" s="1"/>
  <c r="E379" i="50"/>
  <c r="F379" i="50" s="1"/>
  <c r="F386" i="50" s="1"/>
  <c r="F185" i="36"/>
  <c r="G185" i="36" s="1"/>
  <c r="E168" i="36"/>
  <c r="F168" i="36" s="1"/>
  <c r="E64" i="17"/>
  <c r="F64" i="17" s="1"/>
  <c r="F387" i="50" l="1"/>
  <c r="G387" i="50" s="1"/>
  <c r="L42" i="67"/>
  <c r="M42" i="67" s="1"/>
  <c r="E14" i="17"/>
  <c r="E23" i="17" s="1"/>
  <c r="E24" i="17" s="1"/>
  <c r="C5" i="17"/>
  <c r="C4" i="17"/>
  <c r="C3" i="17"/>
  <c r="C18" i="16"/>
  <c r="C17" i="16"/>
  <c r="C16" i="16"/>
  <c r="E9" i="16"/>
  <c r="E8" i="16"/>
  <c r="D7" i="16"/>
  <c r="E7" i="16" s="1"/>
  <c r="D6" i="16"/>
  <c r="E6" i="16" s="1"/>
  <c r="D5" i="16"/>
  <c r="E5" i="16" s="1"/>
  <c r="D3" i="16"/>
  <c r="E3" i="16" s="1"/>
  <c r="F37" i="14"/>
  <c r="E33" i="14"/>
  <c r="D31" i="14"/>
  <c r="E31" i="14" s="1"/>
  <c r="D29" i="14"/>
  <c r="D30" i="14" s="1"/>
  <c r="E30" i="14" s="1"/>
  <c r="N32" i="14"/>
  <c r="O32" i="14" s="1"/>
  <c r="O31" i="14"/>
  <c r="M22" i="14"/>
  <c r="M42" i="14" s="1"/>
  <c r="M43" i="14" s="1"/>
  <c r="M21" i="14"/>
  <c r="G25" i="14"/>
  <c r="F21" i="14"/>
  <c r="E19" i="14"/>
  <c r="F19" i="14" s="1"/>
  <c r="E14" i="14"/>
  <c r="E15" i="14" s="1"/>
  <c r="E16" i="14" s="1"/>
  <c r="F16" i="14" s="1"/>
  <c r="M13" i="14"/>
  <c r="M12" i="14"/>
  <c r="M5" i="14"/>
  <c r="M4" i="14"/>
  <c r="M3" i="14"/>
  <c r="G10" i="14"/>
  <c r="E6" i="14"/>
  <c r="E5" i="14"/>
  <c r="E4" i="14"/>
  <c r="I114" i="11"/>
  <c r="I116" i="11"/>
  <c r="I85" i="11"/>
  <c r="I106" i="11"/>
  <c r="F75" i="23"/>
  <c r="E74" i="23"/>
  <c r="F74" i="23" s="1"/>
  <c r="E73" i="23"/>
  <c r="F73" i="23" s="1"/>
  <c r="D67" i="23"/>
  <c r="E67" i="23" s="1"/>
  <c r="E66" i="23"/>
  <c r="E65" i="23"/>
  <c r="E64" i="23"/>
  <c r="G60" i="23"/>
  <c r="D57" i="23"/>
  <c r="E57" i="23" s="1"/>
  <c r="E56" i="23"/>
  <c r="D54" i="23"/>
  <c r="E54" i="23" s="1"/>
  <c r="D53" i="23"/>
  <c r="E53" i="23" s="1"/>
  <c r="D52" i="23"/>
  <c r="E52" i="23" s="1"/>
  <c r="D51" i="23"/>
  <c r="E51" i="23" s="1"/>
  <c r="G47" i="23"/>
  <c r="D44" i="23"/>
  <c r="E44" i="23" s="1"/>
  <c r="E43" i="23"/>
  <c r="E42" i="23"/>
  <c r="D41" i="23"/>
  <c r="E41" i="23" s="1"/>
  <c r="D40" i="23"/>
  <c r="E40" i="23" s="1"/>
  <c r="G36" i="23"/>
  <c r="F32" i="23"/>
  <c r="F18" i="23"/>
  <c r="E13" i="23"/>
  <c r="D12" i="23"/>
  <c r="E12" i="23" s="1"/>
  <c r="D8" i="23"/>
  <c r="E8" i="23" s="1"/>
  <c r="D7" i="23"/>
  <c r="E7" i="23" s="1"/>
  <c r="D4" i="23"/>
  <c r="E4" i="23" s="1"/>
  <c r="D3" i="23"/>
  <c r="E3" i="23" s="1"/>
  <c r="I101" i="11"/>
  <c r="I86" i="11"/>
  <c r="I115" i="11"/>
  <c r="H100" i="11"/>
  <c r="I26" i="11"/>
  <c r="I32" i="11"/>
  <c r="I35" i="11"/>
  <c r="I20" i="11"/>
  <c r="I18" i="11"/>
  <c r="I11" i="11"/>
  <c r="I10" i="11"/>
  <c r="I3" i="11"/>
  <c r="I71" i="11"/>
  <c r="I64" i="11"/>
  <c r="I61" i="11"/>
  <c r="I56" i="11"/>
  <c r="I70" i="11"/>
  <c r="I65" i="11"/>
  <c r="D106" i="11"/>
  <c r="I27" i="11"/>
  <c r="G61" i="11"/>
  <c r="I13" i="11"/>
  <c r="I50" i="11"/>
  <c r="D43" i="11"/>
  <c r="D27" i="11"/>
  <c r="D41" i="11"/>
  <c r="D40" i="11"/>
  <c r="D55" i="11"/>
  <c r="D64" i="11"/>
  <c r="D21" i="11"/>
  <c r="D26" i="11"/>
  <c r="D15" i="11"/>
  <c r="E249" i="50"/>
  <c r="F249" i="50" s="1"/>
  <c r="D44" i="11"/>
  <c r="D23" i="11"/>
  <c r="D33" i="11"/>
  <c r="D47" i="11"/>
  <c r="D54" i="11"/>
  <c r="U15" i="43"/>
  <c r="V15" i="43" s="1"/>
  <c r="N13" i="43"/>
  <c r="N12" i="43"/>
  <c r="F12" i="43"/>
  <c r="N11" i="43"/>
  <c r="F11" i="43"/>
  <c r="F10" i="43"/>
  <c r="M8" i="43"/>
  <c r="N8" i="43" s="1"/>
  <c r="U7" i="43"/>
  <c r="V7" i="43" s="1"/>
  <c r="M7" i="43"/>
  <c r="N7" i="43" s="1"/>
  <c r="E7" i="43"/>
  <c r="F7" i="43" s="1"/>
  <c r="E6" i="43"/>
  <c r="F6" i="43" s="1"/>
  <c r="V3" i="43"/>
  <c r="M3" i="43"/>
  <c r="N3" i="43" s="1"/>
  <c r="E3" i="43"/>
  <c r="F3" i="43" s="1"/>
  <c r="I157" i="36"/>
  <c r="G153" i="36"/>
  <c r="G152" i="36"/>
  <c r="F141" i="36"/>
  <c r="G141" i="36" s="1"/>
  <c r="F140" i="36"/>
  <c r="G140" i="36" s="1"/>
  <c r="H136" i="36"/>
  <c r="E133" i="36"/>
  <c r="F133" i="36" s="1"/>
  <c r="F132" i="36"/>
  <c r="F131" i="36"/>
  <c r="F121" i="36"/>
  <c r="H117" i="36"/>
  <c r="E114" i="36"/>
  <c r="F114" i="36" s="1"/>
  <c r="F113" i="36"/>
  <c r="F112" i="36"/>
  <c r="E107" i="36"/>
  <c r="F107" i="36" s="1"/>
  <c r="E106" i="36"/>
  <c r="F106" i="36" s="1"/>
  <c r="E105" i="36"/>
  <c r="F105" i="36" s="1"/>
  <c r="F102" i="36"/>
  <c r="G98" i="36"/>
  <c r="F94" i="36"/>
  <c r="F93" i="36"/>
  <c r="E88" i="36"/>
  <c r="F88" i="36" s="1"/>
  <c r="F86" i="36"/>
  <c r="H82" i="36"/>
  <c r="F78" i="36"/>
  <c r="F77" i="36"/>
  <c r="F69" i="36"/>
  <c r="H65" i="36"/>
  <c r="F61" i="36"/>
  <c r="F60" i="36"/>
  <c r="E59" i="36"/>
  <c r="F59" i="36" s="1"/>
  <c r="E58" i="36"/>
  <c r="F58" i="36" s="1"/>
  <c r="E57" i="36"/>
  <c r="F57" i="36" s="1"/>
  <c r="F53" i="36"/>
  <c r="H49" i="36"/>
  <c r="F45" i="36"/>
  <c r="F44" i="36"/>
  <c r="F37" i="36"/>
  <c r="H33" i="36"/>
  <c r="E30" i="36"/>
  <c r="E46" i="36" s="1"/>
  <c r="F46" i="36" s="1"/>
  <c r="F29" i="36"/>
  <c r="F28" i="36"/>
  <c r="F17" i="36"/>
  <c r="H13" i="36"/>
  <c r="E10" i="36"/>
  <c r="F10" i="36" s="1"/>
  <c r="F9" i="36"/>
  <c r="F8" i="36"/>
  <c r="F3" i="36"/>
  <c r="F127" i="15"/>
  <c r="E125" i="15"/>
  <c r="F125" i="15" s="1"/>
  <c r="F123" i="15"/>
  <c r="E122" i="15"/>
  <c r="F122" i="15" s="1"/>
  <c r="F114" i="15"/>
  <c r="F112" i="15"/>
  <c r="F111" i="15"/>
  <c r="F110" i="15"/>
  <c r="F109" i="15"/>
  <c r="F108" i="15"/>
  <c r="F107" i="15"/>
  <c r="E106" i="15"/>
  <c r="F106" i="15" s="1"/>
  <c r="E102" i="15"/>
  <c r="F102" i="15" s="1"/>
  <c r="F94" i="15"/>
  <c r="E93" i="15"/>
  <c r="F93" i="15" s="1"/>
  <c r="E88" i="15"/>
  <c r="F88" i="15" s="1"/>
  <c r="F87" i="15"/>
  <c r="F86" i="15"/>
  <c r="F78" i="15"/>
  <c r="F75" i="15"/>
  <c r="F74" i="15"/>
  <c r="F73" i="15"/>
  <c r="E70" i="15"/>
  <c r="F70" i="15" s="1"/>
  <c r="E68" i="15"/>
  <c r="F68" i="15" s="1"/>
  <c r="E66" i="15"/>
  <c r="F66" i="15" s="1"/>
  <c r="E65" i="15"/>
  <c r="F65" i="15" s="1"/>
  <c r="E64" i="15"/>
  <c r="F64" i="15" s="1"/>
  <c r="F56" i="15"/>
  <c r="E52" i="15"/>
  <c r="F52" i="15" s="1"/>
  <c r="E51" i="15"/>
  <c r="F51" i="15" s="1"/>
  <c r="E50" i="15"/>
  <c r="F50" i="15" s="1"/>
  <c r="E49" i="15"/>
  <c r="F49" i="15" s="1"/>
  <c r="E48" i="15"/>
  <c r="F48" i="15" s="1"/>
  <c r="E47" i="15"/>
  <c r="F47" i="15" s="1"/>
  <c r="F39" i="15"/>
  <c r="E37" i="15"/>
  <c r="F37" i="15" s="1"/>
  <c r="E35" i="15"/>
  <c r="F35" i="15" s="1"/>
  <c r="F34" i="15"/>
  <c r="E31" i="15"/>
  <c r="F31" i="15" s="1"/>
  <c r="E29" i="15"/>
  <c r="F29" i="15" s="1"/>
  <c r="E28" i="15"/>
  <c r="F28" i="15" s="1"/>
  <c r="F20" i="15"/>
  <c r="E19" i="15"/>
  <c r="F19" i="15" s="1"/>
  <c r="E16" i="15"/>
  <c r="F16" i="15" s="1"/>
  <c r="E15" i="15"/>
  <c r="F15" i="15" s="1"/>
  <c r="E14" i="15"/>
  <c r="F14" i="15" s="1"/>
  <c r="G10" i="15"/>
  <c r="F6" i="15"/>
  <c r="E5" i="15"/>
  <c r="F5" i="15" s="1"/>
  <c r="G79" i="38"/>
  <c r="E68" i="38"/>
  <c r="F68" i="38" s="1"/>
  <c r="G64" i="38"/>
  <c r="E50" i="38"/>
  <c r="F50" i="38" s="1"/>
  <c r="E47" i="38"/>
  <c r="F47" i="38" s="1"/>
  <c r="G43" i="38"/>
  <c r="E34" i="38"/>
  <c r="F34" i="38" s="1"/>
  <c r="E30" i="38"/>
  <c r="F30" i="38" s="1"/>
  <c r="G26" i="38"/>
  <c r="E18" i="38"/>
  <c r="F18" i="38" s="1"/>
  <c r="E16" i="38"/>
  <c r="F16" i="38" s="1"/>
  <c r="F14" i="38"/>
  <c r="E13" i="38"/>
  <c r="F13" i="38" s="1"/>
  <c r="F6" i="38"/>
  <c r="E3" i="38"/>
  <c r="F3" i="38" s="1"/>
  <c r="E127" i="18"/>
  <c r="E126" i="18"/>
  <c r="T113" i="18"/>
  <c r="M113" i="18"/>
  <c r="E113" i="18"/>
  <c r="T112" i="18"/>
  <c r="M112" i="18"/>
  <c r="E112" i="18"/>
  <c r="F104" i="18"/>
  <c r="E100" i="18"/>
  <c r="E99" i="18"/>
  <c r="D98" i="18"/>
  <c r="E98" i="18" s="1"/>
  <c r="E97" i="18"/>
  <c r="D93" i="18"/>
  <c r="E93" i="18" s="1"/>
  <c r="G84" i="18"/>
  <c r="F80" i="18"/>
  <c r="F79" i="18"/>
  <c r="E77" i="18"/>
  <c r="F77" i="18" s="1"/>
  <c r="E73" i="18"/>
  <c r="F73" i="18" s="1"/>
  <c r="E71" i="18"/>
  <c r="F71" i="18" s="1"/>
  <c r="G64" i="18"/>
  <c r="O63" i="18"/>
  <c r="F60" i="18"/>
  <c r="N59" i="18"/>
  <c r="F59" i="18"/>
  <c r="N58" i="18"/>
  <c r="E52" i="18"/>
  <c r="F52" i="18" s="1"/>
  <c r="M51" i="18"/>
  <c r="N51" i="18" s="1"/>
  <c r="E51" i="18"/>
  <c r="F51" i="18" s="1"/>
  <c r="E50" i="18"/>
  <c r="F50" i="18" s="1"/>
  <c r="M47" i="18"/>
  <c r="N47" i="18" s="1"/>
  <c r="E47" i="18"/>
  <c r="F47" i="18" s="1"/>
  <c r="N43" i="18"/>
  <c r="F43" i="18"/>
  <c r="M39" i="18"/>
  <c r="E39" i="18"/>
  <c r="M38" i="18"/>
  <c r="E38" i="18"/>
  <c r="M35" i="18"/>
  <c r="L34" i="18"/>
  <c r="M34" i="18" s="1"/>
  <c r="D34" i="18"/>
  <c r="E34" i="18" s="1"/>
  <c r="N30" i="18"/>
  <c r="F29" i="18"/>
  <c r="M26" i="18"/>
  <c r="M25" i="18"/>
  <c r="E25" i="18"/>
  <c r="E24" i="18"/>
  <c r="L20" i="18"/>
  <c r="M20" i="18" s="1"/>
  <c r="D20" i="18"/>
  <c r="E20" i="18" s="1"/>
  <c r="L19" i="18"/>
  <c r="M19" i="18" s="1"/>
  <c r="D19" i="18"/>
  <c r="E19" i="18" s="1"/>
  <c r="F15" i="18"/>
  <c r="E11" i="18"/>
  <c r="E10" i="18"/>
  <c r="D3" i="18"/>
  <c r="E3" i="18" s="1"/>
  <c r="H784" i="13"/>
  <c r="E781" i="13"/>
  <c r="F781" i="13" s="1"/>
  <c r="F780" i="13"/>
  <c r="F779" i="13"/>
  <c r="F778" i="13"/>
  <c r="E775" i="13"/>
  <c r="F775" i="13" s="1"/>
  <c r="E774" i="13"/>
  <c r="F774" i="13" s="1"/>
  <c r="E771" i="13"/>
  <c r="F771" i="13" s="1"/>
  <c r="E769" i="13"/>
  <c r="F769" i="13" s="1"/>
  <c r="E768" i="13"/>
  <c r="F768" i="13" s="1"/>
  <c r="G764" i="13"/>
  <c r="D761" i="13"/>
  <c r="E761" i="13" s="1"/>
  <c r="E760" i="13"/>
  <c r="E759" i="13"/>
  <c r="E758" i="13"/>
  <c r="D754" i="13"/>
  <c r="E754" i="13" s="1"/>
  <c r="D751" i="13"/>
  <c r="E751" i="13" s="1"/>
  <c r="D750" i="13"/>
  <c r="E750" i="13" s="1"/>
  <c r="F746" i="13"/>
  <c r="E743" i="13"/>
  <c r="E742" i="13"/>
  <c r="E741" i="13"/>
  <c r="D738" i="13"/>
  <c r="E738" i="13" s="1"/>
  <c r="G733" i="13"/>
  <c r="G723" i="13"/>
  <c r="F719" i="13"/>
  <c r="F718" i="13"/>
  <c r="E715" i="13"/>
  <c r="F715" i="13" s="1"/>
  <c r="E706" i="13"/>
  <c r="F706" i="13" s="1"/>
  <c r="E705" i="13"/>
  <c r="F705" i="13" s="1"/>
  <c r="E697" i="13"/>
  <c r="D695" i="13"/>
  <c r="E695" i="13" s="1"/>
  <c r="D693" i="13"/>
  <c r="E693" i="13" s="1"/>
  <c r="D692" i="13"/>
  <c r="E692" i="13" s="1"/>
  <c r="E684" i="13"/>
  <c r="E683" i="13"/>
  <c r="E682" i="13"/>
  <c r="D679" i="13"/>
  <c r="E679" i="13" s="1"/>
  <c r="E674" i="13"/>
  <c r="D670" i="13"/>
  <c r="D669" i="13"/>
  <c r="D668" i="13"/>
  <c r="D667" i="13"/>
  <c r="E659" i="13"/>
  <c r="D658" i="13"/>
  <c r="E658" i="13" s="1"/>
  <c r="D657" i="13"/>
  <c r="E657" i="13" s="1"/>
  <c r="G651" i="13"/>
  <c r="F647" i="13"/>
  <c r="F646" i="13"/>
  <c r="E639" i="13"/>
  <c r="F639" i="13" s="1"/>
  <c r="H635" i="13"/>
  <c r="G631" i="13"/>
  <c r="G630" i="13"/>
  <c r="G629" i="13"/>
  <c r="F628" i="13"/>
  <c r="G628" i="13" s="1"/>
  <c r="F625" i="13"/>
  <c r="G625" i="13" s="1"/>
  <c r="F624" i="13"/>
  <c r="G624" i="13" s="1"/>
  <c r="F616" i="13"/>
  <c r="D612" i="13"/>
  <c r="E612" i="13" s="1"/>
  <c r="D610" i="13"/>
  <c r="E610" i="13" s="1"/>
  <c r="G606" i="13"/>
  <c r="F602" i="13"/>
  <c r="E601" i="13"/>
  <c r="F601" i="13" s="1"/>
  <c r="E599" i="13"/>
  <c r="E600" i="13" s="1"/>
  <c r="F600" i="13" s="1"/>
  <c r="G595" i="13"/>
  <c r="E588" i="13"/>
  <c r="F584" i="13"/>
  <c r="E580" i="13"/>
  <c r="D577" i="13"/>
  <c r="E577" i="13" s="1"/>
  <c r="L569" i="13"/>
  <c r="E569" i="13"/>
  <c r="K568" i="13"/>
  <c r="L568" i="13" s="1"/>
  <c r="D568" i="13"/>
  <c r="E568" i="13" s="1"/>
  <c r="K565" i="13"/>
  <c r="K566" i="13" s="1"/>
  <c r="L566" i="13" s="1"/>
  <c r="D565" i="13"/>
  <c r="D566" i="13" s="1"/>
  <c r="E566" i="13" s="1"/>
  <c r="G561" i="13"/>
  <c r="F557" i="13"/>
  <c r="E554" i="13"/>
  <c r="F554" i="13" s="1"/>
  <c r="E552" i="13"/>
  <c r="F552" i="13" s="1"/>
  <c r="F539" i="13"/>
  <c r="F538" i="13"/>
  <c r="E536" i="13"/>
  <c r="F536" i="13" s="1"/>
  <c r="E532" i="13"/>
  <c r="F532" i="13" s="1"/>
  <c r="E529" i="13"/>
  <c r="F529" i="13" s="1"/>
  <c r="E523" i="13"/>
  <c r="F523" i="13" s="1"/>
  <c r="F519" i="13"/>
  <c r="E515" i="13"/>
  <c r="D513" i="13"/>
  <c r="E513" i="13" s="1"/>
  <c r="D511" i="13"/>
  <c r="D512" i="13" s="1"/>
  <c r="E512" i="13" s="1"/>
  <c r="F507" i="13"/>
  <c r="E503" i="13"/>
  <c r="D501" i="13"/>
  <c r="E501" i="13" s="1"/>
  <c r="F495" i="13"/>
  <c r="E492" i="13"/>
  <c r="D490" i="13"/>
  <c r="E490" i="13" s="1"/>
  <c r="D489" i="13"/>
  <c r="E489" i="13" s="1"/>
  <c r="F485" i="13"/>
  <c r="E481" i="13"/>
  <c r="E480" i="13"/>
  <c r="D478" i="13"/>
  <c r="E478" i="13" s="1"/>
  <c r="D475" i="13"/>
  <c r="E475" i="13" s="1"/>
  <c r="F471" i="13"/>
  <c r="E467" i="13"/>
  <c r="E466" i="13"/>
  <c r="D465" i="13"/>
  <c r="E465" i="13" s="1"/>
  <c r="E464" i="13"/>
  <c r="D460" i="13"/>
  <c r="E460" i="13" s="1"/>
  <c r="F450" i="13"/>
  <c r="E446" i="13"/>
  <c r="E445" i="13"/>
  <c r="E444" i="13"/>
  <c r="D442" i="13"/>
  <c r="E442" i="13" s="1"/>
  <c r="D438" i="13"/>
  <c r="E438" i="13" s="1"/>
  <c r="D437" i="13"/>
  <c r="E437" i="13" s="1"/>
  <c r="F433" i="13"/>
  <c r="E429" i="13"/>
  <c r="E428" i="13"/>
  <c r="E427" i="13"/>
  <c r="D425" i="13"/>
  <c r="E425" i="13" s="1"/>
  <c r="D424" i="13"/>
  <c r="E424" i="13" s="1"/>
  <c r="D420" i="13"/>
  <c r="E420" i="13" s="1"/>
  <c r="D419" i="13"/>
  <c r="D418" i="13"/>
  <c r="E418" i="13" s="1"/>
  <c r="F414" i="13"/>
  <c r="E410" i="13"/>
  <c r="E409" i="13"/>
  <c r="E408" i="13"/>
  <c r="D407" i="13"/>
  <c r="E407" i="13" s="1"/>
  <c r="D404" i="13"/>
  <c r="E404" i="13" s="1"/>
  <c r="G399" i="13"/>
  <c r="F395" i="13"/>
  <c r="F394" i="13"/>
  <c r="E393" i="13"/>
  <c r="F393" i="13" s="1"/>
  <c r="E392" i="13"/>
  <c r="F392" i="13" s="1"/>
  <c r="E389" i="13"/>
  <c r="F389" i="13" s="1"/>
  <c r="G385" i="13"/>
  <c r="F381" i="13"/>
  <c r="F380" i="13"/>
  <c r="E374" i="13"/>
  <c r="F374" i="13" s="1"/>
  <c r="F370" i="13"/>
  <c r="M369" i="13"/>
  <c r="E366" i="13"/>
  <c r="L365" i="13"/>
  <c r="D363" i="13"/>
  <c r="E363" i="13" s="1"/>
  <c r="K362" i="13"/>
  <c r="L362" i="13" s="1"/>
  <c r="D362" i="13"/>
  <c r="E362" i="13" s="1"/>
  <c r="O358" i="13"/>
  <c r="G357" i="13"/>
  <c r="N354" i="13"/>
  <c r="M353" i="13"/>
  <c r="N353" i="13" s="1"/>
  <c r="F353" i="13"/>
  <c r="M349" i="13"/>
  <c r="N349" i="13" s="1"/>
  <c r="M348" i="13"/>
  <c r="N348" i="13" s="1"/>
  <c r="E348" i="13"/>
  <c r="F348" i="13" s="1"/>
  <c r="F341" i="13"/>
  <c r="V338" i="13"/>
  <c r="N337" i="13"/>
  <c r="E337" i="13"/>
  <c r="E336" i="13"/>
  <c r="E335" i="13"/>
  <c r="U334" i="13"/>
  <c r="T333" i="13"/>
  <c r="U333" i="13" s="1"/>
  <c r="M333" i="13"/>
  <c r="T332" i="13"/>
  <c r="U332" i="13" s="1"/>
  <c r="M332" i="13"/>
  <c r="D332" i="13"/>
  <c r="E332" i="13" s="1"/>
  <c r="D331" i="13"/>
  <c r="E331" i="13" s="1"/>
  <c r="L330" i="13"/>
  <c r="M330" i="13" s="1"/>
  <c r="D330" i="13"/>
  <c r="E330" i="13" s="1"/>
  <c r="F326" i="13"/>
  <c r="E322" i="13"/>
  <c r="E321" i="13"/>
  <c r="D320" i="13"/>
  <c r="E320" i="13" s="1"/>
  <c r="D319" i="13"/>
  <c r="E319" i="13" s="1"/>
  <c r="F315" i="13"/>
  <c r="E311" i="13"/>
  <c r="E310" i="13"/>
  <c r="D309" i="13"/>
  <c r="E309" i="13" s="1"/>
  <c r="D308" i="13"/>
  <c r="E308" i="13" s="1"/>
  <c r="G304" i="13"/>
  <c r="F300" i="13"/>
  <c r="F299" i="13"/>
  <c r="E297" i="13"/>
  <c r="F297" i="13" s="1"/>
  <c r="E295" i="13"/>
  <c r="F295" i="13" s="1"/>
  <c r="G291" i="13"/>
  <c r="F287" i="13"/>
  <c r="E284" i="13"/>
  <c r="F284" i="13" s="1"/>
  <c r="F277" i="13"/>
  <c r="E273" i="13"/>
  <c r="D272" i="13"/>
  <c r="E272" i="13" s="1"/>
  <c r="D271" i="13"/>
  <c r="E271" i="13" s="1"/>
  <c r="F267" i="13"/>
  <c r="F256" i="13"/>
  <c r="E252" i="13"/>
  <c r="E251" i="13"/>
  <c r="D249" i="13"/>
  <c r="E249" i="13" s="1"/>
  <c r="D248" i="13"/>
  <c r="E248" i="13" s="1"/>
  <c r="F244" i="13"/>
  <c r="E240" i="13"/>
  <c r="E239" i="13"/>
  <c r="E238" i="13"/>
  <c r="E237" i="13"/>
  <c r="D236" i="13"/>
  <c r="E236" i="13" s="1"/>
  <c r="F231" i="13"/>
  <c r="E227" i="13"/>
  <c r="E226" i="13"/>
  <c r="D225" i="13"/>
  <c r="E225" i="13" s="1"/>
  <c r="D224" i="13"/>
  <c r="E224" i="13" s="1"/>
  <c r="D220" i="13"/>
  <c r="E220" i="13" s="1"/>
  <c r="F210" i="13"/>
  <c r="E206" i="13"/>
  <c r="E205" i="13"/>
  <c r="F199" i="13"/>
  <c r="E195" i="13"/>
  <c r="E194" i="13"/>
  <c r="E193" i="13"/>
  <c r="E192" i="13"/>
  <c r="D190" i="13"/>
  <c r="E190" i="13" s="1"/>
  <c r="D186" i="13"/>
  <c r="E186" i="13" s="1"/>
  <c r="D185" i="13"/>
  <c r="E185" i="13" s="1"/>
  <c r="M183" i="13"/>
  <c r="F181" i="13"/>
  <c r="L179" i="13"/>
  <c r="L178" i="13"/>
  <c r="E177" i="13"/>
  <c r="L176" i="13"/>
  <c r="E176" i="13"/>
  <c r="L175" i="13"/>
  <c r="K174" i="13"/>
  <c r="L174" i="13" s="1"/>
  <c r="E174" i="13"/>
  <c r="K173" i="13"/>
  <c r="L173" i="13" s="1"/>
  <c r="E173" i="13"/>
  <c r="D172" i="13"/>
  <c r="E172" i="13" s="1"/>
  <c r="D171" i="13"/>
  <c r="E171" i="13" s="1"/>
  <c r="G167" i="13"/>
  <c r="F162" i="13"/>
  <c r="E160" i="13"/>
  <c r="F160" i="13" s="1"/>
  <c r="E157" i="13"/>
  <c r="F157" i="13" s="1"/>
  <c r="G151" i="13"/>
  <c r="F147" i="13"/>
  <c r="E145" i="13"/>
  <c r="F145" i="13" s="1"/>
  <c r="F138" i="13"/>
  <c r="E135" i="13"/>
  <c r="D134" i="13"/>
  <c r="E134" i="13" s="1"/>
  <c r="F130" i="13"/>
  <c r="E126" i="13"/>
  <c r="E125" i="13"/>
  <c r="G120" i="13"/>
  <c r="F116" i="13"/>
  <c r="E114" i="13"/>
  <c r="F114" i="13" s="1"/>
  <c r="E112" i="13"/>
  <c r="F112" i="13" s="1"/>
  <c r="E111" i="13"/>
  <c r="F111" i="13" s="1"/>
  <c r="E110" i="13"/>
  <c r="F110" i="13" s="1"/>
  <c r="F105" i="13"/>
  <c r="L102" i="13"/>
  <c r="E101" i="13"/>
  <c r="D99" i="13"/>
  <c r="E99" i="13" s="1"/>
  <c r="K98" i="13"/>
  <c r="D97" i="13"/>
  <c r="E97" i="13" s="1"/>
  <c r="J96" i="13"/>
  <c r="K96" i="13" s="1"/>
  <c r="J95" i="13"/>
  <c r="K95" i="13" s="1"/>
  <c r="F91" i="13"/>
  <c r="E86" i="13"/>
  <c r="E85" i="13"/>
  <c r="E84" i="13"/>
  <c r="D83" i="13"/>
  <c r="E83" i="13" s="1"/>
  <c r="D82" i="13"/>
  <c r="E82" i="13" s="1"/>
  <c r="F70" i="13"/>
  <c r="E66" i="13"/>
  <c r="E65" i="13"/>
  <c r="D62" i="13"/>
  <c r="E62" i="13" s="1"/>
  <c r="D61" i="13"/>
  <c r="E61" i="13" s="1"/>
  <c r="F56" i="13"/>
  <c r="E52" i="13"/>
  <c r="E51" i="13"/>
  <c r="D50" i="13"/>
  <c r="E50" i="13" s="1"/>
  <c r="M45" i="13"/>
  <c r="F45" i="13"/>
  <c r="L41" i="13"/>
  <c r="E41" i="13"/>
  <c r="L40" i="13"/>
  <c r="E40" i="13"/>
  <c r="D37" i="13"/>
  <c r="E37" i="13" s="1"/>
  <c r="D36" i="13"/>
  <c r="E36" i="13" s="1"/>
  <c r="D35" i="13"/>
  <c r="E35" i="13" s="1"/>
  <c r="K34" i="13"/>
  <c r="L34" i="13" s="1"/>
  <c r="D34" i="13"/>
  <c r="E34" i="13" s="1"/>
  <c r="F28" i="13"/>
  <c r="E24" i="13"/>
  <c r="D23" i="13"/>
  <c r="E23" i="13" s="1"/>
  <c r="F15" i="13"/>
  <c r="M14" i="13"/>
  <c r="E11" i="13"/>
  <c r="L10" i="13"/>
  <c r="D10" i="13"/>
  <c r="K8" i="13"/>
  <c r="L8" i="13" s="1"/>
  <c r="K6" i="13"/>
  <c r="L6" i="13" s="1"/>
  <c r="D23" i="12"/>
  <c r="D21" i="12"/>
  <c r="M6" i="43" s="1"/>
  <c r="N6" i="43" s="1"/>
  <c r="D20" i="12"/>
  <c r="D18" i="12"/>
  <c r="D16" i="12"/>
  <c r="E89" i="36" s="1"/>
  <c r="F89" i="36" s="1"/>
  <c r="D15" i="12"/>
  <c r="E43" i="36" s="1"/>
  <c r="F43" i="36" s="1"/>
  <c r="D14" i="12"/>
  <c r="D13" i="12"/>
  <c r="D12" i="12"/>
  <c r="D458" i="13" s="1"/>
  <c r="E458" i="13" s="1"/>
  <c r="D11" i="12"/>
  <c r="D10" i="12"/>
  <c r="D88" i="18" s="1"/>
  <c r="E88" i="18" s="1"/>
  <c r="D9" i="12"/>
  <c r="U8" i="43" s="1"/>
  <c r="V8" i="43" s="1"/>
  <c r="D7" i="12"/>
  <c r="E76" i="15" s="1"/>
  <c r="F76" i="15" s="1"/>
  <c r="D6" i="12"/>
  <c r="E91" i="15" s="1"/>
  <c r="F91" i="15" s="1"/>
  <c r="D5" i="12"/>
  <c r="D4" i="12"/>
  <c r="D6" i="13" s="1"/>
  <c r="E6" i="13" s="1"/>
  <c r="B3" i="12"/>
  <c r="D3" i="12" s="1"/>
  <c r="L52" i="9"/>
  <c r="S129" i="53" s="1"/>
  <c r="T129" i="53" s="1"/>
  <c r="T141" i="53" s="1"/>
  <c r="T142" i="53" s="1"/>
  <c r="U142" i="53" s="1"/>
  <c r="L51" i="9"/>
  <c r="K38" i="9"/>
  <c r="E46" i="9"/>
  <c r="E104" i="36" s="1"/>
  <c r="F104" i="36" s="1"/>
  <c r="K37" i="9"/>
  <c r="D204" i="13" s="1"/>
  <c r="E204" i="13" s="1"/>
  <c r="E44" i="9"/>
  <c r="E43" i="9"/>
  <c r="E24" i="9"/>
  <c r="E23" i="9"/>
  <c r="E12" i="9"/>
  <c r="N20" i="9"/>
  <c r="E21" i="9"/>
  <c r="E20" i="9"/>
  <c r="E19" i="9"/>
  <c r="E18" i="9"/>
  <c r="E17" i="9"/>
  <c r="E16" i="9"/>
  <c r="E15" i="9"/>
  <c r="E14" i="9"/>
  <c r="K12" i="9"/>
  <c r="E118" i="55" s="1"/>
  <c r="E13" i="9"/>
  <c r="E11" i="9"/>
  <c r="E10" i="9"/>
  <c r="E9" i="9"/>
  <c r="E8" i="9"/>
  <c r="E7" i="9"/>
  <c r="E6" i="9"/>
  <c r="L5" i="9"/>
  <c r="E5" i="9"/>
  <c r="E4" i="9"/>
  <c r="E11" i="38" s="1"/>
  <c r="F11" i="38" s="1"/>
  <c r="L3" i="9"/>
  <c r="C82" i="3"/>
  <c r="D82" i="3" s="1"/>
  <c r="D12" i="17"/>
  <c r="E12" i="17" s="1"/>
  <c r="E16" i="17" s="1"/>
  <c r="E17" i="57"/>
  <c r="F17" i="57" s="1"/>
  <c r="R67" i="53"/>
  <c r="S67" i="53" s="1"/>
  <c r="E859" i="13"/>
  <c r="F859" i="13" s="1"/>
  <c r="N859" i="13"/>
  <c r="O859" i="13" s="1"/>
  <c r="E530" i="13"/>
  <c r="F530" i="13" s="1"/>
  <c r="E862" i="13"/>
  <c r="F862" i="13" s="1"/>
  <c r="E5" i="38"/>
  <c r="F5" i="38" s="1"/>
  <c r="E122" i="36"/>
  <c r="F122" i="36" s="1"/>
  <c r="E103" i="36"/>
  <c r="F103" i="36" s="1"/>
  <c r="E92" i="36"/>
  <c r="F92" i="36" s="1"/>
  <c r="N30" i="3"/>
  <c r="E99" i="56"/>
  <c r="F99" i="56" s="1"/>
  <c r="T26" i="3"/>
  <c r="E3" i="14"/>
  <c r="Y25" i="3"/>
  <c r="N25" i="3"/>
  <c r="E113" i="13" s="1"/>
  <c r="F113" i="13" s="1"/>
  <c r="D656" i="13"/>
  <c r="E656" i="13" s="1"/>
  <c r="L36" i="18"/>
  <c r="M36" i="18" s="1"/>
  <c r="D110" i="18"/>
  <c r="E110" i="18" s="1"/>
  <c r="D96" i="18"/>
  <c r="E96" i="18" s="1"/>
  <c r="D17" i="3"/>
  <c r="E642" i="13"/>
  <c r="F642" i="13" s="1"/>
  <c r="U10" i="43"/>
  <c r="V10" i="43" s="1"/>
  <c r="E40" i="36"/>
  <c r="F40" i="36" s="1"/>
  <c r="D579" i="13"/>
  <c r="E579" i="13" s="1"/>
  <c r="E282" i="13"/>
  <c r="F282" i="13" s="1"/>
  <c r="E14" i="52"/>
  <c r="N50" i="20"/>
  <c r="N49" i="20"/>
  <c r="N48" i="20"/>
  <c r="N47" i="20"/>
  <c r="K19" i="17" s="1"/>
  <c r="L19" i="17" s="1"/>
  <c r="N46" i="20"/>
  <c r="E95" i="55" s="1"/>
  <c r="F95" i="55" s="1"/>
  <c r="N45" i="20"/>
  <c r="E127" i="57" s="1"/>
  <c r="F127" i="57" s="1"/>
  <c r="N44" i="20"/>
  <c r="M57" i="20"/>
  <c r="L40" i="20"/>
  <c r="M56" i="20"/>
  <c r="L36" i="20"/>
  <c r="F35" i="20"/>
  <c r="F34" i="20"/>
  <c r="E338" i="50" s="1"/>
  <c r="F33" i="20"/>
  <c r="L32" i="20"/>
  <c r="F32" i="20"/>
  <c r="F30" i="20"/>
  <c r="M28" i="20"/>
  <c r="M27" i="20"/>
  <c r="E91" i="36" s="1"/>
  <c r="F91" i="36" s="1"/>
  <c r="E26" i="20"/>
  <c r="M26" i="20"/>
  <c r="E25" i="20"/>
  <c r="E103" i="15" s="1"/>
  <c r="F103" i="15" s="1"/>
  <c r="M25" i="20"/>
  <c r="E24" i="20"/>
  <c r="M24" i="20"/>
  <c r="E127" i="36" s="1"/>
  <c r="F127" i="36" s="1"/>
  <c r="F19" i="20"/>
  <c r="N19" i="20"/>
  <c r="O19" i="20" s="1"/>
  <c r="F18" i="20"/>
  <c r="F17" i="20"/>
  <c r="F16" i="20"/>
  <c r="F15" i="20"/>
  <c r="D108" i="18" s="1"/>
  <c r="E108" i="18" s="1"/>
  <c r="F14" i="20"/>
  <c r="D122" i="18" s="1"/>
  <c r="E122" i="18" s="1"/>
  <c r="F13" i="20"/>
  <c r="L12" i="20"/>
  <c r="E645" i="13" s="1"/>
  <c r="F645" i="13" s="1"/>
  <c r="F12" i="20"/>
  <c r="F11" i="20"/>
  <c r="F10" i="20"/>
  <c r="F9" i="20"/>
  <c r="F8" i="20"/>
  <c r="S108" i="18" s="1"/>
  <c r="T108" i="18" s="1"/>
  <c r="F7" i="20"/>
  <c r="F6" i="20"/>
  <c r="D121" i="18" s="1"/>
  <c r="E121" i="18" s="1"/>
  <c r="F5" i="20"/>
  <c r="N4" i="20"/>
  <c r="E19" i="55" s="1"/>
  <c r="F4" i="20"/>
  <c r="F3" i="20"/>
  <c r="L108" i="18" s="1"/>
  <c r="M108" i="18" s="1"/>
  <c r="F25" i="35"/>
  <c r="F24" i="35"/>
  <c r="D23" i="56" s="1"/>
  <c r="E23" i="56" s="1"/>
  <c r="F20" i="35"/>
  <c r="E111" i="53" s="1"/>
  <c r="F111" i="53" s="1"/>
  <c r="F19" i="35"/>
  <c r="E60" i="35"/>
  <c r="F60" i="35" s="1"/>
  <c r="F53" i="52"/>
  <c r="E24" i="23"/>
  <c r="F24" i="23" s="1"/>
  <c r="E29" i="23"/>
  <c r="F29" i="23" s="1"/>
  <c r="F147" i="55"/>
  <c r="G147" i="55" s="1"/>
  <c r="E231" i="50"/>
  <c r="F231" i="50" s="1"/>
  <c r="R22" i="50"/>
  <c r="E528" i="13"/>
  <c r="F528" i="13" s="1"/>
  <c r="E229" i="52"/>
  <c r="F229" i="52" s="1"/>
  <c r="F245" i="50"/>
  <c r="F111" i="35"/>
  <c r="E23" i="23"/>
  <c r="F23" i="23" s="1"/>
  <c r="F110" i="35"/>
  <c r="E277" i="55" s="1"/>
  <c r="F277" i="55" s="1"/>
  <c r="F109" i="35"/>
  <c r="D353" i="50" s="1"/>
  <c r="E353" i="50" s="1"/>
  <c r="F108" i="35"/>
  <c r="O29" i="14"/>
  <c r="D85" i="52"/>
  <c r="E85" i="52" s="1"/>
  <c r="D420" i="50"/>
  <c r="E420" i="50" s="1"/>
  <c r="E218" i="50"/>
  <c r="F218" i="50" s="1"/>
  <c r="E352" i="13"/>
  <c r="F352" i="13" s="1"/>
  <c r="D419" i="50"/>
  <c r="E419" i="50" s="1"/>
  <c r="E33" i="58"/>
  <c r="F33" i="58" s="1"/>
  <c r="F38" i="58" s="1"/>
  <c r="I52" i="1"/>
  <c r="Q81" i="51" s="1"/>
  <c r="R81" i="51" s="1"/>
  <c r="I51" i="1"/>
  <c r="O25" i="59" s="1"/>
  <c r="P25" i="59" s="1"/>
  <c r="I49" i="1"/>
  <c r="I46" i="1"/>
  <c r="O48" i="1"/>
  <c r="D351" i="50" s="1"/>
  <c r="E351" i="50" s="1"/>
  <c r="O46" i="1"/>
  <c r="I33" i="1"/>
  <c r="C3" i="52"/>
  <c r="C6" i="52" s="1"/>
  <c r="I14" i="1"/>
  <c r="D788" i="13"/>
  <c r="E788" i="13" s="1"/>
  <c r="O121" i="1"/>
  <c r="Q101" i="50" s="1"/>
  <c r="R101" i="50" s="1"/>
  <c r="O24" i="1"/>
  <c r="AA44" i="50"/>
  <c r="AB44" i="50" s="1"/>
  <c r="AB49" i="50" s="1"/>
  <c r="O23" i="1"/>
  <c r="O22" i="1"/>
  <c r="O21" i="1"/>
  <c r="D177" i="1"/>
  <c r="D176" i="1"/>
  <c r="D175" i="1"/>
  <c r="K33" i="13"/>
  <c r="L33" i="13" s="1"/>
  <c r="D128" i="1"/>
  <c r="D147" i="1"/>
  <c r="D126" i="1"/>
  <c r="R432" i="50" s="1"/>
  <c r="R435" i="50" s="1"/>
  <c r="R436" i="50" s="1"/>
  <c r="S436" i="50" s="1"/>
  <c r="D125" i="1"/>
  <c r="D124" i="1"/>
  <c r="O10" i="1"/>
  <c r="D122" i="1"/>
  <c r="AA116" i="50" s="1"/>
  <c r="AB116" i="50" s="1"/>
  <c r="D121" i="1"/>
  <c r="D49" i="13"/>
  <c r="O9" i="1"/>
  <c r="E35" i="54" s="1"/>
  <c r="F35" i="54" s="1"/>
  <c r="D120" i="1"/>
  <c r="D119" i="1"/>
  <c r="D115" i="1"/>
  <c r="O7" i="1"/>
  <c r="D476" i="13"/>
  <c r="E476" i="13" s="1"/>
  <c r="D111" i="1"/>
  <c r="D110" i="1"/>
  <c r="D109" i="1"/>
  <c r="E157" i="52"/>
  <c r="F157" i="52" s="1"/>
  <c r="D108" i="1"/>
  <c r="E70" i="52"/>
  <c r="F70" i="52" s="1"/>
  <c r="Q20" i="50"/>
  <c r="R20" i="50" s="1"/>
  <c r="H118" i="11"/>
  <c r="C100" i="37" s="1"/>
  <c r="H117" i="11"/>
  <c r="C97" i="37" s="1"/>
  <c r="H116" i="11"/>
  <c r="C103" i="37" s="1"/>
  <c r="H115" i="11"/>
  <c r="C104" i="37" s="1"/>
  <c r="G114" i="11"/>
  <c r="B111" i="11"/>
  <c r="C105" i="37"/>
  <c r="I108" i="11"/>
  <c r="H106" i="11"/>
  <c r="C101" i="37" s="1"/>
  <c r="I104" i="11"/>
  <c r="H104" i="11"/>
  <c r="C102" i="37" s="1"/>
  <c r="C106" i="11"/>
  <c r="H101" i="11"/>
  <c r="I98" i="11"/>
  <c r="H98" i="11"/>
  <c r="C99" i="37" s="1"/>
  <c r="C97" i="11"/>
  <c r="C96" i="11"/>
  <c r="C98" i="11"/>
  <c r="G96" i="11"/>
  <c r="I91" i="11"/>
  <c r="H91" i="11"/>
  <c r="C96" i="37" s="1"/>
  <c r="H86" i="11"/>
  <c r="C98" i="37" s="1"/>
  <c r="H85" i="11"/>
  <c r="B77" i="11"/>
  <c r="C71" i="11"/>
  <c r="C8" i="37" s="1"/>
  <c r="C70" i="11"/>
  <c r="H70" i="11"/>
  <c r="C56" i="37" s="1"/>
  <c r="C66" i="11"/>
  <c r="C42" i="37" s="1"/>
  <c r="C64" i="11"/>
  <c r="C11" i="37" s="1"/>
  <c r="C63" i="11"/>
  <c r="H56" i="11"/>
  <c r="B61" i="11"/>
  <c r="I54" i="11"/>
  <c r="G54" i="11"/>
  <c r="C55" i="11"/>
  <c r="C16" i="37" s="1"/>
  <c r="C54" i="11"/>
  <c r="C7" i="37" s="1"/>
  <c r="H35" i="11"/>
  <c r="C47" i="11"/>
  <c r="C44" i="11"/>
  <c r="C9" i="37" s="1"/>
  <c r="G32" i="11"/>
  <c r="I29" i="11"/>
  <c r="H27" i="11"/>
  <c r="B41" i="11"/>
  <c r="C40" i="11"/>
  <c r="E222" i="11"/>
  <c r="C127" i="37"/>
  <c r="E221" i="11"/>
  <c r="C123" i="37"/>
  <c r="I25" i="11"/>
  <c r="E220" i="11"/>
  <c r="C139" i="37"/>
  <c r="B36" i="11"/>
  <c r="E219" i="11"/>
  <c r="C131" i="37"/>
  <c r="C31" i="11"/>
  <c r="C33" i="37" s="1"/>
  <c r="B27" i="11"/>
  <c r="C26" i="11"/>
  <c r="C12" i="37" s="1"/>
  <c r="C23" i="11"/>
  <c r="C14" i="37" s="1"/>
  <c r="H20" i="11"/>
  <c r="C55" i="37" s="1"/>
  <c r="C22" i="11"/>
  <c r="C21" i="11"/>
  <c r="G71" i="11"/>
  <c r="H18" i="11"/>
  <c r="C52" i="37" s="1"/>
  <c r="G3" i="11"/>
  <c r="H17" i="11"/>
  <c r="C53" i="37" s="1"/>
  <c r="H16" i="11"/>
  <c r="C54" i="37" s="1"/>
  <c r="C15" i="11"/>
  <c r="C34" i="37" s="1"/>
  <c r="H13" i="11"/>
  <c r="C51" i="37" s="1"/>
  <c r="C48" i="11"/>
  <c r="H12" i="11"/>
  <c r="C50" i="37" s="1"/>
  <c r="H11" i="11"/>
  <c r="H10" i="11"/>
  <c r="G23" i="29"/>
  <c r="F23" i="29"/>
  <c r="E23" i="29"/>
  <c r="D23" i="29"/>
  <c r="D24" i="29" s="1"/>
  <c r="C23" i="29"/>
  <c r="H22" i="29"/>
  <c r="H21" i="29"/>
  <c r="H20" i="29"/>
  <c r="H19" i="29"/>
  <c r="H18" i="29"/>
  <c r="H17" i="29"/>
  <c r="H16" i="29"/>
  <c r="H15" i="29"/>
  <c r="H14" i="29"/>
  <c r="H13" i="29"/>
  <c r="H12" i="29"/>
  <c r="H11" i="29"/>
  <c r="H10" i="29"/>
  <c r="H9" i="29"/>
  <c r="H8" i="29"/>
  <c r="H7" i="29"/>
  <c r="H6" i="29"/>
  <c r="H5" i="29"/>
  <c r="H4" i="29"/>
  <c r="H3" i="29"/>
  <c r="H2" i="29"/>
  <c r="D132" i="77" l="1"/>
  <c r="E132" i="77" s="1"/>
  <c r="E137" i="77" s="1"/>
  <c r="E138" i="77" s="1"/>
  <c r="F138" i="77" s="1"/>
  <c r="D626" i="75"/>
  <c r="E626" i="75" s="1"/>
  <c r="D1089" i="74"/>
  <c r="E1089" i="74" s="1"/>
  <c r="E1110" i="74" s="1"/>
  <c r="D1383" i="74"/>
  <c r="E1383" i="74" s="1"/>
  <c r="E1399" i="74" s="1"/>
  <c r="D814" i="75"/>
  <c r="E814" i="75" s="1"/>
  <c r="E831" i="75" s="1"/>
  <c r="E832" i="75" s="1"/>
  <c r="F832" i="75" s="1"/>
  <c r="K9" i="13"/>
  <c r="L9" i="13" s="1"/>
  <c r="E93" i="78"/>
  <c r="F93" i="78" s="1"/>
  <c r="F100" i="78" s="1"/>
  <c r="F101" i="78" s="1"/>
  <c r="G101" i="78" s="1"/>
  <c r="D106" i="77"/>
  <c r="E106" i="77" s="1"/>
  <c r="E112" i="77" s="1"/>
  <c r="E113" i="77" s="1"/>
  <c r="F113" i="77" s="1"/>
  <c r="D9" i="75"/>
  <c r="E9" i="75" s="1"/>
  <c r="E26" i="75" s="1"/>
  <c r="E27" i="75" s="1"/>
  <c r="F27" i="75" s="1"/>
  <c r="D8" i="79"/>
  <c r="E8" i="79" s="1"/>
  <c r="E22" i="79" s="1"/>
  <c r="E23" i="79" s="1"/>
  <c r="F24" i="79" s="1"/>
  <c r="D4" i="73"/>
  <c r="E4" i="73" s="1"/>
  <c r="E21" i="73" s="1"/>
  <c r="D28" i="74"/>
  <c r="E28" i="74" s="1"/>
  <c r="E49" i="74" s="1"/>
  <c r="Q533" i="50"/>
  <c r="R533" i="50" s="1"/>
  <c r="R535" i="50" s="1"/>
  <c r="R536" i="50" s="1"/>
  <c r="S536" i="50" s="1"/>
  <c r="AA115" i="50"/>
  <c r="AB115" i="50" s="1"/>
  <c r="AB119" i="50" s="1"/>
  <c r="AB120" i="50" s="1"/>
  <c r="AC120" i="50" s="1"/>
  <c r="D168" i="50"/>
  <c r="E168" i="50" s="1"/>
  <c r="E172" i="50" s="1"/>
  <c r="L72" i="67" s="1"/>
  <c r="M72" i="67" s="1"/>
  <c r="Q572" i="50"/>
  <c r="R572" i="50" s="1"/>
  <c r="R574" i="50" s="1"/>
  <c r="R575" i="50" s="1"/>
  <c r="S575" i="50" s="1"/>
  <c r="AA7" i="50"/>
  <c r="AB7" i="50" s="1"/>
  <c r="R425" i="50"/>
  <c r="R427" i="50" s="1"/>
  <c r="R428" i="50" s="1"/>
  <c r="S428" i="50" s="1"/>
  <c r="D929" i="53"/>
  <c r="E929" i="53" s="1"/>
  <c r="E945" i="53" s="1"/>
  <c r="D759" i="52"/>
  <c r="E759" i="52" s="1"/>
  <c r="E766" i="52" s="1"/>
  <c r="E767" i="52" s="1"/>
  <c r="F767" i="52" s="1"/>
  <c r="D6" i="54"/>
  <c r="E6" i="54" s="1"/>
  <c r="D21" i="54"/>
  <c r="D907" i="53"/>
  <c r="E907" i="53" s="1"/>
  <c r="E920" i="53" s="1"/>
  <c r="D1029" i="53"/>
  <c r="E1029" i="53" s="1"/>
  <c r="E1042" i="53" s="1"/>
  <c r="E1043" i="53" s="1"/>
  <c r="F1043" i="53" s="1"/>
  <c r="E804" i="53"/>
  <c r="F804" i="53" s="1"/>
  <c r="E731" i="52"/>
  <c r="F731" i="52" s="1"/>
  <c r="D753" i="50"/>
  <c r="E753" i="50" s="1"/>
  <c r="E759" i="50" s="1"/>
  <c r="E760" i="50" s="1"/>
  <c r="F760" i="50" s="1"/>
  <c r="E201" i="36"/>
  <c r="F201" i="36" s="1"/>
  <c r="F207" i="36" s="1"/>
  <c r="F208" i="36" s="1"/>
  <c r="G208" i="36" s="1"/>
  <c r="E735" i="52"/>
  <c r="F735" i="52" s="1"/>
  <c r="E809" i="53"/>
  <c r="F809" i="53" s="1"/>
  <c r="E625" i="50"/>
  <c r="F625" i="50" s="1"/>
  <c r="F631" i="50" s="1"/>
  <c r="F632" i="50" s="1"/>
  <c r="G632" i="50" s="1"/>
  <c r="K17" i="17"/>
  <c r="L17" i="17" s="1"/>
  <c r="D31" i="70"/>
  <c r="E31" i="70" s="1"/>
  <c r="F182" i="36"/>
  <c r="G182" i="36" s="1"/>
  <c r="K20" i="17"/>
  <c r="L20" i="17" s="1"/>
  <c r="E62" i="57"/>
  <c r="F62" i="57" s="1"/>
  <c r="E271" i="55"/>
  <c r="F271" i="55" s="1"/>
  <c r="D30" i="70"/>
  <c r="E30" i="70" s="1"/>
  <c r="E336" i="53"/>
  <c r="F336" i="53" s="1"/>
  <c r="F347" i="53" s="1"/>
  <c r="F348" i="53" s="1"/>
  <c r="G348" i="53" s="1"/>
  <c r="E418" i="52"/>
  <c r="F418" i="52" s="1"/>
  <c r="Q266" i="50"/>
  <c r="R266" i="50" s="1"/>
  <c r="R271" i="50" s="1"/>
  <c r="R272" i="50" s="1"/>
  <c r="S272" i="50" s="1"/>
  <c r="D506" i="50"/>
  <c r="E506" i="50" s="1"/>
  <c r="N94" i="14"/>
  <c r="O94" i="14" s="1"/>
  <c r="O99" i="14" s="1"/>
  <c r="O100" i="14" s="1"/>
  <c r="P100" i="14" s="1"/>
  <c r="E251" i="55"/>
  <c r="F251" i="55" s="1"/>
  <c r="E406" i="52"/>
  <c r="F406" i="52" s="1"/>
  <c r="F412" i="52" s="1"/>
  <c r="F413" i="52" s="1"/>
  <c r="G413" i="52" s="1"/>
  <c r="E85" i="57"/>
  <c r="F85" i="57" s="1"/>
  <c r="R61" i="53"/>
  <c r="S61" i="53" s="1"/>
  <c r="D505" i="50"/>
  <c r="E505" i="50" s="1"/>
  <c r="E658" i="53"/>
  <c r="F658" i="53" s="1"/>
  <c r="F672" i="53" s="1"/>
  <c r="F673" i="53" s="1"/>
  <c r="G673" i="53" s="1"/>
  <c r="E635" i="53"/>
  <c r="R184" i="53"/>
  <c r="S184" i="53" s="1"/>
  <c r="S195" i="53" s="1"/>
  <c r="E678" i="53"/>
  <c r="E455" i="52"/>
  <c r="F455" i="52" s="1"/>
  <c r="F461" i="52" s="1"/>
  <c r="F462" i="52" s="1"/>
  <c r="G462" i="52" s="1"/>
  <c r="E408" i="53"/>
  <c r="F408" i="53" s="1"/>
  <c r="F420" i="53" s="1"/>
  <c r="F421" i="53" s="1"/>
  <c r="G421" i="53" s="1"/>
  <c r="H23" i="29"/>
  <c r="H24" i="29" s="1"/>
  <c r="E25" i="17"/>
  <c r="L4" i="67"/>
  <c r="M4" i="67" s="1"/>
  <c r="L5" i="67"/>
  <c r="M5" i="67" s="1"/>
  <c r="M24" i="11"/>
  <c r="M23" i="66"/>
  <c r="E17" i="17"/>
  <c r="L3" i="67"/>
  <c r="M3" i="67" s="1"/>
  <c r="L2" i="67"/>
  <c r="M2" i="67" s="1"/>
  <c r="C21" i="16"/>
  <c r="C22" i="16" s="1"/>
  <c r="C7" i="52"/>
  <c r="L299" i="67"/>
  <c r="M299" i="67" s="1"/>
  <c r="M44" i="14"/>
  <c r="N44" i="14" s="1"/>
  <c r="L156" i="67"/>
  <c r="M156" i="67" s="1"/>
  <c r="AB50" i="50"/>
  <c r="AC50" i="50" s="1"/>
  <c r="L34" i="67"/>
  <c r="M34" i="67" s="1"/>
  <c r="F39" i="58"/>
  <c r="G39" i="58" s="1"/>
  <c r="L263" i="67"/>
  <c r="M263" i="67" s="1"/>
  <c r="E25" i="36"/>
  <c r="F25" i="36" s="1"/>
  <c r="D260" i="13"/>
  <c r="E260" i="13" s="1"/>
  <c r="E53" i="38"/>
  <c r="F53" i="38" s="1"/>
  <c r="E21" i="54"/>
  <c r="E313" i="52"/>
  <c r="F313" i="52" s="1"/>
  <c r="F320" i="52" s="1"/>
  <c r="F338" i="50"/>
  <c r="C13" i="37"/>
  <c r="E424" i="50"/>
  <c r="C10" i="37"/>
  <c r="Q125" i="51"/>
  <c r="R125" i="51" s="1"/>
  <c r="Q167" i="51"/>
  <c r="R167" i="51" s="1"/>
  <c r="Q181" i="51"/>
  <c r="R181" i="51" s="1"/>
  <c r="R186" i="51" s="1"/>
  <c r="Q153" i="51"/>
  <c r="R153" i="51" s="1"/>
  <c r="Q139" i="51"/>
  <c r="R139" i="51" s="1"/>
  <c r="Q123" i="51"/>
  <c r="R123" i="51" s="1"/>
  <c r="Q165" i="51"/>
  <c r="R165" i="51" s="1"/>
  <c r="Q137" i="51"/>
  <c r="R137" i="51" s="1"/>
  <c r="Q151" i="51"/>
  <c r="R151" i="51" s="1"/>
  <c r="Q124" i="51"/>
  <c r="R124" i="51" s="1"/>
  <c r="Q166" i="51"/>
  <c r="R166" i="51" s="1"/>
  <c r="Q138" i="51"/>
  <c r="R138" i="51" s="1"/>
  <c r="Q152" i="51"/>
  <c r="R152" i="51" s="1"/>
  <c r="C15" i="37"/>
  <c r="C29" i="37"/>
  <c r="E246" i="55"/>
  <c r="F246" i="55" s="1"/>
  <c r="E130" i="57"/>
  <c r="F130" i="57" s="1"/>
  <c r="E86" i="57"/>
  <c r="F86" i="57" s="1"/>
  <c r="E65" i="57"/>
  <c r="F65" i="57" s="1"/>
  <c r="E272" i="55"/>
  <c r="F272" i="55" s="1"/>
  <c r="E250" i="55"/>
  <c r="F250" i="55" s="1"/>
  <c r="E115" i="55"/>
  <c r="F115" i="55" s="1"/>
  <c r="E114" i="55"/>
  <c r="F114" i="55" s="1"/>
  <c r="E860" i="13"/>
  <c r="F860" i="13" s="1"/>
  <c r="F124" i="57"/>
  <c r="F243" i="55"/>
  <c r="S72" i="53"/>
  <c r="M50" i="18"/>
  <c r="N50" i="18" s="1"/>
  <c r="O32" i="56"/>
  <c r="P32" i="56" s="1"/>
  <c r="S63" i="53"/>
  <c r="D13" i="52"/>
  <c r="E13" i="52" s="1"/>
  <c r="D12" i="52"/>
  <c r="E12" i="52" s="1"/>
  <c r="M14" i="52"/>
  <c r="N14" i="52" s="1"/>
  <c r="N20" i="52" s="1"/>
  <c r="L346" i="67" s="1"/>
  <c r="M346" i="67" s="1"/>
  <c r="E73" i="52"/>
  <c r="F73" i="52" s="1"/>
  <c r="F118" i="55"/>
  <c r="E68" i="57"/>
  <c r="F68" i="57" s="1"/>
  <c r="E88" i="57"/>
  <c r="F88" i="57" s="1"/>
  <c r="E45" i="57"/>
  <c r="F45" i="57" s="1"/>
  <c r="E154" i="57"/>
  <c r="F154" i="57" s="1"/>
  <c r="E63" i="57"/>
  <c r="F63" i="57" s="1"/>
  <c r="E274" i="55"/>
  <c r="F274" i="55" s="1"/>
  <c r="E113" i="55"/>
  <c r="F113" i="55" s="1"/>
  <c r="D56" i="56"/>
  <c r="E56" i="56" s="1"/>
  <c r="E94" i="55"/>
  <c r="F94" i="55" s="1"/>
  <c r="D7" i="56"/>
  <c r="E7" i="56" s="1"/>
  <c r="E78" i="55"/>
  <c r="F78" i="55" s="1"/>
  <c r="F620" i="13"/>
  <c r="G620" i="13" s="1"/>
  <c r="E55" i="38"/>
  <c r="F55" i="38" s="1"/>
  <c r="E108" i="36"/>
  <c r="F108" i="36" s="1"/>
  <c r="E68" i="23"/>
  <c r="E69" i="23" s="1"/>
  <c r="F69" i="23" s="1"/>
  <c r="G98" i="52"/>
  <c r="F278" i="55"/>
  <c r="E52" i="56"/>
  <c r="E24" i="56"/>
  <c r="E109" i="36"/>
  <c r="F109" i="36" s="1"/>
  <c r="N857" i="13"/>
  <c r="O857" i="13" s="1"/>
  <c r="E857" i="13"/>
  <c r="F857" i="13" s="1"/>
  <c r="F867" i="13" s="1"/>
  <c r="F868" i="13" s="1"/>
  <c r="G868" i="13" s="1"/>
  <c r="O67" i="56"/>
  <c r="P67" i="56" s="1"/>
  <c r="R65" i="53"/>
  <c r="S65" i="53" s="1"/>
  <c r="E126" i="57"/>
  <c r="F126" i="57" s="1"/>
  <c r="E273" i="55"/>
  <c r="F273" i="55" s="1"/>
  <c r="E112" i="55"/>
  <c r="F112" i="55" s="1"/>
  <c r="E245" i="55"/>
  <c r="F245" i="55" s="1"/>
  <c r="Q8" i="50"/>
  <c r="R8" i="50" s="1"/>
  <c r="R68" i="53"/>
  <c r="S68" i="53" s="1"/>
  <c r="D268" i="50"/>
  <c r="E268" i="50" s="1"/>
  <c r="P7" i="59"/>
  <c r="S71" i="53"/>
  <c r="F125" i="57"/>
  <c r="F90" i="57"/>
  <c r="E53" i="56"/>
  <c r="F244" i="55"/>
  <c r="F280" i="55"/>
  <c r="E39" i="55"/>
  <c r="F39" i="55" s="1"/>
  <c r="F19" i="55"/>
  <c r="E129" i="36"/>
  <c r="F129" i="36" s="1"/>
  <c r="N858" i="13"/>
  <c r="O858" i="13" s="1"/>
  <c r="E858" i="13"/>
  <c r="F858" i="13" s="1"/>
  <c r="E87" i="57"/>
  <c r="F87" i="57" s="1"/>
  <c r="D55" i="56"/>
  <c r="E55" i="56" s="1"/>
  <c r="E70" i="38"/>
  <c r="F70" i="38" s="1"/>
  <c r="N860" i="13"/>
  <c r="O860" i="13" s="1"/>
  <c r="F146" i="36"/>
  <c r="G146" i="36" s="1"/>
  <c r="E64" i="57"/>
  <c r="F64" i="57" s="1"/>
  <c r="G275" i="52"/>
  <c r="F70" i="57"/>
  <c r="F91" i="57"/>
  <c r="F120" i="55"/>
  <c r="F100" i="56"/>
  <c r="D71" i="56"/>
  <c r="E71" i="56" s="1"/>
  <c r="S70" i="53"/>
  <c r="F279" i="55"/>
  <c r="F217" i="50"/>
  <c r="F191" i="50"/>
  <c r="F230" i="50"/>
  <c r="K37" i="13"/>
  <c r="L37" i="13" s="1"/>
  <c r="D27" i="52"/>
  <c r="E27" i="52" s="1"/>
  <c r="E16" i="57"/>
  <c r="F16" i="57" s="1"/>
  <c r="E129" i="57"/>
  <c r="F129" i="57" s="1"/>
  <c r="E69" i="57"/>
  <c r="F69" i="57" s="1"/>
  <c r="E248" i="55"/>
  <c r="F248" i="55" s="1"/>
  <c r="E119" i="55"/>
  <c r="F119" i="55" s="1"/>
  <c r="E861" i="13"/>
  <c r="F861" i="13" s="1"/>
  <c r="R69" i="53"/>
  <c r="S69" i="53" s="1"/>
  <c r="D814" i="13"/>
  <c r="E814" i="13" s="1"/>
  <c r="E66" i="57"/>
  <c r="F66" i="57" s="1"/>
  <c r="D286" i="53"/>
  <c r="E286" i="53" s="1"/>
  <c r="E116" i="55"/>
  <c r="F116" i="55" s="1"/>
  <c r="D352" i="50"/>
  <c r="E352" i="50" s="1"/>
  <c r="D51" i="56"/>
  <c r="E51" i="56" s="1"/>
  <c r="E131" i="57"/>
  <c r="F131" i="57" s="1"/>
  <c r="E46" i="57"/>
  <c r="F46" i="57" s="1"/>
  <c r="R60" i="53"/>
  <c r="S60" i="53" s="1"/>
  <c r="Q120" i="50"/>
  <c r="R120" i="50" s="1"/>
  <c r="D95" i="13"/>
  <c r="E95" i="13" s="1"/>
  <c r="D26" i="52"/>
  <c r="E26" i="52" s="1"/>
  <c r="D25" i="52"/>
  <c r="E25" i="52" s="1"/>
  <c r="O159" i="52"/>
  <c r="P159" i="52" s="1"/>
  <c r="E158" i="52"/>
  <c r="F158" i="52" s="1"/>
  <c r="F161" i="52" s="1"/>
  <c r="E18" i="57"/>
  <c r="F18" i="57" s="1"/>
  <c r="E144" i="57"/>
  <c r="F144" i="57" s="1"/>
  <c r="F147" i="57" s="1"/>
  <c r="F148" i="57" s="1"/>
  <c r="G148" i="57" s="1"/>
  <c r="E133" i="57"/>
  <c r="F133" i="57" s="1"/>
  <c r="E147" i="52"/>
  <c r="F147" i="52" s="1"/>
  <c r="D214" i="52"/>
  <c r="E214" i="52" s="1"/>
  <c r="E42" i="52"/>
  <c r="F42" i="52" s="1"/>
  <c r="F119" i="52"/>
  <c r="G119" i="52" s="1"/>
  <c r="Q152" i="53"/>
  <c r="R152" i="53" s="1"/>
  <c r="F101" i="52"/>
  <c r="G101" i="52" s="1"/>
  <c r="F195" i="55"/>
  <c r="G195" i="55" s="1"/>
  <c r="F152" i="55"/>
  <c r="G152" i="55" s="1"/>
  <c r="E181" i="53"/>
  <c r="F181" i="53" s="1"/>
  <c r="E124" i="53"/>
  <c r="F124" i="53" s="1"/>
  <c r="F31" i="53"/>
  <c r="E82" i="53"/>
  <c r="F82" i="53" s="1"/>
  <c r="F255" i="53"/>
  <c r="G255" i="53" s="1"/>
  <c r="E123" i="53"/>
  <c r="E9" i="53"/>
  <c r="F9" i="53" s="1"/>
  <c r="R89" i="53"/>
  <c r="S89" i="53" s="1"/>
  <c r="F233" i="55"/>
  <c r="G233" i="55" s="1"/>
  <c r="F217" i="55"/>
  <c r="G217" i="55" s="1"/>
  <c r="F173" i="55"/>
  <c r="G173" i="55" s="1"/>
  <c r="E64" i="53"/>
  <c r="F64" i="53" s="1"/>
  <c r="E41" i="54"/>
  <c r="F41" i="54" s="1"/>
  <c r="E255" i="55"/>
  <c r="F255" i="55" s="1"/>
  <c r="E22" i="55"/>
  <c r="E160" i="53"/>
  <c r="F160" i="53" s="1"/>
  <c r="O19" i="56"/>
  <c r="P19" i="56" s="1"/>
  <c r="O8" i="59"/>
  <c r="P8" i="59" s="1"/>
  <c r="E67" i="57"/>
  <c r="F67" i="57" s="1"/>
  <c r="E117" i="55"/>
  <c r="F117" i="55" s="1"/>
  <c r="E18" i="55"/>
  <c r="E15" i="38"/>
  <c r="F15" i="38" s="1"/>
  <c r="E124" i="36"/>
  <c r="F124" i="36" s="1"/>
  <c r="O18" i="56"/>
  <c r="P18" i="56" s="1"/>
  <c r="Q6" i="50"/>
  <c r="R6" i="50" s="1"/>
  <c r="O26" i="59"/>
  <c r="P26" i="59" s="1"/>
  <c r="O45" i="56"/>
  <c r="P45" i="56" s="1"/>
  <c r="F115" i="52"/>
  <c r="G115" i="52" s="1"/>
  <c r="F97" i="52"/>
  <c r="G97" i="52" s="1"/>
  <c r="E51" i="57"/>
  <c r="F51" i="57" s="1"/>
  <c r="D113" i="57"/>
  <c r="E113" i="57" s="1"/>
  <c r="E97" i="57"/>
  <c r="F97" i="57" s="1"/>
  <c r="D25" i="56"/>
  <c r="E25" i="56" s="1"/>
  <c r="F146" i="55"/>
  <c r="G146" i="55" s="1"/>
  <c r="E103" i="56"/>
  <c r="F103" i="56" s="1"/>
  <c r="Q64" i="51"/>
  <c r="R64" i="51" s="1"/>
  <c r="E297" i="50"/>
  <c r="F297" i="50" s="1"/>
  <c r="Q10" i="50"/>
  <c r="R10" i="50" s="1"/>
  <c r="E232" i="50"/>
  <c r="F232" i="50" s="1"/>
  <c r="E214" i="50"/>
  <c r="F214" i="50" s="1"/>
  <c r="Q81" i="50"/>
  <c r="R81" i="50" s="1"/>
  <c r="Q54" i="50"/>
  <c r="R54" i="50" s="1"/>
  <c r="R58" i="50" s="1"/>
  <c r="Q91" i="50"/>
  <c r="R91" i="50" s="1"/>
  <c r="R95" i="50" s="1"/>
  <c r="Q72" i="50"/>
  <c r="R72" i="50" s="1"/>
  <c r="R76" i="50" s="1"/>
  <c r="Q35" i="50"/>
  <c r="R35" i="50" s="1"/>
  <c r="R39" i="50" s="1"/>
  <c r="R140" i="50"/>
  <c r="R143" i="50" s="1"/>
  <c r="Q148" i="50"/>
  <c r="R148" i="50" s="1"/>
  <c r="R152" i="50" s="1"/>
  <c r="Q157" i="50"/>
  <c r="R157" i="50" s="1"/>
  <c r="R160" i="50" s="1"/>
  <c r="Q563" i="50"/>
  <c r="R563" i="50" s="1"/>
  <c r="R567" i="50" s="1"/>
  <c r="R568" i="50" s="1"/>
  <c r="S568" i="50" s="1"/>
  <c r="Q63" i="50"/>
  <c r="R63" i="50" s="1"/>
  <c r="R67" i="50" s="1"/>
  <c r="Q154" i="53"/>
  <c r="R154" i="53" s="1"/>
  <c r="R114" i="53"/>
  <c r="S114" i="53" s="1"/>
  <c r="O28" i="59"/>
  <c r="P28" i="59" s="1"/>
  <c r="O13" i="59"/>
  <c r="P13" i="59" s="1"/>
  <c r="O47" i="56"/>
  <c r="P47" i="56" s="1"/>
  <c r="D7" i="59"/>
  <c r="E7" i="59" s="1"/>
  <c r="E11" i="59" s="1"/>
  <c r="D18" i="59"/>
  <c r="E18" i="59" s="1"/>
  <c r="E23" i="59" s="1"/>
  <c r="E24" i="59" s="1"/>
  <c r="F143" i="55"/>
  <c r="G143" i="55" s="1"/>
  <c r="E82" i="55"/>
  <c r="F82" i="55" s="1"/>
  <c r="E8" i="54"/>
  <c r="E15" i="54" s="1"/>
  <c r="D215" i="53"/>
  <c r="E215" i="53" s="1"/>
  <c r="E185" i="53"/>
  <c r="F185" i="53" s="1"/>
  <c r="E120" i="53"/>
  <c r="F120" i="53" s="1"/>
  <c r="E47" i="53"/>
  <c r="F47" i="53" s="1"/>
  <c r="D344" i="55"/>
  <c r="E344" i="55" s="1"/>
  <c r="E101" i="55"/>
  <c r="F101" i="55" s="1"/>
  <c r="Q26" i="53"/>
  <c r="R26" i="53" s="1"/>
  <c r="F230" i="55"/>
  <c r="G230" i="55" s="1"/>
  <c r="F213" i="55"/>
  <c r="G213" i="55" s="1"/>
  <c r="F250" i="53"/>
  <c r="G250" i="53" s="1"/>
  <c r="E271" i="53"/>
  <c r="F271" i="53" s="1"/>
  <c r="E39" i="54"/>
  <c r="F39" i="54" s="1"/>
  <c r="R95" i="53"/>
  <c r="S95" i="53" s="1"/>
  <c r="E254" i="55"/>
  <c r="F254" i="55" s="1"/>
  <c r="F168" i="55"/>
  <c r="G168" i="55" s="1"/>
  <c r="E126" i="55"/>
  <c r="F126" i="55" s="1"/>
  <c r="R8" i="53"/>
  <c r="S8" i="53" s="1"/>
  <c r="D298" i="53"/>
  <c r="E298" i="53" s="1"/>
  <c r="E164" i="53"/>
  <c r="F164" i="53" s="1"/>
  <c r="E287" i="55"/>
  <c r="F287" i="55" s="1"/>
  <c r="E78" i="53"/>
  <c r="F78" i="53" s="1"/>
  <c r="D198" i="53"/>
  <c r="E198" i="53" s="1"/>
  <c r="D95" i="53"/>
  <c r="E95" i="53" s="1"/>
  <c r="E60" i="53"/>
  <c r="F60" i="53" s="1"/>
  <c r="E14" i="53"/>
  <c r="F14" i="53" s="1"/>
  <c r="R78" i="53"/>
  <c r="S78" i="53" s="1"/>
  <c r="R51" i="53"/>
  <c r="S51" i="53" s="1"/>
  <c r="F191" i="55"/>
  <c r="G191" i="55" s="1"/>
  <c r="F27" i="53"/>
  <c r="G27" i="53" s="1"/>
  <c r="E27" i="55"/>
  <c r="D232" i="53"/>
  <c r="E232" i="53" s="1"/>
  <c r="D26" i="56"/>
  <c r="E26" i="56" s="1"/>
  <c r="Q84" i="51"/>
  <c r="R84" i="51" s="1"/>
  <c r="R89" i="51" s="1"/>
  <c r="Q68" i="51"/>
  <c r="R68" i="51" s="1"/>
  <c r="Q24" i="51"/>
  <c r="R24" i="51" s="1"/>
  <c r="Q11" i="51"/>
  <c r="R11" i="51" s="1"/>
  <c r="D31" i="51"/>
  <c r="E31" i="51" s="1"/>
  <c r="E36" i="51" s="1"/>
  <c r="F36" i="51" s="1"/>
  <c r="L196" i="67" s="1"/>
  <c r="M196" i="67" s="1"/>
  <c r="E299" i="50"/>
  <c r="F299" i="50" s="1"/>
  <c r="Q39" i="51"/>
  <c r="R39" i="51" s="1"/>
  <c r="D64" i="51"/>
  <c r="E64" i="51" s="1"/>
  <c r="E68" i="51" s="1"/>
  <c r="Q9" i="50"/>
  <c r="R9" i="50" s="1"/>
  <c r="Q52" i="51"/>
  <c r="R52" i="51" s="1"/>
  <c r="R57" i="51" s="1"/>
  <c r="D366" i="50"/>
  <c r="E366" i="50" s="1"/>
  <c r="D7" i="51"/>
  <c r="E7" i="51" s="1"/>
  <c r="E12" i="51" s="1"/>
  <c r="E876" i="13"/>
  <c r="F876" i="13" s="1"/>
  <c r="Q97" i="51"/>
  <c r="R97" i="51" s="1"/>
  <c r="R101" i="51" s="1"/>
  <c r="R109" i="51"/>
  <c r="R116" i="51" s="1"/>
  <c r="F274" i="52"/>
  <c r="G274" i="52" s="1"/>
  <c r="Q150" i="53"/>
  <c r="R150" i="53" s="1"/>
  <c r="O69" i="56"/>
  <c r="P69" i="56" s="1"/>
  <c r="O34" i="56"/>
  <c r="P34" i="56" s="1"/>
  <c r="D300" i="53"/>
  <c r="E300" i="53" s="1"/>
  <c r="E87" i="56"/>
  <c r="F87" i="56" s="1"/>
  <c r="F92" i="56" s="1"/>
  <c r="E117" i="53"/>
  <c r="F117" i="53" s="1"/>
  <c r="D73" i="56"/>
  <c r="E73" i="56" s="1"/>
  <c r="D367" i="50"/>
  <c r="E367" i="50" s="1"/>
  <c r="D282" i="50"/>
  <c r="E282" i="50" s="1"/>
  <c r="E286" i="50" s="1"/>
  <c r="D354" i="50"/>
  <c r="E354" i="50" s="1"/>
  <c r="D203" i="50"/>
  <c r="E203" i="50" s="1"/>
  <c r="D313" i="50"/>
  <c r="E313" i="50" s="1"/>
  <c r="D325" i="50"/>
  <c r="E325" i="50" s="1"/>
  <c r="E190" i="50"/>
  <c r="F190" i="50" s="1"/>
  <c r="AA10" i="50"/>
  <c r="AB10" i="50" s="1"/>
  <c r="AA35" i="50"/>
  <c r="AB35" i="50" s="1"/>
  <c r="C35" i="50"/>
  <c r="D303" i="52"/>
  <c r="E303" i="52" s="1"/>
  <c r="E307" i="52" s="1"/>
  <c r="E157" i="57"/>
  <c r="F157" i="57" s="1"/>
  <c r="R113" i="53"/>
  <c r="S113" i="53" s="1"/>
  <c r="E38" i="56"/>
  <c r="F38" i="56" s="1"/>
  <c r="F142" i="55"/>
  <c r="G142" i="55" s="1"/>
  <c r="E81" i="55"/>
  <c r="F81" i="55" s="1"/>
  <c r="E119" i="53"/>
  <c r="F119" i="53" s="1"/>
  <c r="D74" i="56"/>
  <c r="E74" i="56" s="1"/>
  <c r="Q10" i="55"/>
  <c r="R10" i="55" s="1"/>
  <c r="F229" i="55"/>
  <c r="G229" i="55" s="1"/>
  <c r="E46" i="53"/>
  <c r="F46" i="53" s="1"/>
  <c r="D9" i="56"/>
  <c r="E9" i="56" s="1"/>
  <c r="E100" i="55"/>
  <c r="F100" i="55" s="1"/>
  <c r="D76" i="51"/>
  <c r="E76" i="51" s="1"/>
  <c r="E80" i="51" s="1"/>
  <c r="F80" i="51" s="1"/>
  <c r="L204" i="67" s="1"/>
  <c r="M204" i="67" s="1"/>
  <c r="D204" i="50"/>
  <c r="E204" i="50" s="1"/>
  <c r="Q38" i="51"/>
  <c r="R38" i="51" s="1"/>
  <c r="E298" i="50"/>
  <c r="F298" i="50" s="1"/>
  <c r="AA32" i="50"/>
  <c r="AB32" i="50" s="1"/>
  <c r="AA8" i="50"/>
  <c r="AB8" i="50" s="1"/>
  <c r="AA21" i="50"/>
  <c r="AB21" i="50" s="1"/>
  <c r="AA34" i="50"/>
  <c r="AB34" i="50" s="1"/>
  <c r="AA20" i="50"/>
  <c r="AB20" i="50" s="1"/>
  <c r="AA33" i="50"/>
  <c r="AB33" i="50" s="1"/>
  <c r="Q83" i="50"/>
  <c r="R83" i="50" s="1"/>
  <c r="Q67" i="51"/>
  <c r="R67" i="51" s="1"/>
  <c r="E300" i="50"/>
  <c r="F300" i="50" s="1"/>
  <c r="K36" i="13"/>
  <c r="L36" i="13" s="1"/>
  <c r="D24" i="54"/>
  <c r="E24" i="54" s="1"/>
  <c r="O56" i="56"/>
  <c r="P56" i="56" s="1"/>
  <c r="P60" i="56" s="1"/>
  <c r="E215" i="50"/>
  <c r="F215" i="50" s="1"/>
  <c r="Q109" i="50"/>
  <c r="R109" i="50" s="1"/>
  <c r="R113" i="50" s="1"/>
  <c r="AC19" i="51"/>
  <c r="AD19" i="51" s="1"/>
  <c r="F118" i="52"/>
  <c r="G118" i="52" s="1"/>
  <c r="D195" i="52"/>
  <c r="E195" i="52" s="1"/>
  <c r="E199" i="52" s="1"/>
  <c r="E73" i="57"/>
  <c r="F73" i="57" s="1"/>
  <c r="E95" i="57"/>
  <c r="F95" i="57" s="1"/>
  <c r="E29" i="57"/>
  <c r="F29" i="57" s="1"/>
  <c r="E57" i="52"/>
  <c r="F57" i="52" s="1"/>
  <c r="E230" i="52"/>
  <c r="F230" i="52" s="1"/>
  <c r="F234" i="52" s="1"/>
  <c r="D217" i="52"/>
  <c r="E217" i="52" s="1"/>
  <c r="F100" i="52"/>
  <c r="D111" i="57"/>
  <c r="E111" i="57" s="1"/>
  <c r="F277" i="52"/>
  <c r="E132" i="52"/>
  <c r="F132" i="52" s="1"/>
  <c r="F139" i="52" s="1"/>
  <c r="D181" i="52"/>
  <c r="E181" i="52" s="1"/>
  <c r="E185" i="52" s="1"/>
  <c r="E43" i="52"/>
  <c r="F43" i="52" s="1"/>
  <c r="Q156" i="53"/>
  <c r="R156" i="53" s="1"/>
  <c r="E49" i="57"/>
  <c r="F49" i="57" s="1"/>
  <c r="R110" i="53"/>
  <c r="S110" i="53" s="1"/>
  <c r="D59" i="56"/>
  <c r="E59" i="56" s="1"/>
  <c r="D346" i="55"/>
  <c r="E346" i="55" s="1"/>
  <c r="F194" i="55"/>
  <c r="G194" i="55" s="1"/>
  <c r="F151" i="55"/>
  <c r="G151" i="55" s="1"/>
  <c r="R10" i="53"/>
  <c r="S10" i="53" s="1"/>
  <c r="D97" i="53"/>
  <c r="E97" i="53" s="1"/>
  <c r="F30" i="53"/>
  <c r="F172" i="55"/>
  <c r="G172" i="55" s="1"/>
  <c r="E42" i="54"/>
  <c r="F42" i="54" s="1"/>
  <c r="R92" i="53"/>
  <c r="S92" i="53" s="1"/>
  <c r="R75" i="53"/>
  <c r="S75" i="53" s="1"/>
  <c r="E259" i="55"/>
  <c r="F259" i="55" s="1"/>
  <c r="E123" i="55"/>
  <c r="F123" i="55" s="1"/>
  <c r="E98" i="55"/>
  <c r="F98" i="55" s="1"/>
  <c r="D297" i="53"/>
  <c r="E297" i="53" s="1"/>
  <c r="D200" i="53"/>
  <c r="E200" i="53" s="1"/>
  <c r="D234" i="53"/>
  <c r="E234" i="53" s="1"/>
  <c r="F254" i="53"/>
  <c r="G254" i="53" s="1"/>
  <c r="E182" i="53"/>
  <c r="F182" i="53" s="1"/>
  <c r="E40" i="56"/>
  <c r="F40" i="56" s="1"/>
  <c r="R48" i="53"/>
  <c r="S48" i="53" s="1"/>
  <c r="E284" i="55"/>
  <c r="F284" i="55" s="1"/>
  <c r="F216" i="55"/>
  <c r="G216" i="55" s="1"/>
  <c r="D217" i="53"/>
  <c r="E217" i="53" s="1"/>
  <c r="E161" i="53"/>
  <c r="F161" i="53" s="1"/>
  <c r="E10" i="53"/>
  <c r="F10" i="53" s="1"/>
  <c r="E273" i="53"/>
  <c r="F273" i="53" s="1"/>
  <c r="E81" i="53"/>
  <c r="F81" i="53" s="1"/>
  <c r="Q28" i="53"/>
  <c r="R28" i="53" s="1"/>
  <c r="E63" i="53"/>
  <c r="F63" i="53" s="1"/>
  <c r="F232" i="55"/>
  <c r="G232" i="55" s="1"/>
  <c r="E23" i="55"/>
  <c r="E880" i="13"/>
  <c r="F880" i="13" s="1"/>
  <c r="D259" i="50"/>
  <c r="E259" i="50" s="1"/>
  <c r="E262" i="50" s="1"/>
  <c r="Q25" i="50"/>
  <c r="R25" i="50" s="1"/>
  <c r="D312" i="50"/>
  <c r="E312" i="50" s="1"/>
  <c r="O11" i="59"/>
  <c r="P11" i="59" s="1"/>
  <c r="E102" i="56"/>
  <c r="F102" i="56" s="1"/>
  <c r="E246" i="50"/>
  <c r="F246" i="50" s="1"/>
  <c r="F250" i="50" s="1"/>
  <c r="E339" i="50"/>
  <c r="F339" i="50" s="1"/>
  <c r="O158" i="52"/>
  <c r="P158" i="52" s="1"/>
  <c r="D110" i="57"/>
  <c r="E110" i="57" s="1"/>
  <c r="E47" i="57"/>
  <c r="F47" i="57" s="1"/>
  <c r="E145" i="52"/>
  <c r="F145" i="52" s="1"/>
  <c r="E61" i="53"/>
  <c r="F61" i="53" s="1"/>
  <c r="D345" i="55"/>
  <c r="E345" i="55" s="1"/>
  <c r="E178" i="53"/>
  <c r="F178" i="53" s="1"/>
  <c r="E272" i="53"/>
  <c r="F272" i="53" s="1"/>
  <c r="E96" i="55"/>
  <c r="E157" i="53"/>
  <c r="F157" i="53" s="1"/>
  <c r="E406" i="50"/>
  <c r="F406" i="50" s="1"/>
  <c r="F411" i="50" s="1"/>
  <c r="AA6" i="50"/>
  <c r="AB6" i="50" s="1"/>
  <c r="Q119" i="50"/>
  <c r="R119" i="50" s="1"/>
  <c r="Q100" i="50"/>
  <c r="R100" i="50" s="1"/>
  <c r="R104" i="50" s="1"/>
  <c r="R45" i="50"/>
  <c r="F272" i="52"/>
  <c r="G272" i="52" s="1"/>
  <c r="E75" i="57"/>
  <c r="F75" i="57" s="1"/>
  <c r="E98" i="57"/>
  <c r="F98" i="57" s="1"/>
  <c r="D109" i="57"/>
  <c r="E109" i="57" s="1"/>
  <c r="E44" i="52"/>
  <c r="F44" i="52" s="1"/>
  <c r="Q153" i="53"/>
  <c r="R153" i="53" s="1"/>
  <c r="E52" i="57"/>
  <c r="F52" i="57" s="1"/>
  <c r="E72" i="52"/>
  <c r="F72" i="52" s="1"/>
  <c r="E56" i="52"/>
  <c r="F56" i="52" s="1"/>
  <c r="F113" i="52"/>
  <c r="G113" i="52" s="1"/>
  <c r="F95" i="52"/>
  <c r="G95" i="52" s="1"/>
  <c r="O12" i="59"/>
  <c r="P12" i="59" s="1"/>
  <c r="O46" i="56"/>
  <c r="P46" i="56" s="1"/>
  <c r="O21" i="56"/>
  <c r="P21" i="56" s="1"/>
  <c r="AC21" i="51"/>
  <c r="AD21" i="51" s="1"/>
  <c r="AC8" i="51"/>
  <c r="AD8" i="51" s="1"/>
  <c r="AD12" i="51" s="1"/>
  <c r="R50" i="53"/>
  <c r="S50" i="53" s="1"/>
  <c r="E286" i="55"/>
  <c r="F286" i="55" s="1"/>
  <c r="F190" i="55"/>
  <c r="G190" i="55" s="1"/>
  <c r="E26" i="55"/>
  <c r="E270" i="53"/>
  <c r="F270" i="53" s="1"/>
  <c r="F26" i="53"/>
  <c r="G26" i="53" s="1"/>
  <c r="E13" i="53"/>
  <c r="F13" i="53" s="1"/>
  <c r="F141" i="55"/>
  <c r="G141" i="55" s="1"/>
  <c r="D197" i="53"/>
  <c r="E197" i="53" s="1"/>
  <c r="R77" i="53"/>
  <c r="S77" i="53" s="1"/>
  <c r="E163" i="53"/>
  <c r="F163" i="53" s="1"/>
  <c r="F212" i="55"/>
  <c r="G212" i="55" s="1"/>
  <c r="D22" i="54"/>
  <c r="E22" i="54" s="1"/>
  <c r="D231" i="53"/>
  <c r="E231" i="53" s="1"/>
  <c r="F249" i="53"/>
  <c r="G249" i="53" s="1"/>
  <c r="E118" i="53"/>
  <c r="F118" i="53" s="1"/>
  <c r="E59" i="53"/>
  <c r="F59" i="53" s="1"/>
  <c r="R7" i="53"/>
  <c r="S7" i="53" s="1"/>
  <c r="E77" i="53"/>
  <c r="F77" i="53" s="1"/>
  <c r="D60" i="56"/>
  <c r="E60" i="56" s="1"/>
  <c r="D343" i="55"/>
  <c r="E343" i="55" s="1"/>
  <c r="E38" i="54"/>
  <c r="F38" i="54" s="1"/>
  <c r="F167" i="55"/>
  <c r="G167" i="55" s="1"/>
  <c r="E125" i="55"/>
  <c r="F125" i="55" s="1"/>
  <c r="D214" i="53"/>
  <c r="E214" i="53" s="1"/>
  <c r="E184" i="53"/>
  <c r="F184" i="53" s="1"/>
  <c r="R94" i="53"/>
  <c r="S94" i="53" s="1"/>
  <c r="E253" i="55"/>
  <c r="F253" i="55" s="1"/>
  <c r="Q37" i="51"/>
  <c r="R37" i="51" s="1"/>
  <c r="Q23" i="50"/>
  <c r="R23" i="50" s="1"/>
  <c r="Q23" i="51"/>
  <c r="R23" i="51" s="1"/>
  <c r="Q10" i="51"/>
  <c r="R10" i="51" s="1"/>
  <c r="D19" i="51"/>
  <c r="E19" i="51" s="1"/>
  <c r="E24" i="51" s="1"/>
  <c r="R47" i="50"/>
  <c r="E875" i="13"/>
  <c r="F875" i="13" s="1"/>
  <c r="E158" i="53"/>
  <c r="F158" i="53" s="1"/>
  <c r="Q9" i="55"/>
  <c r="R9" i="55" s="1"/>
  <c r="E179" i="53"/>
  <c r="F179" i="53" s="1"/>
  <c r="M23" i="14"/>
  <c r="M6" i="14"/>
  <c r="M15" i="14"/>
  <c r="E842" i="13"/>
  <c r="F842" i="13" s="1"/>
  <c r="E830" i="13"/>
  <c r="F830" i="13" s="1"/>
  <c r="E841" i="13"/>
  <c r="F841" i="13" s="1"/>
  <c r="E123" i="36"/>
  <c r="F123" i="36" s="1"/>
  <c r="D457" i="13"/>
  <c r="E457" i="13" s="1"/>
  <c r="E24" i="36"/>
  <c r="F24" i="36" s="1"/>
  <c r="F147" i="36"/>
  <c r="G147" i="36" s="1"/>
  <c r="E12" i="38"/>
  <c r="F12" i="38" s="1"/>
  <c r="E166" i="36"/>
  <c r="F166" i="36" s="1"/>
  <c r="E62" i="17"/>
  <c r="F62" i="17" s="1"/>
  <c r="E165" i="36"/>
  <c r="F165" i="36" s="1"/>
  <c r="E63" i="17"/>
  <c r="F63" i="17" s="1"/>
  <c r="E10" i="38"/>
  <c r="F10" i="38" s="1"/>
  <c r="E167" i="36"/>
  <c r="F167" i="36" s="1"/>
  <c r="E27" i="23"/>
  <c r="F27" i="23" s="1"/>
  <c r="E22" i="9"/>
  <c r="E8" i="38"/>
  <c r="F8" i="38" s="1"/>
  <c r="E4" i="15"/>
  <c r="F4" i="15" s="1"/>
  <c r="I96" i="11"/>
  <c r="E19" i="36"/>
  <c r="F19" i="36" s="1"/>
  <c r="E42" i="36"/>
  <c r="F42" i="36" s="1"/>
  <c r="E75" i="36"/>
  <c r="F75" i="36" s="1"/>
  <c r="E128" i="36"/>
  <c r="F128" i="36" s="1"/>
  <c r="F142" i="36"/>
  <c r="G142" i="36" s="1"/>
  <c r="F151" i="36"/>
  <c r="G151" i="36" s="1"/>
  <c r="F191" i="36"/>
  <c r="G191" i="36" s="1"/>
  <c r="E640" i="13"/>
  <c r="F640" i="13" s="1"/>
  <c r="E71" i="38"/>
  <c r="F71" i="38" s="1"/>
  <c r="E6" i="36"/>
  <c r="F6" i="36" s="1"/>
  <c r="E20" i="36"/>
  <c r="F20" i="36" s="1"/>
  <c r="E54" i="36"/>
  <c r="F54" i="36" s="1"/>
  <c r="E76" i="36"/>
  <c r="F76" i="36" s="1"/>
  <c r="E125" i="36"/>
  <c r="F125" i="36" s="1"/>
  <c r="F189" i="36"/>
  <c r="G189" i="36" s="1"/>
  <c r="E162" i="36"/>
  <c r="F162" i="36" s="1"/>
  <c r="E110" i="36"/>
  <c r="F110" i="36" s="1"/>
  <c r="F190" i="36"/>
  <c r="G190" i="36" s="1"/>
  <c r="E163" i="36"/>
  <c r="F163" i="36" s="1"/>
  <c r="E641" i="13"/>
  <c r="F641" i="13" s="1"/>
  <c r="E35" i="38"/>
  <c r="F35" i="38" s="1"/>
  <c r="E52" i="38"/>
  <c r="F52" i="38" s="1"/>
  <c r="E54" i="38"/>
  <c r="F54" i="38" s="1"/>
  <c r="E56" i="38"/>
  <c r="F56" i="38" s="1"/>
  <c r="E21" i="36"/>
  <c r="F21" i="36" s="1"/>
  <c r="E38" i="36"/>
  <c r="F38" i="36" s="1"/>
  <c r="E55" i="36"/>
  <c r="F55" i="36" s="1"/>
  <c r="E126" i="36"/>
  <c r="F126" i="36" s="1"/>
  <c r="F149" i="36"/>
  <c r="G149" i="36" s="1"/>
  <c r="E170" i="36"/>
  <c r="F170" i="36" s="1"/>
  <c r="M345" i="13"/>
  <c r="N345" i="13" s="1"/>
  <c r="D364" i="13"/>
  <c r="E364" i="13" s="1"/>
  <c r="E18" i="36"/>
  <c r="F18" i="36" s="1"/>
  <c r="E39" i="36"/>
  <c r="F39" i="36" s="1"/>
  <c r="E56" i="36"/>
  <c r="F56" i="36" s="1"/>
  <c r="E71" i="36"/>
  <c r="F71" i="36" s="1"/>
  <c r="E90" i="36"/>
  <c r="F90" i="36" s="1"/>
  <c r="F150" i="36"/>
  <c r="G150" i="36" s="1"/>
  <c r="U6" i="43"/>
  <c r="V6" i="43" s="1"/>
  <c r="E28" i="23"/>
  <c r="F28" i="23" s="1"/>
  <c r="E828" i="13"/>
  <c r="F828" i="13" s="1"/>
  <c r="E164" i="36"/>
  <c r="F164" i="36" s="1"/>
  <c r="E61" i="17"/>
  <c r="F61" i="17" s="1"/>
  <c r="F187" i="36"/>
  <c r="G187" i="36" s="1"/>
  <c r="E829" i="13"/>
  <c r="F829" i="13" s="1"/>
  <c r="C58" i="37"/>
  <c r="C71" i="37"/>
  <c r="C66" i="37"/>
  <c r="C47" i="37"/>
  <c r="C48" i="37" s="1"/>
  <c r="E65" i="17"/>
  <c r="F65" i="17" s="1"/>
  <c r="E49" i="17"/>
  <c r="F49" i="17" s="1"/>
  <c r="F53" i="17" s="1"/>
  <c r="E155" i="13"/>
  <c r="F155" i="13" s="1"/>
  <c r="D94" i="18"/>
  <c r="E94" i="18" s="1"/>
  <c r="D815" i="13"/>
  <c r="E815" i="13" s="1"/>
  <c r="E136" i="13"/>
  <c r="E137" i="13" s="1"/>
  <c r="C7" i="17"/>
  <c r="E9" i="38"/>
  <c r="F9" i="38" s="1"/>
  <c r="E73" i="36"/>
  <c r="F73" i="36" s="1"/>
  <c r="E7" i="38"/>
  <c r="F7" i="38" s="1"/>
  <c r="E32" i="38"/>
  <c r="F32" i="38" s="1"/>
  <c r="E22" i="36"/>
  <c r="F22" i="36" s="1"/>
  <c r="E527" i="13"/>
  <c r="F527" i="13" s="1"/>
  <c r="I100" i="11"/>
  <c r="M5" i="43"/>
  <c r="N5" i="43" s="1"/>
  <c r="D454" i="13"/>
  <c r="E454" i="13" s="1"/>
  <c r="K567" i="13"/>
  <c r="L567" i="13" s="1"/>
  <c r="D89" i="18"/>
  <c r="E89" i="18" s="1"/>
  <c r="D91" i="18"/>
  <c r="E91" i="18" s="1"/>
  <c r="E4" i="36"/>
  <c r="F4" i="36" s="1"/>
  <c r="D421" i="13"/>
  <c r="E421" i="13" s="1"/>
  <c r="D439" i="13"/>
  <c r="E439" i="13" s="1"/>
  <c r="E643" i="13"/>
  <c r="F643" i="13" s="1"/>
  <c r="E48" i="18"/>
  <c r="F48" i="18" s="1"/>
  <c r="D90" i="18"/>
  <c r="E90" i="18" s="1"/>
  <c r="E48" i="38"/>
  <c r="F48" i="38" s="1"/>
  <c r="E69" i="38"/>
  <c r="F69" i="38" s="1"/>
  <c r="E74" i="36"/>
  <c r="F74" i="36" s="1"/>
  <c r="F143" i="36"/>
  <c r="G143" i="36" s="1"/>
  <c r="F145" i="36"/>
  <c r="G145" i="36" s="1"/>
  <c r="E23" i="36"/>
  <c r="F23" i="36" s="1"/>
  <c r="E26" i="23"/>
  <c r="F26" i="23" s="1"/>
  <c r="D217" i="13"/>
  <c r="E217" i="13" s="1"/>
  <c r="E281" i="13"/>
  <c r="F281" i="13" s="1"/>
  <c r="E72" i="18"/>
  <c r="F72" i="18" s="1"/>
  <c r="E31" i="38"/>
  <c r="F31" i="38" s="1"/>
  <c r="E51" i="38"/>
  <c r="F51" i="38" s="1"/>
  <c r="E7" i="36"/>
  <c r="F7" i="36" s="1"/>
  <c r="E41" i="36"/>
  <c r="F41" i="36" s="1"/>
  <c r="E87" i="36"/>
  <c r="F87" i="36" s="1"/>
  <c r="F144" i="36"/>
  <c r="G144" i="36" s="1"/>
  <c r="E37" i="52"/>
  <c r="F37" i="52" s="1"/>
  <c r="E27" i="36"/>
  <c r="F27" i="36" s="1"/>
  <c r="E78" i="18"/>
  <c r="F78" i="18" s="1"/>
  <c r="D20" i="13"/>
  <c r="E20" i="13" s="1"/>
  <c r="E553" i="13"/>
  <c r="F553" i="13" s="1"/>
  <c r="D8" i="18"/>
  <c r="E8" i="18" s="1"/>
  <c r="E76" i="18"/>
  <c r="F76" i="18" s="1"/>
  <c r="D124" i="18"/>
  <c r="E124" i="18" s="1"/>
  <c r="E57" i="38"/>
  <c r="F57" i="38" s="1"/>
  <c r="E70" i="36"/>
  <c r="F70" i="36" s="1"/>
  <c r="E9" i="43"/>
  <c r="F9" i="43" s="1"/>
  <c r="D4" i="16"/>
  <c r="E4" i="16" s="1"/>
  <c r="E11" i="16" s="1"/>
  <c r="D38" i="13"/>
  <c r="E38" i="13" s="1"/>
  <c r="E115" i="13"/>
  <c r="F115" i="13" s="1"/>
  <c r="E346" i="13"/>
  <c r="F346" i="13" s="1"/>
  <c r="K363" i="13"/>
  <c r="L363" i="13" s="1"/>
  <c r="D463" i="13"/>
  <c r="E463" i="13" s="1"/>
  <c r="M57" i="18"/>
  <c r="N57" i="18" s="1"/>
  <c r="K4" i="13"/>
  <c r="L4" i="13" s="1"/>
  <c r="J97" i="13"/>
  <c r="K97" i="13" s="1"/>
  <c r="K100" i="13" s="1"/>
  <c r="K101" i="13" s="1"/>
  <c r="E49" i="38"/>
  <c r="F49" i="38" s="1"/>
  <c r="M10" i="43"/>
  <c r="N10" i="43" s="1"/>
  <c r="D19" i="13"/>
  <c r="E19" i="13" s="1"/>
  <c r="E146" i="13"/>
  <c r="F146" i="13" s="1"/>
  <c r="E298" i="13"/>
  <c r="F298" i="13" s="1"/>
  <c r="E535" i="13"/>
  <c r="F535" i="13" s="1"/>
  <c r="M49" i="18"/>
  <c r="N49" i="18" s="1"/>
  <c r="E74" i="18"/>
  <c r="F74" i="18" s="1"/>
  <c r="F30" i="36"/>
  <c r="F621" i="13"/>
  <c r="G621" i="13" s="1"/>
  <c r="E25" i="23"/>
  <c r="F25" i="23" s="1"/>
  <c r="E30" i="23"/>
  <c r="F30" i="23" s="1"/>
  <c r="D76" i="13"/>
  <c r="E76" i="13" s="1"/>
  <c r="E144" i="13"/>
  <c r="F144" i="13" s="1"/>
  <c r="F149" i="13" s="1"/>
  <c r="F150" i="13" s="1"/>
  <c r="E551" i="13"/>
  <c r="F551" i="13" s="1"/>
  <c r="D567" i="13"/>
  <c r="E567" i="13" s="1"/>
  <c r="E17" i="38"/>
  <c r="F17" i="38" s="1"/>
  <c r="E53" i="15"/>
  <c r="F53" i="15" s="1"/>
  <c r="E26" i="36"/>
  <c r="F26" i="36" s="1"/>
  <c r="D77" i="13"/>
  <c r="E77" i="13" s="1"/>
  <c r="E109" i="13"/>
  <c r="F109" i="13" s="1"/>
  <c r="E376" i="13"/>
  <c r="F376" i="13" s="1"/>
  <c r="D5" i="23"/>
  <c r="E5" i="23" s="1"/>
  <c r="D75" i="13"/>
  <c r="E75" i="13" s="1"/>
  <c r="E156" i="13"/>
  <c r="F156" i="13" s="1"/>
  <c r="E525" i="13"/>
  <c r="F525" i="13" s="1"/>
  <c r="D98" i="13"/>
  <c r="E98" i="13" s="1"/>
  <c r="D21" i="13"/>
  <c r="E21" i="13" s="1"/>
  <c r="D5" i="13"/>
  <c r="E5" i="13" s="1"/>
  <c r="D78" i="13"/>
  <c r="E78" i="13" s="1"/>
  <c r="E69" i="15"/>
  <c r="F69" i="15" s="1"/>
  <c r="E33" i="15"/>
  <c r="F33" i="15" s="1"/>
  <c r="D455" i="13"/>
  <c r="E455" i="13" s="1"/>
  <c r="K5" i="13"/>
  <c r="L5" i="13" s="1"/>
  <c r="D216" i="13"/>
  <c r="E216" i="13" s="1"/>
  <c r="D7" i="13"/>
  <c r="E7" i="13" s="1"/>
  <c r="K7" i="13"/>
  <c r="L7" i="13" s="1"/>
  <c r="E10" i="13"/>
  <c r="D22" i="13"/>
  <c r="E22" i="13" s="1"/>
  <c r="D214" i="13"/>
  <c r="E214" i="13" s="1"/>
  <c r="D218" i="13"/>
  <c r="E218" i="13" s="1"/>
  <c r="E4" i="38"/>
  <c r="F4" i="38" s="1"/>
  <c r="E5" i="36"/>
  <c r="F5" i="36" s="1"/>
  <c r="U12" i="43"/>
  <c r="V12" i="43" s="1"/>
  <c r="E77" i="15"/>
  <c r="F77" i="15" s="1"/>
  <c r="D215" i="13"/>
  <c r="E215" i="13" s="1"/>
  <c r="D456" i="13"/>
  <c r="E456" i="13" s="1"/>
  <c r="E5" i="43"/>
  <c r="F5" i="43" s="1"/>
  <c r="E72" i="36"/>
  <c r="F72" i="36" s="1"/>
  <c r="E111" i="36"/>
  <c r="F111" i="36" s="1"/>
  <c r="E130" i="36"/>
  <c r="F130" i="36" s="1"/>
  <c r="E345" i="13"/>
  <c r="F345" i="13" s="1"/>
  <c r="O17" i="20"/>
  <c r="D221" i="13"/>
  <c r="E221" i="13" s="1"/>
  <c r="D461" i="13"/>
  <c r="E461" i="13" s="1"/>
  <c r="M346" i="13"/>
  <c r="N346" i="13" s="1"/>
  <c r="E550" i="13"/>
  <c r="F550" i="13" s="1"/>
  <c r="E69" i="18"/>
  <c r="F69" i="18" s="1"/>
  <c r="E68" i="18"/>
  <c r="F68" i="18" s="1"/>
  <c r="E524" i="13"/>
  <c r="F524" i="13" s="1"/>
  <c r="F154" i="36"/>
  <c r="G154" i="36" s="1"/>
  <c r="F15" i="14"/>
  <c r="L565" i="13"/>
  <c r="D578" i="13"/>
  <c r="E578" i="13" s="1"/>
  <c r="E582" i="13" s="1"/>
  <c r="E583" i="13" s="1"/>
  <c r="E62" i="36"/>
  <c r="E79" i="36" s="1"/>
  <c r="F79" i="36" s="1"/>
  <c r="E29" i="14"/>
  <c r="F14" i="14"/>
  <c r="B22" i="11"/>
  <c r="E350" i="13"/>
  <c r="F350" i="13" s="1"/>
  <c r="D802" i="13"/>
  <c r="E802" i="13" s="1"/>
  <c r="D477" i="13"/>
  <c r="E477" i="13" s="1"/>
  <c r="D801" i="13"/>
  <c r="E801" i="13" s="1"/>
  <c r="D100" i="13"/>
  <c r="E100" i="13" s="1"/>
  <c r="E283" i="13"/>
  <c r="F283" i="13" s="1"/>
  <c r="L331" i="13"/>
  <c r="M331" i="13" s="1"/>
  <c r="M335" i="13" s="1"/>
  <c r="M336" i="13" s="1"/>
  <c r="D757" i="13"/>
  <c r="E757" i="13" s="1"/>
  <c r="D803" i="13"/>
  <c r="E803" i="13" s="1"/>
  <c r="E511" i="13"/>
  <c r="F599" i="13"/>
  <c r="F604" i="13" s="1"/>
  <c r="F605" i="13" s="1"/>
  <c r="E565" i="13"/>
  <c r="D365" i="13"/>
  <c r="E365" i="13" s="1"/>
  <c r="D4" i="18"/>
  <c r="E4" i="18" s="1"/>
  <c r="K38" i="13"/>
  <c r="L38" i="13" s="1"/>
  <c r="E377" i="13"/>
  <c r="F377" i="13" s="1"/>
  <c r="E556" i="13"/>
  <c r="F556" i="13" s="1"/>
  <c r="D696" i="13"/>
  <c r="E696" i="13" s="1"/>
  <c r="O44" i="56"/>
  <c r="P44" i="56" s="1"/>
  <c r="E349" i="13"/>
  <c r="F349" i="13" s="1"/>
  <c r="D124" i="13"/>
  <c r="E124" i="13" s="1"/>
  <c r="E128" i="13" s="1"/>
  <c r="E129" i="13" s="1"/>
  <c r="D189" i="13"/>
  <c r="E189" i="13" s="1"/>
  <c r="D611" i="13"/>
  <c r="E611" i="13" s="1"/>
  <c r="E614" i="13" s="1"/>
  <c r="E615" i="13" s="1"/>
  <c r="F77" i="23"/>
  <c r="F78" i="23" s="1"/>
  <c r="D423" i="13"/>
  <c r="E423" i="13" s="1"/>
  <c r="D791" i="13"/>
  <c r="E791" i="13" s="1"/>
  <c r="K35" i="13"/>
  <c r="L35" i="13" s="1"/>
  <c r="D64" i="13"/>
  <c r="E64" i="13" s="1"/>
  <c r="D790" i="13"/>
  <c r="E790" i="13" s="1"/>
  <c r="D672" i="13"/>
  <c r="D673" i="13" s="1"/>
  <c r="E105" i="15"/>
  <c r="F105" i="15" s="1"/>
  <c r="E90" i="15"/>
  <c r="F90" i="15" s="1"/>
  <c r="E8" i="43"/>
  <c r="E72" i="38"/>
  <c r="F72" i="38" s="1"/>
  <c r="F148" i="36"/>
  <c r="G148" i="36" s="1"/>
  <c r="E36" i="38"/>
  <c r="F36" i="38" s="1"/>
  <c r="S109" i="18"/>
  <c r="T109" i="18" s="1"/>
  <c r="D109" i="18"/>
  <c r="E109" i="18" s="1"/>
  <c r="D263" i="13"/>
  <c r="E263" i="13" s="1"/>
  <c r="S111" i="18"/>
  <c r="T111" i="18" s="1"/>
  <c r="D111" i="18"/>
  <c r="E111" i="18" s="1"/>
  <c r="E56" i="18"/>
  <c r="F56" i="18" s="1"/>
  <c r="U4" i="43"/>
  <c r="V4" i="43" s="1"/>
  <c r="E4" i="43"/>
  <c r="F4" i="43" s="1"/>
  <c r="L109" i="18"/>
  <c r="M109" i="18" s="1"/>
  <c r="D125" i="18"/>
  <c r="E125" i="18" s="1"/>
  <c r="E113" i="15"/>
  <c r="F113" i="15" s="1"/>
  <c r="K3" i="13"/>
  <c r="L3" i="13" s="1"/>
  <c r="D96" i="13"/>
  <c r="E96" i="13" s="1"/>
  <c r="D261" i="13"/>
  <c r="E261" i="13" s="1"/>
  <c r="T330" i="13"/>
  <c r="U330" i="13" s="1"/>
  <c r="D459" i="13"/>
  <c r="E459" i="13" s="1"/>
  <c r="E644" i="13"/>
  <c r="F644" i="13" s="1"/>
  <c r="D655" i="13"/>
  <c r="E655" i="13" s="1"/>
  <c r="E661" i="13" s="1"/>
  <c r="E662" i="13" s="1"/>
  <c r="E776" i="13"/>
  <c r="F776" i="13" s="1"/>
  <c r="D9" i="18"/>
  <c r="E9" i="18" s="1"/>
  <c r="D23" i="18"/>
  <c r="E23" i="18" s="1"/>
  <c r="L24" i="18"/>
  <c r="M24" i="18" s="1"/>
  <c r="D37" i="18"/>
  <c r="E37" i="18" s="1"/>
  <c r="M54" i="18"/>
  <c r="L111" i="18"/>
  <c r="M111" i="18" s="1"/>
  <c r="D123" i="18"/>
  <c r="E123" i="18" s="1"/>
  <c r="E36" i="15"/>
  <c r="F36" i="15" s="1"/>
  <c r="E54" i="15"/>
  <c r="F54" i="15" s="1"/>
  <c r="E67" i="15"/>
  <c r="F67" i="15" s="1"/>
  <c r="E71" i="15"/>
  <c r="F71" i="15" s="1"/>
  <c r="M4" i="43"/>
  <c r="N4" i="43" s="1"/>
  <c r="L110" i="18"/>
  <c r="M110" i="18" s="1"/>
  <c r="L23" i="18"/>
  <c r="M23" i="18" s="1"/>
  <c r="D22" i="18"/>
  <c r="E22" i="18" s="1"/>
  <c r="E17" i="14"/>
  <c r="F17" i="14" s="1"/>
  <c r="E347" i="13"/>
  <c r="F347" i="13" s="1"/>
  <c r="D499" i="13"/>
  <c r="E499" i="13" s="1"/>
  <c r="D502" i="13"/>
  <c r="E502" i="13" s="1"/>
  <c r="D7" i="18"/>
  <c r="E7" i="18" s="1"/>
  <c r="L21" i="18"/>
  <c r="M21" i="18" s="1"/>
  <c r="D36" i="18"/>
  <c r="E36" i="18" s="1"/>
  <c r="L37" i="18"/>
  <c r="M37" i="18" s="1"/>
  <c r="M41" i="18" s="1"/>
  <c r="M42" i="18" s="1"/>
  <c r="E55" i="18"/>
  <c r="F55" i="18" s="1"/>
  <c r="E58" i="18"/>
  <c r="F58" i="18" s="1"/>
  <c r="S110" i="18"/>
  <c r="T110" i="18" s="1"/>
  <c r="E19" i="38"/>
  <c r="F19" i="38" s="1"/>
  <c r="E33" i="38"/>
  <c r="F33" i="38" s="1"/>
  <c r="E18" i="15"/>
  <c r="F18" i="15" s="1"/>
  <c r="E126" i="15"/>
  <c r="F126" i="15" s="1"/>
  <c r="E3" i="15"/>
  <c r="F3" i="15" s="1"/>
  <c r="E92" i="15"/>
  <c r="F92" i="15" s="1"/>
  <c r="E30" i="15"/>
  <c r="F30" i="15" s="1"/>
  <c r="D4" i="13"/>
  <c r="E4" i="13" s="1"/>
  <c r="D3" i="13"/>
  <c r="E3" i="13" s="1"/>
  <c r="E72" i="15"/>
  <c r="F72" i="15" s="1"/>
  <c r="D6" i="23"/>
  <c r="E6" i="23" s="1"/>
  <c r="D92" i="18"/>
  <c r="E92" i="18" s="1"/>
  <c r="D219" i="13"/>
  <c r="E219" i="13" s="1"/>
  <c r="D80" i="13"/>
  <c r="E80" i="13" s="1"/>
  <c r="E158" i="13"/>
  <c r="F158" i="13" s="1"/>
  <c r="D262" i="13"/>
  <c r="E262" i="13" s="1"/>
  <c r="M347" i="13"/>
  <c r="N347" i="13" s="1"/>
  <c r="D500" i="13"/>
  <c r="E500" i="13" s="1"/>
  <c r="F627" i="13"/>
  <c r="G627" i="13" s="1"/>
  <c r="M55" i="18"/>
  <c r="N55" i="18" s="1"/>
  <c r="E89" i="15"/>
  <c r="F89" i="15" s="1"/>
  <c r="E104" i="15"/>
  <c r="F104" i="15" s="1"/>
  <c r="E124" i="15"/>
  <c r="F124" i="15" s="1"/>
  <c r="N28" i="14"/>
  <c r="O28" i="14" s="1"/>
  <c r="E31" i="23"/>
  <c r="F31" i="23" s="1"/>
  <c r="D187" i="13"/>
  <c r="E187" i="13" s="1"/>
  <c r="D223" i="13"/>
  <c r="E223" i="13" s="1"/>
  <c r="E286" i="13"/>
  <c r="F286" i="13" s="1"/>
  <c r="E32" i="15"/>
  <c r="F32" i="15" s="1"/>
  <c r="E17" i="15"/>
  <c r="F17" i="15" s="1"/>
  <c r="C132" i="37"/>
  <c r="D191" i="13"/>
  <c r="E191" i="13" s="1"/>
  <c r="E379" i="13"/>
  <c r="F379" i="13" s="1"/>
  <c r="D514" i="13"/>
  <c r="E514" i="13" s="1"/>
  <c r="E533" i="13"/>
  <c r="F533" i="13" s="1"/>
  <c r="E537" i="13"/>
  <c r="F537" i="13" s="1"/>
  <c r="F623" i="13"/>
  <c r="G623" i="13" s="1"/>
  <c r="D694" i="13"/>
  <c r="E694" i="13" s="1"/>
  <c r="E717" i="13"/>
  <c r="F717" i="13" s="1"/>
  <c r="E727" i="13"/>
  <c r="F727" i="13" s="1"/>
  <c r="D739" i="13"/>
  <c r="E739" i="13" s="1"/>
  <c r="D752" i="13"/>
  <c r="E752" i="13" s="1"/>
  <c r="D755" i="13"/>
  <c r="E755" i="13" s="1"/>
  <c r="E772" i="13"/>
  <c r="F772" i="13" s="1"/>
  <c r="E777" i="13"/>
  <c r="F777" i="13" s="1"/>
  <c r="D6" i="18"/>
  <c r="E6" i="18" s="1"/>
  <c r="M53" i="18"/>
  <c r="N53" i="18" s="1"/>
  <c r="M56" i="18"/>
  <c r="N56" i="18" s="1"/>
  <c r="D680" i="13"/>
  <c r="E680" i="13" s="1"/>
  <c r="E45" i="23"/>
  <c r="E46" i="23" s="1"/>
  <c r="G111" i="66" s="1"/>
  <c r="K39" i="13"/>
  <c r="L39" i="13" s="1"/>
  <c r="E161" i="13"/>
  <c r="F161" i="13" s="1"/>
  <c r="D203" i="13"/>
  <c r="E203" i="13" s="1"/>
  <c r="E208" i="13" s="1"/>
  <c r="E209" i="13" s="1"/>
  <c r="D333" i="13"/>
  <c r="E333" i="13" s="1"/>
  <c r="E351" i="13"/>
  <c r="F351" i="13" s="1"/>
  <c r="D441" i="13"/>
  <c r="E441" i="13" s="1"/>
  <c r="E491" i="13"/>
  <c r="E493" i="13" s="1"/>
  <c r="E494" i="13" s="1"/>
  <c r="D35" i="18"/>
  <c r="E35" i="18" s="1"/>
  <c r="E275" i="13"/>
  <c r="E276" i="13" s="1"/>
  <c r="B47" i="11"/>
  <c r="N30" i="14"/>
  <c r="O30" i="14" s="1"/>
  <c r="D5" i="18"/>
  <c r="E5" i="18" s="1"/>
  <c r="E49" i="13"/>
  <c r="E54" i="13" s="1"/>
  <c r="E55" i="13" s="1"/>
  <c r="D8" i="13"/>
  <c r="E8" i="13" s="1"/>
  <c r="D426" i="13"/>
  <c r="E426" i="13" s="1"/>
  <c r="E285" i="13"/>
  <c r="F285" i="13" s="1"/>
  <c r="D479" i="13"/>
  <c r="E479" i="13" s="1"/>
  <c r="E770" i="13"/>
  <c r="F770" i="13" s="1"/>
  <c r="D107" i="1"/>
  <c r="E729" i="13"/>
  <c r="F729" i="13" s="1"/>
  <c r="E159" i="13"/>
  <c r="F159" i="13" s="1"/>
  <c r="D33" i="13"/>
  <c r="E33" i="13" s="1"/>
  <c r="E390" i="13"/>
  <c r="F390" i="13" s="1"/>
  <c r="D10" i="23"/>
  <c r="E10" i="23" s="1"/>
  <c r="E18" i="14"/>
  <c r="F18" i="14" s="1"/>
  <c r="D756" i="13"/>
  <c r="E756" i="13" s="1"/>
  <c r="E716" i="13"/>
  <c r="F716" i="13" s="1"/>
  <c r="E534" i="13"/>
  <c r="F534" i="13" s="1"/>
  <c r="D440" i="13"/>
  <c r="E440" i="13" s="1"/>
  <c r="D422" i="13"/>
  <c r="E422" i="13" s="1"/>
  <c r="D63" i="13"/>
  <c r="E63" i="13" s="1"/>
  <c r="E53" i="18"/>
  <c r="F53" i="18" s="1"/>
  <c r="F622" i="13"/>
  <c r="G622" i="13" s="1"/>
  <c r="M351" i="13"/>
  <c r="N351" i="13" s="1"/>
  <c r="D250" i="13"/>
  <c r="E250" i="13" s="1"/>
  <c r="E254" i="13" s="1"/>
  <c r="E255" i="13" s="1"/>
  <c r="D188" i="13"/>
  <c r="E188" i="13" s="1"/>
  <c r="D9" i="13"/>
  <c r="E9" i="13" s="1"/>
  <c r="E391" i="13"/>
  <c r="F391" i="13" s="1"/>
  <c r="D405" i="13"/>
  <c r="E405" i="13" s="1"/>
  <c r="D112" i="1"/>
  <c r="AA30" i="50" s="1"/>
  <c r="AB30" i="50" s="1"/>
  <c r="D334" i="13"/>
  <c r="E334" i="13" s="1"/>
  <c r="D443" i="13"/>
  <c r="E443" i="13" s="1"/>
  <c r="M48" i="18"/>
  <c r="N48" i="18" s="1"/>
  <c r="M52" i="18"/>
  <c r="N52" i="18" s="1"/>
  <c r="D55" i="23"/>
  <c r="E55" i="23" s="1"/>
  <c r="E58" i="23" s="1"/>
  <c r="E59" i="23" s="1"/>
  <c r="D9" i="23"/>
  <c r="E9" i="23" s="1"/>
  <c r="D32" i="14"/>
  <c r="E32" i="14" s="1"/>
  <c r="D11" i="23"/>
  <c r="E11" i="23" s="1"/>
  <c r="D39" i="13"/>
  <c r="E39" i="13" s="1"/>
  <c r="D81" i="13"/>
  <c r="E81" i="13" s="1"/>
  <c r="E175" i="13"/>
  <c r="E179" i="13" s="1"/>
  <c r="E180" i="13" s="1"/>
  <c r="E296" i="13"/>
  <c r="F296" i="13" s="1"/>
  <c r="E313" i="13"/>
  <c r="E314" i="13" s="1"/>
  <c r="T331" i="13"/>
  <c r="U331" i="13" s="1"/>
  <c r="M350" i="13"/>
  <c r="N350" i="13" s="1"/>
  <c r="M352" i="13"/>
  <c r="N352" i="13" s="1"/>
  <c r="K364" i="13"/>
  <c r="L364" i="13" s="1"/>
  <c r="E378" i="13"/>
  <c r="F378" i="13" s="1"/>
  <c r="D406" i="13"/>
  <c r="E406" i="13" s="1"/>
  <c r="E555" i="13"/>
  <c r="F555" i="13" s="1"/>
  <c r="F626" i="13"/>
  <c r="G626" i="13" s="1"/>
  <c r="D681" i="13"/>
  <c r="E681" i="13" s="1"/>
  <c r="E728" i="13"/>
  <c r="F728" i="13" s="1"/>
  <c r="E54" i="18"/>
  <c r="E57" i="18"/>
  <c r="F57" i="18" s="1"/>
  <c r="L177" i="13"/>
  <c r="L181" i="13" s="1"/>
  <c r="L182" i="13" s="1"/>
  <c r="E324" i="13"/>
  <c r="E325" i="13" s="1"/>
  <c r="F708" i="13"/>
  <c r="F709" i="13" s="1"/>
  <c r="G709" i="13" s="1"/>
  <c r="G710" i="13" s="1"/>
  <c r="E714" i="13"/>
  <c r="F714" i="13" s="1"/>
  <c r="D740" i="13"/>
  <c r="E740" i="13" s="1"/>
  <c r="E773" i="13"/>
  <c r="F773" i="13" s="1"/>
  <c r="D60" i="13"/>
  <c r="E60" i="13" s="1"/>
  <c r="E589" i="13"/>
  <c r="F588" i="13"/>
  <c r="E8" i="14"/>
  <c r="E9" i="14" s="1"/>
  <c r="F9" i="14" s="1"/>
  <c r="C124" i="37"/>
  <c r="C125" i="37"/>
  <c r="C128" i="37"/>
  <c r="C129" i="37"/>
  <c r="C136" i="37"/>
  <c r="C140" i="37"/>
  <c r="C133" i="37"/>
  <c r="C137" i="37"/>
  <c r="C122" i="37"/>
  <c r="C126" i="37"/>
  <c r="C130" i="37"/>
  <c r="C134" i="37"/>
  <c r="C138" i="37"/>
  <c r="C135" i="37"/>
  <c r="E644" i="75" l="1"/>
  <c r="E645" i="75" s="1"/>
  <c r="F645" i="75" s="1"/>
  <c r="F1399" i="74"/>
  <c r="E1400" i="74"/>
  <c r="F1400" i="74" s="1"/>
  <c r="H1400" i="74" s="1"/>
  <c r="E1111" i="74"/>
  <c r="F1111" i="74" s="1"/>
  <c r="H1111" i="74" s="1"/>
  <c r="F1110" i="74"/>
  <c r="R168" i="53"/>
  <c r="S168" i="53" s="1"/>
  <c r="S176" i="53" s="1"/>
  <c r="T176" i="53" s="1"/>
  <c r="D287" i="74"/>
  <c r="E287" i="74" s="1"/>
  <c r="E300" i="74" s="1"/>
  <c r="E301" i="74" s="1"/>
  <c r="F301" i="74" s="1"/>
  <c r="E54" i="77"/>
  <c r="F54" i="77" s="1"/>
  <c r="F59" i="77" s="1"/>
  <c r="F60" i="77" s="1"/>
  <c r="G60" i="77" s="1"/>
  <c r="D428" i="74"/>
  <c r="E428" i="74" s="1"/>
  <c r="E50" i="74"/>
  <c r="F49" i="74"/>
  <c r="G12" i="73"/>
  <c r="H12" i="73" s="1"/>
  <c r="I12" i="73" s="1"/>
  <c r="G14" i="73"/>
  <c r="H14" i="73" s="1"/>
  <c r="I14" i="73" s="1"/>
  <c r="F21" i="73"/>
  <c r="G13" i="73"/>
  <c r="H13" i="73" s="1"/>
  <c r="I13" i="73" s="1"/>
  <c r="G11" i="73"/>
  <c r="H11" i="73" s="1"/>
  <c r="I11" i="73" s="1"/>
  <c r="E22" i="73"/>
  <c r="F22" i="73" s="1"/>
  <c r="L74" i="67"/>
  <c r="M74" i="67" s="1"/>
  <c r="E173" i="50"/>
  <c r="F173" i="50" s="1"/>
  <c r="E921" i="53"/>
  <c r="F921" i="53" s="1"/>
  <c r="E946" i="53"/>
  <c r="F946" i="53" s="1"/>
  <c r="H946" i="53" s="1"/>
  <c r="F945" i="53"/>
  <c r="S55" i="53"/>
  <c r="T55" i="53" s="1"/>
  <c r="L220" i="67" s="1"/>
  <c r="M220" i="67" s="1"/>
  <c r="F822" i="53"/>
  <c r="F823" i="53" s="1"/>
  <c r="G823" i="53" s="1"/>
  <c r="I823" i="53" s="1"/>
  <c r="F750" i="52"/>
  <c r="F751" i="52" s="1"/>
  <c r="G751" i="52" s="1"/>
  <c r="F195" i="50"/>
  <c r="L24" i="17"/>
  <c r="L25" i="17" s="1"/>
  <c r="M25" i="17" s="1"/>
  <c r="E39" i="70"/>
  <c r="E40" i="70" s="1"/>
  <c r="F40" i="70" s="1"/>
  <c r="F115" i="36"/>
  <c r="F116" i="36" s="1"/>
  <c r="G116" i="36" s="1"/>
  <c r="S196" i="53"/>
  <c r="T196" i="53" s="1"/>
  <c r="V196" i="53" s="1"/>
  <c r="T195" i="53"/>
  <c r="E511" i="50"/>
  <c r="E512" i="50" s="1"/>
  <c r="F512" i="50" s="1"/>
  <c r="F678" i="53"/>
  <c r="E679" i="53"/>
  <c r="E636" i="53"/>
  <c r="F635" i="53"/>
  <c r="F129" i="53"/>
  <c r="F130" i="53" s="1"/>
  <c r="G130" i="53" s="1"/>
  <c r="M8" i="66"/>
  <c r="M9" i="11"/>
  <c r="C8" i="17"/>
  <c r="L354" i="67"/>
  <c r="M354" i="67" s="1"/>
  <c r="M24" i="14"/>
  <c r="N24" i="14" s="1"/>
  <c r="L155" i="67"/>
  <c r="M155" i="67" s="1"/>
  <c r="M10" i="11"/>
  <c r="M9" i="66"/>
  <c r="F161" i="57"/>
  <c r="L291" i="67" s="1"/>
  <c r="M291" i="67" s="1"/>
  <c r="R161" i="50"/>
  <c r="S161" i="50" s="1"/>
  <c r="L135" i="67"/>
  <c r="M135" i="67" s="1"/>
  <c r="F412" i="50"/>
  <c r="G412" i="50" s="1"/>
  <c r="L49" i="67"/>
  <c r="M49" i="67" s="1"/>
  <c r="P61" i="56"/>
  <c r="B70" i="11" s="1"/>
  <c r="L127" i="67"/>
  <c r="M127" i="67" s="1"/>
  <c r="L126" i="67"/>
  <c r="M126" i="67" s="1"/>
  <c r="R153" i="50"/>
  <c r="S153" i="50" s="1"/>
  <c r="L122" i="67"/>
  <c r="M122" i="67" s="1"/>
  <c r="L138" i="67"/>
  <c r="M138" i="67" s="1"/>
  <c r="L137" i="67"/>
  <c r="M137" i="67" s="1"/>
  <c r="F93" i="56"/>
  <c r="G93" i="56" s="1"/>
  <c r="L71" i="67"/>
  <c r="M71" i="67" s="1"/>
  <c r="R144" i="50"/>
  <c r="S144" i="50" s="1"/>
  <c r="L139" i="67"/>
  <c r="M139" i="67" s="1"/>
  <c r="R40" i="50"/>
  <c r="S40" i="50" s="1"/>
  <c r="L115" i="67"/>
  <c r="M115" i="67" s="1"/>
  <c r="L107" i="67"/>
  <c r="M107" i="67" s="1"/>
  <c r="L99" i="67"/>
  <c r="M99" i="67" s="1"/>
  <c r="L114" i="67"/>
  <c r="M114" i="67" s="1"/>
  <c r="L106" i="67"/>
  <c r="M106" i="67" s="1"/>
  <c r="L98" i="67"/>
  <c r="M98" i="67" s="1"/>
  <c r="L121" i="67"/>
  <c r="M121" i="67" s="1"/>
  <c r="L113" i="67"/>
  <c r="M113" i="67" s="1"/>
  <c r="L105" i="67"/>
  <c r="M105" i="67" s="1"/>
  <c r="L120" i="67"/>
  <c r="M120" i="67" s="1"/>
  <c r="L112" i="67"/>
  <c r="M112" i="67" s="1"/>
  <c r="L104" i="67"/>
  <c r="M104" i="67" s="1"/>
  <c r="L119" i="67"/>
  <c r="M119" i="67" s="1"/>
  <c r="L111" i="67"/>
  <c r="M111" i="67" s="1"/>
  <c r="L103" i="67"/>
  <c r="M103" i="67" s="1"/>
  <c r="L118" i="67"/>
  <c r="M118" i="67" s="1"/>
  <c r="L110" i="67"/>
  <c r="M110" i="67" s="1"/>
  <c r="L102" i="67"/>
  <c r="M102" i="67" s="1"/>
  <c r="L117" i="67"/>
  <c r="M117" i="67" s="1"/>
  <c r="L109" i="67"/>
  <c r="M109" i="67" s="1"/>
  <c r="L101" i="67"/>
  <c r="M101" i="67" s="1"/>
  <c r="L116" i="67"/>
  <c r="M116" i="67" s="1"/>
  <c r="L100" i="67"/>
  <c r="M100" i="67" s="1"/>
  <c r="L108" i="67"/>
  <c r="M108" i="67" s="1"/>
  <c r="R77" i="50"/>
  <c r="S77" i="50" s="1"/>
  <c r="L152" i="67"/>
  <c r="M152" i="67" s="1"/>
  <c r="L130" i="67"/>
  <c r="M130" i="67" s="1"/>
  <c r="E425" i="50"/>
  <c r="F425" i="50" s="1"/>
  <c r="L58" i="67"/>
  <c r="M58" i="67" s="1"/>
  <c r="L57" i="67"/>
  <c r="M57" i="67" s="1"/>
  <c r="M16" i="14"/>
  <c r="N16" i="14" s="1"/>
  <c r="L160" i="67"/>
  <c r="M160" i="67" s="1"/>
  <c r="R105" i="50"/>
  <c r="S105" i="50" s="1"/>
  <c r="L147" i="67"/>
  <c r="M147" i="67" s="1"/>
  <c r="R68" i="50"/>
  <c r="S68" i="50" s="1"/>
  <c r="L133" i="67"/>
  <c r="M133" i="67" s="1"/>
  <c r="R96" i="50"/>
  <c r="S96" i="50" s="1"/>
  <c r="L145" i="67"/>
  <c r="M145" i="67" s="1"/>
  <c r="M7" i="14"/>
  <c r="B112" i="66" s="1"/>
  <c r="L162" i="67"/>
  <c r="M162" i="67" s="1"/>
  <c r="B111" i="66"/>
  <c r="F251" i="50"/>
  <c r="G251" i="50" s="1"/>
  <c r="L60" i="67"/>
  <c r="M60" i="67" s="1"/>
  <c r="R114" i="50"/>
  <c r="S114" i="50" s="1"/>
  <c r="L125" i="67"/>
  <c r="M125" i="67" s="1"/>
  <c r="L97" i="67"/>
  <c r="M97" i="67" s="1"/>
  <c r="E287" i="50"/>
  <c r="F286" i="50"/>
  <c r="L64" i="67" s="1"/>
  <c r="M64" i="67" s="1"/>
  <c r="R59" i="50"/>
  <c r="B90" i="11" s="1"/>
  <c r="L150" i="67"/>
  <c r="M150" i="67" s="1"/>
  <c r="D7" i="52"/>
  <c r="G86" i="66"/>
  <c r="F54" i="17"/>
  <c r="G54" i="17" s="1"/>
  <c r="L358" i="67"/>
  <c r="M358" i="67" s="1"/>
  <c r="O34" i="14"/>
  <c r="O35" i="14" s="1"/>
  <c r="P35" i="14" s="1"/>
  <c r="E263" i="50"/>
  <c r="F262" i="50"/>
  <c r="L43" i="67" s="1"/>
  <c r="M43" i="67" s="1"/>
  <c r="E25" i="51"/>
  <c r="L203" i="67"/>
  <c r="M203" i="67" s="1"/>
  <c r="F235" i="52"/>
  <c r="G116" i="11" s="1"/>
  <c r="L341" i="67"/>
  <c r="M341" i="67" s="1"/>
  <c r="E37" i="51"/>
  <c r="G12" i="66" s="1"/>
  <c r="R90" i="51"/>
  <c r="S90" i="51" s="1"/>
  <c r="L207" i="67"/>
  <c r="M207" i="67" s="1"/>
  <c r="E12" i="59"/>
  <c r="G20" i="11" s="1"/>
  <c r="L192" i="67"/>
  <c r="M192" i="67" s="1"/>
  <c r="L18" i="66"/>
  <c r="L19" i="11"/>
  <c r="L20" i="11"/>
  <c r="L19" i="66"/>
  <c r="AD13" i="51"/>
  <c r="G10" i="11" s="1"/>
  <c r="L197" i="67"/>
  <c r="M197" i="67" s="1"/>
  <c r="E200" i="52"/>
  <c r="F200" i="52" s="1"/>
  <c r="L330" i="67"/>
  <c r="M330" i="67" s="1"/>
  <c r="E81" i="51"/>
  <c r="E13" i="51"/>
  <c r="G13" i="11" s="1"/>
  <c r="L198" i="67"/>
  <c r="M198" i="67" s="1"/>
  <c r="E69" i="51"/>
  <c r="F69" i="51" s="1"/>
  <c r="L200" i="67"/>
  <c r="M200" i="67" s="1"/>
  <c r="N21" i="52"/>
  <c r="F321" i="52"/>
  <c r="G321" i="52" s="1"/>
  <c r="L328" i="67"/>
  <c r="M328" i="67" s="1"/>
  <c r="E186" i="52"/>
  <c r="F186" i="52" s="1"/>
  <c r="L317" i="67"/>
  <c r="M317" i="67" s="1"/>
  <c r="R117" i="51"/>
  <c r="S117" i="51" s="1"/>
  <c r="L206" i="67"/>
  <c r="M206" i="67" s="1"/>
  <c r="E16" i="54"/>
  <c r="F16" i="54" s="1"/>
  <c r="L224" i="67"/>
  <c r="M224" i="67" s="1"/>
  <c r="F162" i="52"/>
  <c r="G162" i="52" s="1"/>
  <c r="L347" i="67"/>
  <c r="M347" i="67" s="1"/>
  <c r="R187" i="51"/>
  <c r="S187" i="51" s="1"/>
  <c r="L232" i="67"/>
  <c r="M232" i="67" s="1"/>
  <c r="L264" i="67"/>
  <c r="M264" i="67" s="1"/>
  <c r="F140" i="52"/>
  <c r="G140" i="52" s="1"/>
  <c r="L294" i="67"/>
  <c r="M294" i="67" s="1"/>
  <c r="E308" i="52"/>
  <c r="F308" i="52" s="1"/>
  <c r="L345" i="67"/>
  <c r="M345" i="67" s="1"/>
  <c r="R102" i="51"/>
  <c r="G29" i="11" s="1"/>
  <c r="L228" i="67"/>
  <c r="M228" i="67" s="1"/>
  <c r="R58" i="51"/>
  <c r="S58" i="51" s="1"/>
  <c r="L243" i="67"/>
  <c r="M243" i="67" s="1"/>
  <c r="F24" i="59"/>
  <c r="G17" i="66"/>
  <c r="E274" i="50"/>
  <c r="E207" i="53"/>
  <c r="L212" i="67" s="1"/>
  <c r="M212" i="67" s="1"/>
  <c r="F191" i="53"/>
  <c r="F8" i="15"/>
  <c r="F9" i="15" s="1"/>
  <c r="F343" i="50"/>
  <c r="F134" i="36"/>
  <c r="F135" i="36" s="1"/>
  <c r="G135" i="36" s="1"/>
  <c r="R123" i="50"/>
  <c r="E221" i="52"/>
  <c r="F221" i="52" s="1"/>
  <c r="L331" i="67" s="1"/>
  <c r="M331" i="67" s="1"/>
  <c r="R172" i="51"/>
  <c r="R130" i="51"/>
  <c r="E13" i="56"/>
  <c r="R144" i="51"/>
  <c r="E19" i="52"/>
  <c r="P162" i="52"/>
  <c r="F21" i="57"/>
  <c r="G106" i="52"/>
  <c r="F150" i="52"/>
  <c r="F47" i="54"/>
  <c r="P33" i="59"/>
  <c r="R158" i="51"/>
  <c r="D324" i="50"/>
  <c r="E324" i="50" s="1"/>
  <c r="R63" i="51"/>
  <c r="E42" i="55"/>
  <c r="F42" i="55" s="1"/>
  <c r="F22" i="55"/>
  <c r="F136" i="57"/>
  <c r="O865" i="13"/>
  <c r="O866" i="13" s="1"/>
  <c r="P866" i="13" s="1"/>
  <c r="D83" i="52"/>
  <c r="E83" i="52" s="1"/>
  <c r="E82" i="52"/>
  <c r="E368" i="13"/>
  <c r="E369" i="13" s="1"/>
  <c r="F47" i="36"/>
  <c r="F48" i="36" s="1"/>
  <c r="G48" i="36" s="1"/>
  <c r="R29" i="51"/>
  <c r="F76" i="52"/>
  <c r="F52" i="53"/>
  <c r="E31" i="52"/>
  <c r="E32" i="52" s="1"/>
  <c r="Q7" i="50"/>
  <c r="R7" i="50" s="1"/>
  <c r="R14" i="50" s="1"/>
  <c r="R15" i="50" s="1"/>
  <c r="E229" i="50"/>
  <c r="F229" i="50" s="1"/>
  <c r="F238" i="50" s="1"/>
  <c r="E38" i="55"/>
  <c r="F38" i="55" s="1"/>
  <c r="F18" i="55"/>
  <c r="E317" i="50"/>
  <c r="E304" i="53"/>
  <c r="F304" i="53" s="1"/>
  <c r="L209" i="67" s="1"/>
  <c r="M209" i="67" s="1"/>
  <c r="G202" i="55"/>
  <c r="G37" i="53"/>
  <c r="G223" i="55"/>
  <c r="G224" i="55" s="1"/>
  <c r="H224" i="55" s="1"/>
  <c r="E118" i="57"/>
  <c r="F47" i="52"/>
  <c r="F48" i="52" s="1"/>
  <c r="E241" i="53"/>
  <c r="G124" i="52"/>
  <c r="F87" i="55"/>
  <c r="F885" i="13"/>
  <c r="F886" i="13" s="1"/>
  <c r="G886" i="13" s="1"/>
  <c r="F170" i="53"/>
  <c r="R15" i="55"/>
  <c r="R29" i="50"/>
  <c r="G262" i="53"/>
  <c r="F280" i="53"/>
  <c r="G237" i="55"/>
  <c r="R86" i="50"/>
  <c r="R44" i="51"/>
  <c r="E28" i="54"/>
  <c r="F79" i="57"/>
  <c r="E208" i="50"/>
  <c r="L76" i="67" s="1"/>
  <c r="M76" i="67" s="1"/>
  <c r="E78" i="56"/>
  <c r="E79" i="56" s="1"/>
  <c r="F79" i="56" s="1"/>
  <c r="S83" i="53"/>
  <c r="S120" i="53"/>
  <c r="T120" i="53" s="1"/>
  <c r="L221" i="67" s="1"/>
  <c r="M221" i="67" s="1"/>
  <c r="AD25" i="51"/>
  <c r="E371" i="50"/>
  <c r="E372" i="50" s="1"/>
  <c r="F372" i="50" s="1"/>
  <c r="E105" i="53"/>
  <c r="E106" i="53" s="1"/>
  <c r="F106" i="53" s="1"/>
  <c r="F222" i="50"/>
  <c r="P50" i="56"/>
  <c r="AA31" i="50"/>
  <c r="AB31" i="50" s="1"/>
  <c r="AB38" i="50" s="1"/>
  <c r="AA9" i="50"/>
  <c r="AB9" i="50" s="1"/>
  <c r="AB13" i="50" s="1"/>
  <c r="F88" i="53"/>
  <c r="R49" i="50"/>
  <c r="S17" i="53"/>
  <c r="T17" i="53" s="1"/>
  <c r="L237" i="67" s="1"/>
  <c r="M237" i="67" s="1"/>
  <c r="F106" i="55"/>
  <c r="E47" i="55"/>
  <c r="F47" i="55" s="1"/>
  <c r="F27" i="55"/>
  <c r="R32" i="53"/>
  <c r="S32" i="53" s="1"/>
  <c r="L230" i="67" s="1"/>
  <c r="M230" i="67" s="1"/>
  <c r="F304" i="50"/>
  <c r="E30" i="57"/>
  <c r="F30" i="57" s="1"/>
  <c r="F38" i="57" s="1"/>
  <c r="E104" i="56"/>
  <c r="F104" i="56" s="1"/>
  <c r="F110" i="56" s="1"/>
  <c r="E5" i="58"/>
  <c r="F5" i="58" s="1"/>
  <c r="F11" i="58" s="1"/>
  <c r="G11" i="58" s="1"/>
  <c r="L267" i="67" s="1"/>
  <c r="M267" i="67" s="1"/>
  <c r="F144" i="55"/>
  <c r="G144" i="55" s="1"/>
  <c r="G160" i="55" s="1"/>
  <c r="D326" i="50"/>
  <c r="E326" i="50" s="1"/>
  <c r="Q69" i="51"/>
  <c r="R69" i="51" s="1"/>
  <c r="E43" i="55"/>
  <c r="F43" i="55" s="1"/>
  <c r="F23" i="55"/>
  <c r="E64" i="56"/>
  <c r="G180" i="55"/>
  <c r="O66" i="56"/>
  <c r="P66" i="56" s="1"/>
  <c r="P73" i="56" s="1"/>
  <c r="O31" i="56"/>
  <c r="P31" i="56" s="1"/>
  <c r="P38" i="56" s="1"/>
  <c r="D20" i="56"/>
  <c r="E20" i="56" s="1"/>
  <c r="D350" i="50"/>
  <c r="E350" i="50" s="1"/>
  <c r="Q129" i="50"/>
  <c r="R129" i="50" s="1"/>
  <c r="R135" i="50" s="1"/>
  <c r="D19" i="56"/>
  <c r="E19" i="56" s="1"/>
  <c r="D349" i="50"/>
  <c r="E349" i="50" s="1"/>
  <c r="R16" i="51"/>
  <c r="F265" i="55"/>
  <c r="E224" i="53"/>
  <c r="F224" i="53" s="1"/>
  <c r="E354" i="55"/>
  <c r="F70" i="53"/>
  <c r="E46" i="55"/>
  <c r="F46" i="55" s="1"/>
  <c r="F26" i="55"/>
  <c r="F63" i="52"/>
  <c r="G283" i="52"/>
  <c r="F149" i="53"/>
  <c r="F56" i="57"/>
  <c r="P20" i="59"/>
  <c r="F19" i="53"/>
  <c r="F293" i="55"/>
  <c r="F131" i="55"/>
  <c r="L171" i="67" s="1"/>
  <c r="F102" i="57"/>
  <c r="AB24" i="50"/>
  <c r="F44" i="56"/>
  <c r="D35" i="50"/>
  <c r="D38" i="50" s="1"/>
  <c r="D9" i="50"/>
  <c r="R161" i="53"/>
  <c r="S161" i="53" s="1"/>
  <c r="L211" i="67" s="1"/>
  <c r="M211" i="67" s="1"/>
  <c r="P25" i="56"/>
  <c r="E35" i="14"/>
  <c r="E36" i="14" s="1"/>
  <c r="B115" i="11"/>
  <c r="B31" i="11"/>
  <c r="B30" i="11"/>
  <c r="F848" i="13"/>
  <c r="F849" i="13" s="1"/>
  <c r="G849" i="13" s="1"/>
  <c r="F22" i="15"/>
  <c r="F23" i="15" s="1"/>
  <c r="F77" i="38"/>
  <c r="F78" i="38" s="1"/>
  <c r="F175" i="36"/>
  <c r="F834" i="13"/>
  <c r="F835" i="13" s="1"/>
  <c r="G835" i="13" s="1"/>
  <c r="F69" i="17"/>
  <c r="F184" i="36"/>
  <c r="G184" i="36" s="1"/>
  <c r="F183" i="36"/>
  <c r="G183" i="36" s="1"/>
  <c r="F186" i="36"/>
  <c r="G186" i="36" s="1"/>
  <c r="U336" i="13"/>
  <c r="U337" i="13" s="1"/>
  <c r="L571" i="13"/>
  <c r="L572" i="13" s="1"/>
  <c r="E95" i="36"/>
  <c r="F95" i="36" s="1"/>
  <c r="F96" i="36" s="1"/>
  <c r="F97" i="36" s="1"/>
  <c r="D816" i="13"/>
  <c r="E816" i="13" s="1"/>
  <c r="E820" i="13" s="1"/>
  <c r="E821" i="13" s="1"/>
  <c r="F821" i="13" s="1"/>
  <c r="L12" i="13"/>
  <c r="L13" i="13" s="1"/>
  <c r="L367" i="13"/>
  <c r="L368" i="13" s="1"/>
  <c r="F649" i="13"/>
  <c r="F650" i="13" s="1"/>
  <c r="N54" i="18"/>
  <c r="F54" i="18"/>
  <c r="F80" i="36"/>
  <c r="F81" i="36" s="1"/>
  <c r="G81" i="36" s="1"/>
  <c r="G91" i="11"/>
  <c r="F11" i="36"/>
  <c r="F12" i="36" s="1"/>
  <c r="G12" i="36" s="1"/>
  <c r="F24" i="38"/>
  <c r="F25" i="38" s="1"/>
  <c r="D74" i="13"/>
  <c r="E74" i="13" s="1"/>
  <c r="E22" i="23"/>
  <c r="F22" i="23" s="1"/>
  <c r="F34" i="23" s="1"/>
  <c r="F35" i="23" s="1"/>
  <c r="E375" i="13"/>
  <c r="F375" i="13" s="1"/>
  <c r="F383" i="13" s="1"/>
  <c r="F384" i="13" s="1"/>
  <c r="F31" i="36"/>
  <c r="F32" i="36" s="1"/>
  <c r="E12" i="16"/>
  <c r="F62" i="38"/>
  <c r="F63" i="38" s="1"/>
  <c r="F41" i="38"/>
  <c r="F42" i="38" s="1"/>
  <c r="E41" i="18"/>
  <c r="E42" i="18" s="1"/>
  <c r="E517" i="13"/>
  <c r="E518" i="13" s="1"/>
  <c r="F41" i="15"/>
  <c r="F42" i="15" s="1"/>
  <c r="E27" i="18"/>
  <c r="E28" i="18" s="1"/>
  <c r="F62" i="36"/>
  <c r="F63" i="36" s="1"/>
  <c r="F64" i="36" s="1"/>
  <c r="G64" i="36" s="1"/>
  <c r="F118" i="13"/>
  <c r="F119" i="13" s="1"/>
  <c r="F58" i="15"/>
  <c r="F59" i="15" s="1"/>
  <c r="F559" i="13"/>
  <c r="F560" i="13" s="1"/>
  <c r="F302" i="13"/>
  <c r="F303" i="13" s="1"/>
  <c r="F96" i="15"/>
  <c r="F97" i="15" s="1"/>
  <c r="M28" i="18"/>
  <c r="M29" i="18" s="1"/>
  <c r="G155" i="36"/>
  <c r="G156" i="36" s="1"/>
  <c r="E483" i="13"/>
  <c r="E484" i="13" s="1"/>
  <c r="F80" i="15"/>
  <c r="F81" i="15" s="1"/>
  <c r="F289" i="13"/>
  <c r="F290" i="13" s="1"/>
  <c r="B48" i="11"/>
  <c r="E103" i="13"/>
  <c r="E104" i="13" s="1"/>
  <c r="D753" i="13"/>
  <c r="E753" i="13" s="1"/>
  <c r="E762" i="13" s="1"/>
  <c r="E763" i="13" s="1"/>
  <c r="F763" i="13" s="1"/>
  <c r="E571" i="13"/>
  <c r="E572" i="13" s="1"/>
  <c r="E229" i="13"/>
  <c r="E230" i="13" s="1"/>
  <c r="E26" i="13"/>
  <c r="E27" i="13" s="1"/>
  <c r="E70" i="18"/>
  <c r="F70" i="18" s="1"/>
  <c r="F82" i="18" s="1"/>
  <c r="F83" i="18" s="1"/>
  <c r="D462" i="13"/>
  <c r="E462" i="13" s="1"/>
  <c r="E469" i="13" s="1"/>
  <c r="E470" i="13" s="1"/>
  <c r="D222" i="13"/>
  <c r="E222" i="13" s="1"/>
  <c r="E49" i="18"/>
  <c r="F49" i="18" s="1"/>
  <c r="D79" i="13"/>
  <c r="E79" i="13" s="1"/>
  <c r="D95" i="18"/>
  <c r="E95" i="18" s="1"/>
  <c r="E102" i="18" s="1"/>
  <c r="E103" i="18" s="1"/>
  <c r="F129" i="15"/>
  <c r="F130" i="15" s="1"/>
  <c r="F23" i="14"/>
  <c r="F24" i="14" s="1"/>
  <c r="E129" i="18"/>
  <c r="D737" i="13"/>
  <c r="E737" i="13" s="1"/>
  <c r="E744" i="13" s="1"/>
  <c r="E745" i="13" s="1"/>
  <c r="E746" i="13" s="1"/>
  <c r="D235" i="13"/>
  <c r="E235" i="13" s="1"/>
  <c r="E242" i="13" s="1"/>
  <c r="E243" i="13" s="1"/>
  <c r="E808" i="13"/>
  <c r="E809" i="13" s="1"/>
  <c r="F809" i="13" s="1"/>
  <c r="F355" i="13"/>
  <c r="F356" i="13" s="1"/>
  <c r="E699" i="13"/>
  <c r="E700" i="13" s="1"/>
  <c r="L43" i="13"/>
  <c r="L44" i="13" s="1"/>
  <c r="E43" i="13"/>
  <c r="E44" i="13" s="1"/>
  <c r="G16" i="11"/>
  <c r="F165" i="13"/>
  <c r="F166" i="13" s="1"/>
  <c r="E795" i="13"/>
  <c r="E796" i="13" s="1"/>
  <c r="E797" i="13" s="1"/>
  <c r="F721" i="13"/>
  <c r="F722" i="13" s="1"/>
  <c r="N356" i="13"/>
  <c r="N357" i="13" s="1"/>
  <c r="E68" i="13"/>
  <c r="E69" i="13" s="1"/>
  <c r="E115" i="18"/>
  <c r="E197" i="13"/>
  <c r="E198" i="13" s="1"/>
  <c r="E265" i="13"/>
  <c r="E266" i="13" s="1"/>
  <c r="T115" i="18"/>
  <c r="M9" i="43"/>
  <c r="F8" i="43"/>
  <c r="F16" i="43" s="1"/>
  <c r="E13" i="18"/>
  <c r="E14" i="18" s="1"/>
  <c r="F116" i="15"/>
  <c r="F117" i="15" s="1"/>
  <c r="E505" i="13"/>
  <c r="E506" i="13" s="1"/>
  <c r="M115" i="18"/>
  <c r="G86" i="11"/>
  <c r="F46" i="23"/>
  <c r="G117" i="11"/>
  <c r="F731" i="13"/>
  <c r="F732" i="13" s="1"/>
  <c r="E339" i="13"/>
  <c r="E340" i="13" s="1"/>
  <c r="E431" i="13"/>
  <c r="E432" i="13" s="1"/>
  <c r="D678" i="13"/>
  <c r="E678" i="13" s="1"/>
  <c r="E686" i="13" s="1"/>
  <c r="E687" i="13" s="1"/>
  <c r="D403" i="13"/>
  <c r="E403" i="13" s="1"/>
  <c r="E412" i="13" s="1"/>
  <c r="E413" i="13" s="1"/>
  <c r="E16" i="23"/>
  <c r="E17" i="23" s="1"/>
  <c r="G633" i="13"/>
  <c r="G634" i="13" s="1"/>
  <c r="E13" i="13"/>
  <c r="E14" i="13" s="1"/>
  <c r="E448" i="13"/>
  <c r="E449" i="13" s="1"/>
  <c r="F397" i="13"/>
  <c r="F398" i="13" s="1"/>
  <c r="F782" i="13"/>
  <c r="F783" i="13" s="1"/>
  <c r="G783" i="13" s="1"/>
  <c r="G17" i="11"/>
  <c r="E531" i="13"/>
  <c r="F531" i="13" s="1"/>
  <c r="F59" i="23"/>
  <c r="E590" i="13"/>
  <c r="F589" i="13"/>
  <c r="G106" i="11"/>
  <c r="S177" i="53" l="1"/>
  <c r="E440" i="74"/>
  <c r="E441" i="74" s="1"/>
  <c r="F441" i="74" s="1"/>
  <c r="F81" i="51"/>
  <c r="H81" i="51" s="1"/>
  <c r="J14" i="73"/>
  <c r="J11" i="73"/>
  <c r="J12" i="73"/>
  <c r="J13" i="73"/>
  <c r="H22" i="73"/>
  <c r="F50" i="74"/>
  <c r="H50" i="74" s="1"/>
  <c r="G822" i="53"/>
  <c r="F287" i="50"/>
  <c r="H287" i="50" s="1"/>
  <c r="G112" i="66"/>
  <c r="O21" i="52"/>
  <c r="F263" i="50"/>
  <c r="H263" i="50" s="1"/>
  <c r="G18" i="11"/>
  <c r="F25" i="51"/>
  <c r="S59" i="50"/>
  <c r="F636" i="53"/>
  <c r="E637" i="53"/>
  <c r="F637" i="53" s="1"/>
  <c r="E680" i="53"/>
  <c r="F680" i="53" s="1"/>
  <c r="F679" i="53"/>
  <c r="E682" i="53"/>
  <c r="F682" i="53" s="1"/>
  <c r="E681" i="53"/>
  <c r="F681" i="53" s="1"/>
  <c r="B64" i="11"/>
  <c r="T177" i="53"/>
  <c r="V177" i="53" s="1"/>
  <c r="B63" i="66"/>
  <c r="F162" i="57"/>
  <c r="G162" i="57" s="1"/>
  <c r="B87" i="66"/>
  <c r="B92" i="11"/>
  <c r="B26" i="11"/>
  <c r="L5" i="66"/>
  <c r="L6" i="11"/>
  <c r="E116" i="18"/>
  <c r="L29" i="67"/>
  <c r="M29" i="67" s="1"/>
  <c r="L26" i="67"/>
  <c r="M26" i="67" s="1"/>
  <c r="L28" i="67"/>
  <c r="M28" i="67" s="1"/>
  <c r="L27" i="67"/>
  <c r="M27" i="67" s="1"/>
  <c r="L24" i="67"/>
  <c r="M24" i="67" s="1"/>
  <c r="L25" i="67"/>
  <c r="M25" i="67" s="1"/>
  <c r="F37" i="51"/>
  <c r="H37" i="51" s="1"/>
  <c r="B88" i="66"/>
  <c r="B26" i="66"/>
  <c r="M116" i="18"/>
  <c r="L23" i="67"/>
  <c r="M23" i="67" s="1"/>
  <c r="L22" i="67"/>
  <c r="M22" i="67" s="1"/>
  <c r="L21" i="67"/>
  <c r="M21" i="67" s="1"/>
  <c r="E130" i="18"/>
  <c r="L19" i="67"/>
  <c r="M19" i="67" s="1"/>
  <c r="L17" i="67"/>
  <c r="M17" i="67" s="1"/>
  <c r="L15" i="67"/>
  <c r="M15" i="67" s="1"/>
  <c r="L20" i="67"/>
  <c r="M20" i="67" s="1"/>
  <c r="L14" i="67"/>
  <c r="M14" i="67" s="1"/>
  <c r="L18" i="67"/>
  <c r="M18" i="67" s="1"/>
  <c r="L16" i="67"/>
  <c r="M16" i="67" s="1"/>
  <c r="T116" i="18"/>
  <c r="L13" i="67"/>
  <c r="M13" i="67" s="1"/>
  <c r="L11" i="67"/>
  <c r="M11" i="67" s="1"/>
  <c r="L12" i="67"/>
  <c r="M12" i="67" s="1"/>
  <c r="L10" i="67"/>
  <c r="M10" i="67" s="1"/>
  <c r="G12" i="11"/>
  <c r="F176" i="36"/>
  <c r="G176" i="36" s="1"/>
  <c r="L359" i="67"/>
  <c r="M359" i="67" s="1"/>
  <c r="E29" i="54"/>
  <c r="F29" i="54" s="1"/>
  <c r="L254" i="67"/>
  <c r="M254" i="67" s="1"/>
  <c r="L255" i="67"/>
  <c r="M255" i="67" s="1"/>
  <c r="L253" i="67"/>
  <c r="M253" i="67" s="1"/>
  <c r="L256" i="67"/>
  <c r="M256" i="67" s="1"/>
  <c r="G118" i="11"/>
  <c r="E208" i="53"/>
  <c r="F208" i="53" s="1"/>
  <c r="N7" i="14"/>
  <c r="B116" i="11"/>
  <c r="F45" i="56"/>
  <c r="G45" i="56" s="1"/>
  <c r="L65" i="67"/>
  <c r="M65" i="67" s="1"/>
  <c r="L252" i="67"/>
  <c r="M252" i="67" s="1"/>
  <c r="L241" i="67"/>
  <c r="M241" i="67" s="1"/>
  <c r="P39" i="56"/>
  <c r="Q39" i="56" s="1"/>
  <c r="L96" i="67"/>
  <c r="M96" i="67" s="1"/>
  <c r="P51" i="56"/>
  <c r="Q51" i="56" s="1"/>
  <c r="L95" i="67"/>
  <c r="M95" i="67" s="1"/>
  <c r="F344" i="50"/>
  <c r="G344" i="50" s="1"/>
  <c r="L73" i="67"/>
  <c r="M73" i="67" s="1"/>
  <c r="E318" i="50"/>
  <c r="F317" i="50"/>
  <c r="L59" i="67" s="1"/>
  <c r="M59" i="67" s="1"/>
  <c r="B84" i="11"/>
  <c r="AB25" i="50"/>
  <c r="B98" i="11" s="1"/>
  <c r="L36" i="67"/>
  <c r="M36" i="67" s="1"/>
  <c r="P74" i="56"/>
  <c r="Q74" i="56" s="1"/>
  <c r="L129" i="67"/>
  <c r="M129" i="67" s="1"/>
  <c r="L94" i="67"/>
  <c r="M94" i="67" s="1"/>
  <c r="B82" i="66"/>
  <c r="R30" i="50"/>
  <c r="L128" i="67"/>
  <c r="M128" i="67" s="1"/>
  <c r="P26" i="56"/>
  <c r="Q26" i="56" s="1"/>
  <c r="L123" i="67"/>
  <c r="M123" i="67" s="1"/>
  <c r="F305" i="50"/>
  <c r="G305" i="50" s="1"/>
  <c r="L38" i="67"/>
  <c r="M38" i="67" s="1"/>
  <c r="R50" i="50"/>
  <c r="S50" i="50" s="1"/>
  <c r="L153" i="67"/>
  <c r="M153" i="67" s="1"/>
  <c r="E65" i="56"/>
  <c r="F65" i="56" s="1"/>
  <c r="L93" i="67"/>
  <c r="M93" i="67" s="1"/>
  <c r="E275" i="50"/>
  <c r="F275" i="50" s="1"/>
  <c r="H275" i="50" s="1"/>
  <c r="F274" i="50"/>
  <c r="L39" i="67" s="1"/>
  <c r="M39" i="67" s="1"/>
  <c r="Q61" i="56"/>
  <c r="B69" i="66"/>
  <c r="R136" i="50"/>
  <c r="S136" i="50" s="1"/>
  <c r="L148" i="67"/>
  <c r="M148" i="67" s="1"/>
  <c r="R87" i="50"/>
  <c r="B68" i="11" s="1"/>
  <c r="L124" i="67"/>
  <c r="M124" i="67" s="1"/>
  <c r="D10" i="50"/>
  <c r="E10" i="50" s="1"/>
  <c r="L89" i="67"/>
  <c r="M89" i="67" s="1"/>
  <c r="F239" i="50"/>
  <c r="B23" i="11" s="1"/>
  <c r="L56" i="67"/>
  <c r="M56" i="67" s="1"/>
  <c r="F196" i="50"/>
  <c r="G196" i="50" s="1"/>
  <c r="L81" i="67"/>
  <c r="M81" i="67" s="1"/>
  <c r="R124" i="50"/>
  <c r="S124" i="50" s="1"/>
  <c r="L142" i="67"/>
  <c r="M142" i="67" s="1"/>
  <c r="L141" i="67"/>
  <c r="M141" i="67" s="1"/>
  <c r="L140" i="67"/>
  <c r="M140" i="67" s="1"/>
  <c r="F223" i="50"/>
  <c r="B21" i="66" s="1"/>
  <c r="L54" i="67"/>
  <c r="M54" i="67" s="1"/>
  <c r="D39" i="50"/>
  <c r="E39" i="50" s="1"/>
  <c r="L90" i="67"/>
  <c r="M90" i="67" s="1"/>
  <c r="AB39" i="50"/>
  <c r="AC39" i="50" s="1"/>
  <c r="L35" i="67"/>
  <c r="M35" i="67" s="1"/>
  <c r="F22" i="57"/>
  <c r="E209" i="52" s="1"/>
  <c r="F209" i="52" s="1"/>
  <c r="L282" i="67"/>
  <c r="F32" i="52"/>
  <c r="L320" i="67"/>
  <c r="E20" i="52"/>
  <c r="G115" i="11" s="1"/>
  <c r="L333" i="67"/>
  <c r="M333" i="67" s="1"/>
  <c r="L157" i="67"/>
  <c r="M157" i="67" s="1"/>
  <c r="L158" i="67"/>
  <c r="M158" i="67" s="1"/>
  <c r="F70" i="17"/>
  <c r="G70" i="17" s="1"/>
  <c r="L357" i="67"/>
  <c r="M357" i="67" s="1"/>
  <c r="E14" i="56"/>
  <c r="F14" i="56" s="1"/>
  <c r="L79" i="67"/>
  <c r="M79" i="67" s="1"/>
  <c r="F111" i="56"/>
  <c r="G111" i="56" s="1"/>
  <c r="L48" i="67"/>
  <c r="M48" i="67" s="1"/>
  <c r="M18" i="66"/>
  <c r="M19" i="11"/>
  <c r="F103" i="57"/>
  <c r="G103" i="57" s="1"/>
  <c r="L293" i="67"/>
  <c r="M293" i="67" s="1"/>
  <c r="F64" i="52"/>
  <c r="G64" i="52" s="1"/>
  <c r="L321" i="67"/>
  <c r="M321" i="67" s="1"/>
  <c r="F71" i="53"/>
  <c r="L249" i="67"/>
  <c r="M249" i="67" s="1"/>
  <c r="G58" i="66"/>
  <c r="R17" i="51"/>
  <c r="S17" i="51" s="1"/>
  <c r="L217" i="67"/>
  <c r="M217" i="67" s="1"/>
  <c r="G181" i="55"/>
  <c r="H181" i="55" s="1"/>
  <c r="L183" i="67"/>
  <c r="M183" i="67" s="1"/>
  <c r="F107" i="55"/>
  <c r="G67" i="11" s="1"/>
  <c r="L187" i="67"/>
  <c r="M187" i="67" s="1"/>
  <c r="S121" i="53"/>
  <c r="T121" i="53" s="1"/>
  <c r="V121" i="53" s="1"/>
  <c r="G238" i="55"/>
  <c r="H238" i="55" s="1"/>
  <c r="L177" i="67"/>
  <c r="M177" i="67" s="1"/>
  <c r="E242" i="53"/>
  <c r="F242" i="53" s="1"/>
  <c r="L245" i="67"/>
  <c r="M245" i="67" s="1"/>
  <c r="F77" i="52"/>
  <c r="L309" i="67"/>
  <c r="M309" i="67" s="1"/>
  <c r="P34" i="59"/>
  <c r="Q34" i="59" s="1"/>
  <c r="L176" i="67"/>
  <c r="M176" i="67" s="1"/>
  <c r="M20" i="11"/>
  <c r="M19" i="66"/>
  <c r="F57" i="57"/>
  <c r="G112" i="11" s="1"/>
  <c r="L288" i="67"/>
  <c r="M288" i="67" s="1"/>
  <c r="E355" i="55"/>
  <c r="F355" i="55" s="1"/>
  <c r="L191" i="67"/>
  <c r="M191" i="67" s="1"/>
  <c r="F39" i="57"/>
  <c r="G39" i="57" s="1"/>
  <c r="L277" i="67"/>
  <c r="M277" i="67" s="1"/>
  <c r="S18" i="53"/>
  <c r="T18" i="53" s="1"/>
  <c r="S84" i="53"/>
  <c r="T84" i="53" s="1"/>
  <c r="L215" i="67"/>
  <c r="M215" i="67" s="1"/>
  <c r="F281" i="53"/>
  <c r="G281" i="53" s="1"/>
  <c r="L213" i="67"/>
  <c r="M213" i="67" s="1"/>
  <c r="R16" i="55"/>
  <c r="S16" i="55" s="1"/>
  <c r="L257" i="67"/>
  <c r="M257" i="67" s="1"/>
  <c r="G48" i="52"/>
  <c r="G98" i="66"/>
  <c r="G38" i="53"/>
  <c r="H38" i="53" s="1"/>
  <c r="L231" i="67"/>
  <c r="M231" i="67" s="1"/>
  <c r="L218" i="67"/>
  <c r="M218" i="67" s="1"/>
  <c r="R30" i="51"/>
  <c r="G35" i="11" s="1"/>
  <c r="L242" i="67"/>
  <c r="M242" i="67" s="1"/>
  <c r="F48" i="54"/>
  <c r="G48" i="54" s="1"/>
  <c r="L179" i="67"/>
  <c r="M179" i="67" s="1"/>
  <c r="P163" i="52"/>
  <c r="Q163" i="52" s="1"/>
  <c r="L348" i="67"/>
  <c r="M348" i="67" s="1"/>
  <c r="R131" i="51"/>
  <c r="S131" i="51" s="1"/>
  <c r="L219" i="67"/>
  <c r="M219" i="67" s="1"/>
  <c r="F192" i="53"/>
  <c r="G192" i="53" s="1"/>
  <c r="L239" i="67"/>
  <c r="M239" i="67" s="1"/>
  <c r="AE13" i="51"/>
  <c r="G10" i="66"/>
  <c r="G235" i="52"/>
  <c r="G110" i="66"/>
  <c r="F150" i="53"/>
  <c r="G150" i="53" s="1"/>
  <c r="L240" i="67"/>
  <c r="M240" i="67" s="1"/>
  <c r="E225" i="53"/>
  <c r="F225" i="53" s="1"/>
  <c r="H225" i="53" s="1"/>
  <c r="G161" i="55"/>
  <c r="H161" i="55" s="1"/>
  <c r="L169" i="67"/>
  <c r="M169" i="67" s="1"/>
  <c r="L226" i="67"/>
  <c r="M226" i="67" s="1"/>
  <c r="R45" i="51"/>
  <c r="S45" i="51" s="1"/>
  <c r="L227" i="67"/>
  <c r="M227" i="67" s="1"/>
  <c r="S56" i="53"/>
  <c r="T56" i="53" s="1"/>
  <c r="L261" i="67"/>
  <c r="M261" i="67" s="1"/>
  <c r="E119" i="57"/>
  <c r="F119" i="57" s="1"/>
  <c r="L292" i="67"/>
  <c r="M292" i="67" s="1"/>
  <c r="G203" i="55"/>
  <c r="H203" i="55" s="1"/>
  <c r="L168" i="67"/>
  <c r="M168" i="67" s="1"/>
  <c r="F151" i="52"/>
  <c r="G151" i="52" s="1"/>
  <c r="L301" i="67"/>
  <c r="M301" i="67" s="1"/>
  <c r="R173" i="51"/>
  <c r="S173" i="51" s="1"/>
  <c r="L244" i="67"/>
  <c r="M244" i="67" s="1"/>
  <c r="S102" i="51"/>
  <c r="G29" i="66"/>
  <c r="L222" i="67"/>
  <c r="M222" i="67" s="1"/>
  <c r="R162" i="53"/>
  <c r="S162" i="53" s="1"/>
  <c r="F20" i="53"/>
  <c r="G70" i="11" s="1"/>
  <c r="L233" i="67"/>
  <c r="M233" i="67" s="1"/>
  <c r="G284" i="52"/>
  <c r="H284" i="52" s="1"/>
  <c r="L287" i="67"/>
  <c r="M287" i="67" s="1"/>
  <c r="L184" i="67"/>
  <c r="M184" i="67" s="1"/>
  <c r="F12" i="58"/>
  <c r="G12" i="58" s="1"/>
  <c r="L268" i="67"/>
  <c r="M268" i="67" s="1"/>
  <c r="R33" i="53"/>
  <c r="S33" i="53" s="1"/>
  <c r="F89" i="53"/>
  <c r="G89" i="53" s="1"/>
  <c r="L208" i="67"/>
  <c r="M208" i="67" s="1"/>
  <c r="L193" i="67"/>
  <c r="M193" i="67" s="1"/>
  <c r="AD26" i="51"/>
  <c r="G11" i="11" s="1"/>
  <c r="L195" i="67"/>
  <c r="M195" i="67" s="1"/>
  <c r="G263" i="53"/>
  <c r="H263" i="53" s="1"/>
  <c r="L248" i="67"/>
  <c r="M248" i="67" s="1"/>
  <c r="F171" i="53"/>
  <c r="G171" i="53" s="1"/>
  <c r="L238" i="67"/>
  <c r="M238" i="67" s="1"/>
  <c r="G125" i="52"/>
  <c r="H125" i="52" s="1"/>
  <c r="L300" i="67"/>
  <c r="M300" i="67" s="1"/>
  <c r="E305" i="53"/>
  <c r="F305" i="53" s="1"/>
  <c r="H305" i="53" s="1"/>
  <c r="F53" i="53"/>
  <c r="G53" i="53" s="1"/>
  <c r="L234" i="67"/>
  <c r="M234" i="67" s="1"/>
  <c r="R159" i="51"/>
  <c r="S159" i="51" s="1"/>
  <c r="L251" i="67"/>
  <c r="M251" i="67" s="1"/>
  <c r="G107" i="52"/>
  <c r="H107" i="52" s="1"/>
  <c r="L280" i="67"/>
  <c r="M280" i="67" s="1"/>
  <c r="R145" i="51"/>
  <c r="S145" i="51" s="1"/>
  <c r="L229" i="67"/>
  <c r="M229" i="67" s="1"/>
  <c r="E222" i="52"/>
  <c r="G27" i="66"/>
  <c r="F13" i="51"/>
  <c r="G13" i="66"/>
  <c r="F12" i="59"/>
  <c r="G20" i="66"/>
  <c r="G18" i="66"/>
  <c r="F80" i="57"/>
  <c r="G80" i="57" s="1"/>
  <c r="L279" i="67"/>
  <c r="M279" i="67" s="1"/>
  <c r="F137" i="57"/>
  <c r="G137" i="57" s="1"/>
  <c r="L278" i="67"/>
  <c r="M278" i="67" s="1"/>
  <c r="F294" i="55"/>
  <c r="G294" i="55" s="1"/>
  <c r="L246" i="67"/>
  <c r="M246" i="67" s="1"/>
  <c r="F88" i="55"/>
  <c r="G88" i="55" s="1"/>
  <c r="L188" i="67"/>
  <c r="M188" i="67" s="1"/>
  <c r="F132" i="55"/>
  <c r="G51" i="11" s="1"/>
  <c r="M171" i="67"/>
  <c r="F266" i="55"/>
  <c r="G266" i="55" s="1"/>
  <c r="L170" i="67"/>
  <c r="M170" i="67" s="1"/>
  <c r="P21" i="59"/>
  <c r="Q21" i="59" s="1"/>
  <c r="L186" i="67"/>
  <c r="M186" i="67" s="1"/>
  <c r="S15" i="50"/>
  <c r="B65" i="66"/>
  <c r="AB14" i="50"/>
  <c r="B96" i="11" s="1"/>
  <c r="B91" i="66"/>
  <c r="E209" i="50"/>
  <c r="E331" i="50"/>
  <c r="L75" i="67" s="1"/>
  <c r="M75" i="67" s="1"/>
  <c r="R75" i="51"/>
  <c r="E88" i="52"/>
  <c r="G104" i="11"/>
  <c r="E358" i="50"/>
  <c r="F32" i="55"/>
  <c r="E30" i="56"/>
  <c r="F52" i="55"/>
  <c r="F53" i="55" s="1"/>
  <c r="G53" i="55" s="1"/>
  <c r="B95" i="11"/>
  <c r="G195" i="36"/>
  <c r="B55" i="11"/>
  <c r="N61" i="18"/>
  <c r="N62" i="18" s="1"/>
  <c r="E89" i="13"/>
  <c r="E90" i="13" s="1"/>
  <c r="F62" i="18"/>
  <c r="F63" i="18" s="1"/>
  <c r="G60" i="11"/>
  <c r="B63" i="11"/>
  <c r="G32" i="36"/>
  <c r="H156" i="36"/>
  <c r="B66" i="11"/>
  <c r="G73" i="11"/>
  <c r="U9" i="43"/>
  <c r="V9" i="43" s="1"/>
  <c r="V16" i="43" s="1"/>
  <c r="N9" i="43"/>
  <c r="N17" i="43" s="1"/>
  <c r="E591" i="13"/>
  <c r="F591" i="13" s="1"/>
  <c r="F590" i="13"/>
  <c r="B71" i="11" l="1"/>
  <c r="S30" i="50"/>
  <c r="I12" i="58"/>
  <c r="F318" i="50"/>
  <c r="H318" i="50" s="1"/>
  <c r="G107" i="66"/>
  <c r="F222" i="52"/>
  <c r="H222" i="52" s="1"/>
  <c r="U33" i="53"/>
  <c r="G98" i="11"/>
  <c r="G77" i="52"/>
  <c r="V56" i="53"/>
  <c r="G45" i="11"/>
  <c r="G71" i="53"/>
  <c r="F652" i="53"/>
  <c r="F653" i="53" s="1"/>
  <c r="G653" i="53" s="1"/>
  <c r="F696" i="53"/>
  <c r="F697" i="53" s="1"/>
  <c r="G697" i="53" s="1"/>
  <c r="V18" i="53"/>
  <c r="G101" i="11"/>
  <c r="U162" i="53"/>
  <c r="G223" i="50"/>
  <c r="G22" i="57"/>
  <c r="B102" i="66"/>
  <c r="B106" i="11"/>
  <c r="M282" i="67"/>
  <c r="L281" i="67"/>
  <c r="B67" i="66"/>
  <c r="S87" i="50"/>
  <c r="L319" i="67"/>
  <c r="M319" i="67" s="1"/>
  <c r="M320" i="67"/>
  <c r="L189" i="67"/>
  <c r="M189" i="67" s="1"/>
  <c r="L15" i="11"/>
  <c r="L14" i="66"/>
  <c r="L12" i="11"/>
  <c r="L11" i="66"/>
  <c r="L13" i="11"/>
  <c r="L12" i="66"/>
  <c r="L14" i="11"/>
  <c r="L13" i="66"/>
  <c r="B93" i="66"/>
  <c r="L235" i="67"/>
  <c r="M235" i="67" s="1"/>
  <c r="B97" i="11"/>
  <c r="B70" i="66"/>
  <c r="B43" i="66"/>
  <c r="B15" i="11"/>
  <c r="B53" i="66"/>
  <c r="B44" i="11"/>
  <c r="B54" i="11"/>
  <c r="B21" i="11"/>
  <c r="B23" i="66"/>
  <c r="G239" i="50"/>
  <c r="AC25" i="50"/>
  <c r="B15" i="66"/>
  <c r="E332" i="50"/>
  <c r="F332" i="50" s="1"/>
  <c r="B94" i="66"/>
  <c r="E359" i="50"/>
  <c r="F359" i="50" s="1"/>
  <c r="L80" i="67"/>
  <c r="M80" i="67" s="1"/>
  <c r="F20" i="52"/>
  <c r="G109" i="66"/>
  <c r="G113" i="11"/>
  <c r="G196" i="36"/>
  <c r="H196" i="36" s="1"/>
  <c r="L360" i="67"/>
  <c r="M360" i="67" s="1"/>
  <c r="V17" i="43"/>
  <c r="W17" i="43" s="1"/>
  <c r="L351" i="67"/>
  <c r="E31" i="56"/>
  <c r="F31" i="56" s="1"/>
  <c r="L62" i="67"/>
  <c r="M62" i="67" s="1"/>
  <c r="L63" i="67"/>
  <c r="M63" i="67" s="1"/>
  <c r="L61" i="67"/>
  <c r="M61" i="67" s="1"/>
  <c r="E89" i="52"/>
  <c r="G85" i="11" s="1"/>
  <c r="L297" i="67"/>
  <c r="G81" i="66"/>
  <c r="L236" i="67"/>
  <c r="M236" i="67" s="1"/>
  <c r="L190" i="67"/>
  <c r="M190" i="67" s="1"/>
  <c r="G92" i="66"/>
  <c r="G107" i="55"/>
  <c r="G65" i="66"/>
  <c r="F33" i="55"/>
  <c r="G56" i="11" s="1"/>
  <c r="L173" i="67"/>
  <c r="AE26" i="51"/>
  <c r="G11" i="66"/>
  <c r="G68" i="66"/>
  <c r="G20" i="53"/>
  <c r="S30" i="51"/>
  <c r="G35" i="66"/>
  <c r="G45" i="66"/>
  <c r="L182" i="67"/>
  <c r="M182" i="67" s="1"/>
  <c r="L178" i="67"/>
  <c r="M178" i="67" s="1"/>
  <c r="L180" i="67"/>
  <c r="L181" i="67"/>
  <c r="M181" i="67" s="1"/>
  <c r="G57" i="57"/>
  <c r="G106" i="66"/>
  <c r="G25" i="66"/>
  <c r="R76" i="51"/>
  <c r="S76" i="51" s="1"/>
  <c r="L250" i="67"/>
  <c r="M250" i="67" s="1"/>
  <c r="L258" i="67"/>
  <c r="M258" i="67" s="1"/>
  <c r="L260" i="67"/>
  <c r="L259" i="67"/>
  <c r="G95" i="66"/>
  <c r="G132" i="55"/>
  <c r="G50" i="66"/>
  <c r="F209" i="50"/>
  <c r="B39" i="66"/>
  <c r="AC14" i="50"/>
  <c r="B92" i="66"/>
  <c r="C52" i="11"/>
  <c r="C6" i="37" s="1"/>
  <c r="C51" i="66"/>
  <c r="B40" i="11"/>
  <c r="G84" i="11"/>
  <c r="G25" i="11"/>
  <c r="F593" i="13"/>
  <c r="F594" i="13" s="1"/>
  <c r="G27" i="11"/>
  <c r="M173" i="67" l="1"/>
  <c r="L174" i="67"/>
  <c r="L172" i="67"/>
  <c r="M172" i="67" s="1"/>
  <c r="L296" i="67"/>
  <c r="M296" i="67" s="1"/>
  <c r="M297" i="67"/>
  <c r="L265" i="67"/>
  <c r="M265" i="67" s="1"/>
  <c r="M260" i="67"/>
  <c r="L223" i="67"/>
  <c r="M223" i="67" s="1"/>
  <c r="M180" i="67"/>
  <c r="L352" i="67"/>
  <c r="M351" i="67"/>
  <c r="L266" i="67"/>
  <c r="M266" i="67" s="1"/>
  <c r="M259" i="67"/>
  <c r="L194" i="67"/>
  <c r="M194" i="67" s="1"/>
  <c r="G33" i="55"/>
  <c r="G55" i="66"/>
  <c r="F89" i="52"/>
  <c r="G82" i="66"/>
  <c r="L302" i="67"/>
  <c r="L310" i="67"/>
  <c r="L334" i="67"/>
  <c r="L332" i="67"/>
  <c r="M332" i="67" s="1"/>
  <c r="L342" i="67"/>
  <c r="L289" i="67"/>
  <c r="F334" i="67"/>
  <c r="G344" i="67"/>
  <c r="F303" i="67"/>
  <c r="F310" i="67"/>
  <c r="L225" i="67" l="1"/>
  <c r="M225" i="67" s="1"/>
  <c r="L283" i="67"/>
  <c r="M283" i="67" s="1"/>
  <c r="M281" i="67"/>
  <c r="L335" i="67"/>
  <c r="M334" i="67"/>
  <c r="L353" i="67"/>
  <c r="M353" i="67" s="1"/>
  <c r="M352" i="67"/>
  <c r="L290" i="67"/>
  <c r="M290" i="67" s="1"/>
  <c r="M289" i="67"/>
  <c r="L311" i="67"/>
  <c r="M310" i="67"/>
  <c r="L343" i="67"/>
  <c r="M342" i="67"/>
  <c r="L303" i="67"/>
  <c r="M302" i="67"/>
  <c r="L175" i="67"/>
  <c r="M175" i="67" s="1"/>
  <c r="M174" i="67"/>
  <c r="F304" i="67"/>
  <c r="G303" i="67"/>
  <c r="F283" i="67"/>
  <c r="G283" i="67" s="1"/>
  <c r="G281" i="67"/>
  <c r="F311" i="67"/>
  <c r="G310" i="67"/>
  <c r="F335" i="67"/>
  <c r="G334" i="67"/>
  <c r="L336" i="67" l="1"/>
  <c r="M335" i="67"/>
  <c r="L344" i="67"/>
  <c r="M344" i="67" s="1"/>
  <c r="M343" i="67"/>
  <c r="L304" i="67"/>
  <c r="M303" i="67"/>
  <c r="L312" i="67"/>
  <c r="M311" i="67"/>
  <c r="F336" i="67"/>
  <c r="G335" i="67"/>
  <c r="F312" i="67"/>
  <c r="G311" i="67"/>
  <c r="F305" i="67"/>
  <c r="G304" i="67"/>
  <c r="L313" i="67" l="1"/>
  <c r="M312" i="67"/>
  <c r="L305" i="67"/>
  <c r="M304" i="67"/>
  <c r="L337" i="67"/>
  <c r="M336" i="67"/>
  <c r="F313" i="67"/>
  <c r="G312" i="67"/>
  <c r="F306" i="67"/>
  <c r="G305" i="67"/>
  <c r="F337" i="67"/>
  <c r="G336" i="67"/>
  <c r="L306" i="67" l="1"/>
  <c r="M305" i="67"/>
  <c r="L338" i="67"/>
  <c r="M337" i="67"/>
  <c r="L314" i="67"/>
  <c r="M313" i="67"/>
  <c r="F307" i="67"/>
  <c r="G306" i="67"/>
  <c r="F338" i="67"/>
  <c r="G337" i="67"/>
  <c r="F314" i="67"/>
  <c r="G313" i="67"/>
  <c r="L339" i="67" l="1"/>
  <c r="M338" i="67"/>
  <c r="L315" i="67"/>
  <c r="M314" i="67"/>
  <c r="L307" i="67"/>
  <c r="M306" i="67"/>
  <c r="F339" i="67"/>
  <c r="G338" i="67"/>
  <c r="F315" i="67"/>
  <c r="G314" i="67"/>
  <c r="F308" i="67"/>
  <c r="G308" i="67" s="1"/>
  <c r="G307" i="67"/>
  <c r="L316" i="67" l="1"/>
  <c r="M316" i="67" s="1"/>
  <c r="M315" i="67"/>
  <c r="L308" i="67"/>
  <c r="M308" i="67" s="1"/>
  <c r="M307" i="67"/>
  <c r="L340" i="67"/>
  <c r="M340" i="67" s="1"/>
  <c r="M339" i="67"/>
  <c r="F316" i="67"/>
  <c r="G316" i="67" s="1"/>
  <c r="G315" i="67"/>
  <c r="F340" i="67"/>
  <c r="G339" i="67"/>
  <c r="G340" i="67" l="1"/>
  <c r="G343" i="67" l="1"/>
  <c r="G342" i="67"/>
  <c r="S88" i="53"/>
  <c r="S101" i="53" s="1"/>
  <c r="E526" i="13"/>
  <c r="F526" i="13" s="1"/>
  <c r="F543" i="13" s="1"/>
  <c r="F544" i="13" s="1"/>
  <c r="G539" i="52"/>
  <c r="G540" i="52" l="1"/>
  <c r="H539" i="52"/>
  <c r="L185" i="67"/>
  <c r="M185" i="67" s="1"/>
  <c r="T101" i="53"/>
  <c r="L205" i="67" s="1"/>
  <c r="M205" i="67" s="1"/>
  <c r="S102" i="53"/>
  <c r="H540" i="52" l="1"/>
  <c r="J541" i="52" s="1"/>
  <c r="T102" i="53"/>
  <c r="V102" i="53" s="1"/>
  <c r="G63" i="66"/>
  <c r="G65" i="11"/>
  <c r="E1376" i="74"/>
  <c r="E1377" i="74" s="1"/>
  <c r="F1377" i="74"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Consulta - PRODUCTOS" description="Conexión a la consulta 'PRODUCTOS' en el libro." type="5" refreshedVersion="6" background="1" saveData="1">
    <dbPr connection="Provider=Microsoft.Mashup.OleDb.1;Data Source=$Workbook$;Location=PRODUCTOS;Extended Properties=&quot;&quot;" command="SELECT * FROM [PRODUCTOS]"/>
  </connection>
</connections>
</file>

<file path=xl/sharedStrings.xml><?xml version="1.0" encoding="utf-8"?>
<sst xmlns="http://schemas.openxmlformats.org/spreadsheetml/2006/main" count="23674" uniqueCount="5130">
  <si>
    <t>Column1</t>
  </si>
  <si>
    <t>PRODUCTOS</t>
  </si>
  <si>
    <t>Pin chico</t>
  </si>
  <si>
    <t>Pin grande</t>
  </si>
  <si>
    <t>Flor chica</t>
  </si>
  <si>
    <t>Flor chica rosa</t>
  </si>
  <si>
    <t>Margarita</t>
  </si>
  <si>
    <t>Degrade</t>
  </si>
  <si>
    <t>Roma</t>
  </si>
  <si>
    <t>Espiga</t>
  </si>
  <si>
    <t>Candy</t>
  </si>
  <si>
    <t>Trepador</t>
  </si>
  <si>
    <t>Bright</t>
  </si>
  <si>
    <t xml:space="preserve">New York cristal </t>
  </si>
  <si>
    <t xml:space="preserve">New York negro </t>
  </si>
  <si>
    <t>Sparkle</t>
  </si>
  <si>
    <t>Square</t>
  </si>
  <si>
    <t>Palm</t>
  </si>
  <si>
    <t>Desigual pastel</t>
  </si>
  <si>
    <t>Ipanema</t>
  </si>
  <si>
    <t>Hibisco print</t>
  </si>
  <si>
    <t>Argollas glitter xl</t>
  </si>
  <si>
    <t>Argollas gems</t>
  </si>
  <si>
    <t>Argollas sol</t>
  </si>
  <si>
    <t>Argollas jupiter</t>
  </si>
  <si>
    <t>Aros universo</t>
  </si>
  <si>
    <t xml:space="preserve">Barcelona </t>
  </si>
  <si>
    <t>Magic</t>
  </si>
  <si>
    <t>Multicolor</t>
  </si>
  <si>
    <t>San andres</t>
  </si>
  <si>
    <t>Arrecifes</t>
  </si>
  <si>
    <t>Glitter gota rosa</t>
  </si>
  <si>
    <t>Juliet</t>
  </si>
  <si>
    <t>Grecia</t>
  </si>
  <si>
    <t>Girasol</t>
  </si>
  <si>
    <t>Amapola</t>
  </si>
  <si>
    <t>Flor+cristales</t>
  </si>
  <si>
    <t>Maria Elena Walsh</t>
  </si>
  <si>
    <t>Evita Peron</t>
  </si>
  <si>
    <t>Mercedes Sosa</t>
  </si>
  <si>
    <t>Alicia Moreau</t>
  </si>
  <si>
    <t>Alfonsina Storni</t>
  </si>
  <si>
    <t>Juana Azurduy</t>
  </si>
  <si>
    <t>Paloma Herrera</t>
  </si>
  <si>
    <t>Victoria Ocampo</t>
  </si>
  <si>
    <t>Tita Merello</t>
  </si>
  <si>
    <t>Lola Mora</t>
  </si>
  <si>
    <t>Diversidad</t>
  </si>
  <si>
    <t>Jose de San Martin</t>
  </si>
  <si>
    <t>Manuel Belgrano</t>
  </si>
  <si>
    <t>Domingo F. Sarmiento</t>
  </si>
  <si>
    <t xml:space="preserve">Collar basico </t>
  </si>
  <si>
    <t>Collar 3 flores</t>
  </si>
  <si>
    <t>Pechera Strass</t>
  </si>
  <si>
    <t>Duo cristales grandes</t>
  </si>
  <si>
    <t>Sugar</t>
  </si>
  <si>
    <t>Brazalete recto</t>
  </si>
  <si>
    <t>Brazalete</t>
  </si>
  <si>
    <t>Estrella</t>
  </si>
  <si>
    <t>Corazon</t>
  </si>
  <si>
    <t>De vestido</t>
  </si>
  <si>
    <t>Charreteras harley</t>
  </si>
  <si>
    <t>Charreteras brit</t>
  </si>
  <si>
    <t>Velvet negra</t>
  </si>
  <si>
    <t>Velvet rosa + gemas</t>
  </si>
  <si>
    <t>Velvet roja + perlas</t>
  </si>
  <si>
    <t>Velvet beige + perlas</t>
  </si>
  <si>
    <t>Nudo + perlas</t>
  </si>
  <si>
    <t>Nudo + hot fix</t>
  </si>
  <si>
    <t>Trenza sin relleno</t>
  </si>
  <si>
    <t>Frunce</t>
  </si>
  <si>
    <t>Duo perlas</t>
  </si>
  <si>
    <t>Trio perla + strass</t>
  </si>
  <si>
    <t>Duo piraña e invisible strass</t>
  </si>
  <si>
    <t>Piraña strass 4 tiras</t>
  </si>
  <si>
    <t>Duo strass cruzado</t>
  </si>
  <si>
    <t>Duo gema navette</t>
  </si>
  <si>
    <t>Trio strass</t>
  </si>
  <si>
    <t>Piraña triangulo perlas</t>
  </si>
  <si>
    <t>Redonda strass + perla + gemas</t>
  </si>
  <si>
    <t>Piraña colores</t>
  </si>
  <si>
    <t>Piraña 8cm gema oval</t>
  </si>
  <si>
    <t>Calada oval</t>
  </si>
  <si>
    <t>TIPO</t>
  </si>
  <si>
    <t>PRODUCTO</t>
  </si>
  <si>
    <t>COLOR</t>
  </si>
  <si>
    <t xml:space="preserve"> </t>
  </si>
  <si>
    <t>ARO</t>
  </si>
  <si>
    <t>LOVELY</t>
  </si>
  <si>
    <t>STAR</t>
  </si>
  <si>
    <t>MINI STAR</t>
  </si>
  <si>
    <t>ABRIDOR</t>
  </si>
  <si>
    <t>MINI</t>
  </si>
  <si>
    <t>XL</t>
  </si>
  <si>
    <t>CIRCULARES</t>
  </si>
  <si>
    <t>CUADRADOS</t>
  </si>
  <si>
    <t>CORAZONES</t>
  </si>
  <si>
    <t>MINI HAMSA</t>
  </si>
  <si>
    <t>OJITO+ABRIDOR</t>
  </si>
  <si>
    <t>JUPITER</t>
  </si>
  <si>
    <t>PIN ESTRELLA</t>
  </si>
  <si>
    <t>SPOT</t>
  </si>
  <si>
    <t>SPOT XL</t>
  </si>
  <si>
    <t>RIO</t>
  </si>
  <si>
    <t>LAGOA MINI</t>
  </si>
  <si>
    <t>LAGOA GRANDE</t>
  </si>
  <si>
    <t>BOLD</t>
  </si>
  <si>
    <t>BOLD.NEW</t>
  </si>
  <si>
    <t>S</t>
  </si>
  <si>
    <t>M</t>
  </si>
  <si>
    <t>L</t>
  </si>
  <si>
    <t>STRASS</t>
  </si>
  <si>
    <t>STRASS XL</t>
  </si>
  <si>
    <t>LOVE (Torzados)</t>
  </si>
  <si>
    <t>RELIEVE</t>
  </si>
  <si>
    <t>AMULETOS</t>
  </si>
  <si>
    <t>CUORE</t>
  </si>
  <si>
    <t>BOHO</t>
  </si>
  <si>
    <t>VINTAGE</t>
  </si>
  <si>
    <t>CHILLY</t>
  </si>
  <si>
    <t>PORTO</t>
  </si>
  <si>
    <t>TRIO LOVE</t>
  </si>
  <si>
    <t>MIRO</t>
  </si>
  <si>
    <t>NEGRO</t>
  </si>
  <si>
    <t>ROJO</t>
  </si>
  <si>
    <t>CALA</t>
  </si>
  <si>
    <t>VERT</t>
  </si>
  <si>
    <t>BLEU</t>
  </si>
  <si>
    <t>ORGANIC</t>
  </si>
  <si>
    <t>CURVE</t>
  </si>
  <si>
    <t>NAZAR</t>
  </si>
  <si>
    <t>MOONLIGHT</t>
  </si>
  <si>
    <t>RAYOS</t>
  </si>
  <si>
    <t>PEARL MINI</t>
  </si>
  <si>
    <t>NUT</t>
  </si>
  <si>
    <t>PERLA CUADRADA</t>
  </si>
  <si>
    <t>GOTA</t>
  </si>
  <si>
    <t>BLOOM</t>
  </si>
  <si>
    <t>NACRED</t>
  </si>
  <si>
    <t>MAR</t>
  </si>
  <si>
    <t>VIBES</t>
  </si>
  <si>
    <t>ATARDECER</t>
  </si>
  <si>
    <t>TROPEZ</t>
  </si>
  <si>
    <t>DOT</t>
  </si>
  <si>
    <t>INTENSE</t>
  </si>
  <si>
    <t>CONSTELACION</t>
  </si>
  <si>
    <t>DONA</t>
  </si>
  <si>
    <t>JASPE ROJO</t>
  </si>
  <si>
    <t>VERDE</t>
  </si>
  <si>
    <t>TIERRA</t>
  </si>
  <si>
    <t>ARMONIA</t>
  </si>
  <si>
    <t>OJO GOLD</t>
  </si>
  <si>
    <t>PRAIA</t>
  </si>
  <si>
    <t>BUZIOS</t>
  </si>
  <si>
    <t>FRUTA</t>
  </si>
  <si>
    <t>MARGARITA</t>
  </si>
  <si>
    <t>SIMPLE</t>
  </si>
  <si>
    <t>SIMPLE HEART</t>
  </si>
  <si>
    <t>SIMPLE STAR</t>
  </si>
  <si>
    <t>STARLIGHT NEW</t>
  </si>
  <si>
    <t>OIA</t>
  </si>
  <si>
    <t>OBISPO</t>
  </si>
  <si>
    <t>MILO</t>
  </si>
  <si>
    <t>MILO NEW</t>
  </si>
  <si>
    <t>PANTERA</t>
  </si>
  <si>
    <t>ARMONIA NEW</t>
  </si>
  <si>
    <t>BRISA</t>
  </si>
  <si>
    <t>CARAMEL</t>
  </si>
  <si>
    <t>FURRY</t>
  </si>
  <si>
    <t>BEIGE</t>
  </si>
  <si>
    <t>CELESTE</t>
  </si>
  <si>
    <t>ROSA</t>
  </si>
  <si>
    <t>LIMA</t>
  </si>
  <si>
    <t>CUFF</t>
  </si>
  <si>
    <t>ESTRELLA MICROCIRCON CRISTAL</t>
  </si>
  <si>
    <t>MICROCIRCON ESTRELLA</t>
  </si>
  <si>
    <t>MICROCIRCON RAYO</t>
  </si>
  <si>
    <t>MICROCIRCON.OJO</t>
  </si>
  <si>
    <t>MULTICOLOR</t>
  </si>
  <si>
    <t>MICROCIRCON PIÑA</t>
  </si>
  <si>
    <t>MICROCIRCON TRIANGULO</t>
  </si>
  <si>
    <t>MICROCIRCON CORAZON</t>
  </si>
  <si>
    <t>MICROCIRCON CORAZON CANDADO</t>
  </si>
  <si>
    <t>MICROCIRCON LUNA</t>
  </si>
  <si>
    <t>SHINY EYE</t>
  </si>
  <si>
    <t>BRIGHT LOVE</t>
  </si>
  <si>
    <t>MINI BRIGHT LOVE</t>
  </si>
  <si>
    <t>PUFFY LOVE</t>
  </si>
  <si>
    <t>CIRCONES MINI</t>
  </si>
  <si>
    <t>CIRCONES XL</t>
  </si>
  <si>
    <t>CIRCONES MINI COLORES</t>
  </si>
  <si>
    <t>CIRCONES XL COLORES</t>
  </si>
  <si>
    <t>ESTRELLA CALADA</t>
  </si>
  <si>
    <t>SOLITARIO.RAYO</t>
  </si>
  <si>
    <t>AMARILLO</t>
  </si>
  <si>
    <t>TURQUESA</t>
  </si>
  <si>
    <t>PERRITO.COLOR</t>
  </si>
  <si>
    <t>FUCSIA</t>
  </si>
  <si>
    <t>CREMA</t>
  </si>
  <si>
    <t>ESTRELLA COLOR</t>
  </si>
  <si>
    <t>OJITO</t>
  </si>
  <si>
    <t>HAMSA</t>
  </si>
  <si>
    <t>MUDRA</t>
  </si>
  <si>
    <t>PERRITO</t>
  </si>
  <si>
    <t>OSITO</t>
  </si>
  <si>
    <t>CHERRY</t>
  </si>
  <si>
    <t>FRUTILLA</t>
  </si>
  <si>
    <t>RAYO CIRCONES</t>
  </si>
  <si>
    <t>MINI RAYITO</t>
  </si>
  <si>
    <t>CLIP</t>
  </si>
  <si>
    <t>DESTELLO</t>
  </si>
  <si>
    <t>SOLITARIO HAPPY FACE</t>
  </si>
  <si>
    <t>ENAMORED</t>
  </si>
  <si>
    <t>FUNGHI</t>
  </si>
  <si>
    <t>AZUL</t>
  </si>
  <si>
    <t>KISS</t>
  </si>
  <si>
    <t>MOON</t>
  </si>
  <si>
    <t>CHAPITA 3 ESTRELLAS</t>
  </si>
  <si>
    <t>ESTRELLA 4 PUNTAS</t>
  </si>
  <si>
    <t>ESTRELLA</t>
  </si>
  <si>
    <t>BLANCO</t>
  </si>
  <si>
    <t>LOU</t>
  </si>
  <si>
    <t>PICNIC</t>
  </si>
  <si>
    <t>ANARANJADO</t>
  </si>
  <si>
    <t>SMILE AMARILLO</t>
  </si>
  <si>
    <t>YELLOW</t>
  </si>
  <si>
    <t>SOLITARIO FLOR</t>
  </si>
  <si>
    <t>INICIAL COLOR</t>
  </si>
  <si>
    <t>INICIAL</t>
  </si>
  <si>
    <t>A</t>
  </si>
  <si>
    <t>B</t>
  </si>
  <si>
    <t>C</t>
  </si>
  <si>
    <t>D</t>
  </si>
  <si>
    <t>E</t>
  </si>
  <si>
    <t>F</t>
  </si>
  <si>
    <t>G</t>
  </si>
  <si>
    <t>H</t>
  </si>
  <si>
    <t>I</t>
  </si>
  <si>
    <t>J</t>
  </si>
  <si>
    <t>K</t>
  </si>
  <si>
    <t>N</t>
  </si>
  <si>
    <t>O</t>
  </si>
  <si>
    <t>P</t>
  </si>
  <si>
    <t>R</t>
  </si>
  <si>
    <t>T</t>
  </si>
  <si>
    <t>U</t>
  </si>
  <si>
    <t>V</t>
  </si>
  <si>
    <t>X</t>
  </si>
  <si>
    <t>Y</t>
  </si>
  <si>
    <t>Z</t>
  </si>
  <si>
    <t>BUBBLE</t>
  </si>
  <si>
    <t>SOLITARIO MAR</t>
  </si>
  <si>
    <t>PICANTE</t>
  </si>
  <si>
    <t>SEMILLA</t>
  </si>
  <si>
    <t>VIENTO</t>
  </si>
  <si>
    <t>MINI ESTRELLA</t>
  </si>
  <si>
    <t>MINI HERRADURA</t>
  </si>
  <si>
    <t>MINI OJITO</t>
  </si>
  <si>
    <t>MINI CORAZON CANDADO</t>
  </si>
  <si>
    <t>MINI CANDADO RAYO</t>
  </si>
  <si>
    <t>HONGUITO</t>
  </si>
  <si>
    <t>EAR.CUFF</t>
  </si>
  <si>
    <t>CHAIN</t>
  </si>
  <si>
    <t>TRIPLE</t>
  </si>
  <si>
    <t>SHINE BRIGHT</t>
  </si>
  <si>
    <t>CROSS</t>
  </si>
  <si>
    <t>BRILLO</t>
  </si>
  <si>
    <t>SET</t>
  </si>
  <si>
    <t>SHINY MIX</t>
  </si>
  <si>
    <t>TRINITY</t>
  </si>
  <si>
    <t>NEW</t>
  </si>
  <si>
    <t>COLLAR</t>
  </si>
  <si>
    <t>BABY LENOX</t>
  </si>
  <si>
    <t>LENOX</t>
  </si>
  <si>
    <t>CRUZADA</t>
  </si>
  <si>
    <t>TORSION</t>
  </si>
  <si>
    <t>BROOK</t>
  </si>
  <si>
    <t>ANINE</t>
  </si>
  <si>
    <t>CORAZON.PIEDRA</t>
  </si>
  <si>
    <t>CRISTAL</t>
  </si>
  <si>
    <t>BAHIA</t>
  </si>
  <si>
    <t>DARMA</t>
  </si>
  <si>
    <t>BUZIO</t>
  </si>
  <si>
    <t>STARLIGHT</t>
  </si>
  <si>
    <t>FUERZA</t>
  </si>
  <si>
    <t>ORBITA</t>
  </si>
  <si>
    <t>ORBITA NEW</t>
  </si>
  <si>
    <t>JARDIN</t>
  </si>
  <si>
    <t>BRUMA DE MAR</t>
  </si>
  <si>
    <t>BRUMA DE MAR NEW</t>
  </si>
  <si>
    <t>NATURALEZA</t>
  </si>
  <si>
    <t>SECRET</t>
  </si>
  <si>
    <t>TRANSFORMACION</t>
  </si>
  <si>
    <t>LIBERTAD</t>
  </si>
  <si>
    <t>PLANETA</t>
  </si>
  <si>
    <t>CORAZON TIERRA</t>
  </si>
  <si>
    <t>ABUNDANCIA</t>
  </si>
  <si>
    <t>MALAQUITA</t>
  </si>
  <si>
    <t>AVENTURINA</t>
  </si>
  <si>
    <t>CALMA</t>
  </si>
  <si>
    <t>CUARZO</t>
  </si>
  <si>
    <t>SODALITA</t>
  </si>
  <si>
    <t>RODONITA</t>
  </si>
  <si>
    <t>WISHBONE</t>
  </si>
  <si>
    <t>MAGIC</t>
  </si>
  <si>
    <t>LLUVIA</t>
  </si>
  <si>
    <t>PLAIN</t>
  </si>
  <si>
    <t>BRIGHT</t>
  </si>
  <si>
    <t>CHAPITAS</t>
  </si>
  <si>
    <t>BASIC</t>
  </si>
  <si>
    <t>AMANECER</t>
  </si>
  <si>
    <t>OJO MEDALLA</t>
  </si>
  <si>
    <t>OJO TURQUESA</t>
  </si>
  <si>
    <t>UNIVERSO</t>
  </si>
  <si>
    <t>CARACOLA</t>
  </si>
  <si>
    <t>PALMERA</t>
  </si>
  <si>
    <t>THE MOON AND THE STARS</t>
  </si>
  <si>
    <t>COLORFUL UNIVERSE</t>
  </si>
  <si>
    <t>LUCERO</t>
  </si>
  <si>
    <t>GARGANTILLA GAUDI</t>
  </si>
  <si>
    <t>PEARL</t>
  </si>
  <si>
    <t>ALBA</t>
  </si>
  <si>
    <t>EGEO</t>
  </si>
  <si>
    <t>PERLAS Y NEGRO</t>
  </si>
  <si>
    <t>JANEIRO</t>
  </si>
  <si>
    <t>MARACAIBO</t>
  </si>
  <si>
    <t>CHOKER BUZIOS</t>
  </si>
  <si>
    <t>CHOKER OCEANO</t>
  </si>
  <si>
    <t>MACEIO</t>
  </si>
  <si>
    <t>JERICOACOARA</t>
  </si>
  <si>
    <t>COLLAR OCEANO</t>
  </si>
  <si>
    <t>CRISTALES</t>
  </si>
  <si>
    <t>SUERTE</t>
  </si>
  <si>
    <t>CRISTALITOS.INICIAL</t>
  </si>
  <si>
    <t>NUDE</t>
  </si>
  <si>
    <t>DIENTE</t>
  </si>
  <si>
    <t>BOREAL</t>
  </si>
  <si>
    <t>AGUA</t>
  </si>
  <si>
    <t>FIMO HAMSA</t>
  </si>
  <si>
    <t>DIA.SOLEADO</t>
  </si>
  <si>
    <t>LAVANDA</t>
  </si>
  <si>
    <t>VERDE PASTEL</t>
  </si>
  <si>
    <t>ROSA PASTEL</t>
  </si>
  <si>
    <t>OCEANO</t>
  </si>
  <si>
    <t>BOSQUE</t>
  </si>
  <si>
    <t>SUGUS</t>
  </si>
  <si>
    <t>SEA</t>
  </si>
  <si>
    <t>AVOCADO</t>
  </si>
  <si>
    <t>OJO NACAR</t>
  </si>
  <si>
    <t>COPACABANA</t>
  </si>
  <si>
    <t>JERICOACOARA NEW</t>
  </si>
  <si>
    <t>NATURALEZA NEW</t>
  </si>
  <si>
    <t>NATURALEZA DOUBLE</t>
  </si>
  <si>
    <t>SMOOTHIE</t>
  </si>
  <si>
    <t>FELICIDAD</t>
  </si>
  <si>
    <t>LILA</t>
  </si>
  <si>
    <t>HILO.BUZIO</t>
  </si>
  <si>
    <t>NARANJA</t>
  </si>
  <si>
    <t>VIOLETA</t>
  </si>
  <si>
    <t>LEMON</t>
  </si>
  <si>
    <t>CONFITE</t>
  </si>
  <si>
    <t>NERI</t>
  </si>
  <si>
    <t>IN THE SEA</t>
  </si>
  <si>
    <t>VERAO</t>
  </si>
  <si>
    <t>SENTIMIENTO</t>
  </si>
  <si>
    <t>VALOR</t>
  </si>
  <si>
    <t>MARRON</t>
  </si>
  <si>
    <t>CIELO</t>
  </si>
  <si>
    <t>MOSTAZA</t>
  </si>
  <si>
    <t>AURA</t>
  </si>
  <si>
    <t>CANDY</t>
  </si>
  <si>
    <t>MORRO</t>
  </si>
  <si>
    <t>CHEERFUL</t>
  </si>
  <si>
    <t>AMBER</t>
  </si>
  <si>
    <t>AZAHARES</t>
  </si>
  <si>
    <t>TANGERINE</t>
  </si>
  <si>
    <t>NACAR</t>
  </si>
  <si>
    <t>CRUDO</t>
  </si>
  <si>
    <t>VERANO</t>
  </si>
  <si>
    <t>ARRAIAL</t>
  </si>
  <si>
    <t>KLEIN</t>
  </si>
  <si>
    <t>ARENA</t>
  </si>
  <si>
    <t>AVOCADO NEW</t>
  </si>
  <si>
    <t>BOREAL NEW</t>
  </si>
  <si>
    <t>PINA</t>
  </si>
  <si>
    <t>ALARGUE REDONDA</t>
  </si>
  <si>
    <t>ALARGUE CUADRADA</t>
  </si>
  <si>
    <t>PULSERA</t>
  </si>
  <si>
    <t>LOOP</t>
  </si>
  <si>
    <t>PROTECCION AZUL</t>
  </si>
  <si>
    <t>OJO XL CON CADENA</t>
  </si>
  <si>
    <t>HAMSA CONECTOR</t>
  </si>
  <si>
    <t>ESCLAVA SOLAR</t>
  </si>
  <si>
    <t>ESCLAVA BOHO</t>
  </si>
  <si>
    <t>ESCLAVA LAGOA</t>
  </si>
  <si>
    <t>ESCLAVA.OJITOS</t>
  </si>
  <si>
    <t>CORAZON</t>
  </si>
  <si>
    <t>BROOK XL</t>
  </si>
  <si>
    <t>BRIDGE</t>
  </si>
  <si>
    <t>NEON</t>
  </si>
  <si>
    <t>OJITO.CONECTOR</t>
  </si>
  <si>
    <t>CLASICO</t>
  </si>
  <si>
    <t>CLASICO+MULTI</t>
  </si>
  <si>
    <t>NEGRO+ROJO</t>
  </si>
  <si>
    <t>NEGRO+AZUL</t>
  </si>
  <si>
    <t>AZUL+NEGRO</t>
  </si>
  <si>
    <t>DUO.OJITO</t>
  </si>
  <si>
    <t>ROJO+AZUL</t>
  </si>
  <si>
    <t>BLANCO+AZUL</t>
  </si>
  <si>
    <t>CRISTAL+AZUL</t>
  </si>
  <si>
    <t>PERLAS</t>
  </si>
  <si>
    <t>INTENCIONES</t>
  </si>
  <si>
    <t>GRATITUD</t>
  </si>
  <si>
    <t>ALEGRIA</t>
  </si>
  <si>
    <t>ENERGIA</t>
  </si>
  <si>
    <t>PERSONALIZADA</t>
  </si>
  <si>
    <t>HOJA (hilo verde)</t>
  </si>
  <si>
    <t>ESTRELLA (hilo beige)</t>
  </si>
  <si>
    <t>CORAZON.MURANO</t>
  </si>
  <si>
    <t>PASTEL</t>
  </si>
  <si>
    <t>AMOR</t>
  </si>
  <si>
    <t>CRISTALITOS</t>
  </si>
  <si>
    <t>DURAZNO</t>
  </si>
  <si>
    <t>VERDE AGUA</t>
  </si>
  <si>
    <t>VERDE CLARITO</t>
  </si>
  <si>
    <t>LIMON</t>
  </si>
  <si>
    <t>NUDE CLARITO</t>
  </si>
  <si>
    <t>OJO MICROCIRCON GRANDE</t>
  </si>
  <si>
    <t>OJO MICROCIRCON COLORES</t>
  </si>
  <si>
    <t>CORAZON CON OJO MICROCIRCON</t>
  </si>
  <si>
    <t>HOMBRE</t>
  </si>
  <si>
    <t>MACRAME.BOTON</t>
  </si>
  <si>
    <t>CONECTOR CORAZON</t>
  </si>
  <si>
    <t>CORAZON OJO BLANCO</t>
  </si>
  <si>
    <t>ALFILER</t>
  </si>
  <si>
    <t>LOVE</t>
  </si>
  <si>
    <t>INFINITO</t>
  </si>
  <si>
    <t>VERDE Y ROSA</t>
  </si>
  <si>
    <t>ROJO Y FUCSIA</t>
  </si>
  <si>
    <t>AMARILLO Y ROSA</t>
  </si>
  <si>
    <t>FUCSIA Y TURQUESA</t>
  </si>
  <si>
    <t>PROTECCION</t>
  </si>
  <si>
    <t>REVERDECER</t>
  </si>
  <si>
    <t>OJO.NACAR</t>
  </si>
  <si>
    <t>ROJO EST</t>
  </si>
  <si>
    <t>TURQUESA EST</t>
  </si>
  <si>
    <t>ROJO CORA</t>
  </si>
  <si>
    <t>TURQUESA CORA</t>
  </si>
  <si>
    <t>CORAZON MULTICOLOR</t>
  </si>
  <si>
    <t>LUCKY</t>
  </si>
  <si>
    <t>LUCKY STAR</t>
  </si>
  <si>
    <t>OJO.PESTAÑAS</t>
  </si>
  <si>
    <t>FIMO.PERLA</t>
  </si>
  <si>
    <t>FIMO.MULTICOLOR</t>
  </si>
  <si>
    <t>SHINE</t>
  </si>
  <si>
    <t>AMOUR</t>
  </si>
  <si>
    <t>FIMO.OJITO</t>
  </si>
  <si>
    <t>BUZIO MACRAME</t>
  </si>
  <si>
    <t>CHAPITA ESTRELLA</t>
  </si>
  <si>
    <t>MANITO HAMSA</t>
  </si>
  <si>
    <t>TURBILLION</t>
  </si>
  <si>
    <t>GOLDEN EYE</t>
  </si>
  <si>
    <t>QUERER</t>
  </si>
  <si>
    <t>TOBILLERA</t>
  </si>
  <si>
    <t>CARACOLES</t>
  </si>
  <si>
    <t>CADENA</t>
  </si>
  <si>
    <t>ANILLO</t>
  </si>
  <si>
    <t>MEDIA FALANGE</t>
  </si>
  <si>
    <t>WAVES</t>
  </si>
  <si>
    <t>FLAME</t>
  </si>
  <si>
    <t>HOJAS</t>
  </si>
  <si>
    <t>LUZ</t>
  </si>
  <si>
    <t>DOBLE LINEA</t>
  </si>
  <si>
    <t>CRUZADO</t>
  </si>
  <si>
    <t>OJITOS</t>
  </si>
  <si>
    <t>ESTRELLA FUGAZ</t>
  </si>
  <si>
    <t>VIDRIO</t>
  </si>
  <si>
    <t>CANASTO</t>
  </si>
  <si>
    <t>CALADO POMPONES</t>
  </si>
  <si>
    <t>CALADO CON CABALLITO DE MAR</t>
  </si>
  <si>
    <t>CALADO COLGANTE DE MOSTACILLAS</t>
  </si>
  <si>
    <t>PINTADO OJO</t>
  </si>
  <si>
    <t>PINTADO TUCAN</t>
  </si>
  <si>
    <t>PINTADO FLAMENCO</t>
  </si>
  <si>
    <t>PINTADO ARCOIRIS</t>
  </si>
  <si>
    <t>ALUMINIO NEGRA</t>
  </si>
  <si>
    <t>ALUMINIO</t>
  </si>
  <si>
    <t>DORADA</t>
  </si>
  <si>
    <t>PLATEADA</t>
  </si>
  <si>
    <t>COLORES.OJO</t>
  </si>
  <si>
    <t>OJOBLANCO.CARACOL</t>
  </si>
  <si>
    <t>ROMBOS</t>
  </si>
  <si>
    <t>NIÑAS</t>
  </si>
  <si>
    <t>LIMPIEZA</t>
  </si>
  <si>
    <t>STRAP</t>
  </si>
  <si>
    <t>ESTRELLAS</t>
  </si>
  <si>
    <t>GOOD VIBES</t>
  </si>
  <si>
    <t>SONREI</t>
  </si>
  <si>
    <t>SONRISA ROSA</t>
  </si>
  <si>
    <t>FRUTAS ACIDAS</t>
  </si>
  <si>
    <t>FRUTAS BERRIES</t>
  </si>
  <si>
    <t>FRUTOS ROJOS</t>
  </si>
  <si>
    <t>CHARM</t>
  </si>
  <si>
    <t>BOX</t>
  </si>
  <si>
    <t>DIA DE LA MADRE</t>
  </si>
  <si>
    <t>CANDY BAR</t>
  </si>
  <si>
    <t>SAFARI</t>
  </si>
  <si>
    <t>FLOWER POWER</t>
  </si>
  <si>
    <t>BOLSO</t>
  </si>
  <si>
    <t>DIA.DE.VERANO</t>
  </si>
  <si>
    <t>BOQUERIA</t>
  </si>
  <si>
    <t>SOMBRERO</t>
  </si>
  <si>
    <t>COWBOY</t>
  </si>
  <si>
    <t>COLORES</t>
  </si>
  <si>
    <t>DESPOJADOR</t>
  </si>
  <si>
    <t>MODELO 1</t>
  </si>
  <si>
    <t>BORDE ONDULADO</t>
  </si>
  <si>
    <t>DOS DIVISIONES</t>
  </si>
  <si>
    <t>DOS PIEZAS</t>
  </si>
  <si>
    <t>MERCEDES SOSA</t>
  </si>
  <si>
    <t>EN TALLER</t>
  </si>
  <si>
    <t>SAWCA</t>
  </si>
  <si>
    <t>CHUNCHON</t>
  </si>
  <si>
    <t>USHUAIA</t>
  </si>
  <si>
    <t>VENDIDOS TALLER</t>
  </si>
  <si>
    <t>TOTAL</t>
  </si>
  <si>
    <t>MING</t>
  </si>
  <si>
    <t xml:space="preserve">NEGRO </t>
  </si>
  <si>
    <t>NEO</t>
  </si>
  <si>
    <t>CAREY</t>
  </si>
  <si>
    <t>MARMOL</t>
  </si>
  <si>
    <t>LAO</t>
  </si>
  <si>
    <t>LAO MIX</t>
  </si>
  <si>
    <t>CAREY + TURQ</t>
  </si>
  <si>
    <t>NEGRO + CAREY</t>
  </si>
  <si>
    <t>NEGRO + MARMOL</t>
  </si>
  <si>
    <t>GRIS + BEIGE</t>
  </si>
  <si>
    <t>VERDE + MARRON</t>
  </si>
  <si>
    <t>MARRON + BEIGE</t>
  </si>
  <si>
    <t>CRUDO + ROSA</t>
  </si>
  <si>
    <t>TOTAL VENDIDOS</t>
  </si>
  <si>
    <t>ACRILICO</t>
  </si>
  <si>
    <t>LAOMIX</t>
  </si>
  <si>
    <t>COSTOx2</t>
  </si>
  <si>
    <t>XMAYOR</t>
  </si>
  <si>
    <t>PUBLICO</t>
  </si>
  <si>
    <t>AROS</t>
  </si>
  <si>
    <t>LAZOS</t>
  </si>
  <si>
    <t>ABRIDORES</t>
  </si>
  <si>
    <t>OSITOS</t>
  </si>
  <si>
    <t>STRAPS</t>
  </si>
  <si>
    <t>CADENAS</t>
  </si>
  <si>
    <t>BOLSOS</t>
  </si>
  <si>
    <t>BOLD L</t>
  </si>
  <si>
    <t>CAMISETA</t>
  </si>
  <si>
    <t>BOLD M</t>
  </si>
  <si>
    <t>CROCHET</t>
  </si>
  <si>
    <t>BOLD S</t>
  </si>
  <si>
    <t>HOLDERS</t>
  </si>
  <si>
    <t>CIRCONES MINI (colores)</t>
  </si>
  <si>
    <t>PAÑO LIMPIEZA</t>
  </si>
  <si>
    <t>PAÑO</t>
  </si>
  <si>
    <t>CIRCONES XL (colores)</t>
  </si>
  <si>
    <t>DESPOJADORES</t>
  </si>
  <si>
    <t>REMI</t>
  </si>
  <si>
    <t>CUBANOS</t>
  </si>
  <si>
    <t>CADENAS CON DIJES</t>
  </si>
  <si>
    <t>MODELO 2 (borde ondulado)</t>
  </si>
  <si>
    <t>MODELO 3 (dos divisiones)</t>
  </si>
  <si>
    <t>MODELO 4 (2 piezas)</t>
  </si>
  <si>
    <t>SOMBREROS</t>
  </si>
  <si>
    <t>TODOS</t>
  </si>
  <si>
    <t>LAGOA L</t>
  </si>
  <si>
    <t>LAGOA S</t>
  </si>
  <si>
    <t>TEDDY</t>
  </si>
  <si>
    <t>COLLARES</t>
  </si>
  <si>
    <t>PUFFY HEART</t>
  </si>
  <si>
    <t>SPOT XXL</t>
  </si>
  <si>
    <t>DIA SOLEADO</t>
  </si>
  <si>
    <t>FASES LUNARES</t>
  </si>
  <si>
    <t>INICIAL NACAR</t>
  </si>
  <si>
    <t>SOLITARIOS</t>
  </si>
  <si>
    <t>HONGUITO (colores)</t>
  </si>
  <si>
    <t>INICIAL MINI (oro)</t>
  </si>
  <si>
    <t>MUDRA (manito con ojo)</t>
  </si>
  <si>
    <t>OIA (negro-violeta)</t>
  </si>
  <si>
    <t>RAYO COLOR</t>
  </si>
  <si>
    <t>SIMPLE (crudo-turquesa)</t>
  </si>
  <si>
    <t>SOLITARIOS MICROCIRCON</t>
  </si>
  <si>
    <t>SIMPLE Nacar</t>
  </si>
  <si>
    <t>ANANA</t>
  </si>
  <si>
    <t>-</t>
  </si>
  <si>
    <t>VERANO Amarillo</t>
  </si>
  <si>
    <t>VERANO Naranja</t>
  </si>
  <si>
    <t>ESTRELLA BLANCA</t>
  </si>
  <si>
    <t>PULSERAS</t>
  </si>
  <si>
    <t>ESTRELLA NEGRA</t>
  </si>
  <si>
    <t>AMOR DE VERANO</t>
  </si>
  <si>
    <t>LIGHTNING</t>
  </si>
  <si>
    <t>RAYO</t>
  </si>
  <si>
    <t>SETS DE AROS</t>
  </si>
  <si>
    <t>DUO OJITO</t>
  </si>
  <si>
    <t>EAR CUFFS</t>
  </si>
  <si>
    <t>NUEVO</t>
  </si>
  <si>
    <t>CHARMS</t>
  </si>
  <si>
    <t>ANILLOS</t>
  </si>
  <si>
    <t>MARY LEIVA  -  LISTA DE PRECIOS ACTUALIZADA AL 16-02-23</t>
  </si>
  <si>
    <t>A010</t>
  </si>
  <si>
    <t>A011</t>
  </si>
  <si>
    <t>A015</t>
  </si>
  <si>
    <t>Solitario SEMILLA</t>
  </si>
  <si>
    <t>A017</t>
  </si>
  <si>
    <t>A018</t>
  </si>
  <si>
    <t>A019</t>
  </si>
  <si>
    <t>Solitario INICIAL MINI</t>
  </si>
  <si>
    <t>A025</t>
  </si>
  <si>
    <t>A041</t>
  </si>
  <si>
    <t>A043</t>
  </si>
  <si>
    <t>A054</t>
  </si>
  <si>
    <t>A055</t>
  </si>
  <si>
    <t>A056</t>
  </si>
  <si>
    <t>OIA Obispo</t>
  </si>
  <si>
    <t>A057</t>
  </si>
  <si>
    <t>OIA Verde</t>
  </si>
  <si>
    <t>A059</t>
  </si>
  <si>
    <t>Solitario ENAMORED</t>
  </si>
  <si>
    <t>A060</t>
  </si>
  <si>
    <t>FURRY Rosa</t>
  </si>
  <si>
    <t>A061</t>
  </si>
  <si>
    <t>FURRY Beige</t>
  </si>
  <si>
    <t>A062</t>
  </si>
  <si>
    <t>FURRY Lima</t>
  </si>
  <si>
    <t>A063</t>
  </si>
  <si>
    <t>FURRY Celeste</t>
  </si>
  <si>
    <t>A064</t>
  </si>
  <si>
    <t>LAGOA Mini</t>
  </si>
  <si>
    <t>LAGOA</t>
  </si>
  <si>
    <t>BOLD XL</t>
  </si>
  <si>
    <t>Solitario PICANTE</t>
  </si>
  <si>
    <t>Solitario BUBBLE rosa/amarillo</t>
  </si>
  <si>
    <t>Solitario FRUTILLA</t>
  </si>
  <si>
    <t>Solitario YELLOW</t>
  </si>
  <si>
    <t>Solitario MAR</t>
  </si>
  <si>
    <r>
      <t xml:space="preserve">Solitario LOU </t>
    </r>
    <r>
      <rPr>
        <sz val="11"/>
        <color theme="1"/>
        <rFont val="Verdana"/>
        <family val="2"/>
      </rPr>
      <t>azul/blanco/rojo/amarillo/verde/celeste</t>
    </r>
  </si>
  <si>
    <t>Solitario FUNGHI</t>
  </si>
  <si>
    <t>C020</t>
  </si>
  <si>
    <t>DIA SOLEADO Lavanda</t>
  </si>
  <si>
    <t>C021</t>
  </si>
  <si>
    <t>DIA SOLEADO Verde Agua</t>
  </si>
  <si>
    <t>C032</t>
  </si>
  <si>
    <t>Cadena ORBITA</t>
  </si>
  <si>
    <t>C033</t>
  </si>
  <si>
    <t>Cadena ANINE</t>
  </si>
  <si>
    <t>C034</t>
  </si>
  <si>
    <t>Cadena BABY LENOX</t>
  </si>
  <si>
    <t>C035</t>
  </si>
  <si>
    <t>Cadena LLUVIA</t>
  </si>
  <si>
    <t>C036</t>
  </si>
  <si>
    <t>Cadena LENOX</t>
  </si>
  <si>
    <t>C040</t>
  </si>
  <si>
    <t>C041</t>
  </si>
  <si>
    <t>C058</t>
  </si>
  <si>
    <t>C060</t>
  </si>
  <si>
    <t>C061</t>
  </si>
  <si>
    <t>C062</t>
  </si>
  <si>
    <t>C063</t>
  </si>
  <si>
    <t>C064</t>
  </si>
  <si>
    <t>C065</t>
  </si>
  <si>
    <t>C066</t>
  </si>
  <si>
    <t>C067</t>
  </si>
  <si>
    <t>C068</t>
  </si>
  <si>
    <t>C071</t>
  </si>
  <si>
    <t>DIA SOLEADO Rosa</t>
  </si>
  <si>
    <t>C072</t>
  </si>
  <si>
    <t>C073</t>
  </si>
  <si>
    <t>C074</t>
  </si>
  <si>
    <t>C075</t>
  </si>
  <si>
    <t>DIA SOLEADO Celeste</t>
  </si>
  <si>
    <t>OIA Naranja</t>
  </si>
  <si>
    <t>SIMPLE Turquesa</t>
  </si>
  <si>
    <t>P010</t>
  </si>
  <si>
    <t>P011</t>
  </si>
  <si>
    <t>P012</t>
  </si>
  <si>
    <t>P015</t>
  </si>
  <si>
    <t>CRISTALES 12 colores disponibles</t>
  </si>
  <si>
    <t>P016</t>
  </si>
  <si>
    <t>P031</t>
  </si>
  <si>
    <t>INFINITO verde/fucsia/celeste</t>
  </si>
  <si>
    <t>P034</t>
  </si>
  <si>
    <t>HOJA</t>
  </si>
  <si>
    <t>P036</t>
  </si>
  <si>
    <t>OJO NACAR (turquesa/rojo)</t>
  </si>
  <si>
    <t>P042</t>
  </si>
  <si>
    <t>P043</t>
  </si>
  <si>
    <t>MACRAME verde/coral/multicolor</t>
  </si>
  <si>
    <t>P044</t>
  </si>
  <si>
    <t>P045</t>
  </si>
  <si>
    <t>P048</t>
  </si>
  <si>
    <t>P050</t>
  </si>
  <si>
    <t>P051</t>
  </si>
  <si>
    <t>TURBILLION cadena (falta foto)</t>
  </si>
  <si>
    <t>H010</t>
  </si>
  <si>
    <t>MING Negro</t>
  </si>
  <si>
    <t>H011</t>
  </si>
  <si>
    <t>MING Rosa</t>
  </si>
  <si>
    <t>H012</t>
  </si>
  <si>
    <t>MING Crudo</t>
  </si>
  <si>
    <t>H013</t>
  </si>
  <si>
    <t>NEO Carey</t>
  </si>
  <si>
    <t>H014</t>
  </si>
  <si>
    <t>NEO Marble</t>
  </si>
  <si>
    <t>H015</t>
  </si>
  <si>
    <t>NEO Rosa</t>
  </si>
  <si>
    <t>H016</t>
  </si>
  <si>
    <t>NEO Beige</t>
  </si>
  <si>
    <t>H017</t>
  </si>
  <si>
    <t>NEO Turquesa</t>
  </si>
  <si>
    <t>H018</t>
  </si>
  <si>
    <t>NEO Verde Militar</t>
  </si>
  <si>
    <t>H019</t>
  </si>
  <si>
    <t>LAO Negro</t>
  </si>
  <si>
    <t>H020</t>
  </si>
  <si>
    <t>LAO Beige</t>
  </si>
  <si>
    <t>H021</t>
  </si>
  <si>
    <t>LAO Marble</t>
  </si>
  <si>
    <t>H022</t>
  </si>
  <si>
    <t>LAO Carey</t>
  </si>
  <si>
    <t>H023</t>
  </si>
  <si>
    <t>LAO MIX Beige Rosa</t>
  </si>
  <si>
    <t>H024</t>
  </si>
  <si>
    <t>LAO MIX Negro Marble</t>
  </si>
  <si>
    <t>H025</t>
  </si>
  <si>
    <t>LAO MIX Marron Biege</t>
  </si>
  <si>
    <t>H026</t>
  </si>
  <si>
    <t>LAO MIX Gris Beige</t>
  </si>
  <si>
    <t>H027</t>
  </si>
  <si>
    <t>LAO MIX Carey Turquesa</t>
  </si>
  <si>
    <t>H028</t>
  </si>
  <si>
    <t>LAO MIX Negro Carey</t>
  </si>
  <si>
    <t>ARGOLLAS</t>
  </si>
  <si>
    <t>PASANTES</t>
  </si>
  <si>
    <t>DIJES MICROCIRCON</t>
  </si>
  <si>
    <t>Tipo</t>
  </si>
  <si>
    <t>Medida</t>
  </si>
  <si>
    <t>Precio x par</t>
  </si>
  <si>
    <t>Precio unidad</t>
  </si>
  <si>
    <t>Modelo</t>
  </si>
  <si>
    <t>Precio</t>
  </si>
  <si>
    <t>Media caña</t>
  </si>
  <si>
    <t>1.3cm</t>
  </si>
  <si>
    <t>Estrellas mini</t>
  </si>
  <si>
    <t>Manito (pulsera cristalitos)</t>
  </si>
  <si>
    <t>Ojo turco</t>
  </si>
  <si>
    <t>Grande</t>
  </si>
  <si>
    <t>1.6cm</t>
  </si>
  <si>
    <t>Rayo</t>
  </si>
  <si>
    <t>4.8cm</t>
  </si>
  <si>
    <t>Angelito</t>
  </si>
  <si>
    <t>Colores</t>
  </si>
  <si>
    <t>2cm</t>
  </si>
  <si>
    <t>Estrella plana pasante</t>
  </si>
  <si>
    <t>1cm</t>
  </si>
  <si>
    <t>Cupido</t>
  </si>
  <si>
    <t xml:space="preserve">Corazon </t>
  </si>
  <si>
    <t>Con ojo</t>
  </si>
  <si>
    <t>2.5cm</t>
  </si>
  <si>
    <t>Estrella relieve pasante</t>
  </si>
  <si>
    <t>0.8cm</t>
  </si>
  <si>
    <t>Solecito</t>
  </si>
  <si>
    <t>Candado</t>
  </si>
  <si>
    <t>3cm</t>
  </si>
  <si>
    <t xml:space="preserve">Pasante redondo </t>
  </si>
  <si>
    <t>1mm</t>
  </si>
  <si>
    <t>Medalla</t>
  </si>
  <si>
    <t>Plana chica</t>
  </si>
  <si>
    <t>Candado de corazon</t>
  </si>
  <si>
    <t>3.5cm</t>
  </si>
  <si>
    <t>3mm</t>
  </si>
  <si>
    <t>Plana grande</t>
  </si>
  <si>
    <t>Mini herradura</t>
  </si>
  <si>
    <t>5.5cm</t>
  </si>
  <si>
    <t>8mm</t>
  </si>
  <si>
    <t>Tipo escudo</t>
  </si>
  <si>
    <t>Planeta</t>
  </si>
  <si>
    <t>Tubo fino</t>
  </si>
  <si>
    <t>1.1cm</t>
  </si>
  <si>
    <t>Pasante redondo con arandela</t>
  </si>
  <si>
    <t>Flechazo</t>
  </si>
  <si>
    <t>Mini ojo</t>
  </si>
  <si>
    <t>1.5cm</t>
  </si>
  <si>
    <t>Acero</t>
  </si>
  <si>
    <t>Mini estrella</t>
  </si>
  <si>
    <t>1.9cm</t>
  </si>
  <si>
    <t>Par oval</t>
  </si>
  <si>
    <t>Medalla redonda/oval</t>
  </si>
  <si>
    <t>18mm</t>
  </si>
  <si>
    <t>Candado rayo</t>
  </si>
  <si>
    <t>2.4cm</t>
  </si>
  <si>
    <t>Pasante estrella calada</t>
  </si>
  <si>
    <t>20mm</t>
  </si>
  <si>
    <t xml:space="preserve">Maxi chapa </t>
  </si>
  <si>
    <t>30x15mm</t>
  </si>
  <si>
    <t xml:space="preserve">Pasante estrella </t>
  </si>
  <si>
    <t>5mm</t>
  </si>
  <si>
    <t>Medalla redonda con una luna</t>
  </si>
  <si>
    <t>10mm</t>
  </si>
  <si>
    <t>Ovalo ojo turco</t>
  </si>
  <si>
    <t>Turquesa</t>
  </si>
  <si>
    <t>Chatos con filo</t>
  </si>
  <si>
    <t>Corazon cubic</t>
  </si>
  <si>
    <t xml:space="preserve">Medalla redonda corazon </t>
  </si>
  <si>
    <t>Tubo grueso</t>
  </si>
  <si>
    <t xml:space="preserve">Estrella con destellitos </t>
  </si>
  <si>
    <t>Cierre maxi rectangulo</t>
  </si>
  <si>
    <t>20x16mm</t>
  </si>
  <si>
    <t>Abridores formitas</t>
  </si>
  <si>
    <t>Estrella con luna calada</t>
  </si>
  <si>
    <t>Rectangulo galaxia</t>
  </si>
  <si>
    <t>Rayo circones</t>
  </si>
  <si>
    <t>PA71044</t>
  </si>
  <si>
    <t>Liso bombe</t>
  </si>
  <si>
    <t>Maxi dije galaxia</t>
  </si>
  <si>
    <t>Rectangulito mini</t>
  </si>
  <si>
    <t>PA73029</t>
  </si>
  <si>
    <t>Labrado</t>
  </si>
  <si>
    <t>Medalla galaxia</t>
  </si>
  <si>
    <t>3.7cm</t>
  </si>
  <si>
    <t>Rectangulito largo</t>
  </si>
  <si>
    <t>PA73027</t>
  </si>
  <si>
    <t>Palmera</t>
  </si>
  <si>
    <t>Microcircon piña</t>
  </si>
  <si>
    <t>Abridor susano</t>
  </si>
  <si>
    <t>PA75033</t>
  </si>
  <si>
    <t>doble labrado</t>
  </si>
  <si>
    <t>Piña</t>
  </si>
  <si>
    <t>Microcircon triangulo</t>
  </si>
  <si>
    <t>Ojito circones</t>
  </si>
  <si>
    <t>Grueso con borde lab</t>
  </si>
  <si>
    <t>Pestañas</t>
  </si>
  <si>
    <t>Microcircon corazon</t>
  </si>
  <si>
    <t>Manito hamsa</t>
  </si>
  <si>
    <t>9mm</t>
  </si>
  <si>
    <t>Perrito</t>
  </si>
  <si>
    <t>Aros gota cubic lila</t>
  </si>
  <si>
    <t>PA73089E</t>
  </si>
  <si>
    <t>Base aro bolita</t>
  </si>
  <si>
    <t>4mm</t>
  </si>
  <si>
    <t>Media luna</t>
  </si>
  <si>
    <t>Osito</t>
  </si>
  <si>
    <t xml:space="preserve">Aros gota cubic verde </t>
  </si>
  <si>
    <t>PA73089D</t>
  </si>
  <si>
    <t>Estrella calada</t>
  </si>
  <si>
    <t>Sol con ojo</t>
  </si>
  <si>
    <t>PA73004</t>
  </si>
  <si>
    <t>Pasante 3 color cristal</t>
  </si>
  <si>
    <t>PA89164</t>
  </si>
  <si>
    <t>Caballo de mar</t>
  </si>
  <si>
    <t>Redondo</t>
  </si>
  <si>
    <t>Cereza</t>
  </si>
  <si>
    <t>Brisura 105</t>
  </si>
  <si>
    <t>Pasante 3 colores</t>
  </si>
  <si>
    <t>PA89145</t>
  </si>
  <si>
    <t>Con relieve</t>
  </si>
  <si>
    <t>Pasante 5 colores</t>
  </si>
  <si>
    <t>PA73067</t>
  </si>
  <si>
    <t>Honguito color</t>
  </si>
  <si>
    <t>Clip microcircon</t>
  </si>
  <si>
    <t>Trebol</t>
  </si>
  <si>
    <t>Alfiler gancho</t>
  </si>
  <si>
    <t>22mm</t>
  </si>
  <si>
    <t>12x10mm</t>
  </si>
  <si>
    <t>Placa mano cristal</t>
  </si>
  <si>
    <t>10*20mm</t>
  </si>
  <si>
    <t>16x15mm</t>
  </si>
  <si>
    <t>Mano con ojito</t>
  </si>
  <si>
    <t>Pescado</t>
  </si>
  <si>
    <t>Ojito colores  PD73146</t>
  </si>
  <si>
    <t>Con gemas colores</t>
  </si>
  <si>
    <t>Ojito cristal PD73065</t>
  </si>
  <si>
    <t>PA73038</t>
  </si>
  <si>
    <t>Ancha</t>
  </si>
  <si>
    <t>Rectangular</t>
  </si>
  <si>
    <t>Estrella PD73068</t>
  </si>
  <si>
    <t>PA89160</t>
  </si>
  <si>
    <t>Ancho calado</t>
  </si>
  <si>
    <t>Oval</t>
  </si>
  <si>
    <t>Mano hamsa PD73115</t>
  </si>
  <si>
    <t>PA73062A</t>
  </si>
  <si>
    <t>Media caña relieve</t>
  </si>
  <si>
    <t>1.4cm</t>
  </si>
  <si>
    <t>Dije ojo</t>
  </si>
  <si>
    <t>Con azul</t>
  </si>
  <si>
    <t>Mini rayito</t>
  </si>
  <si>
    <t>PA73062B</t>
  </si>
  <si>
    <t>Paloma</t>
  </si>
  <si>
    <t>colores</t>
  </si>
  <si>
    <t>Brisura zircon corazon</t>
  </si>
  <si>
    <t>Honguito</t>
  </si>
  <si>
    <t>Medalla estrella del norte</t>
  </si>
  <si>
    <t>Brisura triple</t>
  </si>
  <si>
    <t>Happy face</t>
  </si>
  <si>
    <t>Diamonds</t>
  </si>
  <si>
    <t>13mm</t>
  </si>
  <si>
    <t>Maxi happy face</t>
  </si>
  <si>
    <t>Mini cristal</t>
  </si>
  <si>
    <t>Triple</t>
  </si>
  <si>
    <t>Ojo gold</t>
  </si>
  <si>
    <t>Mini cristal PD75073</t>
  </si>
  <si>
    <t>Cadena</t>
  </si>
  <si>
    <t xml:space="preserve">Dije rayo </t>
  </si>
  <si>
    <t>Amarillo</t>
  </si>
  <si>
    <t xml:space="preserve">Conector corazon </t>
  </si>
  <si>
    <t>11mm</t>
  </si>
  <si>
    <t>PULSERAS Y TOBILLERAS</t>
  </si>
  <si>
    <t>Doble</t>
  </si>
  <si>
    <t>Medallita galaxia</t>
  </si>
  <si>
    <t>Nombre</t>
  </si>
  <si>
    <t>Elisa</t>
  </si>
  <si>
    <t xml:space="preserve">Dije cola sirena </t>
  </si>
  <si>
    <t>Placa estrellas</t>
  </si>
  <si>
    <t>Bridge</t>
  </si>
  <si>
    <t>Inicial</t>
  </si>
  <si>
    <t>Estrella norte</t>
  </si>
  <si>
    <t>Base ajustable strass cristal</t>
  </si>
  <si>
    <t>Estrella collar inicial</t>
  </si>
  <si>
    <t>Ojito pestañas conector</t>
  </si>
  <si>
    <t>Base ajustable simpl</t>
  </si>
  <si>
    <t>Estrella 8 puntas</t>
  </si>
  <si>
    <t>Beso rojo</t>
  </si>
  <si>
    <t>Eslabones xxl</t>
  </si>
  <si>
    <t>15mm</t>
  </si>
  <si>
    <t xml:space="preserve">Tamaño </t>
  </si>
  <si>
    <t>Espesor</t>
  </si>
  <si>
    <t>Precio eslabon</t>
  </si>
  <si>
    <t>Estrella aro starlight</t>
  </si>
  <si>
    <t>7mm</t>
  </si>
  <si>
    <t xml:space="preserve">Medalla mini estrellas </t>
  </si>
  <si>
    <t>12mm</t>
  </si>
  <si>
    <t>Turbillion</t>
  </si>
  <si>
    <t>Chanel 3x1 finita</t>
  </si>
  <si>
    <t>40cm</t>
  </si>
  <si>
    <t>1.5mm</t>
  </si>
  <si>
    <t>Pantera</t>
  </si>
  <si>
    <t>Medalla mix love</t>
  </si>
  <si>
    <t>19mm</t>
  </si>
  <si>
    <t>Chanel</t>
  </si>
  <si>
    <t>45cm</t>
  </si>
  <si>
    <t>Atardecer (sol y luna)</t>
  </si>
  <si>
    <t xml:space="preserve">Medalla galaxia negra </t>
  </si>
  <si>
    <t>17mm</t>
  </si>
  <si>
    <t>50cm</t>
  </si>
  <si>
    <t>Manzana mordida</t>
  </si>
  <si>
    <t>Chanel fina</t>
  </si>
  <si>
    <t>Lenox</t>
  </si>
  <si>
    <t>Estrella de mar</t>
  </si>
  <si>
    <t>PD75092</t>
  </si>
  <si>
    <t>Turbillion nueva</t>
  </si>
  <si>
    <t>Base balin</t>
  </si>
  <si>
    <t>Satelite</t>
  </si>
  <si>
    <t>60cm</t>
  </si>
  <si>
    <t>CONECTORES</t>
  </si>
  <si>
    <t>Chain</t>
  </si>
  <si>
    <t>Estrellas</t>
  </si>
  <si>
    <t>Chanel parecida a aplastada</t>
  </si>
  <si>
    <t>Infinito</t>
  </si>
  <si>
    <t>Triangulo</t>
  </si>
  <si>
    <t>Chanel 1x1 arenado</t>
  </si>
  <si>
    <t>Argolla cerrada diamantada</t>
  </si>
  <si>
    <t>Ojitos</t>
  </si>
  <si>
    <t>2mm</t>
  </si>
  <si>
    <t>Buzio</t>
  </si>
  <si>
    <t>Aro</t>
  </si>
  <si>
    <t>Conector Corazon</t>
  </si>
  <si>
    <t>Doble linea</t>
  </si>
  <si>
    <t>Remi</t>
  </si>
  <si>
    <t>55cm</t>
  </si>
  <si>
    <t>Corazon diamantado</t>
  </si>
  <si>
    <t>Cruzado</t>
  </si>
  <si>
    <t>Nudito</t>
  </si>
  <si>
    <t xml:space="preserve">Mano de hamsa </t>
  </si>
  <si>
    <t>Tipo conector</t>
  </si>
  <si>
    <t>Estrella fugaz</t>
  </si>
  <si>
    <t>Lluvia</t>
  </si>
  <si>
    <t>2.5mm</t>
  </si>
  <si>
    <t>Moon and stars</t>
  </si>
  <si>
    <t>Tope+tubo</t>
  </si>
  <si>
    <t>Con ojito</t>
  </si>
  <si>
    <t>Shine bright</t>
  </si>
  <si>
    <t>Topes redondos</t>
  </si>
  <si>
    <t>14mm</t>
  </si>
  <si>
    <t>Espejito</t>
  </si>
  <si>
    <t>Chapita estrella</t>
  </si>
  <si>
    <t>FORNITURAS</t>
  </si>
  <si>
    <t>Cordon torzado</t>
  </si>
  <si>
    <t>42cm</t>
  </si>
  <si>
    <t xml:space="preserve">u </t>
  </si>
  <si>
    <t>Torzada fina</t>
  </si>
  <si>
    <t>Argolla 3mm</t>
  </si>
  <si>
    <t>Argolla 4mm</t>
  </si>
  <si>
    <t>Forcet cuadrado</t>
  </si>
  <si>
    <t>45mm</t>
  </si>
  <si>
    <t>Argolla 5mm</t>
  </si>
  <si>
    <t>Argolla 6mm</t>
  </si>
  <si>
    <t>Argolla 7mm</t>
  </si>
  <si>
    <t>Arandelas alambre #18</t>
  </si>
  <si>
    <t>Forcet ovalada</t>
  </si>
  <si>
    <t>5x8mm</t>
  </si>
  <si>
    <t>Alfiler 30mm x 0,5</t>
  </si>
  <si>
    <t>Alfiler 30mm x 0,7</t>
  </si>
  <si>
    <t>3x4mm</t>
  </si>
  <si>
    <t>Alfiler 40mm</t>
  </si>
  <si>
    <t>3x5mm</t>
  </si>
  <si>
    <t>Aprieta tanza</t>
  </si>
  <si>
    <t>Terminal</t>
  </si>
  <si>
    <t>100cm</t>
  </si>
  <si>
    <t>Mosqueton 10mm</t>
  </si>
  <si>
    <t>Forcet redondo (orbita anterior)</t>
  </si>
  <si>
    <t>8mm (grueso)</t>
  </si>
  <si>
    <t>Balin 3mm</t>
  </si>
  <si>
    <t>Anine</t>
  </si>
  <si>
    <t>Capuchon</t>
  </si>
  <si>
    <t>Fuerza</t>
  </si>
  <si>
    <t>6mm</t>
  </si>
  <si>
    <t>Fru fru</t>
  </si>
  <si>
    <t>Tunel recto 10mm</t>
  </si>
  <si>
    <t>Cala</t>
  </si>
  <si>
    <t>Tunel recto 10x3,6</t>
  </si>
  <si>
    <t>Corazones</t>
  </si>
  <si>
    <t>Conector u</t>
  </si>
  <si>
    <t>Flechas (puls reverdecer)</t>
  </si>
  <si>
    <t>Terminal finita (para terminal puls reverdecer)</t>
  </si>
  <si>
    <t>SEPARADORES</t>
  </si>
  <si>
    <t>Plain</t>
  </si>
  <si>
    <t>70cm</t>
  </si>
  <si>
    <t>Unidades</t>
  </si>
  <si>
    <t>Precio x u</t>
  </si>
  <si>
    <t>25cm</t>
  </si>
  <si>
    <t>Cubo 3.2mm</t>
  </si>
  <si>
    <t>Corazones unida</t>
  </si>
  <si>
    <t>Starlight</t>
  </si>
  <si>
    <t>Circular</t>
  </si>
  <si>
    <t>Enamored</t>
  </si>
  <si>
    <t>Atardecer</t>
  </si>
  <si>
    <t>90cm</t>
  </si>
  <si>
    <t>Dona</t>
  </si>
  <si>
    <t>Punto de luz Mini corazon</t>
  </si>
  <si>
    <t>Rolo</t>
  </si>
  <si>
    <t>Finita</t>
  </si>
  <si>
    <t>Punto de luz Mini estrella</t>
  </si>
  <si>
    <t>Gruesa</t>
  </si>
  <si>
    <t>Alambre</t>
  </si>
  <si>
    <t>Cant x metro</t>
  </si>
  <si>
    <t>Precio total</t>
  </si>
  <si>
    <t>Precio x metro</t>
  </si>
  <si>
    <t>#18</t>
  </si>
  <si>
    <t>1.02mm</t>
  </si>
  <si>
    <t>#20</t>
  </si>
  <si>
    <t>0.81mm</t>
  </si>
  <si>
    <t>COD</t>
  </si>
  <si>
    <t>#22</t>
  </si>
  <si>
    <t>0.64mm</t>
  </si>
  <si>
    <t>Tipo 8</t>
  </si>
  <si>
    <t>#24</t>
  </si>
  <si>
    <t>0.51mm</t>
  </si>
  <si>
    <t>HORA</t>
  </si>
  <si>
    <t>Precio rollo</t>
  </si>
  <si>
    <t xml:space="preserve">Tipo </t>
  </si>
  <si>
    <t>CAJA NIÑOS</t>
  </si>
  <si>
    <t>Limpieza</t>
  </si>
  <si>
    <t>Cant x tira</t>
  </si>
  <si>
    <t>Precio x tira</t>
  </si>
  <si>
    <t>Redondo chato</t>
  </si>
  <si>
    <t>Conector p ojito</t>
  </si>
  <si>
    <t>Tamaño</t>
  </si>
  <si>
    <t>Cant x bolsa</t>
  </si>
  <si>
    <t>Conector colores</t>
  </si>
  <si>
    <t>Chica</t>
  </si>
  <si>
    <t xml:space="preserve">Clasico redondo </t>
  </si>
  <si>
    <t>Margarita con carita</t>
  </si>
  <si>
    <t>Conector colores red</t>
  </si>
  <si>
    <t>Ojo aro am</t>
  </si>
  <si>
    <t>Bolita 8mm</t>
  </si>
  <si>
    <t>Redondo chato rojo</t>
  </si>
  <si>
    <t>TELA BOLSO BOQUERIA</t>
  </si>
  <si>
    <t>Redondo chato mult</t>
  </si>
  <si>
    <t>Redondo GDE</t>
  </si>
  <si>
    <t>Vichy</t>
  </si>
  <si>
    <t>Redondo alm de arm</t>
  </si>
  <si>
    <t>CADENAS HOLDERS</t>
  </si>
  <si>
    <t>Metro</t>
  </si>
  <si>
    <t>MADERA</t>
  </si>
  <si>
    <t>plateada</t>
  </si>
  <si>
    <t>Medida tira (m)</t>
  </si>
  <si>
    <t>Cant x tira/bolsa</t>
  </si>
  <si>
    <t>Precio tira/bolsa</t>
  </si>
  <si>
    <t xml:space="preserve">Cadena alum </t>
  </si>
  <si>
    <t>dorada 6mm</t>
  </si>
  <si>
    <t>Marron oscura redonda</t>
  </si>
  <si>
    <t>Chanel plana</t>
  </si>
  <si>
    <t>alum dorada</t>
  </si>
  <si>
    <t>Marron clara redonda</t>
  </si>
  <si>
    <t>Forcet redondo</t>
  </si>
  <si>
    <t>Marron chata</t>
  </si>
  <si>
    <t xml:space="preserve">Negra </t>
  </si>
  <si>
    <t>eslabon grande</t>
  </si>
  <si>
    <t>Piramide</t>
  </si>
  <si>
    <t>Chanel alum</t>
  </si>
  <si>
    <t>Plateada 6mm</t>
  </si>
  <si>
    <t>Caritas felices (straps)</t>
  </si>
  <si>
    <t xml:space="preserve">Forcet </t>
  </si>
  <si>
    <t>Rombos</t>
  </si>
  <si>
    <t>LETRAS</t>
  </si>
  <si>
    <t>Precio bolsa</t>
  </si>
  <si>
    <t>Letra blanca</t>
  </si>
  <si>
    <t>Letra negra</t>
  </si>
  <si>
    <t>Letra negra vocales</t>
  </si>
  <si>
    <t>INSUMOS HOLDERS</t>
  </si>
  <si>
    <t>Letra dorada</t>
  </si>
  <si>
    <t>Cant bolsa</t>
  </si>
  <si>
    <t>Mosquetones plat 14mm</t>
  </si>
  <si>
    <t>FORMITAS DE FIMO</t>
  </si>
  <si>
    <t>Mosquetones plat 16mm</t>
  </si>
  <si>
    <t>Mosq dorados</t>
  </si>
  <si>
    <t>Prula</t>
  </si>
  <si>
    <t>gomita</t>
  </si>
  <si>
    <t>Flores 12mm</t>
  </si>
  <si>
    <t>Arandelas doradas</t>
  </si>
  <si>
    <t>Dije flores 12mm</t>
  </si>
  <si>
    <t>Arandelas plateadas</t>
  </si>
  <si>
    <t>Frutas citricas 12mm</t>
  </si>
  <si>
    <t>Frutas mix 12mm</t>
  </si>
  <si>
    <t>JYR</t>
  </si>
  <si>
    <t>Animalitos</t>
  </si>
  <si>
    <t>Flores 10mm</t>
  </si>
  <si>
    <t>Flores con carita</t>
  </si>
  <si>
    <t>Frutas random</t>
  </si>
  <si>
    <t>Florcitas redondas</t>
  </si>
  <si>
    <t>Ojito</t>
  </si>
  <si>
    <t>Caritas jyr</t>
  </si>
  <si>
    <t>Cuarzo Cristal</t>
  </si>
  <si>
    <t>Cuarzo Verde</t>
  </si>
  <si>
    <t>Cuarzo Rosa</t>
  </si>
  <si>
    <t>Cremita y negro</t>
  </si>
  <si>
    <t>Murano chico</t>
  </si>
  <si>
    <t>Murano grande</t>
  </si>
  <si>
    <t>Perla barroco</t>
  </si>
  <si>
    <t>Ají</t>
  </si>
  <si>
    <t>BORLAS DE HILO</t>
  </si>
  <si>
    <t>CINTAS Y GALONES</t>
  </si>
  <si>
    <t>Medida (m)</t>
  </si>
  <si>
    <t>CUENTAS DEACRILICO</t>
  </si>
  <si>
    <t>Cinta asargada</t>
  </si>
  <si>
    <t>Pulsera macrame</t>
  </si>
  <si>
    <t>Buzio natural</t>
  </si>
  <si>
    <t>Doradas</t>
  </si>
  <si>
    <t xml:space="preserve">Pulsera macrame ondas </t>
  </si>
  <si>
    <t>Buzio dorado zamac</t>
  </si>
  <si>
    <t>Rueditas</t>
  </si>
  <si>
    <t>Caracoles partidos</t>
  </si>
  <si>
    <t>RUEDAS STRASS</t>
  </si>
  <si>
    <t>Caracoles</t>
  </si>
  <si>
    <t>PIEZAS DE ACRILICO</t>
  </si>
  <si>
    <t>Codigo</t>
  </si>
  <si>
    <t>CORALITOS</t>
  </si>
  <si>
    <t>Caracol partido</t>
  </si>
  <si>
    <t>A3930</t>
  </si>
  <si>
    <t>Cant tira</t>
  </si>
  <si>
    <t>Precio tira</t>
  </si>
  <si>
    <t>Buzio alm de armado</t>
  </si>
  <si>
    <t>Chico</t>
  </si>
  <si>
    <t>Acrilicos carey</t>
  </si>
  <si>
    <t>Corales nacarados</t>
  </si>
  <si>
    <t>Buzio con dorado #001</t>
  </si>
  <si>
    <t>Buzio marroncito #174</t>
  </si>
  <si>
    <t>OJOS XXL ACRILICO</t>
  </si>
  <si>
    <t>MOSQUETON</t>
  </si>
  <si>
    <t>Ostra con dorado #145</t>
  </si>
  <si>
    <t>A4027</t>
  </si>
  <si>
    <t>Caracol con dorado #176</t>
  </si>
  <si>
    <t>Azules</t>
  </si>
  <si>
    <t>5cm diam</t>
  </si>
  <si>
    <t>4cm</t>
  </si>
  <si>
    <t>Ostra con dorado #131</t>
  </si>
  <si>
    <t>Ostra con dorado chica</t>
  </si>
  <si>
    <t>ACERO</t>
  </si>
  <si>
    <t>Caracol tipo curvo</t>
  </si>
  <si>
    <t xml:space="preserve">Buzios </t>
  </si>
  <si>
    <t>225gr</t>
  </si>
  <si>
    <t xml:space="preserve">Bolitas </t>
  </si>
  <si>
    <t>Buzios A11062</t>
  </si>
  <si>
    <t>1kg</t>
  </si>
  <si>
    <t>Traba tanza</t>
  </si>
  <si>
    <t>Escalla caracoles</t>
  </si>
  <si>
    <t>PRENDEDOR DORADO</t>
  </si>
  <si>
    <t>Largo</t>
  </si>
  <si>
    <t>Redondito</t>
  </si>
  <si>
    <t>Redondo con gema</t>
  </si>
  <si>
    <t>MOSTACILLONES</t>
  </si>
  <si>
    <t>Mostacillones</t>
  </si>
  <si>
    <t>PULSERA HOMBRE</t>
  </si>
  <si>
    <t>Cuero</t>
  </si>
  <si>
    <t xml:space="preserve">CORDONES </t>
  </si>
  <si>
    <t>Fino</t>
  </si>
  <si>
    <t>Medio</t>
  </si>
  <si>
    <t>Grueso</t>
  </si>
  <si>
    <t>Frutitas</t>
  </si>
  <si>
    <t>Dorado</t>
  </si>
  <si>
    <t>CAIRELES</t>
  </si>
  <si>
    <t>POMPONES</t>
  </si>
  <si>
    <t>Retorcido grueso</t>
  </si>
  <si>
    <t>Bola transparente</t>
  </si>
  <si>
    <t>Pompones</t>
  </si>
  <si>
    <t xml:space="preserve">FIMO </t>
  </si>
  <si>
    <t>Tiras</t>
  </si>
  <si>
    <t>Precio tiras</t>
  </si>
  <si>
    <t>CANASTOS</t>
  </si>
  <si>
    <t>STRASS PARA PEGAR</t>
  </si>
  <si>
    <t>ALM DE ARM</t>
  </si>
  <si>
    <t>Calado</t>
  </si>
  <si>
    <t>Cerrado</t>
  </si>
  <si>
    <t>HILOS</t>
  </si>
  <si>
    <t>TANZAS</t>
  </si>
  <si>
    <t>Cant x rollo m</t>
  </si>
  <si>
    <t>Precio metro</t>
  </si>
  <si>
    <t>Hilo chino</t>
  </si>
  <si>
    <t>Rojo</t>
  </si>
  <si>
    <t>Tanza elastizada n6</t>
  </si>
  <si>
    <t>Otros colores</t>
  </si>
  <si>
    <t>Tanza elastizada n7</t>
  </si>
  <si>
    <t>Tanza elastizada n8</t>
  </si>
  <si>
    <t>Hilo metalizado</t>
  </si>
  <si>
    <t>Celeste</t>
  </si>
  <si>
    <t>Tanza acero</t>
  </si>
  <si>
    <t>CORDONES</t>
  </si>
  <si>
    <t>Terlenca</t>
  </si>
  <si>
    <t>CUERO</t>
  </si>
  <si>
    <t>INSUMO CUERO</t>
  </si>
  <si>
    <r>
      <t>m</t>
    </r>
    <r>
      <rPr>
        <vertAlign val="superscript"/>
        <sz val="12"/>
        <rFont val="Times New Roman"/>
        <family val="1"/>
      </rPr>
      <t>2</t>
    </r>
  </si>
  <si>
    <t>metro</t>
  </si>
  <si>
    <t>Precio x m</t>
  </si>
  <si>
    <t>Negro</t>
  </si>
  <si>
    <t>Marron</t>
  </si>
  <si>
    <t>M.O CUERO</t>
  </si>
  <si>
    <t>Fecha</t>
  </si>
  <si>
    <t>Cant m en los rollos</t>
  </si>
  <si>
    <t>viaje</t>
  </si>
  <si>
    <t>Costo mo tot</t>
  </si>
  <si>
    <t>CUERO+MO</t>
  </si>
  <si>
    <t>PIEDRAS</t>
  </si>
  <si>
    <t>PIEDRAS RECONSTITUIDAS</t>
  </si>
  <si>
    <t>ESPECIFICACIONES/CODIGO</t>
  </si>
  <si>
    <t>Medida tira metro</t>
  </si>
  <si>
    <t>Cant x tira/medida</t>
  </si>
  <si>
    <t xml:space="preserve">Dona </t>
  </si>
  <si>
    <t>Chica verde</t>
  </si>
  <si>
    <t>Tipo gota ss01</t>
  </si>
  <si>
    <t>SS01</t>
  </si>
  <si>
    <t>Jaspe rojo</t>
  </si>
  <si>
    <t>Tipo gota ss02</t>
  </si>
  <si>
    <t>SS02</t>
  </si>
  <si>
    <t>Verde</t>
  </si>
  <si>
    <t>Tipo gota ss03 (prosperidad)</t>
  </si>
  <si>
    <t>SS03</t>
  </si>
  <si>
    <t>Onix</t>
  </si>
  <si>
    <t>Piedra turquesa</t>
  </si>
  <si>
    <t>Irregular</t>
  </si>
  <si>
    <t>Tipo gota xl</t>
  </si>
  <si>
    <t>SS04</t>
  </si>
  <si>
    <t>Nacar</t>
  </si>
  <si>
    <t>Larguita</t>
  </si>
  <si>
    <t>Tipo gota jyr01</t>
  </si>
  <si>
    <t>JYR01</t>
  </si>
  <si>
    <t>Cuerno de nacar</t>
  </si>
  <si>
    <t>Tipo gota</t>
  </si>
  <si>
    <t>Redondas grandes</t>
  </si>
  <si>
    <t>Redonda xl</t>
  </si>
  <si>
    <t>Tipo cruz gruesa p10</t>
  </si>
  <si>
    <t>Flores nacar</t>
  </si>
  <si>
    <t>A7288</t>
  </si>
  <si>
    <t>A7289</t>
  </si>
  <si>
    <t>Tipo uñas p12</t>
  </si>
  <si>
    <t>Tira ojo turco nacar</t>
  </si>
  <si>
    <t>A10514</t>
  </si>
  <si>
    <t>Obsidiana</t>
  </si>
  <si>
    <t>Tipo barroca p06</t>
  </si>
  <si>
    <t>P06</t>
  </si>
  <si>
    <t>Cuarzo</t>
  </si>
  <si>
    <t>Tipo barroca p07</t>
  </si>
  <si>
    <t>P07</t>
  </si>
  <si>
    <t>Tira corazon nacar</t>
  </si>
  <si>
    <t>A10508</t>
  </si>
  <si>
    <t>Tira estrellas nacar</t>
  </si>
  <si>
    <t>A10510</t>
  </si>
  <si>
    <t>Verde agujero</t>
  </si>
  <si>
    <t>P09</t>
  </si>
  <si>
    <t>Tipo irregulares organic p09</t>
  </si>
  <si>
    <t>xl</t>
  </si>
  <si>
    <t>Oscuras blancas</t>
  </si>
  <si>
    <t>con naranja</t>
  </si>
  <si>
    <t>Collar de nacar</t>
  </si>
  <si>
    <t>Oval xl JyR</t>
  </si>
  <si>
    <t>Redonda plana JyR</t>
  </si>
  <si>
    <t>Redonda mediana JyR</t>
  </si>
  <si>
    <t>A10534 irreg</t>
  </si>
  <si>
    <t>Cuerno</t>
  </si>
  <si>
    <t>Malaquita</t>
  </si>
  <si>
    <t>A10535 chica</t>
  </si>
  <si>
    <t>Cuarzo rosa</t>
  </si>
  <si>
    <t>A10537</t>
  </si>
  <si>
    <t>Aventurina</t>
  </si>
  <si>
    <t>Rosas</t>
  </si>
  <si>
    <t>Manos</t>
  </si>
  <si>
    <t>Sodalita</t>
  </si>
  <si>
    <t>A10784</t>
  </si>
  <si>
    <t>A10785</t>
  </si>
  <si>
    <t xml:space="preserve">Cuarzo </t>
  </si>
  <si>
    <t>A10786</t>
  </si>
  <si>
    <t>Rodonita</t>
  </si>
  <si>
    <t>A10885 redonditas bruma</t>
  </si>
  <si>
    <t>Redondas chicas 4mm</t>
  </si>
  <si>
    <t>A10887 larguitas</t>
  </si>
  <si>
    <t>A10888 irregulares</t>
  </si>
  <si>
    <t>P01</t>
  </si>
  <si>
    <t>P02</t>
  </si>
  <si>
    <t>Grande verde agua</t>
  </si>
  <si>
    <t>Redonda grande P03</t>
  </si>
  <si>
    <t>P03</t>
  </si>
  <si>
    <t>Chata P04</t>
  </si>
  <si>
    <t>P04</t>
  </si>
  <si>
    <t>Redonda + chica P05</t>
  </si>
  <si>
    <t>P05</t>
  </si>
  <si>
    <t>Cuadradas</t>
  </si>
  <si>
    <t>Collar pearl (alm de arm)</t>
  </si>
  <si>
    <t>ADM01</t>
  </si>
  <si>
    <t>SS05</t>
  </si>
  <si>
    <t>Nacar finito</t>
  </si>
  <si>
    <t>XXL</t>
  </si>
  <si>
    <t>Verdosas xl (Azahares)</t>
  </si>
  <si>
    <t>Chata P14 (mediana)</t>
  </si>
  <si>
    <t>Jericoacoara P015</t>
  </si>
  <si>
    <t>Redonditas P016</t>
  </si>
  <si>
    <t>SS06</t>
  </si>
  <si>
    <t>Piedras pi (donas)</t>
  </si>
  <si>
    <t>CODIGO</t>
  </si>
  <si>
    <t>Collar pearl P019</t>
  </si>
  <si>
    <t>P019</t>
  </si>
  <si>
    <t>Pearl mini</t>
  </si>
  <si>
    <t>Onix mostaza</t>
  </si>
  <si>
    <t>Blanco y negro P018</t>
  </si>
  <si>
    <t>P018</t>
  </si>
  <si>
    <t>Reconstituida turquesa</t>
  </si>
  <si>
    <t>Sueltas grandes</t>
  </si>
  <si>
    <t>Cuarzo verde</t>
  </si>
  <si>
    <t>Pulsera pearl P021</t>
  </si>
  <si>
    <t>P021</t>
  </si>
  <si>
    <t>Aventurina negro</t>
  </si>
  <si>
    <t>Naturaleza P020</t>
  </si>
  <si>
    <t>P020</t>
  </si>
  <si>
    <t>Dije bruma</t>
  </si>
  <si>
    <t>Chatas chiquitas</t>
  </si>
  <si>
    <t>Redonditas chicas</t>
  </si>
  <si>
    <t>Rosas L</t>
  </si>
  <si>
    <t>Rosas xl (Azahares)</t>
  </si>
  <si>
    <t>Ovalada</t>
  </si>
  <si>
    <t>ESLABON ACRILICO</t>
  </si>
  <si>
    <t>Peso bolsa</t>
  </si>
  <si>
    <t>ART</t>
  </si>
  <si>
    <t>Precio x bolsa</t>
  </si>
  <si>
    <t>Metros x bolsa</t>
  </si>
  <si>
    <t>Precio m</t>
  </si>
  <si>
    <t>250gr</t>
  </si>
  <si>
    <t>A10449</t>
  </si>
  <si>
    <t>Jet</t>
  </si>
  <si>
    <t>Chanel chica</t>
  </si>
  <si>
    <t>Fimo multicolor</t>
  </si>
  <si>
    <t>(no palais)</t>
  </si>
  <si>
    <t>Cream</t>
  </si>
  <si>
    <t>Fimo A6195</t>
  </si>
  <si>
    <t>Lt. Coral</t>
  </si>
  <si>
    <t>FIMO LILA</t>
  </si>
  <si>
    <t>A10450</t>
  </si>
  <si>
    <t>Tortoise</t>
  </si>
  <si>
    <t>Chanel gruesa</t>
  </si>
  <si>
    <t>Fimo jyr</t>
  </si>
  <si>
    <t>jyr</t>
  </si>
  <si>
    <t>Jelly mid green</t>
  </si>
  <si>
    <t>(alm de arm</t>
  </si>
  <si>
    <t>Jelly black</t>
  </si>
  <si>
    <t>Tone white</t>
  </si>
  <si>
    <t>Coral</t>
  </si>
  <si>
    <t>A10451</t>
  </si>
  <si>
    <t>Nude</t>
  </si>
  <si>
    <t>A10430</t>
  </si>
  <si>
    <t>A10452</t>
  </si>
  <si>
    <t xml:space="preserve">Oval </t>
  </si>
  <si>
    <t>Turquoise</t>
  </si>
  <si>
    <t>Cant tiras x manojo</t>
  </si>
  <si>
    <t>Medida una tira (m)</t>
  </si>
  <si>
    <t>Precio manojo</t>
  </si>
  <si>
    <t>Precio x unidad</t>
  </si>
  <si>
    <t>21 colores</t>
  </si>
  <si>
    <t>A10453</t>
  </si>
  <si>
    <t>26 metalizadas</t>
  </si>
  <si>
    <t>A3916</t>
  </si>
  <si>
    <t>Gold</t>
  </si>
  <si>
    <t>PERLAS DE VIDRIO</t>
  </si>
  <si>
    <t>OJOS</t>
  </si>
  <si>
    <t>A1136</t>
  </si>
  <si>
    <t>A7293</t>
  </si>
  <si>
    <t>A1137</t>
  </si>
  <si>
    <t>A7294</t>
  </si>
  <si>
    <t>A1138</t>
  </si>
  <si>
    <t>A10531</t>
  </si>
  <si>
    <t>A1139</t>
  </si>
  <si>
    <t>A1140</t>
  </si>
  <si>
    <t>Largo tira</t>
  </si>
  <si>
    <t>PERRITOS ESMALTADOS</t>
  </si>
  <si>
    <t>A10359 C8</t>
  </si>
  <si>
    <t>A10363 C3 rosas</t>
  </si>
  <si>
    <t>A10723</t>
  </si>
  <si>
    <t>A10363 C8 verde</t>
  </si>
  <si>
    <t>A10363 C11 celeste</t>
  </si>
  <si>
    <t>HILOS Y TANZAS</t>
  </si>
  <si>
    <t>Tubitos rojo y am</t>
  </si>
  <si>
    <t>Tanza de acero</t>
  </si>
  <si>
    <t>Tubitos rojo y azul</t>
  </si>
  <si>
    <t xml:space="preserve">LETRAS MOP </t>
  </si>
  <si>
    <t>Prom ponderado</t>
  </si>
  <si>
    <t>A10763</t>
  </si>
  <si>
    <t>MURANO</t>
  </si>
  <si>
    <t>VIDRIOS</t>
  </si>
  <si>
    <t xml:space="preserve">Tira frutillas </t>
  </si>
  <si>
    <t>A10591</t>
  </si>
  <si>
    <t>Medida tira m</t>
  </si>
  <si>
    <t>Cant comp</t>
  </si>
  <si>
    <t>Honguitos</t>
  </si>
  <si>
    <t>A10589</t>
  </si>
  <si>
    <t>Azul</t>
  </si>
  <si>
    <t>A10606</t>
  </si>
  <si>
    <t>Naranja</t>
  </si>
  <si>
    <t>A10960</t>
  </si>
  <si>
    <t>A10959</t>
  </si>
  <si>
    <t>VIDRIOS TURCOS</t>
  </si>
  <si>
    <t>REDONDOS FASCETADOS</t>
  </si>
  <si>
    <t>Med tira</t>
  </si>
  <si>
    <t>Cant de tiras comp</t>
  </si>
  <si>
    <t>Cant por tira</t>
  </si>
  <si>
    <t>Coviditos</t>
  </si>
  <si>
    <t>Vidrio lila</t>
  </si>
  <si>
    <t>Tubo corto</t>
  </si>
  <si>
    <t>Vidrio verde</t>
  </si>
  <si>
    <t>Tubo largo</t>
  </si>
  <si>
    <t>Vidrio celeste</t>
  </si>
  <si>
    <t>Tubo verde</t>
  </si>
  <si>
    <t>Vidrio redondo</t>
  </si>
  <si>
    <t>Irregular multicolor</t>
  </si>
  <si>
    <t>Vidrio marron</t>
  </si>
  <si>
    <t>Medianos</t>
  </si>
  <si>
    <t>Amarillo oval</t>
  </si>
  <si>
    <t>Vidrio cristal</t>
  </si>
  <si>
    <t>Amarillo tubo chico</t>
  </si>
  <si>
    <t>TUBO BOCA ANCHA</t>
  </si>
  <si>
    <t>Lila</t>
  </si>
  <si>
    <t>Celestes y rosas jyr</t>
  </si>
  <si>
    <t>Verde redondo</t>
  </si>
  <si>
    <t>Rojo fino</t>
  </si>
  <si>
    <t>Azul fino</t>
  </si>
  <si>
    <t>Rosa tubo mini</t>
  </si>
  <si>
    <t>Blanco tubo mini</t>
  </si>
  <si>
    <t>Celeste con ralla</t>
  </si>
  <si>
    <t xml:space="preserve">OJOS </t>
  </si>
  <si>
    <t>OJOS POR TIRA</t>
  </si>
  <si>
    <t>Celestes y verdes</t>
  </si>
  <si>
    <t>Transparentes sin fasc</t>
  </si>
  <si>
    <t>16mm</t>
  </si>
  <si>
    <t>DIJE OSITOS</t>
  </si>
  <si>
    <t>Azul xxl</t>
  </si>
  <si>
    <t>Rojo xl/lila xl</t>
  </si>
  <si>
    <t>Vidrios negros chicos</t>
  </si>
  <si>
    <t>Anillos</t>
  </si>
  <si>
    <t>Marrones</t>
  </si>
  <si>
    <t>Colores anchos</t>
  </si>
  <si>
    <t>Violeta</t>
  </si>
  <si>
    <t>Finitos verdes</t>
  </si>
  <si>
    <t xml:space="preserve">DONAS </t>
  </si>
  <si>
    <t>Cristales</t>
  </si>
  <si>
    <t>Rombo</t>
  </si>
  <si>
    <t>Hexagonales 2x3mm</t>
  </si>
  <si>
    <t>A6506</t>
  </si>
  <si>
    <t>Rosa</t>
  </si>
  <si>
    <t>Hexagonales 6mm</t>
  </si>
  <si>
    <t>Hexagonales 8mm</t>
  </si>
  <si>
    <t>RUEDA OJITO</t>
  </si>
  <si>
    <t>Vidrio</t>
  </si>
  <si>
    <t>Medida tira</t>
  </si>
  <si>
    <t>Redondo facetados</t>
  </si>
  <si>
    <t>Millefiori</t>
  </si>
  <si>
    <t>CUENTAS ACRILICO</t>
  </si>
  <si>
    <t>Letras byn</t>
  </si>
  <si>
    <t>Bolsa 500gr</t>
  </si>
  <si>
    <t>Letras pastel #A2</t>
  </si>
  <si>
    <t>Bolsa 100gr</t>
  </si>
  <si>
    <t>Letras neon #A9</t>
  </si>
  <si>
    <t>Letras colores grandes</t>
  </si>
  <si>
    <t>Estrellas pastel</t>
  </si>
  <si>
    <t>Precio x 10gr</t>
  </si>
  <si>
    <t>Buzios pastel</t>
  </si>
  <si>
    <t>Dijes mar pastel</t>
  </si>
  <si>
    <t>Bolsa 25gr</t>
  </si>
  <si>
    <t>Buzios rojo</t>
  </si>
  <si>
    <t>Cierre anzuelo 1583</t>
  </si>
  <si>
    <t>Cierre anzuelo #1610</t>
  </si>
  <si>
    <t>Corazon rojo</t>
  </si>
  <si>
    <t>Corazones pastel</t>
  </si>
  <si>
    <t>Dona acrilico</t>
  </si>
  <si>
    <t>Pastilla carita feliz</t>
  </si>
  <si>
    <t>Mostacilla para pelo</t>
  </si>
  <si>
    <t>Mostacillon #6</t>
  </si>
  <si>
    <t>Buzios osito</t>
  </si>
  <si>
    <t>Mostacillon para pelo</t>
  </si>
  <si>
    <t>Cuentas redonditas</t>
  </si>
  <si>
    <t>10gr</t>
  </si>
  <si>
    <t>PACKAGING</t>
  </si>
  <si>
    <t>PACKAGING NEW</t>
  </si>
  <si>
    <t>MEDIDAS</t>
  </si>
  <si>
    <t>PRECIO</t>
  </si>
  <si>
    <t>Aros / pulseras</t>
  </si>
  <si>
    <t>7x9cm</t>
  </si>
  <si>
    <t>Caja chica</t>
  </si>
  <si>
    <t>10x10x2</t>
  </si>
  <si>
    <t>Mini</t>
  </si>
  <si>
    <t>1.5x3.5cm</t>
  </si>
  <si>
    <t>Caja grande</t>
  </si>
  <si>
    <t>15x15x2.5</t>
  </si>
  <si>
    <t>Collares</t>
  </si>
  <si>
    <t>4x6cm</t>
  </si>
  <si>
    <t>Bolsa tela</t>
  </si>
  <si>
    <t>Dije acrilico</t>
  </si>
  <si>
    <t>Sobre vegetal</t>
  </si>
  <si>
    <t>Vibes</t>
  </si>
  <si>
    <t>8x8cm</t>
  </si>
  <si>
    <t>Canasto</t>
  </si>
  <si>
    <t>5x7cm</t>
  </si>
  <si>
    <t>Cinta ml</t>
  </si>
  <si>
    <t>Bolsita paño</t>
  </si>
  <si>
    <t>PULSERA LETRAS BYN (pedro)</t>
  </si>
  <si>
    <t>PULSERA LETRAS BYN (tomas)</t>
  </si>
  <si>
    <t>Cant</t>
  </si>
  <si>
    <t>Precio x u / m</t>
  </si>
  <si>
    <t>Costo</t>
  </si>
  <si>
    <t xml:space="preserve">Letras byn </t>
  </si>
  <si>
    <t>Letra pastel</t>
  </si>
  <si>
    <t>Fimo</t>
  </si>
  <si>
    <t xml:space="preserve">Dijes de mar pastel </t>
  </si>
  <si>
    <t>Balin</t>
  </si>
  <si>
    <t>Arandela</t>
  </si>
  <si>
    <t>#4</t>
  </si>
  <si>
    <t>Etiqueta</t>
  </si>
  <si>
    <t>M.O</t>
  </si>
  <si>
    <t>FINAL</t>
  </si>
  <si>
    <t>PULSERA NOMBRES NENAS</t>
  </si>
  <si>
    <t>Hilo chino multicolor</t>
  </si>
  <si>
    <t>Dije mar pastel</t>
  </si>
  <si>
    <t>Bolitas de metal</t>
  </si>
  <si>
    <t>x1 COLORES 7 CHACRAS</t>
  </si>
  <si>
    <t>x1 HERRADURA+OJITO</t>
  </si>
  <si>
    <t>Cantidad</t>
  </si>
  <si>
    <t>Chato con filo</t>
  </si>
  <si>
    <t>Herradura</t>
  </si>
  <si>
    <t>Escallas</t>
  </si>
  <si>
    <t>Amatista</t>
  </si>
  <si>
    <t>Ojo redondo chato</t>
  </si>
  <si>
    <t>Arandelas</t>
  </si>
  <si>
    <t>#6</t>
  </si>
  <si>
    <t>x1 RUEDA OJITO</t>
  </si>
  <si>
    <t>Torzada corazon</t>
  </si>
  <si>
    <t>Rueda ojito</t>
  </si>
  <si>
    <t>BUDA</t>
  </si>
  <si>
    <t>Buda</t>
  </si>
  <si>
    <t>Estrella conector plana</t>
  </si>
  <si>
    <t>CHOKER GOLDEN</t>
  </si>
  <si>
    <t>Perlas de rio</t>
  </si>
  <si>
    <t>Redonditas</t>
  </si>
  <si>
    <t>Ovaladas</t>
  </si>
  <si>
    <t>A7187</t>
  </si>
  <si>
    <t>Mostacillas</t>
  </si>
  <si>
    <t>Aprieta tanza dorado</t>
  </si>
  <si>
    <t>Mosqueton</t>
  </si>
  <si>
    <t>Etiquetas</t>
  </si>
  <si>
    <t>1.5cmx 3.5cm</t>
  </si>
  <si>
    <t>Enhebrado</t>
  </si>
  <si>
    <t>PULSERA LETRAS FIMO HILO CHINO</t>
  </si>
  <si>
    <t>CORAZON MURANO Y MOSTACILLONES</t>
  </si>
  <si>
    <t>Corazon murano</t>
  </si>
  <si>
    <t>Tanza elastizada</t>
  </si>
  <si>
    <t>Aprieta tanza dorados</t>
  </si>
  <si>
    <t>JERICOACOARA CON TANZA ELASTIZADA 19cm</t>
  </si>
  <si>
    <t>Perla de rio</t>
  </si>
  <si>
    <t>Ruedita strass</t>
  </si>
  <si>
    <t>ESTRELLA PASANTE</t>
  </si>
  <si>
    <t>Estrella pasante</t>
  </si>
  <si>
    <t>MICROCIRCON ANDREINA</t>
  </si>
  <si>
    <t>TOBILLERA COMO PULSERA PERLAS</t>
  </si>
  <si>
    <t>Metro/cant</t>
  </si>
  <si>
    <t>Separador</t>
  </si>
  <si>
    <t>Cubo</t>
  </si>
  <si>
    <t>JANEIRO MAS LARGA</t>
  </si>
  <si>
    <t>Metros</t>
  </si>
  <si>
    <t>Cadena terminal</t>
  </si>
  <si>
    <t>FORCET CON MEDALLA PLANA</t>
  </si>
  <si>
    <t>Cadena forcet</t>
  </si>
  <si>
    <t>CADENA 60 CM MEDALLA PLANA</t>
  </si>
  <si>
    <t>Medalla plana</t>
  </si>
  <si>
    <t>COLLAR FORCET CON CORALITOS</t>
  </si>
  <si>
    <t>Forcet</t>
  </si>
  <si>
    <t>Estrella luna calada</t>
  </si>
  <si>
    <t>Coralitos</t>
  </si>
  <si>
    <t>Porta dijes</t>
  </si>
  <si>
    <t>M.O.</t>
  </si>
  <si>
    <t xml:space="preserve">CORAZON TORZADO + DONA </t>
  </si>
  <si>
    <t>Corazon torzado</t>
  </si>
  <si>
    <t>Dona de vidrio</t>
  </si>
  <si>
    <t>HOLDER ESTRELLA + NOMBRE</t>
  </si>
  <si>
    <t>Dijes mar</t>
  </si>
  <si>
    <t>Dijes estrellas</t>
  </si>
  <si>
    <t>Letras pastel</t>
  </si>
  <si>
    <t>Cristalitos grandes</t>
  </si>
  <si>
    <t>Bolita metal</t>
  </si>
  <si>
    <t>Mosquetones</t>
  </si>
  <si>
    <t>Trabatanza</t>
  </si>
  <si>
    <t>Total</t>
  </si>
  <si>
    <t>ESPEJITO + CORAZON LILA</t>
  </si>
  <si>
    <t>Cadena espejito</t>
  </si>
  <si>
    <t>Corazon gema lila</t>
  </si>
  <si>
    <t>Dije de acrilico</t>
  </si>
  <si>
    <t>CHARM PERLA BARROCA (collar armonia)</t>
  </si>
  <si>
    <t>Perla barroca</t>
  </si>
  <si>
    <t>HOLDERR 19-6</t>
  </si>
  <si>
    <t>Cadena Oval</t>
  </si>
  <si>
    <t>Gomita de lentes</t>
  </si>
  <si>
    <t>arandelas</t>
  </si>
  <si>
    <t>MILENA PORTAL</t>
  </si>
  <si>
    <t>Cadena turbillon</t>
  </si>
  <si>
    <t>CRISTALITOS + OJITO+MANITO</t>
  </si>
  <si>
    <t>Cristalitos</t>
  </si>
  <si>
    <t>Ojito redondo</t>
  </si>
  <si>
    <t>Dije manito</t>
  </si>
  <si>
    <t>CORALITOS (MARIELA MAMA DELFI)</t>
  </si>
  <si>
    <t>Argollas tubo fino</t>
  </si>
  <si>
    <t>par</t>
  </si>
  <si>
    <t>CHATOS CON FILO + DONA</t>
  </si>
  <si>
    <t>Diente</t>
  </si>
  <si>
    <t>JULIA TISEIRA COLLAR</t>
  </si>
  <si>
    <t>JULIA TISEIRA AROS</t>
  </si>
  <si>
    <t>JULIA TISEIRA PULSERA</t>
  </si>
  <si>
    <t>Chanel con topes</t>
  </si>
  <si>
    <t>Diente de leon</t>
  </si>
  <si>
    <t>RO LANDONI</t>
  </si>
  <si>
    <t>#7</t>
  </si>
  <si>
    <t>HILO BEIGE SEPARADOR CORAZON</t>
  </si>
  <si>
    <t>PERLAS DE VIDRIO SEPARADOR CORAZON</t>
  </si>
  <si>
    <t>Hilo beige</t>
  </si>
  <si>
    <t>Perlas de vidrio</t>
  </si>
  <si>
    <t>#A1136</t>
  </si>
  <si>
    <t>CURVE doble</t>
  </si>
  <si>
    <t>Perla redondita</t>
  </si>
  <si>
    <t>Perla A7187</t>
  </si>
  <si>
    <t xml:space="preserve">Clavito </t>
  </si>
  <si>
    <t>Cadena flechas</t>
  </si>
  <si>
    <t>4.9mm</t>
  </si>
  <si>
    <t>Sobre</t>
  </si>
  <si>
    <t>COLLAR INICIAL SIN INICIAL</t>
  </si>
  <si>
    <t>COLLAR INICIAL HILO</t>
  </si>
  <si>
    <t>COLLAR INICIAL con cadena bolitas</t>
  </si>
  <si>
    <t>Chanel con bolitas</t>
  </si>
  <si>
    <t>NENAS Y NENES ESTRELLAS</t>
  </si>
  <si>
    <t>Letras</t>
  </si>
  <si>
    <t>Cuff CON CADENAS Y ARO SPOT</t>
  </si>
  <si>
    <t>Cuff cadena</t>
  </si>
  <si>
    <t>Pasante bolita redondo</t>
  </si>
  <si>
    <t>CHOCKER BUZIOS sin bañado en oro</t>
  </si>
  <si>
    <t>grande</t>
  </si>
  <si>
    <t>chico</t>
  </si>
  <si>
    <t>OJITO nazar</t>
  </si>
  <si>
    <t>Pulsera</t>
  </si>
  <si>
    <t>Ojito conector</t>
  </si>
  <si>
    <t>60 anivers</t>
  </si>
  <si>
    <t>Pulsera gruesa</t>
  </si>
  <si>
    <t>Perlas gota</t>
  </si>
  <si>
    <t>Perlas chicas</t>
  </si>
  <si>
    <t>A10535</t>
  </si>
  <si>
    <t>Perlas</t>
  </si>
  <si>
    <t>Corazones nacar</t>
  </si>
  <si>
    <t>Letras bañadas en oro</t>
  </si>
  <si>
    <t>Letras acrilico</t>
  </si>
  <si>
    <t>Cadena alargue</t>
  </si>
  <si>
    <t>Cadena orbita</t>
  </si>
  <si>
    <t xml:space="preserve">Balin </t>
  </si>
  <si>
    <t>grifa</t>
  </si>
  <si>
    <t>Caja</t>
  </si>
  <si>
    <t>TOBILLERA BLANCA OJO NACAR</t>
  </si>
  <si>
    <t>Ojo nacar</t>
  </si>
  <si>
    <t>CORAZON NACAR</t>
  </si>
  <si>
    <t>CORAZON PASTILLITA</t>
  </si>
  <si>
    <t>Corazon nacar</t>
  </si>
  <si>
    <t>Corazon pastillita</t>
  </si>
  <si>
    <t>Bolitas</t>
  </si>
  <si>
    <t>Ojo acrilico</t>
  </si>
  <si>
    <t>PULSERA INFINITO</t>
  </si>
  <si>
    <t>Base</t>
  </si>
  <si>
    <t>Para tejer</t>
  </si>
  <si>
    <t>Para tejer (rosa fino)</t>
  </si>
  <si>
    <t>Nudo</t>
  </si>
  <si>
    <t>Dije infinito</t>
  </si>
  <si>
    <t>Mosquton</t>
  </si>
  <si>
    <t>Dije estrella calada</t>
  </si>
  <si>
    <t>Largo (m)</t>
  </si>
  <si>
    <t>A10534</t>
  </si>
  <si>
    <t>GOOD VIBES a pedido</t>
  </si>
  <si>
    <t>Ojo chato redondo</t>
  </si>
  <si>
    <t>Cristales fascetados</t>
  </si>
  <si>
    <t>Grifa</t>
  </si>
  <si>
    <t>CINTO BUZIOS</t>
  </si>
  <si>
    <t>Tanza comun</t>
  </si>
  <si>
    <t>CADENA INICIAL</t>
  </si>
  <si>
    <t>POR MAYOR:</t>
  </si>
  <si>
    <t>HILO CHINO PARA COLLAR CRIST</t>
  </si>
  <si>
    <t>CUPIDITOS</t>
  </si>
  <si>
    <t>Cupidos</t>
  </si>
  <si>
    <t>DIJE MARGARITA</t>
  </si>
  <si>
    <t>con 2 OSITO</t>
  </si>
  <si>
    <t>PLACA MANO+CHARMS SMOOTHIE</t>
  </si>
  <si>
    <t>Cadena satelite</t>
  </si>
  <si>
    <t>Estrella calada luna</t>
  </si>
  <si>
    <t>Perla grande</t>
  </si>
  <si>
    <t>CRISTALITOS + LETRAS B.O</t>
  </si>
  <si>
    <t>Separador cubito</t>
  </si>
  <si>
    <t>Dijes letras</t>
  </si>
  <si>
    <t>LALA TRAVERSO</t>
  </si>
  <si>
    <t>Cadena ojo medalla</t>
  </si>
  <si>
    <t>PERRITO COLOR CRUDO</t>
  </si>
  <si>
    <t>PERLA NACRED</t>
  </si>
  <si>
    <t>Perla</t>
  </si>
  <si>
    <t>Clavito</t>
  </si>
  <si>
    <t>40mm</t>
  </si>
  <si>
    <t>Strass pegar</t>
  </si>
  <si>
    <t>Pegamento</t>
  </si>
  <si>
    <t>Pasante oval</t>
  </si>
  <si>
    <t xml:space="preserve">Perla </t>
  </si>
  <si>
    <t>Gota</t>
  </si>
  <si>
    <t>M.O perla</t>
  </si>
  <si>
    <t>STRAP ROSA</t>
  </si>
  <si>
    <t>STRAP VIOLETA</t>
  </si>
  <si>
    <t>Fimo figuras</t>
  </si>
  <si>
    <t>Vidrios lila</t>
  </si>
  <si>
    <t>Vidrios largos</t>
  </si>
  <si>
    <t>COLLAR CRISTALITOS</t>
  </si>
  <si>
    <t>Cubos</t>
  </si>
  <si>
    <t>Gomita lentes</t>
  </si>
  <si>
    <t>CADENA FINA + ROMBOS</t>
  </si>
  <si>
    <t>CADENA FINA + ESTRELLAS + OJO</t>
  </si>
  <si>
    <t>Cadena fina</t>
  </si>
  <si>
    <t>Cadena rombos</t>
  </si>
  <si>
    <t>CADENA ALUM NEGRA GRUESA</t>
  </si>
  <si>
    <t>CADENA ALUM DORADA/FORCET PLATEADA</t>
  </si>
  <si>
    <t>Cadena negra gruesa</t>
  </si>
  <si>
    <t>Cadena alum dorada</t>
  </si>
  <si>
    <t>OJITO + CRISTALITOS ROJO</t>
  </si>
  <si>
    <t>OJITO + CARACOLES</t>
  </si>
  <si>
    <t>Ojos redondos colores</t>
  </si>
  <si>
    <t xml:space="preserve">Cristalitos </t>
  </si>
  <si>
    <t xml:space="preserve">Cubo </t>
  </si>
  <si>
    <t>Bolitas doradas</t>
  </si>
  <si>
    <t>Cadena dorada</t>
  </si>
  <si>
    <t>Mosqueton dorado</t>
  </si>
  <si>
    <t>PERSONALIZADO NIÑOS</t>
  </si>
  <si>
    <t>Eslabon oval</t>
  </si>
  <si>
    <t>Eslabon chanel chica</t>
  </si>
  <si>
    <t>Eslabon chanel grusa</t>
  </si>
  <si>
    <t>Mosqueton plateado</t>
  </si>
  <si>
    <t>DOG LOVER</t>
  </si>
  <si>
    <t>Estrellas psatel</t>
  </si>
  <si>
    <t>Vidrios</t>
  </si>
  <si>
    <t>Rosa corto</t>
  </si>
  <si>
    <t>Tubo Celeste</t>
  </si>
  <si>
    <t>Bolita roja</t>
  </si>
  <si>
    <t>Acrilico rojo oval</t>
  </si>
  <si>
    <t>Donas acrilico</t>
  </si>
  <si>
    <t>Piedra reconstituida</t>
  </si>
  <si>
    <t>Acrilico fascetado</t>
  </si>
  <si>
    <t>n°6</t>
  </si>
  <si>
    <t>Diseño</t>
  </si>
  <si>
    <t>MY DOG MY WORLD tramos</t>
  </si>
  <si>
    <t>Base negra</t>
  </si>
  <si>
    <t>Acrilicos fascetados</t>
  </si>
  <si>
    <t>MY DOG MY WORLD tramos cortos</t>
  </si>
  <si>
    <t xml:space="preserve">Vidrio </t>
  </si>
  <si>
    <t>MY DOG MY WORLD (TODO FIMO)</t>
  </si>
  <si>
    <t>7CHACRAS</t>
  </si>
  <si>
    <t xml:space="preserve">Cristales </t>
  </si>
  <si>
    <t>Cairel</t>
  </si>
  <si>
    <t>OJO GRANDE</t>
  </si>
  <si>
    <t>Cordon grueso</t>
  </si>
  <si>
    <t>Ojo grande</t>
  </si>
  <si>
    <t>Buzios naturales</t>
  </si>
  <si>
    <t>Borlas de hilo</t>
  </si>
  <si>
    <t>OJO XXL</t>
  </si>
  <si>
    <t>Cordon dorado</t>
  </si>
  <si>
    <t>Ojo chico</t>
  </si>
  <si>
    <t xml:space="preserve">Coralitos </t>
  </si>
  <si>
    <t>Bolitas metal</t>
  </si>
  <si>
    <t>Aprieta tanza metal</t>
  </si>
  <si>
    <t>Lana</t>
  </si>
  <si>
    <t>DIOSA DEL MAR</t>
  </si>
  <si>
    <t>Piedras reconstituidas</t>
  </si>
  <si>
    <t>OJO CHICO</t>
  </si>
  <si>
    <t>Ojo vidrio chico</t>
  </si>
  <si>
    <t>Escalla amatista</t>
  </si>
  <si>
    <t>Escalla rosa</t>
  </si>
  <si>
    <t>Ojos redondos vidrio</t>
  </si>
  <si>
    <t>Dije ojo plateado</t>
  </si>
  <si>
    <t>Dije mano plateado</t>
  </si>
  <si>
    <t>Dije buda plateado</t>
  </si>
  <si>
    <t>Estrella acrilico</t>
  </si>
  <si>
    <t>Buzio pastel</t>
  </si>
  <si>
    <t>CORAZON + AMOR</t>
  </si>
  <si>
    <t xml:space="preserve">Corazon dije </t>
  </si>
  <si>
    <t xml:space="preserve">Cordon </t>
  </si>
  <si>
    <t>Hilo chino rojo</t>
  </si>
  <si>
    <t>MANO HAMSA</t>
  </si>
  <si>
    <t xml:space="preserve">Ojo vidiro </t>
  </si>
  <si>
    <t>Dije ojo triangulo</t>
  </si>
  <si>
    <t>Dije buda chico</t>
  </si>
  <si>
    <t xml:space="preserve">Dije ojo grande </t>
  </si>
  <si>
    <t>Plateado</t>
  </si>
  <si>
    <t>Dije ojos</t>
  </si>
  <si>
    <t>Dije buda grande</t>
  </si>
  <si>
    <t xml:space="preserve">Dije mano hamsa </t>
  </si>
  <si>
    <t>HERRADURA</t>
  </si>
  <si>
    <t>Cordon</t>
  </si>
  <si>
    <t>Virdio amarillo</t>
  </si>
  <si>
    <t>Tubos cortos</t>
  </si>
  <si>
    <t>Tubos largos</t>
  </si>
  <si>
    <t>Bolitas verdes</t>
  </si>
  <si>
    <t>Vidrios amarillos</t>
  </si>
  <si>
    <t>Vidrios celeste con ralla</t>
  </si>
  <si>
    <t>Carita feliz</t>
  </si>
  <si>
    <t>Amarilla</t>
  </si>
  <si>
    <t>Vidrio amarillo</t>
  </si>
  <si>
    <t>AA139</t>
  </si>
  <si>
    <t xml:space="preserve">Sonrisa rosa </t>
  </si>
  <si>
    <t>CITRICOS</t>
  </si>
  <si>
    <t>Frutas citricas</t>
  </si>
  <si>
    <t>Frutas</t>
  </si>
  <si>
    <t>Mostacillas para pelo</t>
  </si>
  <si>
    <t>Tubo rosa</t>
  </si>
  <si>
    <t>Tubo lavanda</t>
  </si>
  <si>
    <t>Tubo celeste</t>
  </si>
  <si>
    <t>Azules redondos</t>
  </si>
  <si>
    <t>Vidrios palais</t>
  </si>
  <si>
    <t>Rositas</t>
  </si>
  <si>
    <t>Azul xl</t>
  </si>
  <si>
    <t>Palais</t>
  </si>
  <si>
    <t>frutilla</t>
  </si>
  <si>
    <t>Carita yellow</t>
  </si>
  <si>
    <t>Carita flor</t>
  </si>
  <si>
    <t>OSITO flores</t>
  </si>
  <si>
    <t>OSITO animalitos</t>
  </si>
  <si>
    <t>OSITOS candy</t>
  </si>
  <si>
    <t>x</t>
  </si>
  <si>
    <t>Caja osito</t>
  </si>
  <si>
    <t>Buzios rojos y rosas</t>
  </si>
  <si>
    <t>Tanza</t>
  </si>
  <si>
    <t>Bolitas fascetadas ac</t>
  </si>
  <si>
    <t>Frutillas</t>
  </si>
  <si>
    <t>Bolitas ac</t>
  </si>
  <si>
    <t>Grandes violeta</t>
  </si>
  <si>
    <t>Bolitas grandes</t>
  </si>
  <si>
    <t>Grandes naranja</t>
  </si>
  <si>
    <t>Bolsa</t>
  </si>
  <si>
    <t>Sticker</t>
  </si>
  <si>
    <t>PARES</t>
  </si>
  <si>
    <t>SETS</t>
  </si>
  <si>
    <t>1.2cm</t>
  </si>
  <si>
    <t>Brisura micro</t>
  </si>
  <si>
    <t>Cortito circones</t>
  </si>
  <si>
    <t>Estrella aro star</t>
  </si>
  <si>
    <t>30mm</t>
  </si>
  <si>
    <t>Pasante redondo</t>
  </si>
  <si>
    <t>TRINITY (4 aros)</t>
  </si>
  <si>
    <t>larguito circones</t>
  </si>
  <si>
    <t>Forcet cuadrada</t>
  </si>
  <si>
    <t>Rayito circones</t>
  </si>
  <si>
    <t>Perla redonda xl</t>
  </si>
  <si>
    <t>Bolita</t>
  </si>
  <si>
    <t>INICIAL MINI</t>
  </si>
  <si>
    <t>Larguito circones</t>
  </si>
  <si>
    <t>Brisura</t>
  </si>
  <si>
    <t>Cubanas anchas</t>
  </si>
  <si>
    <t>Circon xl</t>
  </si>
  <si>
    <t>Pasante cristal</t>
  </si>
  <si>
    <t>Brisura circones</t>
  </si>
  <si>
    <t>Abridor</t>
  </si>
  <si>
    <t>Circon colores xl</t>
  </si>
  <si>
    <t>Pasante largo colores</t>
  </si>
  <si>
    <t>Ojito pd73065</t>
  </si>
  <si>
    <t>Tubo grueso chico</t>
  </si>
  <si>
    <t>Tubo grueso mediano</t>
  </si>
  <si>
    <t xml:space="preserve">Tubo fino </t>
  </si>
  <si>
    <t>Mano ojito</t>
  </si>
  <si>
    <t>Tubo grueso grande</t>
  </si>
  <si>
    <t>Mano hamsa</t>
  </si>
  <si>
    <t>Estrellas/corazones</t>
  </si>
  <si>
    <t>Circones</t>
  </si>
  <si>
    <t>Chilly</t>
  </si>
  <si>
    <t>FINAL mini</t>
  </si>
  <si>
    <t>mini</t>
  </si>
  <si>
    <t>FINAL xl</t>
  </si>
  <si>
    <t>AROS CIRCONES COLORES</t>
  </si>
  <si>
    <t>Honguito murano</t>
  </si>
  <si>
    <t>Brisura balines</t>
  </si>
  <si>
    <t>Dije medallita galaxia</t>
  </si>
  <si>
    <t>MINI HAMSA/MINI OJITO</t>
  </si>
  <si>
    <t>Hamsa</t>
  </si>
  <si>
    <t>Estrellitas mini</t>
  </si>
  <si>
    <t>Argolla</t>
  </si>
  <si>
    <t>A7491</t>
  </si>
  <si>
    <t>Perla oval xl</t>
  </si>
  <si>
    <t>Pasante bolita con arandela</t>
  </si>
  <si>
    <t>Base aro</t>
  </si>
  <si>
    <t>Irreg xl</t>
  </si>
  <si>
    <t>Sol y luna</t>
  </si>
  <si>
    <t>Chapita</t>
  </si>
  <si>
    <t>#5</t>
  </si>
  <si>
    <t>Strass p pegar</t>
  </si>
  <si>
    <t>1,5cm</t>
  </si>
  <si>
    <t>Agata verde</t>
  </si>
  <si>
    <t>Piedra agata</t>
  </si>
  <si>
    <t>Piedra reconstituida turq</t>
  </si>
  <si>
    <t>DOT NEGRO</t>
  </si>
  <si>
    <t>Agatas negros</t>
  </si>
  <si>
    <t>Clavitos</t>
  </si>
  <si>
    <t>Vidrios azules</t>
  </si>
  <si>
    <t>Vidrios marrones</t>
  </si>
  <si>
    <t>Cubito</t>
  </si>
  <si>
    <t>CADENAS CON DIJE</t>
  </si>
  <si>
    <t>CADENAS DE ALARGUE</t>
  </si>
  <si>
    <t>CADENA DE ALARGUE FORCET REDONDA</t>
  </si>
  <si>
    <t>Cant/metro</t>
  </si>
  <si>
    <t xml:space="preserve">50cm </t>
  </si>
  <si>
    <t>Tobillera redonda</t>
  </si>
  <si>
    <t>Estrella strass</t>
  </si>
  <si>
    <t>CADENA DE ALARGUE FORCET CUADRADA</t>
  </si>
  <si>
    <t>Cadena tubito</t>
  </si>
  <si>
    <t xml:space="preserve">Forcet 1x1 </t>
  </si>
  <si>
    <t>Dije maxi galaxia</t>
  </si>
  <si>
    <t>Cadena forcet cuadrado</t>
  </si>
  <si>
    <t>Perla irregular xl</t>
  </si>
  <si>
    <t>Strass para pegar</t>
  </si>
  <si>
    <t>Forcet redondo xl</t>
  </si>
  <si>
    <t xml:space="preserve">Cierre </t>
  </si>
  <si>
    <t>Placa mano</t>
  </si>
  <si>
    <t>ARMONIA 2.0</t>
  </si>
  <si>
    <t>Forcet con tramos</t>
  </si>
  <si>
    <t>Chanel aplastada</t>
  </si>
  <si>
    <t xml:space="preserve">Dije maxi galaxia </t>
  </si>
  <si>
    <t>MIX LOVE</t>
  </si>
  <si>
    <t>Dije mix love</t>
  </si>
  <si>
    <t>Dije medalla galaxia negra</t>
  </si>
  <si>
    <t>Cierre rectangular</t>
  </si>
  <si>
    <t>Eslabon cadena turbillon</t>
  </si>
  <si>
    <t xml:space="preserve">Arandela </t>
  </si>
  <si>
    <t>COLLAR INICIAL</t>
  </si>
  <si>
    <t>CHARM INICIAL</t>
  </si>
  <si>
    <t>INICIAL DE NACAR</t>
  </si>
  <si>
    <t>Dije medalla</t>
  </si>
  <si>
    <t>Inicial nacar</t>
  </si>
  <si>
    <t>COLLARES DE PERLAS</t>
  </si>
  <si>
    <t>Verdes y celestes</t>
  </si>
  <si>
    <t>Sobre vegetal grande</t>
  </si>
  <si>
    <t>NATURALEZA (2 pulseras turbillion)</t>
  </si>
  <si>
    <t>CONFITE MILO Y NERI</t>
  </si>
  <si>
    <t>Agata multicolor</t>
  </si>
  <si>
    <t>Perlas redondas grandes</t>
  </si>
  <si>
    <t>Cierre redondo</t>
  </si>
  <si>
    <t>OIA Negro-Violeta</t>
  </si>
  <si>
    <t>Perla tipo cruz p10</t>
  </si>
  <si>
    <t>Perla irregular grande p11</t>
  </si>
  <si>
    <t>Mosqueton redondo</t>
  </si>
  <si>
    <t>Perla A10786</t>
  </si>
  <si>
    <t>Perla A10785</t>
  </si>
  <si>
    <t>Perla A10885</t>
  </si>
  <si>
    <t>Amarillo xl</t>
  </si>
  <si>
    <t>Tubo corto palais</t>
  </si>
  <si>
    <t>Frutilla</t>
  </si>
  <si>
    <t>Carita feliz ceramica</t>
  </si>
  <si>
    <t>Carita feliz margarita ceramica</t>
  </si>
  <si>
    <t>Vidrio azul xl</t>
  </si>
  <si>
    <t>Vidrios rosas</t>
  </si>
  <si>
    <t xml:space="preserve"> Balin </t>
  </si>
  <si>
    <t>Cubitos</t>
  </si>
  <si>
    <t xml:space="preserve">Cadena </t>
  </si>
  <si>
    <t>Vidrios negros</t>
  </si>
  <si>
    <t>Agatas azules</t>
  </si>
  <si>
    <t>Cadena forcet cuadrada</t>
  </si>
  <si>
    <t>Perla larguita</t>
  </si>
  <si>
    <t>Perla tipo gota</t>
  </si>
  <si>
    <t>Irregulares</t>
  </si>
  <si>
    <t>Choker pearl</t>
  </si>
  <si>
    <t>Naturaleza</t>
  </si>
  <si>
    <t>Tunel</t>
  </si>
  <si>
    <t>Tobillera</t>
  </si>
  <si>
    <t>Perlas redonditas</t>
  </si>
  <si>
    <t>SIMPLE Crudo</t>
  </si>
  <si>
    <t>enhebrado+cadena</t>
  </si>
  <si>
    <t>perla</t>
  </si>
  <si>
    <t>Piedras</t>
  </si>
  <si>
    <t>Cierre rendondo</t>
  </si>
  <si>
    <t>Piedras amarillas</t>
  </si>
  <si>
    <t>Piedra neri</t>
  </si>
  <si>
    <t>Vidrio rosa</t>
  </si>
  <si>
    <t>Piedras naranja</t>
  </si>
  <si>
    <t>Piedras caoba</t>
  </si>
  <si>
    <t>Piedras amarillas mediana</t>
  </si>
  <si>
    <t>Piedra agata turquesa</t>
  </si>
  <si>
    <t>Piedra verdosa</t>
  </si>
  <si>
    <t>Piedra rosa grande</t>
  </si>
  <si>
    <t>Cadena rolo</t>
  </si>
  <si>
    <t>Caja+bolsa</t>
  </si>
  <si>
    <t>c/caja</t>
  </si>
  <si>
    <t>Collar</t>
  </si>
  <si>
    <t>Medida cadena</t>
  </si>
  <si>
    <t>Precio cadena</t>
  </si>
  <si>
    <t>Chanel 3x9 5mm</t>
  </si>
  <si>
    <t>OJITO CONECTOR</t>
  </si>
  <si>
    <t>Separador corazon</t>
  </si>
  <si>
    <t>Bolsita</t>
  </si>
  <si>
    <t>Ojito redondo chato</t>
  </si>
  <si>
    <t>DUO</t>
  </si>
  <si>
    <t xml:space="preserve">Perlas rio </t>
  </si>
  <si>
    <t>Dije hoja larga</t>
  </si>
  <si>
    <t>A10539</t>
  </si>
  <si>
    <t>Dije tortuga</t>
  </si>
  <si>
    <t>Agata</t>
  </si>
  <si>
    <t>nat</t>
  </si>
  <si>
    <t>Piedra</t>
  </si>
  <si>
    <t>SIMPLE CRUDO</t>
  </si>
  <si>
    <t>Manito</t>
  </si>
  <si>
    <t>Pulsera turbillion</t>
  </si>
  <si>
    <t>Balines</t>
  </si>
  <si>
    <t>Ojo turco nacar</t>
  </si>
  <si>
    <t>Corazon conector</t>
  </si>
  <si>
    <t>Pulsera balin</t>
  </si>
  <si>
    <t>SIMPLE TURQUESA</t>
  </si>
  <si>
    <t>Bolita transparente</t>
  </si>
  <si>
    <t xml:space="preserve">Vidrios chatos </t>
  </si>
  <si>
    <t>Piel de conejo</t>
  </si>
  <si>
    <t>Vidrios rojos</t>
  </si>
  <si>
    <t>A10888</t>
  </si>
  <si>
    <t>A10887</t>
  </si>
  <si>
    <t>Piedra reconstituida gota</t>
  </si>
  <si>
    <t>RAYO COLOR (amarillo y turquesa)</t>
  </si>
  <si>
    <t>Vidrio tranps</t>
  </si>
  <si>
    <t>Rayo neon</t>
  </si>
  <si>
    <t>Carita ceramica</t>
  </si>
  <si>
    <t>Caracol</t>
  </si>
  <si>
    <t xml:space="preserve">Escallas </t>
  </si>
  <si>
    <t>Gota turquesa</t>
  </si>
  <si>
    <t>Pasante corazon</t>
  </si>
  <si>
    <t>Cadena chapitas</t>
  </si>
  <si>
    <t>Buzio con dorado</t>
  </si>
  <si>
    <t>Caracola</t>
  </si>
  <si>
    <t>Caracol largo</t>
  </si>
  <si>
    <t>Corazon grande</t>
  </si>
  <si>
    <t>CHOCKER BUZIOS</t>
  </si>
  <si>
    <t>FURRY lima-rosa-celeste-beige</t>
  </si>
  <si>
    <t>Buzio bañado oro</t>
  </si>
  <si>
    <t>Piel</t>
  </si>
  <si>
    <t>DIA SOLEADO Verde-Rosa-Turquesa</t>
  </si>
  <si>
    <t>OIA Naranja-Obispo-Verde</t>
  </si>
  <si>
    <t>Bolitas transparentes</t>
  </si>
  <si>
    <t>Transparente</t>
  </si>
  <si>
    <t>Piedras verdes</t>
  </si>
  <si>
    <t>Agatas</t>
  </si>
  <si>
    <t>Vidrios cortos</t>
  </si>
  <si>
    <t>Fimo verde</t>
  </si>
  <si>
    <t>Buzio nat alm de arm</t>
  </si>
  <si>
    <t>Fimo azul</t>
  </si>
  <si>
    <t>Fimo beige</t>
  </si>
  <si>
    <t>Caracol marroncito</t>
  </si>
  <si>
    <t>#174</t>
  </si>
  <si>
    <t>Fimo blanco</t>
  </si>
  <si>
    <t>Dije medalla galaxia</t>
  </si>
  <si>
    <t>Vidrios turcos rojos</t>
  </si>
  <si>
    <t>Cierre</t>
  </si>
  <si>
    <t>Vidrios tubo largo</t>
  </si>
  <si>
    <t>Vidrio rojo xl</t>
  </si>
  <si>
    <t>Bolitas agata verde</t>
  </si>
  <si>
    <t>Vidrios transparentes</t>
  </si>
  <si>
    <t>redondas</t>
  </si>
  <si>
    <t>Donas</t>
  </si>
  <si>
    <t>VERANO NARANJA</t>
  </si>
  <si>
    <t>VERANO AMARILLO</t>
  </si>
  <si>
    <t>DIENTE + PERLA</t>
  </si>
  <si>
    <t>Piedra recons turquesa</t>
  </si>
  <si>
    <t>Dije diente</t>
  </si>
  <si>
    <t>Redondo blanco</t>
  </si>
  <si>
    <t>Candado microc</t>
  </si>
  <si>
    <t xml:space="preserve"> NAZAR AJUSTABLE </t>
  </si>
  <si>
    <t>Ojo oval turquesa</t>
  </si>
  <si>
    <t>Pulsera ajustable simple</t>
  </si>
  <si>
    <t>PULSERA CONECTOR CORAZON COLORE</t>
  </si>
  <si>
    <t>Pulsera circones</t>
  </si>
  <si>
    <t>Amarillo cuadradito</t>
  </si>
  <si>
    <t>Amarillo chato</t>
  </si>
  <si>
    <t>Rosa chato</t>
  </si>
  <si>
    <t>Rosas chatos</t>
  </si>
  <si>
    <t>Redondas</t>
  </si>
  <si>
    <t>ANILLO UNIVERSO</t>
  </si>
  <si>
    <t>Glaxia</t>
  </si>
  <si>
    <t>CARNAVAL</t>
  </si>
  <si>
    <t>strass para pegar</t>
  </si>
  <si>
    <t>ANILLO PEARL</t>
  </si>
  <si>
    <t>OJITOS REDONDOS</t>
  </si>
  <si>
    <t>Luna+estrella</t>
  </si>
  <si>
    <t>Lineal cubic</t>
  </si>
  <si>
    <t>Pompon</t>
  </si>
  <si>
    <t>Pintura</t>
  </si>
  <si>
    <t>Paño</t>
  </si>
  <si>
    <t>Costura</t>
  </si>
  <si>
    <t>Tela</t>
  </si>
  <si>
    <t>Despojador</t>
  </si>
  <si>
    <t>CARACOLES Y BUZIO</t>
  </si>
  <si>
    <t>Sombrero</t>
  </si>
  <si>
    <t>VIDRIOS DE COLORES</t>
  </si>
  <si>
    <t>alambre #18</t>
  </si>
  <si>
    <t>Color/medida</t>
  </si>
  <si>
    <t>Hilo tipo brasil</t>
  </si>
  <si>
    <t>Negro 2mm</t>
  </si>
  <si>
    <t>Beige 1,2mm</t>
  </si>
  <si>
    <t>Tanza comun 0.45</t>
  </si>
  <si>
    <t>Cierre tipo marinero</t>
  </si>
  <si>
    <t>FURRY NEW</t>
  </si>
  <si>
    <t>TIRA FIMO</t>
  </si>
  <si>
    <t>Corazon XL</t>
  </si>
  <si>
    <t>DIJES PIEDRAS</t>
  </si>
  <si>
    <t>PIEDRAS POR TIRA</t>
  </si>
  <si>
    <t>&lt;- precio elba sin formula</t>
  </si>
  <si>
    <t>P014</t>
  </si>
  <si>
    <t>Tipo irregulares organic p22</t>
  </si>
  <si>
    <t>aros curve/anillo pearl</t>
  </si>
  <si>
    <t>Perla P03</t>
  </si>
  <si>
    <t>P013</t>
  </si>
  <si>
    <t>Irregulares grandes</t>
  </si>
  <si>
    <t>P011n</t>
  </si>
  <si>
    <t>P011e</t>
  </si>
  <si>
    <t>FURRY verde-azul-beige new-negro</t>
  </si>
  <si>
    <t>Bloom P02</t>
  </si>
  <si>
    <t>P02L</t>
  </si>
  <si>
    <t>Bloom largas P02L</t>
  </si>
  <si>
    <t>P023</t>
  </si>
  <si>
    <t>P022</t>
  </si>
  <si>
    <t>PC01</t>
  </si>
  <si>
    <t>Perlas de colores (amarillas)</t>
  </si>
  <si>
    <t>PERLAS POR TIRA</t>
  </si>
  <si>
    <t>PERLAS POR PESO Y TIRA</t>
  </si>
  <si>
    <t>Larga</t>
  </si>
  <si>
    <t>Chatas millonarias xl</t>
  </si>
  <si>
    <t>Estrella de nacar</t>
  </si>
  <si>
    <t>P024</t>
  </si>
  <si>
    <t>P025</t>
  </si>
  <si>
    <t>P026</t>
  </si>
  <si>
    <t>$ gramos</t>
  </si>
  <si>
    <t>Precio x total gramos</t>
  </si>
  <si>
    <t>Peso tira en gr</t>
  </si>
  <si>
    <t>Medida tira en metro</t>
  </si>
  <si>
    <t>Tanza elastizada 0,7</t>
  </si>
  <si>
    <t>Tipo cruz finita p08</t>
  </si>
  <si>
    <t>Largas gruesas p13</t>
  </si>
  <si>
    <t>GOTA CUBIC VERDE</t>
  </si>
  <si>
    <t>GOTA CUBIC LILA</t>
  </si>
  <si>
    <t>Especificacion</t>
  </si>
  <si>
    <t>Naranjas</t>
  </si>
  <si>
    <t>Chatas</t>
  </si>
  <si>
    <t>Agatas facetadas DONA</t>
  </si>
  <si>
    <t>Piedra turquesa x unidad</t>
  </si>
  <si>
    <t>Tiras turquesa</t>
  </si>
  <si>
    <t>Collar de nacar (Arraial)</t>
  </si>
  <si>
    <t>Orquidea (brisa) 4x6</t>
  </si>
  <si>
    <t>Multicolor dona 2x4</t>
  </si>
  <si>
    <t>Turq/negro dona 2x4</t>
  </si>
  <si>
    <t>Verde 5x8</t>
  </si>
  <si>
    <t>Azul 5x8</t>
  </si>
  <si>
    <t>Bordo 5x8</t>
  </si>
  <si>
    <t>Verde (j&amp;r) 14mm</t>
  </si>
  <si>
    <t>Celeste cielo 14mm</t>
  </si>
  <si>
    <t>Negras 14mm</t>
  </si>
  <si>
    <t>Howlite</t>
  </si>
  <si>
    <t>Blanca reconst 4mm</t>
  </si>
  <si>
    <t>Blanca reconst 10mm</t>
  </si>
  <si>
    <t>Obsidiana Caoba</t>
  </si>
  <si>
    <t>Cuadrada</t>
  </si>
  <si>
    <t>Amarillas L</t>
  </si>
  <si>
    <t>Largas</t>
  </si>
  <si>
    <t>Carey</t>
  </si>
  <si>
    <t>Brisura micro argollita cerrada</t>
  </si>
  <si>
    <t>BRISURAS</t>
  </si>
  <si>
    <t>ARGOLLAS CON DIJE</t>
  </si>
  <si>
    <t>EAR CUFF</t>
  </si>
  <si>
    <t>AUDAZ</t>
  </si>
  <si>
    <t>LYON</t>
  </si>
  <si>
    <t>Aros gota</t>
  </si>
  <si>
    <t>PODER</t>
  </si>
  <si>
    <t>Aros Balin</t>
  </si>
  <si>
    <t>Aros disc</t>
  </si>
  <si>
    <t>Aro disco (AUDAZ)</t>
  </si>
  <si>
    <t>Aros gota (LYON)</t>
  </si>
  <si>
    <t>Simple star</t>
  </si>
  <si>
    <t>Simple heart</t>
  </si>
  <si>
    <t>Simple</t>
  </si>
  <si>
    <t>Brisura balin (JUPITER)</t>
  </si>
  <si>
    <t>Argollas con strass</t>
  </si>
  <si>
    <t>ARGOLLAS CON MICROCIRCON</t>
  </si>
  <si>
    <t>Chatos con filo (RIO)</t>
  </si>
  <si>
    <t>Cubano italiano micropave 1cm</t>
  </si>
  <si>
    <t>Cubano italiano micropave 1,3cm</t>
  </si>
  <si>
    <t>Cubano italiano micropave multicolor 1cm</t>
  </si>
  <si>
    <t>Cubano italiano micropave multicolor 1,3cm</t>
  </si>
  <si>
    <t>DIJES</t>
  </si>
  <si>
    <t>DIJES CARACOLES CON DORADO</t>
  </si>
  <si>
    <t>Caracoles (VERAO)</t>
  </si>
  <si>
    <t>Color</t>
  </si>
  <si>
    <t>Durazno</t>
  </si>
  <si>
    <t>Blanco</t>
  </si>
  <si>
    <t>Verde agua</t>
  </si>
  <si>
    <t>Verde clarito</t>
  </si>
  <si>
    <t>Limon</t>
  </si>
  <si>
    <t>Nude clarito</t>
  </si>
  <si>
    <t>2x3mm</t>
  </si>
  <si>
    <t>Cristal</t>
  </si>
  <si>
    <t>Promedio real</t>
  </si>
  <si>
    <t xml:space="preserve">CRISTALITOS POR COLOR </t>
  </si>
  <si>
    <t>Precio tira cristalitos (a usar)                                  PRECIO MAS CARO ENTRE TODOS LOS PROVEEDORES</t>
  </si>
  <si>
    <t>Hexagonales 3x4mm</t>
  </si>
  <si>
    <t>COCO Y SEMILLAS POR TIRA (madera)</t>
  </si>
  <si>
    <t>Precio baño</t>
  </si>
  <si>
    <t>Precio dije</t>
  </si>
  <si>
    <t>Chapita armonia</t>
  </si>
  <si>
    <t xml:space="preserve">Dije chapa acero </t>
  </si>
  <si>
    <t>DIJES PARA BAÑAR</t>
  </si>
  <si>
    <t>CADENAS PARA BAÑAR</t>
  </si>
  <si>
    <t>ESPEJITO</t>
  </si>
  <si>
    <t>Pasante corazon punto de luz</t>
  </si>
  <si>
    <t>Brisura corazones</t>
  </si>
  <si>
    <t>BRIGHT LOVE/SHINE BRIGHT</t>
  </si>
  <si>
    <t xml:space="preserve"> Cilindro PGF 6mm x 4,5mm</t>
  </si>
  <si>
    <t>Shine Bright</t>
  </si>
  <si>
    <t>Bright Love</t>
  </si>
  <si>
    <t>DOT (NEGRO - VERDE)</t>
  </si>
  <si>
    <t xml:space="preserve"> MICROCIRCON CORAZON</t>
  </si>
  <si>
    <t>GOTA CUBIC (VERDE - LILA)</t>
  </si>
  <si>
    <t>COLORFUL</t>
  </si>
  <si>
    <t>PASANTE 3 (CRISTAL - COLORES)</t>
  </si>
  <si>
    <t>DUO OJITO REDONDO CHATO</t>
  </si>
  <si>
    <t>Piedra howlite</t>
  </si>
  <si>
    <t>ORBITA vieja</t>
  </si>
  <si>
    <t>10x10</t>
  </si>
  <si>
    <t>15x15</t>
  </si>
  <si>
    <t>Caja + bolsa</t>
  </si>
  <si>
    <t>Universo</t>
  </si>
  <si>
    <t>Redondas nut</t>
  </si>
  <si>
    <t>ALBA (perlas grises)</t>
  </si>
  <si>
    <t>GOLDEN EYE (balines regulable)</t>
  </si>
  <si>
    <t>TURBILLION (cadena naturaleza)</t>
  </si>
  <si>
    <t>ESTRELLA COLORES</t>
  </si>
  <si>
    <t>SM 341 Indiana (crudo y negro)</t>
  </si>
  <si>
    <t>SM 315/316/318 Cowboy fibra</t>
  </si>
  <si>
    <t>Aros pelota (PODER)</t>
  </si>
  <si>
    <t>Aros rectangulares (ANINE)</t>
  </si>
  <si>
    <t>Aros disco cuadrado grueso (TEMPLE)</t>
  </si>
  <si>
    <t>Aros rectangulares</t>
  </si>
  <si>
    <t>TEMPLE</t>
  </si>
  <si>
    <t>Aros disco cuadrado</t>
  </si>
  <si>
    <t>caja + bolsita</t>
  </si>
  <si>
    <t>SE74 Tunel recto 6x2,9</t>
  </si>
  <si>
    <t>A10360 lisas lima</t>
  </si>
  <si>
    <t>Hilo tipo brazil</t>
  </si>
  <si>
    <t>Maxi chapa</t>
  </si>
  <si>
    <t>CANNES</t>
  </si>
  <si>
    <t>COSMOS</t>
  </si>
  <si>
    <t>Bolitas + tubo</t>
  </si>
  <si>
    <t>NIZA</t>
  </si>
  <si>
    <t>Hilo</t>
  </si>
  <si>
    <t>HAMSA GRANDE</t>
  </si>
  <si>
    <t>Pulsera simple</t>
  </si>
  <si>
    <t>MANITO HAMSA (hilo rojo)</t>
  </si>
  <si>
    <t>Caja + b.lienzo</t>
  </si>
  <si>
    <t>SIENNA</t>
  </si>
  <si>
    <t>TANGERINE / SIENNA</t>
  </si>
  <si>
    <t>DOT verde - negro</t>
  </si>
  <si>
    <t>Agatas verde / negra</t>
  </si>
  <si>
    <t>ORION (CRISTAL - COLORES)</t>
  </si>
  <si>
    <t>descripcion</t>
  </si>
  <si>
    <t>Stock</t>
  </si>
  <si>
    <t>StockMinimo</t>
  </si>
  <si>
    <t>PrecioUnitario</t>
  </si>
  <si>
    <t>Observaciones</t>
  </si>
  <si>
    <t>Rentabilidad</t>
  </si>
  <si>
    <t>Iva</t>
  </si>
  <si>
    <t>CostoInterno</t>
  </si>
  <si>
    <t>CodigoProveedor</t>
  </si>
  <si>
    <t>Deposito</t>
  </si>
  <si>
    <t>CodigoBarra</t>
  </si>
  <si>
    <t>Rubro</t>
  </si>
  <si>
    <t>SubRubro</t>
  </si>
  <si>
    <t>PrecioAutomatico</t>
  </si>
  <si>
    <t>Abridores Cuadrados</t>
  </si>
  <si>
    <t>JA101ACU</t>
  </si>
  <si>
    <t>Joyeria</t>
  </si>
  <si>
    <t>Aros</t>
  </si>
  <si>
    <t>Producto</t>
  </si>
  <si>
    <t>Abridores Circulos</t>
  </si>
  <si>
    <t>JA101ACI</t>
  </si>
  <si>
    <t>Abridores Corazones</t>
  </si>
  <si>
    <t>JA101ACO</t>
  </si>
  <si>
    <t>Aros Anine</t>
  </si>
  <si>
    <t>JA103AN</t>
  </si>
  <si>
    <t>Aros Armonia</t>
  </si>
  <si>
    <t>JA103AR</t>
  </si>
  <si>
    <t>Aros Atardecer</t>
  </si>
  <si>
    <t>JA103AT</t>
  </si>
  <si>
    <t>Aros Audaz</t>
  </si>
  <si>
    <t>JA103AU</t>
  </si>
  <si>
    <t>Aros Bold S</t>
  </si>
  <si>
    <t>JA103BS</t>
  </si>
  <si>
    <t>Aros Bold M</t>
  </si>
  <si>
    <t>JA103BM</t>
  </si>
  <si>
    <t>Aros Bold L</t>
  </si>
  <si>
    <t>JA103BL</t>
  </si>
  <si>
    <t>Aros Bleu</t>
  </si>
  <si>
    <t>JA103BLEU</t>
  </si>
  <si>
    <t>Aros Bloom</t>
  </si>
  <si>
    <t>JA103BLOOM</t>
  </si>
  <si>
    <t>Aros Brisa</t>
  </si>
  <si>
    <t>JA103BR</t>
  </si>
  <si>
    <t>Aros Bright Love</t>
  </si>
  <si>
    <t>JA103BRL</t>
  </si>
  <si>
    <t>Aros  Buzios</t>
  </si>
  <si>
    <t>JA103BU</t>
  </si>
  <si>
    <t>Aros Caramel</t>
  </si>
  <si>
    <t>JA103CA</t>
  </si>
  <si>
    <t>Aros Circon mini</t>
  </si>
  <si>
    <t>JA103CM</t>
  </si>
  <si>
    <t>Aros Circon</t>
  </si>
  <si>
    <t>JA103CI</t>
  </si>
  <si>
    <t>Aros Circon mini color</t>
  </si>
  <si>
    <t>JA103CMC</t>
  </si>
  <si>
    <t>Aros Circon color</t>
  </si>
  <si>
    <t>JA103CIC</t>
  </si>
  <si>
    <t>Aros Constelacion</t>
  </si>
  <si>
    <t>JA103CON</t>
  </si>
  <si>
    <t>Aros Cubanos</t>
  </si>
  <si>
    <t>JA103CUB</t>
  </si>
  <si>
    <t>Aros Curve</t>
  </si>
  <si>
    <t>JA103CURV</t>
  </si>
  <si>
    <t>Aros Dot Negro</t>
  </si>
  <si>
    <t>JA103DOTcN</t>
  </si>
  <si>
    <t>Aros Dot Verde</t>
  </si>
  <si>
    <t>JA103DOTcV</t>
  </si>
  <si>
    <t>Aros Energia</t>
  </si>
  <si>
    <t>JA103ENG</t>
  </si>
  <si>
    <t>Aros Fruta</t>
  </si>
  <si>
    <t>JA103F</t>
  </si>
  <si>
    <t>Aros Furry Rosa</t>
  </si>
  <si>
    <t>JA103FcR</t>
  </si>
  <si>
    <t>Aros Furry Celeste</t>
  </si>
  <si>
    <t>JA103FcC</t>
  </si>
  <si>
    <t>Aros Furry Lima</t>
  </si>
  <si>
    <t>JA103FcL</t>
  </si>
  <si>
    <t>Aros Gota</t>
  </si>
  <si>
    <t>JA103GOTA</t>
  </si>
  <si>
    <t>Aros Intense</t>
  </si>
  <si>
    <t>JA103INT</t>
  </si>
  <si>
    <t>Aros Jupiter</t>
  </si>
  <si>
    <t>JA103J</t>
  </si>
  <si>
    <t>Aros Lagoa S</t>
  </si>
  <si>
    <t>JA103LS</t>
  </si>
  <si>
    <t>Aros Lagoa L</t>
  </si>
  <si>
    <t>JA103LL</t>
  </si>
  <si>
    <t>Aros Lyon</t>
  </si>
  <si>
    <t>JA103LYON</t>
  </si>
  <si>
    <t>Aros Mar</t>
  </si>
  <si>
    <t>JA103MAR</t>
  </si>
  <si>
    <t>Aros Milo</t>
  </si>
  <si>
    <t>JA103MILO</t>
  </si>
  <si>
    <t>Aros Mini Hamsa</t>
  </si>
  <si>
    <t>JA103MH</t>
  </si>
  <si>
    <t>Aros Mini Ojito</t>
  </si>
  <si>
    <t>JA103MO</t>
  </si>
  <si>
    <t>Aros Nacred</t>
  </si>
  <si>
    <t>JA103NAC</t>
  </si>
  <si>
    <t>Aros Nut</t>
  </si>
  <si>
    <t>JA103NUT</t>
  </si>
  <si>
    <t>Aros Oia Verde</t>
  </si>
  <si>
    <t>JA103OcV</t>
  </si>
  <si>
    <t>JA103OCOL</t>
  </si>
  <si>
    <t>Aros Orion Cristal</t>
  </si>
  <si>
    <t>JA103OCR</t>
  </si>
  <si>
    <t>Aros Pantera</t>
  </si>
  <si>
    <t>JA103PAN</t>
  </si>
  <si>
    <t>Aros Pearl mini</t>
  </si>
  <si>
    <t>JA103PM</t>
  </si>
  <si>
    <t>Aros Poder</t>
  </si>
  <si>
    <t>JA103PO</t>
  </si>
  <si>
    <t>Aros Puffy Heart</t>
  </si>
  <si>
    <t>JA103PUH</t>
  </si>
  <si>
    <t>Aros Shine Bright</t>
  </si>
  <si>
    <t>JA103SB</t>
  </si>
  <si>
    <t>Aros Simple</t>
  </si>
  <si>
    <t>JA103SIM</t>
  </si>
  <si>
    <t>Aros Simple Heart</t>
  </si>
  <si>
    <t>JA103SIMH</t>
  </si>
  <si>
    <t>Aros Simple Star</t>
  </si>
  <si>
    <t>JA103SIMS</t>
  </si>
  <si>
    <t>Aros Spot</t>
  </si>
  <si>
    <t>JA103SPOT</t>
  </si>
  <si>
    <t>Aros Spot XL</t>
  </si>
  <si>
    <t>JA103SXL</t>
  </si>
  <si>
    <t>Aros Star</t>
  </si>
  <si>
    <t>JA103STAR</t>
  </si>
  <si>
    <t>Aros Starlight</t>
  </si>
  <si>
    <t>JA103SL</t>
  </si>
  <si>
    <t>Aros Temple</t>
  </si>
  <si>
    <t>JA103TEM</t>
  </si>
  <si>
    <t>Aros Vibes</t>
  </si>
  <si>
    <t>JA103VIB</t>
  </si>
  <si>
    <t>Solitario Bubble Amarillo</t>
  </si>
  <si>
    <t>JA104BcA</t>
  </si>
  <si>
    <t>Solitario Enamored</t>
  </si>
  <si>
    <t>JA104EN</t>
  </si>
  <si>
    <t>Solitario Frutilla</t>
  </si>
  <si>
    <t>JA104FR</t>
  </si>
  <si>
    <t>Solitario Honguito Rosa</t>
  </si>
  <si>
    <t>JA104HcR</t>
  </si>
  <si>
    <t>Solitario Inicial Mini A</t>
  </si>
  <si>
    <t>JA104IMA</t>
  </si>
  <si>
    <t>Solitario Inicial Mini B</t>
  </si>
  <si>
    <t>JA104IMB</t>
  </si>
  <si>
    <t>Solitario Inicial Mini C</t>
  </si>
  <si>
    <t>JA104IMC</t>
  </si>
  <si>
    <t>Solitario Inicial Mini D</t>
  </si>
  <si>
    <t>JA104IMD</t>
  </si>
  <si>
    <t>Solitario Inicial Mini E</t>
  </si>
  <si>
    <t>JA104IME</t>
  </si>
  <si>
    <t>Solitario Inicial Mini F</t>
  </si>
  <si>
    <t>JA104IMF</t>
  </si>
  <si>
    <t>Solitario Inicial Mini G</t>
  </si>
  <si>
    <t>JA104IMG</t>
  </si>
  <si>
    <t>Solitario Inicial Mini H</t>
  </si>
  <si>
    <t>JA104IMH</t>
  </si>
  <si>
    <t>Solitario Inicial Mini I</t>
  </si>
  <si>
    <t>JA104IMI</t>
  </si>
  <si>
    <t>Solitario Inicial Mini J</t>
  </si>
  <si>
    <t>JA104IMJ</t>
  </si>
  <si>
    <t>Solitario Inicial Mini K</t>
  </si>
  <si>
    <t>JA104IMK</t>
  </si>
  <si>
    <t>Solitario Inicial Mini L</t>
  </si>
  <si>
    <t>JA104IML</t>
  </si>
  <si>
    <t>Solitario Inicial Mini M</t>
  </si>
  <si>
    <t>JA104IMM</t>
  </si>
  <si>
    <t>Solitario Inicial Mini N</t>
  </si>
  <si>
    <t>JA104IMN</t>
  </si>
  <si>
    <t>Solitario Inicial Mini O</t>
  </si>
  <si>
    <t>JA104IMO</t>
  </si>
  <si>
    <t>Solitario Inicial Mini P</t>
  </si>
  <si>
    <t>JA104IMP</t>
  </si>
  <si>
    <t>Solitario Inicial Mini R</t>
  </si>
  <si>
    <t>JA104IMR</t>
  </si>
  <si>
    <t>Solitario Inicial Mini S</t>
  </si>
  <si>
    <t>JA104IMS</t>
  </si>
  <si>
    <t>Solitario Inicial Mini T</t>
  </si>
  <si>
    <t>JA104IMT</t>
  </si>
  <si>
    <t>Solitario Inicial Mini U</t>
  </si>
  <si>
    <t>JA104IMU</t>
  </si>
  <si>
    <t>Solitario Inicial Mini V</t>
  </si>
  <si>
    <t>JA104IMV</t>
  </si>
  <si>
    <t>Solitario Inicial Mini X</t>
  </si>
  <si>
    <t>JA104IMX</t>
  </si>
  <si>
    <t>Solitario Inicial Mini Y</t>
  </si>
  <si>
    <t>JA104IMY</t>
  </si>
  <si>
    <t>Solitario Inicial Mini Z</t>
  </si>
  <si>
    <t>JA104IMZ</t>
  </si>
  <si>
    <t>Solitario Kiss</t>
  </si>
  <si>
    <t>JA104K</t>
  </si>
  <si>
    <t>Solitario Mar</t>
  </si>
  <si>
    <t>JA104M</t>
  </si>
  <si>
    <t>Solitario Mudra</t>
  </si>
  <si>
    <t>JA104MU</t>
  </si>
  <si>
    <t>Solitario Picante</t>
  </si>
  <si>
    <t>JA104P</t>
  </si>
  <si>
    <t>Solitario Rayo Color Amarillo</t>
  </si>
  <si>
    <t>JA104RcA</t>
  </si>
  <si>
    <t>Solitario Rayo Color Turquesa</t>
  </si>
  <si>
    <t>JA104RcT</t>
  </si>
  <si>
    <t>Solitario Semilla</t>
  </si>
  <si>
    <t>JA104SEM</t>
  </si>
  <si>
    <t>Solitario Yellow</t>
  </si>
  <si>
    <t>JA104Y</t>
  </si>
  <si>
    <t>Solitario Anana</t>
  </si>
  <si>
    <t>JA105AN</t>
  </si>
  <si>
    <t>Solitario Chapita 3 estrellas</t>
  </si>
  <si>
    <t>JA105CTE</t>
  </si>
  <si>
    <t>Solitario Cherry</t>
  </si>
  <si>
    <t>JA105CH</t>
  </si>
  <si>
    <t>Solitario Corazon</t>
  </si>
  <si>
    <t>Solitario Estrella Colores</t>
  </si>
  <si>
    <t>JA105EC</t>
  </si>
  <si>
    <t>Solitario Estrella 4 puntas</t>
  </si>
  <si>
    <t>JA105ECP</t>
  </si>
  <si>
    <t>Solitario Estrella Blanca</t>
  </si>
  <si>
    <t>JA105EcB</t>
  </si>
  <si>
    <t>Solitario Estrella Negra</t>
  </si>
  <si>
    <t>JA105EcN</t>
  </si>
  <si>
    <t>Solitario Funghi Azul</t>
  </si>
  <si>
    <t>JA105FcA</t>
  </si>
  <si>
    <t>Solitario Funghi Rojo</t>
  </si>
  <si>
    <t>JA105FcR</t>
  </si>
  <si>
    <t>Solitario Funghi Verde</t>
  </si>
  <si>
    <t>JA105FcV</t>
  </si>
  <si>
    <t>Solitario Gota Cubic Verde</t>
  </si>
  <si>
    <t>JA105GCV</t>
  </si>
  <si>
    <t>Solitario Gota Cubic Lila</t>
  </si>
  <si>
    <t>JA105GCL</t>
  </si>
  <si>
    <t>Solitario Hamsa</t>
  </si>
  <si>
    <t>JA105HAM</t>
  </si>
  <si>
    <t>Solitario Moon</t>
  </si>
  <si>
    <t>JA105MN</t>
  </si>
  <si>
    <t>Solitario Lightning</t>
  </si>
  <si>
    <t>JA105LG</t>
  </si>
  <si>
    <t>Solitario Ojito</t>
  </si>
  <si>
    <t>JA105OJ</t>
  </si>
  <si>
    <t>Solitario Rayo</t>
  </si>
  <si>
    <t>JA105R</t>
  </si>
  <si>
    <t>Solitario Teddy</t>
  </si>
  <si>
    <t>JA105T</t>
  </si>
  <si>
    <t>Set Colorful</t>
  </si>
  <si>
    <t>JA102SC</t>
  </si>
  <si>
    <t>Set New</t>
  </si>
  <si>
    <t>JA102SN</t>
  </si>
  <si>
    <t>Set Shiny Mix</t>
  </si>
  <si>
    <t>JA102SS</t>
  </si>
  <si>
    <t>Set Trinity</t>
  </si>
  <si>
    <t>JA102ST</t>
  </si>
  <si>
    <t>Ear Cuff Chain</t>
  </si>
  <si>
    <t>JEC101C</t>
  </si>
  <si>
    <t>Ear Cuffs</t>
  </si>
  <si>
    <t>Ear Cuff Cross</t>
  </si>
  <si>
    <t>JEC101CR</t>
  </si>
  <si>
    <t>Ear Cuff Glam</t>
  </si>
  <si>
    <t>JEC101CG</t>
  </si>
  <si>
    <t>Ear Cuff Shine Bright</t>
  </si>
  <si>
    <t>JEC101CSB</t>
  </si>
  <si>
    <t>Ear Cuff Triple</t>
  </si>
  <si>
    <t>JEC101CT</t>
  </si>
  <si>
    <t>Charm Inicial Nude</t>
  </si>
  <si>
    <t>JCD101CIcN</t>
  </si>
  <si>
    <t>Charms y Dijes</t>
  </si>
  <si>
    <t>Charm Inicial Cristal</t>
  </si>
  <si>
    <t>JCD101CIcC</t>
  </si>
  <si>
    <t>Charm Inicial Multicolor</t>
  </si>
  <si>
    <t>JCD101CIcM</t>
  </si>
  <si>
    <t>Charm Inicial Negro</t>
  </si>
  <si>
    <t>JCD101CIcNG</t>
  </si>
  <si>
    <t>Anillo Chain</t>
  </si>
  <si>
    <t>JAN101CH</t>
  </si>
  <si>
    <t>Anillo Estrella Fugaz</t>
  </si>
  <si>
    <t>JAN101EF</t>
  </si>
  <si>
    <t>Anillo Ojitos</t>
  </si>
  <si>
    <t>JAN101OJ</t>
  </si>
  <si>
    <t>Anillo Pearl S</t>
  </si>
  <si>
    <t>JAN101PS</t>
  </si>
  <si>
    <t>Anillo Pearl M</t>
  </si>
  <si>
    <t>JAN101PM</t>
  </si>
  <si>
    <t>Anillo Shine Bright</t>
  </si>
  <si>
    <t>JAN101SB</t>
  </si>
  <si>
    <t>Anillo Starlight</t>
  </si>
  <si>
    <t>JAN101ST</t>
  </si>
  <si>
    <t>Anillo The Moon and the Stars</t>
  </si>
  <si>
    <t>JAN101TM</t>
  </si>
  <si>
    <t>Anillo Universo</t>
  </si>
  <si>
    <t>JAN101U</t>
  </si>
  <si>
    <t>Anillo Tangerine</t>
  </si>
  <si>
    <t>JAN102TAN</t>
  </si>
  <si>
    <t>Anillo Cielo</t>
  </si>
  <si>
    <t>JAN102C</t>
  </si>
  <si>
    <t>Anillo Bleu</t>
  </si>
  <si>
    <t>JAN102AB</t>
  </si>
  <si>
    <t>Anillo Brisa</t>
  </si>
  <si>
    <t>JAN102BR</t>
  </si>
  <si>
    <t>Anillo Vert</t>
  </si>
  <si>
    <t>JAN102AV</t>
  </si>
  <si>
    <t>Lazo Cannes</t>
  </si>
  <si>
    <t>JCL100CAN</t>
  </si>
  <si>
    <t>Lazo Furry Azul</t>
  </si>
  <si>
    <t>JCL100FcAZ</t>
  </si>
  <si>
    <t>Lazo Furry Beige</t>
  </si>
  <si>
    <t>JCL010FcB</t>
  </si>
  <si>
    <t>Lazo Furry Beige new</t>
  </si>
  <si>
    <t>JCL100FcBN</t>
  </si>
  <si>
    <t>Lazo Furry Celeste</t>
  </si>
  <si>
    <t>JCL010FcC</t>
  </si>
  <si>
    <t>Lazo Furry Lima</t>
  </si>
  <si>
    <t>JCL010FcL</t>
  </si>
  <si>
    <t>Lazo Furry Negro</t>
  </si>
  <si>
    <t>JCL100FcNG</t>
  </si>
  <si>
    <t>Lazo Furry Rosa</t>
  </si>
  <si>
    <t>JCL010FcR</t>
  </si>
  <si>
    <t>Lazo Furry Verde</t>
  </si>
  <si>
    <t>JCL100FcV</t>
  </si>
  <si>
    <t>Lazo Sentimiento Cristal</t>
  </si>
  <si>
    <t>JCL100ScC</t>
  </si>
  <si>
    <t>Lazo Sentimiento Negro</t>
  </si>
  <si>
    <t>JCL100ScNG</t>
  </si>
  <si>
    <t>Lazo Valor Cielo</t>
  </si>
  <si>
    <t>JCL100VcC</t>
  </si>
  <si>
    <t>Lazo Valor Marron</t>
  </si>
  <si>
    <t>JCL100VcMA</t>
  </si>
  <si>
    <t>Lazo Valor Mostaza</t>
  </si>
  <si>
    <t>JCL100VcMO</t>
  </si>
  <si>
    <t>Lazo Verao</t>
  </si>
  <si>
    <t>JCL010V</t>
  </si>
  <si>
    <t>Cadena Alargue Cuadrada</t>
  </si>
  <si>
    <t>JC101AC</t>
  </si>
  <si>
    <t>Cadena Alargue Redonda</t>
  </si>
  <si>
    <t>JC101AR</t>
  </si>
  <si>
    <t>Cadena Anine</t>
  </si>
  <si>
    <t>JC101AN</t>
  </si>
  <si>
    <t>Cadena Baby Lenox</t>
  </si>
  <si>
    <t>JC101BL</t>
  </si>
  <si>
    <t>Cadena Bright</t>
  </si>
  <si>
    <t>JC101BR</t>
  </si>
  <si>
    <t>Cadena Cross</t>
  </si>
  <si>
    <t>JC101CR</t>
  </si>
  <si>
    <t>Cadena Fuerza</t>
  </si>
  <si>
    <t>JC101FZ</t>
  </si>
  <si>
    <t>Cadena Lluvia</t>
  </si>
  <si>
    <t>JC101LLV</t>
  </si>
  <si>
    <t>Cadena Orbita</t>
  </si>
  <si>
    <t>JC101OR</t>
  </si>
  <si>
    <t>Cadena Remi</t>
  </si>
  <si>
    <t>JC010RM</t>
  </si>
  <si>
    <t>Choker Buzios</t>
  </si>
  <si>
    <t>JC102CHBZ</t>
  </si>
  <si>
    <t>Collar Armonia</t>
  </si>
  <si>
    <t>JC102ARM</t>
  </si>
  <si>
    <t>Collar Atardecer</t>
  </si>
  <si>
    <t>JC102AT</t>
  </si>
  <si>
    <t>Collar Constelacion</t>
  </si>
  <si>
    <t>JC102CO</t>
  </si>
  <si>
    <t>Collar Colorful Universe</t>
  </si>
  <si>
    <t>JC102CUN</t>
  </si>
  <si>
    <t>Collar Cosmos</t>
  </si>
  <si>
    <t>JC102CM</t>
  </si>
  <si>
    <t>Collar Inicial Nude</t>
  </si>
  <si>
    <t>JC102IcN</t>
  </si>
  <si>
    <t>Collar Inicial Cristal</t>
  </si>
  <si>
    <t>JC102IcCR</t>
  </si>
  <si>
    <t>Collar Inicial Negro</t>
  </si>
  <si>
    <t>JC102IcNG</t>
  </si>
  <si>
    <t>Collar Inicial Multicolor</t>
  </si>
  <si>
    <t>JC102IcM</t>
  </si>
  <si>
    <t>Collar Enamored</t>
  </si>
  <si>
    <t>JC010EN</t>
  </si>
  <si>
    <t>Collar Lucero</t>
  </si>
  <si>
    <t>JC102LC</t>
  </si>
  <si>
    <t>Collar Magic</t>
  </si>
  <si>
    <t>JC102MG</t>
  </si>
  <si>
    <t>Collar Mar</t>
  </si>
  <si>
    <t>JC010MAR</t>
  </si>
  <si>
    <t>Collar Mix Love</t>
  </si>
  <si>
    <t>JC102MixL</t>
  </si>
  <si>
    <t>Collar Nacred</t>
  </si>
  <si>
    <t>JC1O2NC</t>
  </si>
  <si>
    <t>Collar Planeta</t>
  </si>
  <si>
    <t>JC1O2PL</t>
  </si>
  <si>
    <t>Collar Teddy</t>
  </si>
  <si>
    <t>JC102TD</t>
  </si>
  <si>
    <t>Collar The Moon and The Stars</t>
  </si>
  <si>
    <t>JC102TMTS</t>
  </si>
  <si>
    <t>Collar Universo</t>
  </si>
  <si>
    <t>JC102UNI</t>
  </si>
  <si>
    <t>Collar Alba</t>
  </si>
  <si>
    <t>JC102ALB</t>
  </si>
  <si>
    <t>Collar Amber</t>
  </si>
  <si>
    <t>JC1O2AM</t>
  </si>
  <si>
    <t>Collar Arena</t>
  </si>
  <si>
    <t>JC010ARE</t>
  </si>
  <si>
    <t>Collar Aura</t>
  </si>
  <si>
    <t>JC102AU</t>
  </si>
  <si>
    <t>Collar Avocado</t>
  </si>
  <si>
    <t>JC010AVO</t>
  </si>
  <si>
    <t>Collar Azahares</t>
  </si>
  <si>
    <t>JC102AZ</t>
  </si>
  <si>
    <t>Collar Bleu</t>
  </si>
  <si>
    <t>JC1O2BL</t>
  </si>
  <si>
    <t>Collar Boreal</t>
  </si>
  <si>
    <t>JC010BOR</t>
  </si>
  <si>
    <t>Collar Brisa</t>
  </si>
  <si>
    <t>JC102BRI</t>
  </si>
  <si>
    <t>Collar Bruma de Mar</t>
  </si>
  <si>
    <t>JC102BRDM</t>
  </si>
  <si>
    <t>Collar Candy</t>
  </si>
  <si>
    <t>JC010CAN</t>
  </si>
  <si>
    <t>Collar Caramel</t>
  </si>
  <si>
    <t>JC102CAR</t>
  </si>
  <si>
    <t>Collar Cheerful</t>
  </si>
  <si>
    <t>JC102CHE</t>
  </si>
  <si>
    <t>Collar Confite</t>
  </si>
  <si>
    <t>JC102CONF</t>
  </si>
  <si>
    <t>Collar Dia Soleado Rosa</t>
  </si>
  <si>
    <t>JC010DScR</t>
  </si>
  <si>
    <t>Collar Dia Soleado Verde</t>
  </si>
  <si>
    <t>JC010DScV</t>
  </si>
  <si>
    <t>Collar Dia Soleado Lavanda</t>
  </si>
  <si>
    <t>JC010DScL</t>
  </si>
  <si>
    <t>Collar Dia Soleado Turquesa</t>
  </si>
  <si>
    <t>JC010DScT</t>
  </si>
  <si>
    <t>Collar Egeo</t>
  </si>
  <si>
    <t>JC102EG</t>
  </si>
  <si>
    <t>Collar Fases Lunares</t>
  </si>
  <si>
    <t>JC102FL</t>
  </si>
  <si>
    <t>Collar In The Sea</t>
  </si>
  <si>
    <t>JC102ITS</t>
  </si>
  <si>
    <t>Collar Inicial de Nacar Blanco</t>
  </si>
  <si>
    <t>JC010INcB</t>
  </si>
  <si>
    <t>Collar Inicial de Nacar Nude</t>
  </si>
  <si>
    <t>JC010INcNU</t>
  </si>
  <si>
    <t>Collar Inicial de Nacar Amarillo</t>
  </si>
  <si>
    <t>JC010INcA</t>
  </si>
  <si>
    <t>Collar Inicial de Nacar Verde</t>
  </si>
  <si>
    <t>JC010INcV</t>
  </si>
  <si>
    <t>Collar Inicial de Nacar Rosa</t>
  </si>
  <si>
    <t>JC010INcR</t>
  </si>
  <si>
    <t>Collar Intense</t>
  </si>
  <si>
    <t>JC010IN</t>
  </si>
  <si>
    <t>Collar Klein</t>
  </si>
  <si>
    <t>JC010KL</t>
  </si>
  <si>
    <t>Collar Lemon</t>
  </si>
  <si>
    <t>JC010LM</t>
  </si>
  <si>
    <t>Collar Lou</t>
  </si>
  <si>
    <t>JC010LOU</t>
  </si>
  <si>
    <t>Collar Morro</t>
  </si>
  <si>
    <t>JC010MO</t>
  </si>
  <si>
    <t>Collar Naturaleza</t>
  </si>
  <si>
    <t>JC102NAT</t>
  </si>
  <si>
    <t>Collar Neri</t>
  </si>
  <si>
    <t>JC102NE</t>
  </si>
  <si>
    <t>Collar Niza</t>
  </si>
  <si>
    <t>JC102NIZ</t>
  </si>
  <si>
    <t>Collar Oceano Azul</t>
  </si>
  <si>
    <t>JC102OcA</t>
  </si>
  <si>
    <t>Collar Oceano Obispo</t>
  </si>
  <si>
    <t>JC102OcO</t>
  </si>
  <si>
    <t>Collar Oia Naranja</t>
  </si>
  <si>
    <t>JC010OcNJ</t>
  </si>
  <si>
    <t>Collar Oia Negro</t>
  </si>
  <si>
    <t>JC102OcNG</t>
  </si>
  <si>
    <t>Collar Oia Obispo</t>
  </si>
  <si>
    <t>JC010OcO</t>
  </si>
  <si>
    <t>Collar Oia Verde</t>
  </si>
  <si>
    <t>JC010OcVE</t>
  </si>
  <si>
    <t>Collar Oia Violeta</t>
  </si>
  <si>
    <t>JC102OcVI</t>
  </si>
  <si>
    <t>Collar Pearl</t>
  </si>
  <si>
    <t>JC102PEA</t>
  </si>
  <si>
    <t>Collar Pina</t>
  </si>
  <si>
    <t>JC010PI</t>
  </si>
  <si>
    <t>Collar Sienna</t>
  </si>
  <si>
    <t>JC1O2SI</t>
  </si>
  <si>
    <t>Collar Simple Crudo</t>
  </si>
  <si>
    <t>JC102ScCR</t>
  </si>
  <si>
    <t>Collar Simple Nacar</t>
  </si>
  <si>
    <t>JC102ScN</t>
  </si>
  <si>
    <t>Collar Simple Turquesa</t>
  </si>
  <si>
    <t>JC102ScT</t>
  </si>
  <si>
    <t>Collar Tangerine</t>
  </si>
  <si>
    <t>JC102TANG</t>
  </si>
  <si>
    <t>Collar Verano Amarillo</t>
  </si>
  <si>
    <t>JC010VcAM</t>
  </si>
  <si>
    <t>Collar Verano Naranja</t>
  </si>
  <si>
    <t>JC010VcNA</t>
  </si>
  <si>
    <t>Collar Vert</t>
  </si>
  <si>
    <t>JC102VE</t>
  </si>
  <si>
    <t>Collar Vibes</t>
  </si>
  <si>
    <t>JC102VIB</t>
  </si>
  <si>
    <t>Pulsera Amber</t>
  </si>
  <si>
    <t>JP100AM</t>
  </si>
  <si>
    <t>Pulseras</t>
  </si>
  <si>
    <t>Pulsera Amor de Verano Multicolor</t>
  </si>
  <si>
    <t>JP100AVcM</t>
  </si>
  <si>
    <t>Pulsera Amor de Verano Celeste</t>
  </si>
  <si>
    <t>JP100AVcCE</t>
  </si>
  <si>
    <t>Pulsera Anine</t>
  </si>
  <si>
    <t>JP100AN</t>
  </si>
  <si>
    <t>Pulsera Avocado</t>
  </si>
  <si>
    <t>JP010AV</t>
  </si>
  <si>
    <t>Pulsera Boreal</t>
  </si>
  <si>
    <t>JP010BO</t>
  </si>
  <si>
    <t>Pulsera Bridge</t>
  </si>
  <si>
    <t>JP100BR</t>
  </si>
  <si>
    <t>Pulsera Brisa</t>
  </si>
  <si>
    <t>JP100BRI</t>
  </si>
  <si>
    <t>Pulsera Candy</t>
  </si>
  <si>
    <t>JP010CAN</t>
  </si>
  <si>
    <t>Pulsera Caramel</t>
  </si>
  <si>
    <t>JP100CAR</t>
  </si>
  <si>
    <t>Pulsera Chapita Estrella</t>
  </si>
  <si>
    <t>JP100CHE</t>
  </si>
  <si>
    <t>Pulsera Confite</t>
  </si>
  <si>
    <t>JP010CO</t>
  </si>
  <si>
    <t>Pulsera Cristalitos Nude</t>
  </si>
  <si>
    <t>JP100CcN</t>
  </si>
  <si>
    <t>Pulsera Cristalitos Rosa</t>
  </si>
  <si>
    <t>JP100CcROS</t>
  </si>
  <si>
    <t>Pulsera Cristalitos Lima</t>
  </si>
  <si>
    <t>JP100CcLIM</t>
  </si>
  <si>
    <t>Pulsera Cristalitos Rojo</t>
  </si>
  <si>
    <t>JP100CcROJ</t>
  </si>
  <si>
    <t>Pulsera Cristalitos Verde</t>
  </si>
  <si>
    <t>JP100CcV</t>
  </si>
  <si>
    <t>Pulsera Cristalitos Verde agua</t>
  </si>
  <si>
    <t>JP100CcVA</t>
  </si>
  <si>
    <t>Pulsera Cristalitos Verde suerte</t>
  </si>
  <si>
    <t>JP100CcVS</t>
  </si>
  <si>
    <t>Pulsera Cristalitos Celeste</t>
  </si>
  <si>
    <t>JP100CcC</t>
  </si>
  <si>
    <t>Pulsera Cristalitos Blanco</t>
  </si>
  <si>
    <t>JP100CcBL</t>
  </si>
  <si>
    <t>Pulsera Cristalitos Lila</t>
  </si>
  <si>
    <t>JP100CcLIL</t>
  </si>
  <si>
    <t>Pulsera Cristalitos Naranja</t>
  </si>
  <si>
    <t>JP100CcNAR</t>
  </si>
  <si>
    <t>Pulsera Cristalitos Amarillo</t>
  </si>
  <si>
    <t>JP100CcAM</t>
  </si>
  <si>
    <t>Pulsera Cristalitos Negro</t>
  </si>
  <si>
    <t>JP100CcNG</t>
  </si>
  <si>
    <t>Pulsera Cristalitos Durazno</t>
  </si>
  <si>
    <t>JP100CcDZ</t>
  </si>
  <si>
    <t>Pulsera Cristalitos Azul</t>
  </si>
  <si>
    <t>JP100CcAZ</t>
  </si>
  <si>
    <t>Pulsera Dia Soleado Rosa</t>
  </si>
  <si>
    <t>JP010DScR</t>
  </si>
  <si>
    <t>Pulsera Dia Soleado Lavanda</t>
  </si>
  <si>
    <t>JP010DScL</t>
  </si>
  <si>
    <t>Pulsera Dia Soleado Turquesa</t>
  </si>
  <si>
    <t>JP010DScT</t>
  </si>
  <si>
    <t>Pulsera Duo Ojito Rojo y Azul</t>
  </si>
  <si>
    <t>JP100DOcRA</t>
  </si>
  <si>
    <t>Pulsera Duo Ojito Blanco</t>
  </si>
  <si>
    <t>JP100DOcB</t>
  </si>
  <si>
    <t>Pulsera Estrella</t>
  </si>
  <si>
    <t>JP100E</t>
  </si>
  <si>
    <t>Pulsera Golden Eye</t>
  </si>
  <si>
    <t>JP100GOL</t>
  </si>
  <si>
    <t>Pulsera Hamsa</t>
  </si>
  <si>
    <t>JP100HAM</t>
  </si>
  <si>
    <t>Pulsera In The Sea</t>
  </si>
  <si>
    <t>JP010ITS</t>
  </si>
  <si>
    <t>Pulsera Infinito Fucsia y Turquesa</t>
  </si>
  <si>
    <t>JP010IcFT</t>
  </si>
  <si>
    <t>Pulsera Infinito Verde y Rosa</t>
  </si>
  <si>
    <t>JP010IcVR</t>
  </si>
  <si>
    <t>Pulsera Intense</t>
  </si>
  <si>
    <t>JP010INT</t>
  </si>
  <si>
    <t>Pulsera Love Beige</t>
  </si>
  <si>
    <t>JP100LcB</t>
  </si>
  <si>
    <t>Pulsera Love Fucsia</t>
  </si>
  <si>
    <t>JP100LcF</t>
  </si>
  <si>
    <t>Pulsera Love Verde</t>
  </si>
  <si>
    <t>JP100LcVE</t>
  </si>
  <si>
    <t>Pulsera Love Violeta</t>
  </si>
  <si>
    <t>JP100LcVI</t>
  </si>
  <si>
    <t>Pulsera Lucky</t>
  </si>
  <si>
    <t>JP100LUC</t>
  </si>
  <si>
    <t>Pulsera Lucky Star</t>
  </si>
  <si>
    <t>JP100LS</t>
  </si>
  <si>
    <t>Pulsera Manito Hamsa</t>
  </si>
  <si>
    <t>JP100MH</t>
  </si>
  <si>
    <t>Pulsera Morro</t>
  </si>
  <si>
    <t>JP010MO</t>
  </si>
  <si>
    <t>Pulsera Naturaleza</t>
  </si>
  <si>
    <t>JP100NAT</t>
  </si>
  <si>
    <t>Pulsera Oia Verde</t>
  </si>
  <si>
    <t>JP010OcVE</t>
  </si>
  <si>
    <t>Pulsera Oia Obispo</t>
  </si>
  <si>
    <t>JP010OcOB</t>
  </si>
  <si>
    <t>Pulsera Oia Naranja</t>
  </si>
  <si>
    <t>JP010OcNA</t>
  </si>
  <si>
    <t>Pulsera Ojito Blanco</t>
  </si>
  <si>
    <t>JP100OJcB</t>
  </si>
  <si>
    <t>Pulsera Ojito Multicolor</t>
  </si>
  <si>
    <t>JP100OJcM</t>
  </si>
  <si>
    <t>Pulsera Ojito Naranja</t>
  </si>
  <si>
    <t>JP100OJcNAR</t>
  </si>
  <si>
    <t>Pulsera Ojito Celeste</t>
  </si>
  <si>
    <t>JP100OJcC</t>
  </si>
  <si>
    <t>Pulsera Ojito Verde</t>
  </si>
  <si>
    <t>JP100OJcV</t>
  </si>
  <si>
    <t>JP100OJcA</t>
  </si>
  <si>
    <t>Pulsera Ojito Rosa</t>
  </si>
  <si>
    <t>JP100OJcROS</t>
  </si>
  <si>
    <t>JP100OJcNR</t>
  </si>
  <si>
    <t>JP100OJcNA</t>
  </si>
  <si>
    <t>Pulsera Ojo Nacar Corazon Rojo</t>
  </si>
  <si>
    <t>JP100OJNCcR</t>
  </si>
  <si>
    <t>Pulsera Ojo Nacar Estrella Roja</t>
  </si>
  <si>
    <t>JP100OJNEcR</t>
  </si>
  <si>
    <t>Pulsera Ojo Nacar Turquesa</t>
  </si>
  <si>
    <t>JP100OJNcT</t>
  </si>
  <si>
    <t>Pulsera Ojo Nacar Estrella Turquesa</t>
  </si>
  <si>
    <t>JP100OJNEcT</t>
  </si>
  <si>
    <t>Pulsera Orbita</t>
  </si>
  <si>
    <t>JP100OR</t>
  </si>
  <si>
    <t>Pulsera Pearl</t>
  </si>
  <si>
    <t>JP100PEA</t>
  </si>
  <si>
    <t>Pulsera Pina</t>
  </si>
  <si>
    <t>JP010PI</t>
  </si>
  <si>
    <t>Pulsera Simple Crudo</t>
  </si>
  <si>
    <t>JP100ScC</t>
  </si>
  <si>
    <t>Pulsera Simple Turquesa</t>
  </si>
  <si>
    <t>JP100ScT</t>
  </si>
  <si>
    <t>Pulsera Turbillion</t>
  </si>
  <si>
    <t>JP100T</t>
  </si>
  <si>
    <t>Pulsera Vibes</t>
  </si>
  <si>
    <t>JP010VIB</t>
  </si>
  <si>
    <t>Osito Candy Bar</t>
  </si>
  <si>
    <t>KCP101OCB</t>
  </si>
  <si>
    <t>Kids: Cajitas para armar</t>
  </si>
  <si>
    <t>Osito Flower Power</t>
  </si>
  <si>
    <t>KCP101OFP</t>
  </si>
  <si>
    <t>Osito Safari</t>
  </si>
  <si>
    <t>KCP101OS</t>
  </si>
  <si>
    <t>Strap Boreal</t>
  </si>
  <si>
    <t>Straps para celulares</t>
  </si>
  <si>
    <t>Strap Cheerful</t>
  </si>
  <si>
    <t>Bolso Boqueria Celeste</t>
  </si>
  <si>
    <t>B100BcC</t>
  </si>
  <si>
    <t>Bolsos Bolsas y Canastos</t>
  </si>
  <si>
    <t>Bolso Boqueria Rosa</t>
  </si>
  <si>
    <t>B100BcROS</t>
  </si>
  <si>
    <t>Bolso Dia de Verano Crudo</t>
  </si>
  <si>
    <t>B100DVcCR</t>
  </si>
  <si>
    <t>Bolso Dia de Verano Lila</t>
  </si>
  <si>
    <t>B100DVcCL</t>
  </si>
  <si>
    <t>Holder Lao Carey</t>
  </si>
  <si>
    <t>H100LcC</t>
  </si>
  <si>
    <t>Holders para anteojos y tapabocas</t>
  </si>
  <si>
    <t>Holder Lao Crudo</t>
  </si>
  <si>
    <t>H100LcCR</t>
  </si>
  <si>
    <t>Holder Lao Marble</t>
  </si>
  <si>
    <t>H100LcM</t>
  </si>
  <si>
    <t>Holder Lao Negro</t>
  </si>
  <si>
    <t>H100LcNG</t>
  </si>
  <si>
    <t>Holder Lao Mix Beige + Rosa</t>
  </si>
  <si>
    <t>H100LMcBR</t>
  </si>
  <si>
    <t>Holder Lao Mix Carey + Turquesa</t>
  </si>
  <si>
    <t>H100LMcCT</t>
  </si>
  <si>
    <t>Holder Lao Mix Gris + Beige</t>
  </si>
  <si>
    <t>H100LMcGB</t>
  </si>
  <si>
    <t>Holder Lao Mix Marron + Beige</t>
  </si>
  <si>
    <t>H100LMcMB</t>
  </si>
  <si>
    <t>Holder Lao Mix Negro + Carey</t>
  </si>
  <si>
    <t>H100LMcNGC</t>
  </si>
  <si>
    <t>Holder Lao Mix Negro + Marble</t>
  </si>
  <si>
    <t>H100LMcNGMB</t>
  </si>
  <si>
    <t>Holder Lao Mix Verde militar + Marron</t>
  </si>
  <si>
    <t>H100LMcVMM</t>
  </si>
  <si>
    <t>Holder Ming Negro</t>
  </si>
  <si>
    <t>H100MGcNG</t>
  </si>
  <si>
    <t>Holder Ming Crudo</t>
  </si>
  <si>
    <t>H100MGcCR</t>
  </si>
  <si>
    <t>Holder Ming Rosa</t>
  </si>
  <si>
    <t>H100MGcR</t>
  </si>
  <si>
    <t>Holder Neo Carey</t>
  </si>
  <si>
    <t>H100NcC</t>
  </si>
  <si>
    <t>Holder Neo Turquesa</t>
  </si>
  <si>
    <t>H100NcT</t>
  </si>
  <si>
    <t>Holder Neo Beige</t>
  </si>
  <si>
    <t>H100NcB</t>
  </si>
  <si>
    <t>Holder Neo Marble</t>
  </si>
  <si>
    <t>H100NcMB</t>
  </si>
  <si>
    <t>Holder Neo Rosa</t>
  </si>
  <si>
    <t>H100NcR</t>
  </si>
  <si>
    <t>Holder Neo Verde Militar</t>
  </si>
  <si>
    <t>H100NcVM</t>
  </si>
  <si>
    <t>Paño Limpieza</t>
  </si>
  <si>
    <t>PL100PL</t>
  </si>
  <si>
    <t>Panio de limpieza</t>
  </si>
  <si>
    <t>Despojador 1</t>
  </si>
  <si>
    <t>D100N1</t>
  </si>
  <si>
    <t>Despojador 2 (Borde Ondulado)</t>
  </si>
  <si>
    <t>D100N2BO</t>
  </si>
  <si>
    <t>Despojador 3 (Dos Divisiones)</t>
  </si>
  <si>
    <t>D100N3DD</t>
  </si>
  <si>
    <t>D100N4CP</t>
  </si>
  <si>
    <t>Sombrero Cowboy Beige</t>
  </si>
  <si>
    <t>S10OCcB</t>
  </si>
  <si>
    <t>Sombreros</t>
  </si>
  <si>
    <t>Sombrero Cowboy Marron</t>
  </si>
  <si>
    <t>S100CcM</t>
  </si>
  <si>
    <t>HAPPY FACE</t>
  </si>
  <si>
    <t>Ojito colores PD73146</t>
  </si>
  <si>
    <t>OJITO  COLORES</t>
  </si>
  <si>
    <t>Medalla mini estrellas</t>
  </si>
  <si>
    <t>Estrella Colores PD73068</t>
  </si>
  <si>
    <t>OJITO (cristal - colores)</t>
  </si>
  <si>
    <t>COLORFUL STARS</t>
  </si>
  <si>
    <t>Corazon silueta</t>
  </si>
  <si>
    <t>14,3mm</t>
  </si>
  <si>
    <t>Corazon silueta 14,3mm</t>
  </si>
  <si>
    <t>Cubo 3mm</t>
  </si>
  <si>
    <t>Cadena Espejito</t>
  </si>
  <si>
    <t>JC101ES</t>
  </si>
  <si>
    <t>costo int + caj + bol</t>
  </si>
  <si>
    <t>ORION (cristal- colores)</t>
  </si>
  <si>
    <t>FUNGHI / HONGUITO ROSA</t>
  </si>
  <si>
    <t>GLAM</t>
  </si>
  <si>
    <t>BOLSO BOQUERIA</t>
  </si>
  <si>
    <t>BOLSO DIA DE VERANO -CROCHET</t>
  </si>
  <si>
    <t>Despojador 4 (2 Piezas)</t>
  </si>
  <si>
    <t>DESPOJADOR 1</t>
  </si>
  <si>
    <t>Precio x uni</t>
  </si>
  <si>
    <t>Marron 2mm</t>
  </si>
  <si>
    <t xml:space="preserve">Medalla ojo cristal </t>
  </si>
  <si>
    <t>34 x 28 mm</t>
  </si>
  <si>
    <t xml:space="preserve">Maxi broche </t>
  </si>
  <si>
    <t>LAGOA M</t>
  </si>
  <si>
    <t>Gargantilla</t>
  </si>
  <si>
    <t>Libro osito</t>
  </si>
  <si>
    <t>Crayones de cera</t>
  </si>
  <si>
    <t xml:space="preserve">Tarjeta osito </t>
  </si>
  <si>
    <t>Plancha stickers</t>
  </si>
  <si>
    <t>LIBRO OSITO</t>
  </si>
  <si>
    <t>JA105COR</t>
  </si>
  <si>
    <t>Aros Orion Colorful</t>
  </si>
  <si>
    <t xml:space="preserve"> CORAZON</t>
  </si>
  <si>
    <t>CORREAS PARA CELULAR</t>
  </si>
  <si>
    <t>Rubi rojo</t>
  </si>
  <si>
    <t>Millefiori flores</t>
  </si>
  <si>
    <t>Flor naranja</t>
  </si>
  <si>
    <t>Tobillera ovalada</t>
  </si>
  <si>
    <t>Completas bolitas</t>
  </si>
  <si>
    <t>Cadena chanel 1mt</t>
  </si>
  <si>
    <t>Piedras Turq/negro dona 2x4</t>
  </si>
  <si>
    <t>Cubito 4mm</t>
  </si>
  <si>
    <t>REDONDEO</t>
  </si>
  <si>
    <t>General</t>
  </si>
  <si>
    <t>REGALO</t>
  </si>
  <si>
    <t>Solitario Ojito Colores</t>
  </si>
  <si>
    <t>Solitario Happy Face</t>
  </si>
  <si>
    <t>JA105HF</t>
  </si>
  <si>
    <t>Solitario Colorful Stars</t>
  </si>
  <si>
    <t>JA105CFS</t>
  </si>
  <si>
    <t xml:space="preserve">Solitario Brillo </t>
  </si>
  <si>
    <t>JA105BR</t>
  </si>
  <si>
    <t>Solitario Ojo Gold</t>
  </si>
  <si>
    <t>JA105OG</t>
  </si>
  <si>
    <t>Aros Lagoa M</t>
  </si>
  <si>
    <t>JA103LM</t>
  </si>
  <si>
    <t>Gargantilla Lines</t>
  </si>
  <si>
    <t>JC103GL</t>
  </si>
  <si>
    <t>Brazalete Lines</t>
  </si>
  <si>
    <t>JP103BL</t>
  </si>
  <si>
    <t>Pulsera Cosmos</t>
  </si>
  <si>
    <t>JP100CM</t>
  </si>
  <si>
    <t>Collar Bosque</t>
  </si>
  <si>
    <t>JC102BOS</t>
  </si>
  <si>
    <t>Pusera Bosque</t>
  </si>
  <si>
    <t>JP100BOS</t>
  </si>
  <si>
    <t>Pulsera Ojito Azul hilo Negro</t>
  </si>
  <si>
    <t>Pulsera Ojito Negro hilo Azul</t>
  </si>
  <si>
    <t>Pulsera Ojito Rojo hilo Azul</t>
  </si>
  <si>
    <t>COSMOS / BOSQUE</t>
  </si>
  <si>
    <t>BRAZALETE LINES</t>
  </si>
  <si>
    <t>GARGANTILLA LINES</t>
  </si>
  <si>
    <t>LETRAS VOCALES</t>
  </si>
  <si>
    <t>Sicker</t>
  </si>
  <si>
    <t>Precio x kg</t>
  </si>
  <si>
    <t>Gramos</t>
  </si>
  <si>
    <t>ST100B</t>
  </si>
  <si>
    <t>ST100CH</t>
  </si>
  <si>
    <t>Celeste bien chato</t>
  </si>
  <si>
    <t>Azul bien chato</t>
  </si>
  <si>
    <t>Verde bien chato</t>
  </si>
  <si>
    <t>Naranja translucido</t>
  </si>
  <si>
    <t>Perlas redondas chicas</t>
  </si>
  <si>
    <t xml:space="preserve">Mosqueton </t>
  </si>
  <si>
    <t>Mostacilla grande</t>
  </si>
  <si>
    <t xml:space="preserve">Aprieta tanza </t>
  </si>
  <si>
    <t xml:space="preserve">Perlas </t>
  </si>
  <si>
    <t>Sobres chicos</t>
  </si>
  <si>
    <t>Piedra turquesa dona</t>
  </si>
  <si>
    <t>2,5mm</t>
  </si>
  <si>
    <t>Hilo tipo brazil marron</t>
  </si>
  <si>
    <t>Hilo tipo brazil verde / turquesa</t>
  </si>
  <si>
    <t>Verde/turquesa 2,5mm</t>
  </si>
  <si>
    <t>Naranja/ amarillo2mm</t>
  </si>
  <si>
    <t>Cadena 5 rolo x 1 largo</t>
  </si>
  <si>
    <t>caja+bolsa</t>
  </si>
  <si>
    <t xml:space="preserve">Argolla </t>
  </si>
  <si>
    <t>Precio u</t>
  </si>
  <si>
    <t>Alfiler</t>
  </si>
  <si>
    <t xml:space="preserve">Aros gota topito </t>
  </si>
  <si>
    <t>13,5mm</t>
  </si>
  <si>
    <t>Argollas red</t>
  </si>
  <si>
    <t>12mm/13,5mm</t>
  </si>
  <si>
    <t>Aros gota topito</t>
  </si>
  <si>
    <t xml:space="preserve">Alfiler </t>
  </si>
  <si>
    <t>Perla naturaleza</t>
  </si>
  <si>
    <t>Precio un</t>
  </si>
  <si>
    <t>Corazon Fimo</t>
  </si>
  <si>
    <t>FIMO (encargue)</t>
  </si>
  <si>
    <t>Hilo tipo brazil -marron</t>
  </si>
  <si>
    <t>Maxi broche</t>
  </si>
  <si>
    <t>Canoa</t>
  </si>
  <si>
    <t>Millefiori flores amarillas</t>
  </si>
  <si>
    <t>Coralina</t>
  </si>
  <si>
    <t>Verde facetadas 6mm 2119</t>
  </si>
  <si>
    <t>Verde facetadas 8mm 2120</t>
  </si>
  <si>
    <t xml:space="preserve">Amarillo red gde </t>
  </si>
  <si>
    <t>Amarillo xxl lemon</t>
  </si>
  <si>
    <t>Transarentes chatas</t>
  </si>
  <si>
    <t>Rojas 5mm</t>
  </si>
  <si>
    <t>Roja redondita 4mm</t>
  </si>
  <si>
    <t>Hilo algodón encerado</t>
  </si>
  <si>
    <t>Crudo</t>
  </si>
  <si>
    <t>Beig HT28</t>
  </si>
  <si>
    <t xml:space="preserve">Turquesa </t>
  </si>
  <si>
    <t>Flor roja</t>
  </si>
  <si>
    <t>Roja</t>
  </si>
  <si>
    <t>Aventurina facetada</t>
  </si>
  <si>
    <t xml:space="preserve">Aventurina lisa </t>
  </si>
  <si>
    <t>Lisa naranja 12mm</t>
  </si>
  <si>
    <t>Lisa verde 14mm</t>
  </si>
  <si>
    <t>Bananas</t>
  </si>
  <si>
    <t>A10294-01</t>
  </si>
  <si>
    <t>Mediana 12mm</t>
  </si>
  <si>
    <t>Chica 6mm</t>
  </si>
  <si>
    <t>Redondas chicas 5mm</t>
  </si>
  <si>
    <t>Redondas chicas 3mm</t>
  </si>
  <si>
    <t>A11127</t>
  </si>
  <si>
    <t>A11129</t>
  </si>
  <si>
    <t>A11128</t>
  </si>
  <si>
    <t>Buzio grande</t>
  </si>
  <si>
    <t>Cadena bolitas 4mm</t>
  </si>
  <si>
    <t>BOTAFOGO</t>
  </si>
  <si>
    <t>Hilo tipo brazil naranja</t>
  </si>
  <si>
    <t>NARANJA PERLA</t>
  </si>
  <si>
    <t xml:space="preserve">Agata verde </t>
  </si>
  <si>
    <t>DIVERSION</t>
  </si>
  <si>
    <t>Bolitas vidrio</t>
  </si>
  <si>
    <t>Mostacillas grandes</t>
  </si>
  <si>
    <t>sobre</t>
  </si>
  <si>
    <t>Flor milefiori</t>
  </si>
  <si>
    <t>REGALO FLOR</t>
  </si>
  <si>
    <t>TROPICO</t>
  </si>
  <si>
    <t>BASIC S-M</t>
  </si>
  <si>
    <t>LEBLON</t>
  </si>
  <si>
    <t>OLA</t>
  </si>
  <si>
    <t>Clip</t>
  </si>
  <si>
    <t xml:space="preserve">TURQUESA </t>
  </si>
  <si>
    <t>Terlenca turquesa</t>
  </si>
  <si>
    <t xml:space="preserve">Piedra turquesa reconstituida </t>
  </si>
  <si>
    <t>Conector U</t>
  </si>
  <si>
    <t>Hilo de algodón</t>
  </si>
  <si>
    <t>Bolitas madera</t>
  </si>
  <si>
    <t>Coralina coral</t>
  </si>
  <si>
    <t>Dije corazon</t>
  </si>
  <si>
    <t xml:space="preserve">Mostacillas </t>
  </si>
  <si>
    <t>Perlas y roja</t>
  </si>
  <si>
    <t>Sobre chico</t>
  </si>
  <si>
    <t>Vidrio turco rojas 4mm</t>
  </si>
  <si>
    <t>verde</t>
  </si>
  <si>
    <t>Piedra reconstituida turquesa</t>
  </si>
  <si>
    <t>TRANSPARENTE</t>
  </si>
  <si>
    <t>Vidrio transparente</t>
  </si>
  <si>
    <t>FLOR ROJA</t>
  </si>
  <si>
    <t>Argolla p/llavero P/25 plana</t>
  </si>
  <si>
    <t>Mosqueton chato P/12 NQ 7411-0241</t>
  </si>
  <si>
    <t>Redondas claritas ADA230</t>
  </si>
  <si>
    <t xml:space="preserve">Caracol bla nacar </t>
  </si>
  <si>
    <t>Piedra turquesa oscuro</t>
  </si>
  <si>
    <t>Ágatas</t>
  </si>
  <si>
    <t>COCO</t>
  </si>
  <si>
    <t>Chatos claros 13 mm</t>
  </si>
  <si>
    <t>MOSTACILLAS CHECAS</t>
  </si>
  <si>
    <t>Aros Burle S</t>
  </si>
  <si>
    <t>Aros Burle M</t>
  </si>
  <si>
    <t>Redonda grande xl JyR</t>
  </si>
  <si>
    <t>Bombe perforado</t>
  </si>
  <si>
    <t>Corazon bombe perforado</t>
  </si>
  <si>
    <t>2.5</t>
  </si>
  <si>
    <t>Cubo  4mm</t>
  </si>
  <si>
    <t>Cubo biselado 4mm</t>
  </si>
  <si>
    <t>Chapita esrella</t>
  </si>
  <si>
    <t>Rayo colores</t>
  </si>
  <si>
    <t>Armonia (forcet con tramos)</t>
  </si>
  <si>
    <t>AROS CIRCON</t>
  </si>
  <si>
    <t>DESPOJADOR 2 (borde ondulado)</t>
  </si>
  <si>
    <t>DESPOJADOR 3 (DOS DIVISIONES)</t>
  </si>
  <si>
    <t>BUZIO (verde - turquesa- amarillo)</t>
  </si>
  <si>
    <t>BUBBLE AMARILLO</t>
  </si>
  <si>
    <t>BUBBLE ROJO</t>
  </si>
  <si>
    <t>BUBBLE TRASPARENTE</t>
  </si>
  <si>
    <t>COLORIDO</t>
  </si>
  <si>
    <t>Piedra turquesa oscura 16mm</t>
  </si>
  <si>
    <t xml:space="preserve">Piedras amarillas mediana </t>
  </si>
  <si>
    <t>Perla redonda grande xl JyR</t>
  </si>
  <si>
    <t>Separadores dona chata</t>
  </si>
  <si>
    <t>Mosqueton grande 15mm</t>
  </si>
  <si>
    <t>Mosqueton 15mm</t>
  </si>
  <si>
    <t>Cocos</t>
  </si>
  <si>
    <t>COCOS</t>
  </si>
  <si>
    <t>MAREA</t>
  </si>
  <si>
    <t>DROP M</t>
  </si>
  <si>
    <t>ARRECIFE</t>
  </si>
  <si>
    <t>Hueco grande 10mm</t>
  </si>
  <si>
    <t xml:space="preserve"> 1.5 x 0,8cm</t>
  </si>
  <si>
    <t>2,7 x 1,7cm</t>
  </si>
  <si>
    <t>LLAVEROS VERDE - TURQUESA</t>
  </si>
  <si>
    <t>LLAVERO NARANJA</t>
  </si>
  <si>
    <t>FLORES AMARILLAS</t>
  </si>
  <si>
    <t>ANILLO ALEGRIA</t>
  </si>
  <si>
    <t>ANILLO FLORES AMARILLAS</t>
  </si>
  <si>
    <t xml:space="preserve">Etiqueta </t>
  </si>
  <si>
    <t>Vidrio naranja (Palais) A10606</t>
  </si>
  <si>
    <t xml:space="preserve">Vidrio amarillo </t>
  </si>
  <si>
    <t xml:space="preserve">Alambre </t>
  </si>
  <si>
    <t>#3</t>
  </si>
  <si>
    <t>Perlas P020</t>
  </si>
  <si>
    <t>ALEGRIA (COLORES)</t>
  </si>
  <si>
    <t>ILHA</t>
  </si>
  <si>
    <t>costo int + caja + bolsa</t>
  </si>
  <si>
    <t>ALEGRIA AMARILLO</t>
  </si>
  <si>
    <t>Cuff</t>
  </si>
  <si>
    <t>Argollas eslabones (CHAIN)</t>
  </si>
  <si>
    <t>Argollas eslabones</t>
  </si>
  <si>
    <t>Vison 2x4</t>
  </si>
  <si>
    <t>Marrones 3x2</t>
  </si>
  <si>
    <t>Discos de nacar 3mm</t>
  </si>
  <si>
    <t>Howlite Turquesa</t>
  </si>
  <si>
    <t>Amarillo y verde</t>
  </si>
  <si>
    <t>Buzios</t>
  </si>
  <si>
    <t>Chanel cada 1cm aplastada (colorfull U)</t>
  </si>
  <si>
    <t>Argolla p/llavero 1.8 x 10</t>
  </si>
  <si>
    <t xml:space="preserve">Argolla p/llavero 1.8 x 11 </t>
  </si>
  <si>
    <t xml:space="preserve">Tanza </t>
  </si>
  <si>
    <t>Dije acrilico flor / banana</t>
  </si>
  <si>
    <t>Dije acrilico ML</t>
  </si>
  <si>
    <t>Dije acrilico B/F</t>
  </si>
  <si>
    <t>Largo Metros</t>
  </si>
  <si>
    <t>Argolla niquel 11mm</t>
  </si>
  <si>
    <t>Peso bolsa gr</t>
  </si>
  <si>
    <t>LLAVERO BANANA / TROPICO</t>
  </si>
  <si>
    <t xml:space="preserve">Vidrios transparentes </t>
  </si>
  <si>
    <t>Cocos claros</t>
  </si>
  <si>
    <t xml:space="preserve">Cocos oscuros </t>
  </si>
  <si>
    <t>Cocos rectangulos</t>
  </si>
  <si>
    <t>Tipo gota chiquitas jyr</t>
  </si>
  <si>
    <t>Perlas (gota chiquitas jyr)</t>
  </si>
  <si>
    <t>A11127 3mm</t>
  </si>
  <si>
    <t>Vidrios transparente</t>
  </si>
  <si>
    <t>SIMPLE NUEVO</t>
  </si>
  <si>
    <t>Aros red (basic)</t>
  </si>
  <si>
    <t xml:space="preserve">Cubano italiano micropave con circon </t>
  </si>
  <si>
    <t>PA73072</t>
  </si>
  <si>
    <t>CHILI</t>
  </si>
  <si>
    <t>BANANA</t>
  </si>
  <si>
    <t>Banana</t>
  </si>
  <si>
    <t>Chili</t>
  </si>
  <si>
    <t>Chilly 2cm</t>
  </si>
  <si>
    <t xml:space="preserve">Chilly </t>
  </si>
  <si>
    <t>VERANO VERDE</t>
  </si>
  <si>
    <t>AMOR DE VERANO CORAZON VERDE</t>
  </si>
  <si>
    <t>LAZO PEARL</t>
  </si>
  <si>
    <t>Cros</t>
  </si>
  <si>
    <t>Glam</t>
  </si>
  <si>
    <t xml:space="preserve">Dije ojo </t>
  </si>
  <si>
    <t>QUERER ACTUAL</t>
  </si>
  <si>
    <t>Cubano italiano micropave circon</t>
  </si>
  <si>
    <t>Simple (bold)</t>
  </si>
  <si>
    <t>BOLSO BANANAS</t>
  </si>
  <si>
    <t>Cadena rolo 5mm</t>
  </si>
  <si>
    <t xml:space="preserve">Forcet rectangular </t>
  </si>
  <si>
    <t xml:space="preserve">Flores doradas </t>
  </si>
  <si>
    <t>SAL DE MAR</t>
  </si>
  <si>
    <t>CIRCON CON STRASS</t>
  </si>
  <si>
    <t>BOTANICO</t>
  </si>
  <si>
    <t>GOTAS</t>
  </si>
  <si>
    <t>CRISTALINO</t>
  </si>
  <si>
    <t>IPANEMA</t>
  </si>
  <si>
    <t>BARRA</t>
  </si>
  <si>
    <t>TIJUCA</t>
  </si>
  <si>
    <t>Nácar</t>
  </si>
  <si>
    <t>CHILLY/BANANA</t>
  </si>
  <si>
    <t>papel</t>
  </si>
  <si>
    <t>buzio marron</t>
  </si>
  <si>
    <t>buzio blanco</t>
  </si>
  <si>
    <t>tira caracoles</t>
  </si>
  <si>
    <t>trabatanza</t>
  </si>
  <si>
    <t>hilo chino</t>
  </si>
  <si>
    <t>cubo biselado</t>
  </si>
  <si>
    <t>SOMBRERO COLORIDO</t>
  </si>
  <si>
    <t>SOMBRERO VERAO</t>
  </si>
  <si>
    <t>SOMBRERO IPANEMA</t>
  </si>
  <si>
    <t xml:space="preserve">dije caracol bañado </t>
  </si>
  <si>
    <t>turquesa</t>
  </si>
  <si>
    <t>howlite verde</t>
  </si>
  <si>
    <t>vidrios chatos</t>
  </si>
  <si>
    <t>vidrios largos</t>
  </si>
  <si>
    <t>6 mm</t>
  </si>
  <si>
    <t>12 mm</t>
  </si>
  <si>
    <t>8 mm</t>
  </si>
  <si>
    <t>Dije chily</t>
  </si>
  <si>
    <t>PERLA</t>
  </si>
  <si>
    <t>Perla PO6</t>
  </si>
  <si>
    <t>Bolso</t>
  </si>
  <si>
    <t>Hilo tipo brasil naranja</t>
  </si>
  <si>
    <t>Vidrio tubo corto amarillo (PALAIS)</t>
  </si>
  <si>
    <t>Vidrio tubo corto naranja (PALAIS)</t>
  </si>
  <si>
    <t xml:space="preserve">Perla puntos </t>
  </si>
  <si>
    <t>Dije bottega</t>
  </si>
  <si>
    <t xml:space="preserve">Aros Zoe </t>
  </si>
  <si>
    <t>BRIO</t>
  </si>
  <si>
    <t>VIGOR</t>
  </si>
  <si>
    <t>Aros Monaco #5 (VIGOR)</t>
  </si>
  <si>
    <t>Aros Monaco</t>
  </si>
  <si>
    <t>Piedra howlite verde facetada</t>
  </si>
  <si>
    <t>Vidrio amarillo oval</t>
  </si>
  <si>
    <t>Papel</t>
  </si>
  <si>
    <t>Hilo chino beige</t>
  </si>
  <si>
    <t>BOLSO PRAIA</t>
  </si>
  <si>
    <t>costo int + bol</t>
  </si>
  <si>
    <t>bolsa</t>
  </si>
  <si>
    <t>c/bolsa</t>
  </si>
  <si>
    <t>BRUMA</t>
  </si>
  <si>
    <t>Corazon turquesa</t>
  </si>
  <si>
    <t>CORAZON TURQUESA</t>
  </si>
  <si>
    <t>FLOR DORADA</t>
  </si>
  <si>
    <t>Flor dorada</t>
  </si>
  <si>
    <t>Forcet rectangular</t>
  </si>
  <si>
    <t>TERLENCA (beig-negro-marron)</t>
  </si>
  <si>
    <t>Bolitas de vidrio</t>
  </si>
  <si>
    <t xml:space="preserve">Hilo algodón </t>
  </si>
  <si>
    <t xml:space="preserve">Naranja/turquesa </t>
  </si>
  <si>
    <t>Beig/blanco</t>
  </si>
  <si>
    <t xml:space="preserve">Verde </t>
  </si>
  <si>
    <t xml:space="preserve">Jaspe cebra </t>
  </si>
  <si>
    <t>Collar caracol</t>
  </si>
  <si>
    <t>Cuadradas pasante</t>
  </si>
  <si>
    <t>Agatas redonda facetadas</t>
  </si>
  <si>
    <t>Ojo de tigre</t>
  </si>
  <si>
    <t>Precinto</t>
  </si>
  <si>
    <t>Hilo tipo brazil negro</t>
  </si>
  <si>
    <t>Cuadradas pasante verde</t>
  </si>
  <si>
    <t>Cuadradas pasante negra/blanco</t>
  </si>
  <si>
    <t xml:space="preserve"> BOSQUE NEW</t>
  </si>
  <si>
    <t>Piedras agatas facetadas redondas</t>
  </si>
  <si>
    <t>GORRO TEJIDO</t>
  </si>
  <si>
    <t>Gorro</t>
  </si>
  <si>
    <t>Hilo tipo brazil negro/marron</t>
  </si>
  <si>
    <t>Arandela (eslabón de cadena)</t>
  </si>
  <si>
    <t>NATAL</t>
  </si>
  <si>
    <t>FORA</t>
  </si>
  <si>
    <t>MARIMBA</t>
  </si>
  <si>
    <t>Hilo algodón (naranja-turq)</t>
  </si>
  <si>
    <t>Piedra reconstituida - turquesa</t>
  </si>
  <si>
    <t>Bolitas terminal</t>
  </si>
  <si>
    <t>Hilo algodón (beig-blanco)</t>
  </si>
  <si>
    <t xml:space="preserve">Vidrio turco - rojo </t>
  </si>
  <si>
    <t>BARRA PEDIDO</t>
  </si>
  <si>
    <t xml:space="preserve">Howlite </t>
  </si>
  <si>
    <t>Bolita terminal</t>
  </si>
  <si>
    <t>Etiqueta tela</t>
  </si>
  <si>
    <t>6x8</t>
  </si>
  <si>
    <t>4x6</t>
  </si>
  <si>
    <t>PIPA - TURQUESA</t>
  </si>
  <si>
    <t>PIPA - CRUDO</t>
  </si>
  <si>
    <t>Hilo algodón (beig/blanco)</t>
  </si>
  <si>
    <t>Vidrio turco - rojo</t>
  </si>
  <si>
    <t>Hilo chino - beig</t>
  </si>
  <si>
    <t>PIPA - NARANJA</t>
  </si>
  <si>
    <t>Perla P02L</t>
  </si>
  <si>
    <t>Perla A10887</t>
  </si>
  <si>
    <t>caja + bolsa</t>
  </si>
  <si>
    <t xml:space="preserve">Corto </t>
  </si>
  <si>
    <t>Par base aro 115</t>
  </si>
  <si>
    <t>Aros drop S (oro/plata)</t>
  </si>
  <si>
    <t>Dije bottega  (oro/plata)</t>
  </si>
  <si>
    <t>Aros Zoe #7 (BRIO)(oro/plata)</t>
  </si>
  <si>
    <t>Audaz (oro/plata)</t>
  </si>
  <si>
    <t>Cilindro PGF 8,2mm x 6mm</t>
  </si>
  <si>
    <t>Espermatozoide</t>
  </si>
  <si>
    <t>Bordo</t>
  </si>
  <si>
    <t>Jaspe dalmata</t>
  </si>
  <si>
    <t>Jadeita Verde</t>
  </si>
  <si>
    <t>Punta de flecha</t>
  </si>
  <si>
    <t xml:space="preserve">Cuarzo ahumado </t>
  </si>
  <si>
    <t>Ojo de halcon</t>
  </si>
  <si>
    <t>Gris</t>
  </si>
  <si>
    <t>ESCALLAS</t>
  </si>
  <si>
    <t xml:space="preserve">Jadeita </t>
  </si>
  <si>
    <t>Cuarzo verde bolita facetadas</t>
  </si>
  <si>
    <t xml:space="preserve">Unakita </t>
  </si>
  <si>
    <t>Negra/verde/Natural</t>
  </si>
  <si>
    <t xml:space="preserve">Cuadrado </t>
  </si>
  <si>
    <t xml:space="preserve">DIJES </t>
  </si>
  <si>
    <t xml:space="preserve">Flor roja </t>
  </si>
  <si>
    <t>Flor naranja (tropico)</t>
  </si>
  <si>
    <t>Bolita pulsera bañada en oro</t>
  </si>
  <si>
    <t>Cilindo imantado</t>
  </si>
  <si>
    <t xml:space="preserve">Flor plateada </t>
  </si>
  <si>
    <t>3,5cm</t>
  </si>
  <si>
    <t>DROP S ORO</t>
  </si>
  <si>
    <t xml:space="preserve">Mil vueltas </t>
  </si>
  <si>
    <t xml:space="preserve">Redondo </t>
  </si>
  <si>
    <t>Dona chata 3,8mm x 1,4mm</t>
  </si>
  <si>
    <t>ALAMBRE</t>
  </si>
  <si>
    <t>Mini cristal punto de luz  (nuevo)</t>
  </si>
  <si>
    <t xml:space="preserve">Broche flor </t>
  </si>
  <si>
    <t>Broche rectangulo liso</t>
  </si>
  <si>
    <t>Agatas verdes</t>
  </si>
  <si>
    <t>Flor chata</t>
  </si>
  <si>
    <t>Argollas plata</t>
  </si>
  <si>
    <t xml:space="preserve">AROS </t>
  </si>
  <si>
    <t>Hilo tipo brazil - negro</t>
  </si>
  <si>
    <t>Bolita plata</t>
  </si>
  <si>
    <t>Argollas bisagras 1,5x2</t>
  </si>
  <si>
    <t>Argollas bisagras 2,1x2</t>
  </si>
  <si>
    <t>Argollas bisagras 1,9x3</t>
  </si>
  <si>
    <t>Argollas bisagras 2,2x4</t>
  </si>
  <si>
    <t xml:space="preserve">Argollas bisagras 2,5x4 </t>
  </si>
  <si>
    <t xml:space="preserve">Tunel </t>
  </si>
  <si>
    <t>Balin PGF 5mm (SE3)</t>
  </si>
  <si>
    <t>Balin PGF 6mm (SE4)</t>
  </si>
  <si>
    <t>Balin PGF 3mm (SE1)</t>
  </si>
  <si>
    <t>Redondas lazo plata/oro</t>
  </si>
  <si>
    <t xml:space="preserve">Precio x m2 </t>
  </si>
  <si>
    <t>Precio total x compra</t>
  </si>
  <si>
    <t>m.o</t>
  </si>
  <si>
    <t>Plata plus</t>
  </si>
  <si>
    <t>Jade limon</t>
  </si>
  <si>
    <t xml:space="preserve">Onix creta </t>
  </si>
  <si>
    <t xml:space="preserve">Cuarzo verde </t>
  </si>
  <si>
    <t>Onix Cielo</t>
  </si>
  <si>
    <t>Onix Marron</t>
  </si>
  <si>
    <t xml:space="preserve">Ojo de tigre </t>
  </si>
  <si>
    <t>Marinero con capuchon</t>
  </si>
  <si>
    <t>2 cm</t>
  </si>
  <si>
    <t xml:space="preserve">Marinero </t>
  </si>
  <si>
    <t>MOSQUETONES</t>
  </si>
  <si>
    <t>Canoa 6mm (657)</t>
  </si>
  <si>
    <t>Canoa 8mm (658)</t>
  </si>
  <si>
    <t>Bolitas (653)</t>
  </si>
  <si>
    <t>Forcet 1/2 caña (14535)</t>
  </si>
  <si>
    <t>Bolita 12mm (3380)</t>
  </si>
  <si>
    <t>Precio Bolsa</t>
  </si>
  <si>
    <t>Amarillas (amber) 4x6</t>
  </si>
  <si>
    <t>Bordo 8x12</t>
  </si>
  <si>
    <t>8x15mm</t>
  </si>
  <si>
    <t xml:space="preserve">Hilo polyester </t>
  </si>
  <si>
    <t xml:space="preserve">Marron </t>
  </si>
  <si>
    <t xml:space="preserve">Pulsera hilo </t>
  </si>
  <si>
    <t>marron/beig /bordo</t>
  </si>
  <si>
    <t>Mosqueton (N15)</t>
  </si>
  <si>
    <t>Mosqueton (N19)</t>
  </si>
  <si>
    <t>Dona chata 2mm x 6mm</t>
  </si>
  <si>
    <t>A10294-12</t>
  </si>
  <si>
    <t>Vison rosado 4x6 (Palais #13)</t>
  </si>
  <si>
    <t>Bordo 8mm</t>
  </si>
  <si>
    <t>Vison rosado</t>
  </si>
  <si>
    <t>Lima</t>
  </si>
  <si>
    <t>Bolita plastico metalizado 8mm 10g</t>
  </si>
  <si>
    <t>Bolita plateada</t>
  </si>
  <si>
    <t xml:space="preserve">Bolsa chica </t>
  </si>
  <si>
    <t>Negras matiz 4mm</t>
  </si>
  <si>
    <t>Forcet cuadrada 5mm</t>
  </si>
  <si>
    <t>Dije cuff audaz</t>
  </si>
  <si>
    <t xml:space="preserve">LEBLON PLATA </t>
  </si>
  <si>
    <t>Dije maxi broche</t>
  </si>
  <si>
    <t xml:space="preserve">Piedra onix creta </t>
  </si>
  <si>
    <t>Hilo tipo brazil bordo</t>
  </si>
  <si>
    <t xml:space="preserve">Vidrio cuadrado verde </t>
  </si>
  <si>
    <t xml:space="preserve">Aros topito estrella 4 puntas </t>
  </si>
  <si>
    <t xml:space="preserve">6mm </t>
  </si>
  <si>
    <t>Escallas lima</t>
  </si>
  <si>
    <t>Sobre grande</t>
  </si>
  <si>
    <t>Agatas lima</t>
  </si>
  <si>
    <t xml:space="preserve">Lima 6mm </t>
  </si>
  <si>
    <t>Agatas redondas LISA</t>
  </si>
  <si>
    <t>Agatas redondas facetadas</t>
  </si>
  <si>
    <t>PLASTICO</t>
  </si>
  <si>
    <t>Rectangular marron</t>
  </si>
  <si>
    <t>Rectangular bordo</t>
  </si>
  <si>
    <t>Jadeita</t>
  </si>
  <si>
    <t>Unakita</t>
  </si>
  <si>
    <t>Mostacillas marrones</t>
  </si>
  <si>
    <t>Dona chata 3,8x1,4mm</t>
  </si>
  <si>
    <t xml:space="preserve">Agatas verdes </t>
  </si>
  <si>
    <t>Agatas bordo</t>
  </si>
  <si>
    <t>Howlite turquesa</t>
  </si>
  <si>
    <t>Howlite crudo</t>
  </si>
  <si>
    <t>Bolita vidrio</t>
  </si>
  <si>
    <t>Agatas negra/verde/natural</t>
  </si>
  <si>
    <t>Vidrio naranja traslucido</t>
  </si>
  <si>
    <t xml:space="preserve">Hilo polyester fuerte </t>
  </si>
  <si>
    <t xml:space="preserve">Bordo </t>
  </si>
  <si>
    <t xml:space="preserve">Negro </t>
  </si>
  <si>
    <t xml:space="preserve">Crema </t>
  </si>
  <si>
    <t>Tostado</t>
  </si>
  <si>
    <t xml:space="preserve">Cadena rolo </t>
  </si>
  <si>
    <t>5x8</t>
  </si>
  <si>
    <t>Hilo polyestrer fuerte bordo</t>
  </si>
  <si>
    <t>Cierre flor dorada</t>
  </si>
  <si>
    <t>Hilo polyestrer fuerte negro</t>
  </si>
  <si>
    <t>Agatas redondas negras matiz</t>
  </si>
  <si>
    <t>FORTALEZA</t>
  </si>
  <si>
    <t>FORTALEZA 2 IGUALES</t>
  </si>
  <si>
    <t xml:space="preserve">Argollas </t>
  </si>
  <si>
    <t xml:space="preserve">PERLAS POR PESO </t>
  </si>
  <si>
    <t>Collar pearl</t>
  </si>
  <si>
    <t>$ gramo</t>
  </si>
  <si>
    <t>P027</t>
  </si>
  <si>
    <t>Redonda de un lado chata</t>
  </si>
  <si>
    <t>A11402</t>
  </si>
  <si>
    <t>Redondas 5-6mm</t>
  </si>
  <si>
    <t>Redondas  3-4mm</t>
  </si>
  <si>
    <t>P028</t>
  </si>
  <si>
    <t>P025A</t>
  </si>
  <si>
    <t>Collar bruma</t>
  </si>
  <si>
    <t xml:space="preserve">P025B </t>
  </si>
  <si>
    <t>P025C</t>
  </si>
  <si>
    <t>Chatas texturadas</t>
  </si>
  <si>
    <t>Chatas bien blancas</t>
  </si>
  <si>
    <t>A1129</t>
  </si>
  <si>
    <t>Cristalitos azul</t>
  </si>
  <si>
    <t>Piedra jaspe dalmata</t>
  </si>
  <si>
    <t>Precio x m finales a usar</t>
  </si>
  <si>
    <t>ZA49</t>
  </si>
  <si>
    <t>Aros topito estrella 4 puntas ZA49</t>
  </si>
  <si>
    <t>9,7mm</t>
  </si>
  <si>
    <t>Ondas</t>
  </si>
  <si>
    <t>Doble espermatozoide</t>
  </si>
  <si>
    <t>SPOT L</t>
  </si>
  <si>
    <t xml:space="preserve">Precio </t>
  </si>
  <si>
    <t>Aros primavera</t>
  </si>
  <si>
    <t>SPOT S</t>
  </si>
  <si>
    <t>SPOT M</t>
  </si>
  <si>
    <t>DROP ORO /PLATA</t>
  </si>
  <si>
    <t>Ojo de tigre/Cuarzo/Jadeita</t>
  </si>
  <si>
    <t>Aros drop M (plata)</t>
  </si>
  <si>
    <t>Aros drop M (oro)</t>
  </si>
  <si>
    <t>Aros drop S (plata)</t>
  </si>
  <si>
    <t>Brisura circon</t>
  </si>
  <si>
    <t>P029</t>
  </si>
  <si>
    <t>Argolla 5mm x0,9</t>
  </si>
  <si>
    <t>GOTA VERDE / AMARILLA / OJO DE TIGRE</t>
  </si>
  <si>
    <t>Gota ojo de tigre</t>
  </si>
  <si>
    <t>Bolsa chica</t>
  </si>
  <si>
    <t>Combinadas</t>
  </si>
  <si>
    <t>Agatas combinadas</t>
  </si>
  <si>
    <t xml:space="preserve">Dije acrilico </t>
  </si>
  <si>
    <t>Jadeita 6mm</t>
  </si>
  <si>
    <t>Unakita 6mm</t>
  </si>
  <si>
    <t xml:space="preserve">Agatas bordo </t>
  </si>
  <si>
    <t xml:space="preserve">Cierre flor dorada </t>
  </si>
  <si>
    <t>2,2x4</t>
  </si>
  <si>
    <t>1,5x2</t>
  </si>
  <si>
    <t>1,9x3</t>
  </si>
  <si>
    <t xml:space="preserve">Dije bruma </t>
  </si>
  <si>
    <t>Gotas chicas jyr</t>
  </si>
  <si>
    <t>P030</t>
  </si>
  <si>
    <t>Perlas P029</t>
  </si>
  <si>
    <t>DROP</t>
  </si>
  <si>
    <t>PODER (oro/plata)</t>
  </si>
  <si>
    <t>ESPIRA</t>
  </si>
  <si>
    <t>CICLOS</t>
  </si>
  <si>
    <t>SURREAL</t>
  </si>
  <si>
    <t>Ovalado golpeado (Zamak)</t>
  </si>
  <si>
    <t>Canoa 3,2mm (279)</t>
  </si>
  <si>
    <t>3,2mm</t>
  </si>
  <si>
    <t>Bolita acero con argolla (9083)</t>
  </si>
  <si>
    <t>Bolita acero con argolla (12801)</t>
  </si>
  <si>
    <t>Alfiler 5cm</t>
  </si>
  <si>
    <t>Alfiler 7cm</t>
  </si>
  <si>
    <t>Largas fortaleza</t>
  </si>
  <si>
    <t>Oval perforacion vertical</t>
  </si>
  <si>
    <t>Perla P05</t>
  </si>
  <si>
    <t>Perla tipo gota grande ss04</t>
  </si>
  <si>
    <t>Perla gota grande</t>
  </si>
  <si>
    <t>Cruz gorda</t>
  </si>
  <si>
    <t>Perla tipo cruz P010</t>
  </si>
  <si>
    <t>Perla organic P09</t>
  </si>
  <si>
    <t>Organic</t>
  </si>
  <si>
    <t>Largas (gota)</t>
  </si>
  <si>
    <t>Bloom</t>
  </si>
  <si>
    <t>Perla tipo uña P02</t>
  </si>
  <si>
    <t>Perla rectagular irregular P012</t>
  </si>
  <si>
    <t xml:space="preserve">Perla rectagular irregular </t>
  </si>
  <si>
    <t>Perla P025</t>
  </si>
  <si>
    <t>Perla P019</t>
  </si>
  <si>
    <t>P100</t>
  </si>
  <si>
    <t>Perlas de rio  P100</t>
  </si>
  <si>
    <t>Perlas de rio P100</t>
  </si>
  <si>
    <t>Perlas de rio P020</t>
  </si>
  <si>
    <t xml:space="preserve">Tipo barroca </t>
  </si>
  <si>
    <t>Perla P06</t>
  </si>
  <si>
    <t>Perlas P06</t>
  </si>
  <si>
    <t xml:space="preserve">Bolsa </t>
  </si>
  <si>
    <t>Perlas P025</t>
  </si>
  <si>
    <t>Perlas de rio P025</t>
  </si>
  <si>
    <t>Redondas 4-5mm (anillo pearl)</t>
  </si>
  <si>
    <t>Gotas</t>
  </si>
  <si>
    <t>Gotas irregulares</t>
  </si>
  <si>
    <t>SS02A</t>
  </si>
  <si>
    <t>Gotas fruta</t>
  </si>
  <si>
    <t>Perlas SSO2A</t>
  </si>
  <si>
    <t>Perlas A11402</t>
  </si>
  <si>
    <t>Perla A11129</t>
  </si>
  <si>
    <t>Perla P025A</t>
  </si>
  <si>
    <t>P020A</t>
  </si>
  <si>
    <t>Perla P020A</t>
  </si>
  <si>
    <t>SS04A</t>
  </si>
  <si>
    <t>Perla SS04A</t>
  </si>
  <si>
    <t>Perlas P023</t>
  </si>
  <si>
    <t>Argollas media caña 2cm</t>
  </si>
  <si>
    <t>Ojo de tigre 6mm</t>
  </si>
  <si>
    <t>Alambre #24</t>
  </si>
  <si>
    <t xml:space="preserve">Chapita </t>
  </si>
  <si>
    <t>Mostacilla</t>
  </si>
  <si>
    <t>Tubo grueso 1,5</t>
  </si>
  <si>
    <t>Agata bordo</t>
  </si>
  <si>
    <t>1,1cm</t>
  </si>
  <si>
    <t>Balin PGF 6mm</t>
  </si>
  <si>
    <t>UNA PERLA</t>
  </si>
  <si>
    <t>Cadena Forcet cuadrada 5mm</t>
  </si>
  <si>
    <t>no hay mas</t>
  </si>
  <si>
    <t>BRAZALETE ASTRO S2 - 1,5 cm recto</t>
  </si>
  <si>
    <t>BRAZALETE ESPACIO 4 vueltas</t>
  </si>
  <si>
    <t>BRAZALETE SOL 6 cm oblicuo</t>
  </si>
  <si>
    <t xml:space="preserve">Vidrio negro </t>
  </si>
  <si>
    <t>VALOR ONIX CRETA</t>
  </si>
  <si>
    <t>CITRIC</t>
  </si>
  <si>
    <t>FLORECER</t>
  </si>
  <si>
    <t>BROTE</t>
  </si>
  <si>
    <t>LIQUEN</t>
  </si>
  <si>
    <t>ACANTILADO</t>
  </si>
  <si>
    <t>MUSGO</t>
  </si>
  <si>
    <t>TROPICO ROJO - OLIVA</t>
  </si>
  <si>
    <t xml:space="preserve">BRILLO - OJO DE TIGRE </t>
  </si>
  <si>
    <t xml:space="preserve">BRILLO - JADEITA </t>
  </si>
  <si>
    <t xml:space="preserve">JASPE </t>
  </si>
  <si>
    <t>CARMIN</t>
  </si>
  <si>
    <t xml:space="preserve">BOLITA TRANSPARENTES </t>
  </si>
  <si>
    <t>Ciclos</t>
  </si>
  <si>
    <t>Poder (oro/plata)</t>
  </si>
  <si>
    <t>Drop</t>
  </si>
  <si>
    <t>Surreal</t>
  </si>
  <si>
    <t>Ibiza (redondito)</t>
  </si>
  <si>
    <t>Drop xl plata</t>
  </si>
  <si>
    <t>Candado (10331)</t>
  </si>
  <si>
    <t xml:space="preserve">Argollas bisagras 1,3 </t>
  </si>
  <si>
    <t>ANILLOS DE PIEDRAS</t>
  </si>
  <si>
    <t>PERLAS DE COLOR POR TIRA</t>
  </si>
  <si>
    <t>Beig</t>
  </si>
  <si>
    <t>Jaspe dalmata (escallon)</t>
  </si>
  <si>
    <t xml:space="preserve"> Dalmata </t>
  </si>
  <si>
    <t>P100A</t>
  </si>
  <si>
    <t>P100B</t>
  </si>
  <si>
    <t>Azules chiquitas</t>
  </si>
  <si>
    <t>Redondas chatas</t>
  </si>
  <si>
    <t>Ondas fino</t>
  </si>
  <si>
    <t>Drop XL</t>
  </si>
  <si>
    <t>BRAZALETE ASTRO L -6cm recto</t>
  </si>
  <si>
    <t>BRAZALETE ASTRO M-  3 cm recto</t>
  </si>
  <si>
    <t>BRAZALETE ASTRO S 1 cm recto</t>
  </si>
  <si>
    <t>AROS CIRCON GRANDE</t>
  </si>
  <si>
    <t>X MAYOR</t>
  </si>
  <si>
    <t xml:space="preserve"> X MAYOR</t>
  </si>
  <si>
    <t>ZIGZAG</t>
  </si>
  <si>
    <t xml:space="preserve">ONDAS </t>
  </si>
  <si>
    <t xml:space="preserve">X MAYOR </t>
  </si>
  <si>
    <t>Flor dorada + 2 palitos</t>
  </si>
  <si>
    <t xml:space="preserve">Aros perrito </t>
  </si>
  <si>
    <t>Aros cereza (dorados)</t>
  </si>
  <si>
    <t>Aros corazon borde circon</t>
  </si>
  <si>
    <t xml:space="preserve">Set gotas </t>
  </si>
  <si>
    <t>Cereza roja esmaltada</t>
  </si>
  <si>
    <t>Huella perro</t>
  </si>
  <si>
    <t>Balines 3mm</t>
  </si>
  <si>
    <t>Balines 5mm</t>
  </si>
  <si>
    <t xml:space="preserve">Dije ovalado </t>
  </si>
  <si>
    <t>LOOP S (oro-plata)</t>
  </si>
  <si>
    <t>LOOP M (oro-plata)</t>
  </si>
  <si>
    <t>LOOP L (oro-plata)</t>
  </si>
  <si>
    <t>Agata ojo de tigre</t>
  </si>
  <si>
    <t>Grande 14mm</t>
  </si>
  <si>
    <t xml:space="preserve">Jaspe </t>
  </si>
  <si>
    <t xml:space="preserve">Agatas negra </t>
  </si>
  <si>
    <t>1,3mm</t>
  </si>
  <si>
    <t>Argollas media caña</t>
  </si>
  <si>
    <t>Bolita con argolla</t>
  </si>
  <si>
    <t>1,6mm</t>
  </si>
  <si>
    <t xml:space="preserve">Agata ojo de tigre </t>
  </si>
  <si>
    <t>Agatas verde/negra/natural</t>
  </si>
  <si>
    <t>Agata negra</t>
  </si>
  <si>
    <t xml:space="preserve">Vidrios negros </t>
  </si>
  <si>
    <t xml:space="preserve">Bolita plateada </t>
  </si>
  <si>
    <t>Mosqueton marinero con capuchon</t>
  </si>
  <si>
    <t>Jape dalmata</t>
  </si>
  <si>
    <t>Perlas azules</t>
  </si>
  <si>
    <t>1mt</t>
  </si>
  <si>
    <t>Perlas combinadas</t>
  </si>
  <si>
    <t>Flor cruda</t>
  </si>
  <si>
    <t>Hilo polyester negro fuerte</t>
  </si>
  <si>
    <t>Agatas beig</t>
  </si>
  <si>
    <t>Ojo de trigre</t>
  </si>
  <si>
    <t xml:space="preserve">Balines </t>
  </si>
  <si>
    <t>Balin plateado</t>
  </si>
  <si>
    <t>PIEDRA</t>
  </si>
  <si>
    <t xml:space="preserve">Ondas </t>
  </si>
  <si>
    <t>Zigzag</t>
  </si>
  <si>
    <t>BASIC PLATA</t>
  </si>
  <si>
    <t>SPOT PLATA</t>
  </si>
  <si>
    <t>Cadena bolitas</t>
  </si>
  <si>
    <t>Argollas bisagras</t>
  </si>
  <si>
    <t xml:space="preserve">Argollas bisagras </t>
  </si>
  <si>
    <t>Precio x unid total</t>
  </si>
  <si>
    <t>Flor cruda chica</t>
  </si>
  <si>
    <t>QUERER PLATA</t>
  </si>
  <si>
    <t>FLOR PLATEADA</t>
  </si>
  <si>
    <t>Jade</t>
  </si>
  <si>
    <t xml:space="preserve">Cadena espejito </t>
  </si>
  <si>
    <t xml:space="preserve">Dije set gotas </t>
  </si>
  <si>
    <t xml:space="preserve"> Jadeita  20</t>
  </si>
  <si>
    <t>Jade 20</t>
  </si>
  <si>
    <t xml:space="preserve">Unakita 12 </t>
  </si>
  <si>
    <t>Jade bordo</t>
  </si>
  <si>
    <t>Elefante</t>
  </si>
  <si>
    <t>HUESO</t>
  </si>
  <si>
    <t xml:space="preserve">Elefante hueso </t>
  </si>
  <si>
    <t xml:space="preserve">Redondas </t>
  </si>
  <si>
    <t>Critsal</t>
  </si>
  <si>
    <t xml:space="preserve">Coral </t>
  </si>
  <si>
    <t xml:space="preserve">Rojo </t>
  </si>
  <si>
    <t xml:space="preserve">Gota mini cubic </t>
  </si>
  <si>
    <t>Corazon mini cubic</t>
  </si>
  <si>
    <t>Candado mini cubic</t>
  </si>
  <si>
    <t>Caracol buzios oro</t>
  </si>
  <si>
    <t>Bordo 4mm (A10343)</t>
  </si>
  <si>
    <t>Flores colores</t>
  </si>
  <si>
    <t>CERAMICA</t>
  </si>
  <si>
    <t>Estrellas de mar colores</t>
  </si>
  <si>
    <t>Peces colores</t>
  </si>
  <si>
    <t>PA89177</t>
  </si>
  <si>
    <t>Argollas bolitas (PA89217)</t>
  </si>
  <si>
    <t>1,3cm</t>
  </si>
  <si>
    <t>PA89191</t>
  </si>
  <si>
    <t>PA73126B</t>
  </si>
  <si>
    <t>PA73126C</t>
  </si>
  <si>
    <t>PA89259</t>
  </si>
  <si>
    <t>PA89224</t>
  </si>
  <si>
    <t>Coronita</t>
  </si>
  <si>
    <t>Luna micropave</t>
  </si>
  <si>
    <t>Cubano italiano micropave 1,3cm (NUEVO)</t>
  </si>
  <si>
    <t>Cubano italiano micropave 1,5cm (NUEVO)</t>
  </si>
  <si>
    <t>Luna micropave  (PD89146)</t>
  </si>
  <si>
    <t>Corazon multicolor  (PD89147)</t>
  </si>
  <si>
    <t xml:space="preserve">Bolita plata </t>
  </si>
  <si>
    <t>Cubanos italianos micropave</t>
  </si>
  <si>
    <t xml:space="preserve"> CIRCON REGTANGULAR</t>
  </si>
  <si>
    <t>Multi</t>
  </si>
  <si>
    <t>GOTA JASPE DALMATA</t>
  </si>
  <si>
    <t>Gota jaspe dalmata</t>
  </si>
  <si>
    <t>Flores ceramica chica (Mer)</t>
  </si>
  <si>
    <t>Flores ceramica grande (Mer)</t>
  </si>
  <si>
    <t>Bolita oro</t>
  </si>
  <si>
    <t>Argollas laminadas microcircones (Victorgemas) 14mm</t>
  </si>
  <si>
    <t>Argollas laminadas microcircones (Victorgemas) 12mm</t>
  </si>
  <si>
    <t>Circon gota</t>
  </si>
  <si>
    <t xml:space="preserve">Argollas microcircon </t>
  </si>
  <si>
    <t>CIRCON GOTA</t>
  </si>
  <si>
    <t xml:space="preserve">Circon gota </t>
  </si>
  <si>
    <t>Beige</t>
  </si>
  <si>
    <t>LOOP S ACERO</t>
  </si>
  <si>
    <t>LOOP M ACERO</t>
  </si>
  <si>
    <t>LOOP L ACERO</t>
  </si>
  <si>
    <t xml:space="preserve">                 </t>
  </si>
  <si>
    <t>AROS MAREA</t>
  </si>
  <si>
    <t>COLLAR CARMIN</t>
  </si>
  <si>
    <t>CONFITE TIERRA</t>
  </si>
  <si>
    <t>BASIC ORO</t>
  </si>
  <si>
    <t>SPOT MINI PLATA</t>
  </si>
  <si>
    <t>SPOT ORO</t>
  </si>
  <si>
    <t>AROS ORIGEN MINI</t>
  </si>
  <si>
    <t>AROS ORIGEN GRANDE</t>
  </si>
  <si>
    <t>COLLAR TORNASOL</t>
  </si>
  <si>
    <t>QUERER ORO</t>
  </si>
  <si>
    <t>COLLAR FASES</t>
  </si>
  <si>
    <t>AROS CALA</t>
  </si>
  <si>
    <t>ANILLO TIERRA</t>
  </si>
  <si>
    <t>COLLAR INICIO</t>
  </si>
  <si>
    <t>PULSERA TIERRA</t>
  </si>
  <si>
    <t>COLLAR TIERRA NEW</t>
  </si>
  <si>
    <t>AROS TIERRA</t>
  </si>
  <si>
    <t>DROP RODIO</t>
  </si>
  <si>
    <t>AROS ELEMENTOS</t>
  </si>
  <si>
    <t>LAZO ELEMENTOS</t>
  </si>
  <si>
    <t>COLLAR MUNDO</t>
  </si>
  <si>
    <t>MUNDO</t>
  </si>
  <si>
    <t>NÚCLEO</t>
  </si>
  <si>
    <t>PULSERA MUNDO</t>
  </si>
  <si>
    <t>MINERAL</t>
  </si>
  <si>
    <t>AROS GREDA</t>
  </si>
  <si>
    <t xml:space="preserve"> CIRCON MINI NEW</t>
  </si>
  <si>
    <t xml:space="preserve"> CIRCON NEW</t>
  </si>
  <si>
    <t>CIRCON CRUZ</t>
  </si>
  <si>
    <t>CHAIN CIRCON NEW</t>
  </si>
  <si>
    <t xml:space="preserve"> CIRCON REGTANGULAR MINI</t>
  </si>
  <si>
    <t>ORIGEN</t>
  </si>
  <si>
    <t>JUPITER NEW</t>
  </si>
  <si>
    <t>Cubano italiano micropave 1,4cm rectangular (NUEVO)</t>
  </si>
  <si>
    <t>Cubano italiano micropave 1,6cm rectangular (NUEVO)</t>
  </si>
  <si>
    <t>COLLAR SEPIA</t>
  </si>
  <si>
    <t>PULSERA MINERAL</t>
  </si>
  <si>
    <t>Agatas negras matiz</t>
  </si>
  <si>
    <t>Rayo cristal PD73070</t>
  </si>
  <si>
    <t>PA73100</t>
  </si>
  <si>
    <t>Aros gota cubic cristal 10mm</t>
  </si>
  <si>
    <t>Aros cubanos italianos inflados 5mm (PA73137C)</t>
  </si>
  <si>
    <t>Argollas cubanas italianas infladas (PA73137C)</t>
  </si>
  <si>
    <t>Planeta saturno</t>
  </si>
  <si>
    <t>Arcoiris</t>
  </si>
  <si>
    <t>Aros circones rectangulares (rosa-azul)</t>
  </si>
  <si>
    <t>Aros cubic corazon micropave</t>
  </si>
  <si>
    <t>Vaquitas de san antonio</t>
  </si>
  <si>
    <t>Aros ostra</t>
  </si>
  <si>
    <t>(VG297-320)</t>
  </si>
  <si>
    <t xml:space="preserve">Oso teddy color </t>
  </si>
  <si>
    <t xml:space="preserve">Aro oso teddy </t>
  </si>
  <si>
    <t>Corazon laminado con circones triangulos</t>
  </si>
  <si>
    <t xml:space="preserve">Perro colores </t>
  </si>
  <si>
    <t>SATURNO</t>
  </si>
  <si>
    <t>Dije planeta saturno</t>
  </si>
  <si>
    <t>Dije rayito cristal (PD73070)</t>
  </si>
  <si>
    <t>SANDIA</t>
  </si>
  <si>
    <t>Argolla oso teddy</t>
  </si>
  <si>
    <t>Aro gota cubic cristal (PA73100)</t>
  </si>
  <si>
    <t>Aro circones rectangulares</t>
  </si>
  <si>
    <t>TREBOL LISO</t>
  </si>
  <si>
    <t>12x10</t>
  </si>
  <si>
    <t>OJITO CRISTAL</t>
  </si>
  <si>
    <t xml:space="preserve">Dije trebol liso </t>
  </si>
  <si>
    <t>Dije huella perro</t>
  </si>
  <si>
    <t>Dije ojito cristal (PD73065)</t>
  </si>
  <si>
    <t>TREBOL CIRCON</t>
  </si>
  <si>
    <t>Trebol circon</t>
  </si>
  <si>
    <t xml:space="preserve">Dije trebol circon </t>
  </si>
  <si>
    <t>Dije gota cubic mini</t>
  </si>
  <si>
    <t>Brisura 105 (gruesa nueva)</t>
  </si>
  <si>
    <t>Dije arcoiris</t>
  </si>
  <si>
    <t>ARCOIRIS</t>
  </si>
  <si>
    <t xml:space="preserve">Aro sandia </t>
  </si>
  <si>
    <t>Avión</t>
  </si>
  <si>
    <t>AVION</t>
  </si>
  <si>
    <t>Dije avion</t>
  </si>
  <si>
    <t xml:space="preserve">CORAZON COLORES </t>
  </si>
  <si>
    <t xml:space="preserve">Dije corazon colores </t>
  </si>
  <si>
    <t xml:space="preserve">LUNA CIRCONES </t>
  </si>
  <si>
    <t>Dije luna circones cristal</t>
  </si>
  <si>
    <t>CANDADO MINI CUBIC</t>
  </si>
  <si>
    <t>CORAZON MINI CUBIC</t>
  </si>
  <si>
    <t>Dije candado mini cubic</t>
  </si>
  <si>
    <t>Dije corazon mini cubic</t>
  </si>
  <si>
    <t xml:space="preserve">Brisura circon </t>
  </si>
  <si>
    <t>14,5mm</t>
  </si>
  <si>
    <t>Brisura circones 13,5mm</t>
  </si>
  <si>
    <t>Brisura circones 14,5mm</t>
  </si>
  <si>
    <t>ARGOLLAS INFLADAS 14mm</t>
  </si>
  <si>
    <t xml:space="preserve">Aro pasante perrito </t>
  </si>
  <si>
    <t>Aro pasante vaquita de san antonio</t>
  </si>
  <si>
    <t>Aro pasante corazon borde circon</t>
  </si>
  <si>
    <t xml:space="preserve">RESINA </t>
  </si>
  <si>
    <t>1m</t>
  </si>
  <si>
    <t>Medalla caracol nacar (Marga)</t>
  </si>
  <si>
    <t>Caracol abanico nacar (Marga)</t>
  </si>
  <si>
    <t>Bolita 8mm (2773)</t>
  </si>
  <si>
    <t>Precio x bolsa/uni</t>
  </si>
  <si>
    <t>Verde claro 4mm</t>
  </si>
  <si>
    <t>Rosa 4mm</t>
  </si>
  <si>
    <t>Violeta 4mm</t>
  </si>
  <si>
    <t>Verdes/violetas 4mm</t>
  </si>
  <si>
    <t>Ancla</t>
  </si>
  <si>
    <t>Delfin</t>
  </si>
  <si>
    <t>Caballito de mar</t>
  </si>
  <si>
    <t>Medalla caracol</t>
  </si>
  <si>
    <t xml:space="preserve">Corazon inflado </t>
  </si>
  <si>
    <t>Nenita /Nenito</t>
  </si>
  <si>
    <t>Mosqueton N12</t>
  </si>
  <si>
    <t>AROS PARA BAÑAR</t>
  </si>
  <si>
    <t>Corazon cristal (gratia)</t>
  </si>
  <si>
    <t>PA90147</t>
  </si>
  <si>
    <t>PA90132</t>
  </si>
  <si>
    <t>Aro stras (gratia)</t>
  </si>
  <si>
    <t>PA90145</t>
  </si>
  <si>
    <t>PA90157</t>
  </si>
  <si>
    <t>PA90121</t>
  </si>
  <si>
    <t>Aro circon cuadrado (gratia)</t>
  </si>
  <si>
    <t>Aro redondo circon en el centro (gratia)</t>
  </si>
  <si>
    <t>PA68020</t>
  </si>
  <si>
    <t>Aro bolita dorada (gratia) 3mm</t>
  </si>
  <si>
    <t>PA73122</t>
  </si>
  <si>
    <t>Aro pasante circon cuadrado y media argolla (gratia)</t>
  </si>
  <si>
    <t>PA90152B</t>
  </si>
  <si>
    <t>PA90152C</t>
  </si>
  <si>
    <t>PA90154</t>
  </si>
  <si>
    <t>Argollas con doble hilera de circon (gratia) 1,2mm</t>
  </si>
  <si>
    <t>Argollas con doble hilera de circon (gratia) 1,5mm</t>
  </si>
  <si>
    <t>Argolla redonda circon rectangular (gratia) 1,1</t>
  </si>
  <si>
    <t>PA90155</t>
  </si>
  <si>
    <t>Argolla redonda circon engarzado (gratia) 1,7</t>
  </si>
  <si>
    <t>PA90150</t>
  </si>
  <si>
    <t>Estrella GF-0513</t>
  </si>
  <si>
    <t xml:space="preserve">Brisura circon gruesa </t>
  </si>
  <si>
    <t>Brisura circones gruesa</t>
  </si>
  <si>
    <t>Dije corazon laminado con circones triangulos</t>
  </si>
  <si>
    <t>Dije estrella 9 puntas con circones</t>
  </si>
  <si>
    <t>PERRITO CIRCONES GRANDE</t>
  </si>
  <si>
    <t>Dije perrito circones colores</t>
  </si>
  <si>
    <t>Aro pasante ojito mini</t>
  </si>
  <si>
    <t>Aro pasante stras</t>
  </si>
  <si>
    <t>BRILLO NUEVO</t>
  </si>
  <si>
    <t>GOTA CUBIC CRISTAL MINI</t>
  </si>
  <si>
    <t xml:space="preserve">Osito teddy grande liso </t>
  </si>
  <si>
    <t xml:space="preserve">Dije placa estrellas </t>
  </si>
  <si>
    <t>Medalla ojo gold</t>
  </si>
  <si>
    <t xml:space="preserve">Brisura 105 </t>
  </si>
  <si>
    <t>Estrella 4 puntas</t>
  </si>
  <si>
    <t xml:space="preserve">Estrella 4 puntas </t>
  </si>
  <si>
    <t>Perrito globo</t>
  </si>
  <si>
    <t>SOL CIRCONES (ESTRELLA 9 PUNTAS)</t>
  </si>
  <si>
    <t>PERRITO GLOBO</t>
  </si>
  <si>
    <t>CORAZON GRANDE CIRCONES GRANDE</t>
  </si>
  <si>
    <t xml:space="preserve">BRILLO GOTA </t>
  </si>
  <si>
    <t>BRILLO RECTANGULAR ROSA/AZUL</t>
  </si>
  <si>
    <t xml:space="preserve">RAYO CIRCONES </t>
  </si>
  <si>
    <t>MINI PERRITO GLOBO</t>
  </si>
  <si>
    <t xml:space="preserve">MINI VAQUITA </t>
  </si>
  <si>
    <t xml:space="preserve">MINI CORAZON CIRCONES </t>
  </si>
  <si>
    <t>MINI SHINY</t>
  </si>
  <si>
    <t>ESTRELLA NORTE NEGRA</t>
  </si>
  <si>
    <t>Aro pasante hamsa mini</t>
  </si>
  <si>
    <t>Aro pasantes corazon circones (gratia) PA90147</t>
  </si>
  <si>
    <t>AROS SHINY BOLD S</t>
  </si>
  <si>
    <t>AROS SHINY BOLD M</t>
  </si>
  <si>
    <t>1,2mm</t>
  </si>
  <si>
    <t xml:space="preserve">Argollas con doble hilera de circon (gratia) </t>
  </si>
  <si>
    <t>1,5mm</t>
  </si>
  <si>
    <t>AROS CHAIN</t>
  </si>
  <si>
    <t xml:space="preserve">Argollas eslabones chain (gratia) </t>
  </si>
  <si>
    <t xml:space="preserve">Argollas redonda circon engarzado (gratia) </t>
  </si>
  <si>
    <t>1,7mm</t>
  </si>
  <si>
    <t>AROS GLOW</t>
  </si>
  <si>
    <t>AROS LOVE</t>
  </si>
  <si>
    <t xml:space="preserve">Sobre vegetal grande </t>
  </si>
  <si>
    <t xml:space="preserve">Aro luna micropave </t>
  </si>
  <si>
    <t xml:space="preserve">Aro coronita </t>
  </si>
  <si>
    <t>Aro circon cuadrado</t>
  </si>
  <si>
    <t>Aro circon engarzado</t>
  </si>
  <si>
    <t>Aro circon engarzado (gratia)</t>
  </si>
  <si>
    <t>Pasante circulo calado cristal (PA89144)</t>
  </si>
  <si>
    <t>Aro circulo calado cristal</t>
  </si>
  <si>
    <t xml:space="preserve">Aro pasante stras </t>
  </si>
  <si>
    <t>Aro pasante circon cuadrado y media argolla</t>
  </si>
  <si>
    <t xml:space="preserve">Aro argolla redonda circon rectangular </t>
  </si>
  <si>
    <t>1,1mm</t>
  </si>
  <si>
    <t>Aro bolita dorada (gratia)</t>
  </si>
  <si>
    <t>Aros gota, circon y bolita dorada</t>
  </si>
  <si>
    <t>Aro gota,circon y bolita dorada</t>
  </si>
  <si>
    <t xml:space="preserve">Aro gota cubic cristal </t>
  </si>
  <si>
    <t xml:space="preserve">Argolla bisagra </t>
  </si>
  <si>
    <t>LIFEGUARD</t>
  </si>
  <si>
    <t xml:space="preserve">Tipo 3 </t>
  </si>
  <si>
    <t>Rosa/rojo</t>
  </si>
  <si>
    <t>Camuflado</t>
  </si>
  <si>
    <t>Azul/negro</t>
  </si>
  <si>
    <t>Amarrillo/verde</t>
  </si>
  <si>
    <t>Tipo 2</t>
  </si>
  <si>
    <t xml:space="preserve">Fucsia </t>
  </si>
  <si>
    <t xml:space="preserve">Base aro bolita </t>
  </si>
  <si>
    <t xml:space="preserve">Pulsera balin </t>
  </si>
  <si>
    <t>PULSERA SPOT MINI ELASTIZADA</t>
  </si>
  <si>
    <t>SHINY MIX (NEW)</t>
  </si>
  <si>
    <t>TRINITY (NEW)</t>
  </si>
  <si>
    <t>SHINY DROP</t>
  </si>
  <si>
    <t xml:space="preserve">Aro pasante ojito circones </t>
  </si>
  <si>
    <t xml:space="preserve">Aro pasante punto de luz </t>
  </si>
  <si>
    <t>Abridor punto de luz</t>
  </si>
  <si>
    <t>2,5x4</t>
  </si>
  <si>
    <t>Mosqueton (N12)</t>
  </si>
  <si>
    <t>Dije caracol doble union</t>
  </si>
  <si>
    <t xml:space="preserve">Dije colgante corazon verde </t>
  </si>
  <si>
    <t>Cordon de seda</t>
  </si>
  <si>
    <t>Cordon de seda retorcido</t>
  </si>
  <si>
    <t xml:space="preserve">Pulseras </t>
  </si>
  <si>
    <t>Lucre</t>
  </si>
  <si>
    <t xml:space="preserve">MOSQUETONES PARA BAÑAR </t>
  </si>
  <si>
    <t xml:space="preserve">Mosqueton marinero </t>
  </si>
  <si>
    <t xml:space="preserve">Canoa </t>
  </si>
  <si>
    <t>Dije bolitas 20mm</t>
  </si>
  <si>
    <t>Caracol beig con punta dorada</t>
  </si>
  <si>
    <t xml:space="preserve">Gajos nacar </t>
  </si>
  <si>
    <t>Hilo encerado</t>
  </si>
  <si>
    <t>Coral (irregular)</t>
  </si>
  <si>
    <t>Coral (tubo)</t>
  </si>
  <si>
    <t>7x15mm</t>
  </si>
  <si>
    <t>Turquesa reconst 8mm</t>
  </si>
  <si>
    <t xml:space="preserve">Elefante howlite </t>
  </si>
  <si>
    <t>Carazon chato</t>
  </si>
  <si>
    <t>Bolitas con agujero 20mm</t>
  </si>
  <si>
    <t>Mosqueton argolla 2,5 dorado/plateado</t>
  </si>
  <si>
    <t>Agatas facetadas ojo de gato</t>
  </si>
  <si>
    <t>Chapita golpeada doble agujero</t>
  </si>
  <si>
    <t>Chapita golpeada un solo agujero</t>
  </si>
  <si>
    <t xml:space="preserve">Chapita con estrellas </t>
  </si>
  <si>
    <t>Caracol grande con argolla</t>
  </si>
  <si>
    <t>Pez</t>
  </si>
  <si>
    <t>Estrella negra</t>
  </si>
  <si>
    <t>Negra</t>
  </si>
  <si>
    <t>Pez globo (gordito)</t>
  </si>
  <si>
    <t>Cangrejo</t>
  </si>
  <si>
    <t>Ostra grande</t>
  </si>
  <si>
    <t xml:space="preserve">Ostra chica </t>
  </si>
  <si>
    <t xml:space="preserve">Elefante </t>
  </si>
  <si>
    <t>Caracol espiral (cotina)</t>
  </si>
  <si>
    <t>LLAVEROS /CHARMS CARTERAS</t>
  </si>
  <si>
    <t>Arandela 12mm</t>
  </si>
  <si>
    <t>Flor vidrio lila  (cotina)</t>
  </si>
  <si>
    <t xml:space="preserve">Lila </t>
  </si>
  <si>
    <t>Blanca reconst dona 8mm</t>
  </si>
  <si>
    <t>Turquesa reconst redonda 18mm</t>
  </si>
  <si>
    <t>Broche marinero</t>
  </si>
  <si>
    <t>Marinero con palito</t>
  </si>
  <si>
    <t xml:space="preserve">Aro pasante sol con circon en el centro </t>
  </si>
  <si>
    <t>PA80058</t>
  </si>
  <si>
    <t>Dije bott dorado 3,1cm</t>
  </si>
  <si>
    <t xml:space="preserve">Dije buzio espiral </t>
  </si>
  <si>
    <t>Negras matiz 3mm</t>
  </si>
  <si>
    <t xml:space="preserve">Honguito </t>
  </si>
  <si>
    <t xml:space="preserve">Homguito </t>
  </si>
  <si>
    <t>15x6mm</t>
  </si>
  <si>
    <t>Bolitas (649)</t>
  </si>
  <si>
    <t>13x6mm</t>
  </si>
  <si>
    <t>Forcet 1x1 (MI_4549)</t>
  </si>
  <si>
    <t>8x5mm</t>
  </si>
  <si>
    <t>Hilo chino 1mm</t>
  </si>
  <si>
    <t>Hilo chino 0,8mm</t>
  </si>
  <si>
    <t>Negro/ beige</t>
  </si>
  <si>
    <t>Hilo de algodón 1mm</t>
  </si>
  <si>
    <t>Cierre marinero 1,3mm</t>
  </si>
  <si>
    <t>610</t>
  </si>
  <si>
    <t>Precio con baño</t>
  </si>
  <si>
    <t xml:space="preserve">FORNITURAS </t>
  </si>
  <si>
    <t>CIERRES SUSSESO</t>
  </si>
  <si>
    <t>Cierre marinero 1,6mm</t>
  </si>
  <si>
    <t>Cierre marinero 1,4mm</t>
  </si>
  <si>
    <t>550</t>
  </si>
  <si>
    <t>5</t>
  </si>
  <si>
    <t>Redondo doble agarre</t>
  </si>
  <si>
    <t xml:space="preserve"> Oval doble agarre</t>
  </si>
  <si>
    <t>Redondo un agarre 13mm</t>
  </si>
  <si>
    <t>675</t>
  </si>
  <si>
    <t>Corazon un agarre</t>
  </si>
  <si>
    <t>495</t>
  </si>
  <si>
    <t>1090</t>
  </si>
  <si>
    <t>609</t>
  </si>
  <si>
    <t>Discos de caracol marron</t>
  </si>
  <si>
    <t>Argolla con circon y circon rectangular</t>
  </si>
  <si>
    <t>PA89278</t>
  </si>
  <si>
    <t xml:space="preserve">Aros pasante triple circon </t>
  </si>
  <si>
    <t>PA89271</t>
  </si>
  <si>
    <t>Aros pasante circon con dije de estrella</t>
  </si>
  <si>
    <t>PA89274</t>
  </si>
  <si>
    <t>D41562</t>
  </si>
  <si>
    <t>Dije bottega (oro/ plata) 3cm</t>
  </si>
  <si>
    <t xml:space="preserve">Diamante </t>
  </si>
  <si>
    <t>Precio baño oro</t>
  </si>
  <si>
    <t>Precio total oro</t>
  </si>
  <si>
    <t>Precio baño plata</t>
  </si>
  <si>
    <t>Precio total plata</t>
  </si>
  <si>
    <t>5x10mm</t>
  </si>
  <si>
    <t>8x12mm</t>
  </si>
  <si>
    <t>Bolita acero con argolla</t>
  </si>
  <si>
    <t xml:space="preserve">Bolita acero con argolla </t>
  </si>
  <si>
    <t>Cantidad x bolsa</t>
  </si>
  <si>
    <t xml:space="preserve">Corazon inflado grande </t>
  </si>
  <si>
    <t>Corazon inflado chico</t>
  </si>
  <si>
    <t>Bolitas oro</t>
  </si>
  <si>
    <t>Hilo chino negro</t>
  </si>
  <si>
    <t>Vidrio violeta</t>
  </si>
  <si>
    <t>Escalla coral</t>
  </si>
  <si>
    <t xml:space="preserve">Arandelas </t>
  </si>
  <si>
    <t xml:space="preserve">Palito </t>
  </si>
  <si>
    <t>Nene / Nena</t>
  </si>
  <si>
    <t>Turquesa reconst gota grande</t>
  </si>
  <si>
    <t>Turquesa reconst gota chica</t>
  </si>
  <si>
    <t>PE28</t>
  </si>
  <si>
    <t>Perlas de rio 8mm (hueco grande)</t>
  </si>
  <si>
    <t>Perlas de rio 10mm (hueco grande)</t>
  </si>
  <si>
    <t>PE29</t>
  </si>
  <si>
    <t>1 NENE</t>
  </si>
  <si>
    <t>2 NENE</t>
  </si>
  <si>
    <t>3 NENE</t>
  </si>
  <si>
    <t>4 NENE</t>
  </si>
  <si>
    <t>Cantidad dijes</t>
  </si>
  <si>
    <t>Precio final</t>
  </si>
  <si>
    <t xml:space="preserve">DIA DE LA MADRE (COLORES) </t>
  </si>
  <si>
    <t>DIA DE LA MADRE (BEIGE)</t>
  </si>
  <si>
    <t xml:space="preserve">Cubito </t>
  </si>
  <si>
    <t>Howlite beig</t>
  </si>
  <si>
    <t>Vidrios violeta</t>
  </si>
  <si>
    <t>Vidrios transaprente</t>
  </si>
  <si>
    <t xml:space="preserve">Agata verde facetadas </t>
  </si>
  <si>
    <t>Howlite dona turquesa</t>
  </si>
  <si>
    <t xml:space="preserve">Dije coral </t>
  </si>
  <si>
    <t>Escallas blancas</t>
  </si>
  <si>
    <t>Bolitas coral</t>
  </si>
  <si>
    <t>Vidrios transparente irregular</t>
  </si>
  <si>
    <t xml:space="preserve">Howlite tubo turquesa </t>
  </si>
  <si>
    <t xml:space="preserve">Howlite redonda turquesa </t>
  </si>
  <si>
    <t xml:space="preserve">Irregular trasparente </t>
  </si>
  <si>
    <t>Cadena terminal rolo</t>
  </si>
  <si>
    <t>Blanca</t>
  </si>
  <si>
    <t>Escallas coral</t>
  </si>
  <si>
    <t>Escallas beige</t>
  </si>
  <si>
    <t>Vidrios transparentes bolita</t>
  </si>
  <si>
    <t>Vidrios transparentes rombo</t>
  </si>
  <si>
    <t>Estrella de mar resina</t>
  </si>
  <si>
    <t>Transparentes 8mm</t>
  </si>
  <si>
    <t>1.8 x 10</t>
  </si>
  <si>
    <t>1.8 x 11</t>
  </si>
  <si>
    <t>Argolla gruesa</t>
  </si>
  <si>
    <t>N10</t>
  </si>
  <si>
    <t>Bolsa grande</t>
  </si>
  <si>
    <t xml:space="preserve">Dije coral bañado </t>
  </si>
  <si>
    <t>Caracol crudo</t>
  </si>
  <si>
    <t xml:space="preserve">Dona chata </t>
  </si>
  <si>
    <t>3,8x1,4mm</t>
  </si>
  <si>
    <t>Caracol bañado rugoso</t>
  </si>
  <si>
    <t>Turquesa reconst 3mm</t>
  </si>
  <si>
    <t xml:space="preserve">3mm </t>
  </si>
  <si>
    <t>Escallas blanca</t>
  </si>
  <si>
    <t>Escallas ojo de tigre</t>
  </si>
  <si>
    <t xml:space="preserve">Caracol </t>
  </si>
  <si>
    <t>Cierre marinero</t>
  </si>
  <si>
    <t>Vidrios negro bolita</t>
  </si>
  <si>
    <t>Escallas violeta beige</t>
  </si>
  <si>
    <t>Nacar violeta</t>
  </si>
  <si>
    <t>Escallas multicolor</t>
  </si>
  <si>
    <t>Mostacillas blancas</t>
  </si>
  <si>
    <t>Negro matiz</t>
  </si>
  <si>
    <t xml:space="preserve">Cierre flor </t>
  </si>
  <si>
    <t>Escalla blanca</t>
  </si>
  <si>
    <t>Flor ceramica cruda</t>
  </si>
  <si>
    <t xml:space="preserve">Dije coral grande </t>
  </si>
  <si>
    <t>6x2,9</t>
  </si>
  <si>
    <t>Tunel recto SE74</t>
  </si>
  <si>
    <t xml:space="preserve">Cierre redondo un agarre </t>
  </si>
  <si>
    <t xml:space="preserve">Bolita </t>
  </si>
  <si>
    <t>22cm</t>
  </si>
  <si>
    <t xml:space="preserve">Caracol con argolla </t>
  </si>
  <si>
    <t>Argolla golpeada (nucleo)</t>
  </si>
  <si>
    <t>Argolla ovalada (zamak)</t>
  </si>
  <si>
    <t>Mosqueton redondo (cartera)</t>
  </si>
  <si>
    <t>Cierre marinero con palito</t>
  </si>
  <si>
    <t>Verde/ bordo 5x8</t>
  </si>
  <si>
    <t>Bordo/ negro 5x8</t>
  </si>
  <si>
    <t>Howlite beige</t>
  </si>
  <si>
    <t>Blanca reconst 8mm</t>
  </si>
  <si>
    <t xml:space="preserve">Marrones </t>
  </si>
  <si>
    <t>P100C</t>
  </si>
  <si>
    <t>Verde oscuro 6mm</t>
  </si>
  <si>
    <t>20gr</t>
  </si>
  <si>
    <t>Ostra colores</t>
  </si>
  <si>
    <t>Caracol nacar con agujeritos</t>
  </si>
  <si>
    <t>Caracol turbo</t>
  </si>
  <si>
    <t>Caracol conico con pintitas negras</t>
  </si>
  <si>
    <t>Almeja</t>
  </si>
  <si>
    <t>Buzio marron grande (ipanema)</t>
  </si>
  <si>
    <t xml:space="preserve">Caracol buzio marron grande </t>
  </si>
  <si>
    <t xml:space="preserve">Agatas negro matiz </t>
  </si>
  <si>
    <t>Hilo encerado crudo</t>
  </si>
  <si>
    <t>Hilo algodón crudo</t>
  </si>
  <si>
    <t>Cordon de seda retorcido coral</t>
  </si>
  <si>
    <t xml:space="preserve">Estrella de mar </t>
  </si>
  <si>
    <t xml:space="preserve">Capuchones </t>
  </si>
  <si>
    <t>#11</t>
  </si>
  <si>
    <t>Escallas turquesa</t>
  </si>
  <si>
    <t>Terlenca marron</t>
  </si>
  <si>
    <t>Terlenca roja</t>
  </si>
  <si>
    <t xml:space="preserve">Agatas </t>
  </si>
  <si>
    <t xml:space="preserve">Tanza elastizada </t>
  </si>
  <si>
    <t>Agatas rosa</t>
  </si>
  <si>
    <t>Cordon de seda retorcido marron</t>
  </si>
  <si>
    <t>Ostra</t>
  </si>
  <si>
    <t>Perlas marrones</t>
  </si>
  <si>
    <t>Escalla ojo de tigre</t>
  </si>
  <si>
    <t xml:space="preserve">Piedra reconstituida turquesa </t>
  </si>
  <si>
    <t>Mostacilla roja</t>
  </si>
  <si>
    <t>1,9mm</t>
  </si>
  <si>
    <t>Pescadito</t>
  </si>
  <si>
    <t xml:space="preserve"> 3,8mm x 1,4mm</t>
  </si>
  <si>
    <t>Dona chata</t>
  </si>
  <si>
    <t>Aro pasante ostra</t>
  </si>
  <si>
    <t>Aro pasante cereza dorado</t>
  </si>
  <si>
    <t>Mostacilla transparente</t>
  </si>
  <si>
    <t>Hilo polyester bordo</t>
  </si>
  <si>
    <t xml:space="preserve">Caracol blanco retorcido </t>
  </si>
  <si>
    <t xml:space="preserve">Caracol blanco retorcido grande </t>
  </si>
  <si>
    <t>Caracol blanco retorcido</t>
  </si>
  <si>
    <t xml:space="preserve">Palitos coral </t>
  </si>
  <si>
    <t>Caracol blanco retorcido grande</t>
  </si>
  <si>
    <t>Argollas rectangular (simple new)</t>
  </si>
  <si>
    <t>ZA68</t>
  </si>
  <si>
    <t>SIMPLE NEW</t>
  </si>
  <si>
    <t>Argolla rectangular (new)</t>
  </si>
  <si>
    <t>Dona chata  3,8mm x 1,4mm</t>
  </si>
  <si>
    <t>Corazon inflado</t>
  </si>
  <si>
    <t>GOTA TURQUESA</t>
  </si>
  <si>
    <t xml:space="preserve">Howlite dona turquesa </t>
  </si>
  <si>
    <t>Coral tubo</t>
  </si>
  <si>
    <t>#10</t>
  </si>
  <si>
    <t xml:space="preserve">Hilo tipo brazil turquesa </t>
  </si>
  <si>
    <t>Howlite dona crudo</t>
  </si>
  <si>
    <t>Arandela resina roja</t>
  </si>
  <si>
    <t>Elefante hueso chico</t>
  </si>
  <si>
    <t>Elefante howlite grande</t>
  </si>
  <si>
    <t>Dije pescadito</t>
  </si>
  <si>
    <t>Caracol espiral</t>
  </si>
  <si>
    <t>Fluorita</t>
  </si>
  <si>
    <t>Hilo polyester verde</t>
  </si>
  <si>
    <t xml:space="preserve">Cuarzo rosa </t>
  </si>
  <si>
    <t xml:space="preserve">Amatista violeta </t>
  </si>
  <si>
    <t xml:space="preserve">Avion chico </t>
  </si>
  <si>
    <t>BAJO EL MAR</t>
  </si>
  <si>
    <t>CORALINA</t>
  </si>
  <si>
    <t>FORMENTERA</t>
  </si>
  <si>
    <t>DIA DE PLAYA</t>
  </si>
  <si>
    <t>PEZ</t>
  </si>
  <si>
    <t>TURQUESA Y CORAL</t>
  </si>
  <si>
    <t>AMOR CORAL</t>
  </si>
  <si>
    <t>MAROLA</t>
  </si>
  <si>
    <t>MINI CHERRY</t>
  </si>
  <si>
    <t>MALLORCA</t>
  </si>
  <si>
    <t>QUERER NEW</t>
  </si>
  <si>
    <t>BAJAMAR</t>
  </si>
  <si>
    <t>A LA ORILLA</t>
  </si>
  <si>
    <t>SHELL</t>
  </si>
  <si>
    <t>MINI SHELL</t>
  </si>
  <si>
    <t>CARACOL</t>
  </si>
  <si>
    <t>PALMA</t>
  </si>
  <si>
    <t>FEZ</t>
  </si>
  <si>
    <t>CONFITE VERANO</t>
  </si>
  <si>
    <t>ELEFANTES</t>
  </si>
  <si>
    <t>Avion chico</t>
  </si>
  <si>
    <t>CARLA DENZ</t>
  </si>
  <si>
    <t xml:space="preserve">Sobre vegetal chico </t>
  </si>
  <si>
    <t>INICIO</t>
  </si>
  <si>
    <t xml:space="preserve">Hilo polyester verde </t>
  </si>
  <si>
    <t>Hilo polyester negro</t>
  </si>
  <si>
    <t xml:space="preserve">Bolitas oro pulsera </t>
  </si>
  <si>
    <t>Caracol ostra color beige</t>
  </si>
  <si>
    <t>+ $500 por el aerosol)</t>
  </si>
  <si>
    <t xml:space="preserve">(estaba $1000 le puse </t>
  </si>
  <si>
    <t>Buzio bañado en oro</t>
  </si>
  <si>
    <t>Hilo tipo brazil - marrón</t>
  </si>
  <si>
    <t xml:space="preserve">  Palitos</t>
  </si>
  <si>
    <t>Cordón de seda blanco</t>
  </si>
  <si>
    <t>Bolitas de plata</t>
  </si>
  <si>
    <t xml:space="preserve"> Pulsera spot plata</t>
  </si>
  <si>
    <t>Bolitas plata pulsera</t>
  </si>
  <si>
    <t>Agatas verde</t>
  </si>
  <si>
    <t>Hilo polyestrer fuerte verde</t>
  </si>
  <si>
    <t>Agatas negro matiz</t>
  </si>
  <si>
    <t>Cierre flor</t>
  </si>
  <si>
    <t>Argolla bisagra</t>
  </si>
  <si>
    <t>2,2mm</t>
  </si>
  <si>
    <t>ANILLO PIEDRA</t>
  </si>
  <si>
    <t>Anillo piedra</t>
  </si>
  <si>
    <t>Cocos oscuros</t>
  </si>
  <si>
    <t xml:space="preserve">Cocos piramide </t>
  </si>
  <si>
    <t xml:space="preserve">Estrellas resina </t>
  </si>
  <si>
    <t xml:space="preserve">Hilo de algodón </t>
  </si>
  <si>
    <t>SÓLLER</t>
  </si>
  <si>
    <t>Caracol color violeta / naranja</t>
  </si>
  <si>
    <t>MAÓ</t>
  </si>
  <si>
    <t xml:space="preserve"> MAÓ</t>
  </si>
  <si>
    <t>COSTA</t>
  </si>
  <si>
    <t>MORO</t>
  </si>
  <si>
    <t>RAMBLA</t>
  </si>
  <si>
    <t>MERCADAL</t>
  </si>
  <si>
    <t>OSTUNI</t>
  </si>
  <si>
    <t>AMATISTA</t>
  </si>
  <si>
    <t>ALCÚDIA</t>
  </si>
  <si>
    <t xml:space="preserve">FLUORITA </t>
  </si>
  <si>
    <t>MENORCA</t>
  </si>
  <si>
    <t>MENORCA SALMON / LILA</t>
  </si>
  <si>
    <t>ELEMENTOS MARRON</t>
  </si>
  <si>
    <t>IBIZA</t>
  </si>
  <si>
    <t>Terracota</t>
  </si>
  <si>
    <t xml:space="preserve">A LA ORILLA </t>
  </si>
  <si>
    <t xml:space="preserve">Agata turquesa </t>
  </si>
  <si>
    <t>Salmon</t>
  </si>
  <si>
    <t>Salmon oscuro</t>
  </si>
  <si>
    <t xml:space="preserve"> Argollas bolitas (PA90138)</t>
  </si>
  <si>
    <t>Ojito circones y centro negro PD90173</t>
  </si>
  <si>
    <t>Argolla bolitas (new)</t>
  </si>
  <si>
    <t>PA97266</t>
  </si>
  <si>
    <t>PA97263</t>
  </si>
  <si>
    <t>PA97264</t>
  </si>
  <si>
    <t>Aros pasante argolla  (brio new)  1,8cm</t>
  </si>
  <si>
    <t>Aros pasante argolla (audaz new) 2,5cm</t>
  </si>
  <si>
    <t>Argolla pasante (brio new)</t>
  </si>
  <si>
    <t>Argolla pasante (brio grande new)</t>
  </si>
  <si>
    <t>Argolla pasante (audaz new)</t>
  </si>
  <si>
    <t>Aros pasante argolla (brio grande new) 2,5cm</t>
  </si>
  <si>
    <t>BRIO S</t>
  </si>
  <si>
    <t>BRIO M</t>
  </si>
  <si>
    <t>AUDAZ S</t>
  </si>
  <si>
    <t xml:space="preserve">JUPITER NEW </t>
  </si>
  <si>
    <t xml:space="preserve">Argollas entorchadas </t>
  </si>
  <si>
    <t>ZA127</t>
  </si>
  <si>
    <t xml:space="preserve">Herradura </t>
  </si>
  <si>
    <t>DI493</t>
  </si>
  <si>
    <t xml:space="preserve">Avion circones </t>
  </si>
  <si>
    <t>DI298</t>
  </si>
  <si>
    <t>Argolla entorchadas</t>
  </si>
  <si>
    <t>OJITO CON NEGRO</t>
  </si>
  <si>
    <t>Dije ojito con negro</t>
  </si>
  <si>
    <t>Dije herradura</t>
  </si>
  <si>
    <t>Dije corazon verde</t>
  </si>
  <si>
    <t xml:space="preserve">Escallas turquesa </t>
  </si>
  <si>
    <t xml:space="preserve">Ostra con circones </t>
  </si>
  <si>
    <t>DI225</t>
  </si>
  <si>
    <t>Dije pasante espiral buzio</t>
  </si>
  <si>
    <t>SE86</t>
  </si>
  <si>
    <t xml:space="preserve">Naranja </t>
  </si>
  <si>
    <t xml:space="preserve">Violeta </t>
  </si>
  <si>
    <t xml:space="preserve">Trapecio </t>
  </si>
  <si>
    <t>Turquesa reconst 4mm</t>
  </si>
  <si>
    <t>Blanca reconst 6mm</t>
  </si>
  <si>
    <t>Turquesa reconst redonda 12mm</t>
  </si>
  <si>
    <t>Precio x kilo</t>
  </si>
  <si>
    <t>Mostacillas checas</t>
  </si>
  <si>
    <t>Redondas (pulsera pearl nuevas)</t>
  </si>
  <si>
    <t xml:space="preserve">Corazon calado circones </t>
  </si>
  <si>
    <t xml:space="preserve">Corazon relleno circones </t>
  </si>
  <si>
    <t>Argollas de madera</t>
  </si>
  <si>
    <t>Hilo de algodón 1.5mm</t>
  </si>
  <si>
    <t>50m</t>
  </si>
  <si>
    <t xml:space="preserve">Flores </t>
  </si>
  <si>
    <t>2x4</t>
  </si>
  <si>
    <t>1,8x4</t>
  </si>
  <si>
    <t>Mosqueton 12mm</t>
  </si>
  <si>
    <t xml:space="preserve">Tubitos nacar </t>
  </si>
  <si>
    <t>Bolitas nacar 3mm</t>
  </si>
  <si>
    <t xml:space="preserve">Discos de nacar amarillo </t>
  </si>
  <si>
    <t>Agata multicolor 2mm</t>
  </si>
  <si>
    <t>Perlas chatas irregulares 4mm</t>
  </si>
  <si>
    <t xml:space="preserve">Perlas collar bruma </t>
  </si>
  <si>
    <t>PO31</t>
  </si>
  <si>
    <t>PO32</t>
  </si>
  <si>
    <t>PO33</t>
  </si>
  <si>
    <t>PO34</t>
  </si>
  <si>
    <t xml:space="preserve">Flores coral </t>
  </si>
  <si>
    <t>Caracol (amonita)</t>
  </si>
  <si>
    <t>Caracol crudo redondo</t>
  </si>
  <si>
    <t xml:space="preserve">Piedra turquesa </t>
  </si>
  <si>
    <t>Discos 5mm</t>
  </si>
  <si>
    <t>Tubitos coral</t>
  </si>
  <si>
    <t>Perlas tipo barroca 1,5cm</t>
  </si>
  <si>
    <t>Perlas tipo barroca 2cm</t>
  </si>
  <si>
    <t>Perlas arroz 3mm</t>
  </si>
  <si>
    <t>Perlas arroz grande 5mm</t>
  </si>
  <si>
    <t>PO35</t>
  </si>
  <si>
    <t>PO36</t>
  </si>
  <si>
    <t>PO37</t>
  </si>
  <si>
    <t>Perlas largas finitas</t>
  </si>
  <si>
    <t>PO38</t>
  </si>
  <si>
    <t>Perlas chatas irregulares 5mm</t>
  </si>
  <si>
    <t>Estrella agata</t>
  </si>
  <si>
    <t>Pez piedra</t>
  </si>
  <si>
    <t>Langosta</t>
  </si>
  <si>
    <t xml:space="preserve">Tubitos ojo de tigre </t>
  </si>
  <si>
    <t>4 x 13mm</t>
  </si>
  <si>
    <t>TUBITOS OJO DE TIGRE</t>
  </si>
  <si>
    <t>Tubitos ojo de tigre</t>
  </si>
  <si>
    <t xml:space="preserve">VERDE CON CARACOL PASANTE </t>
  </si>
  <si>
    <t xml:space="preserve">Caracol pasante </t>
  </si>
  <si>
    <t>Crizoprasa  (marron-verde)</t>
  </si>
  <si>
    <t>Labradorita (verde)</t>
  </si>
  <si>
    <t>Agalmatolite (celeste-marrón)</t>
  </si>
  <si>
    <t xml:space="preserve">TURQUESA Y PEZ TURQUESA </t>
  </si>
  <si>
    <t xml:space="preserve">Discos turquesa </t>
  </si>
  <si>
    <t xml:space="preserve">Pez piedra </t>
  </si>
  <si>
    <t xml:space="preserve">Coral grande </t>
  </si>
  <si>
    <t>PI48</t>
  </si>
  <si>
    <t>Alfiler 20mm x 0,7</t>
  </si>
  <si>
    <t>TURQUESA COLOR Y PESCADO CLARO</t>
  </si>
  <si>
    <t xml:space="preserve">Agatas redondas </t>
  </si>
  <si>
    <t>Multicolor 4mm</t>
  </si>
  <si>
    <t xml:space="preserve">TUBITO CELESTE Y CRIZOPRASA </t>
  </si>
  <si>
    <t>Crizoprasa (verde-marron)</t>
  </si>
  <si>
    <t>Agalmatolite (celeste-marron)</t>
  </si>
  <si>
    <t>TURQUESA NACAR Y CABALLITO DE MAR</t>
  </si>
  <si>
    <t>Tubitos nacar</t>
  </si>
  <si>
    <t>Caballito de mar vidrio</t>
  </si>
  <si>
    <t xml:space="preserve">Mostacillas rojas </t>
  </si>
  <si>
    <t>Pez vidrio</t>
  </si>
  <si>
    <t xml:space="preserve">BOLITAS NACAR Y PERLAS </t>
  </si>
  <si>
    <t xml:space="preserve">Bolitas nacar </t>
  </si>
  <si>
    <t>P038</t>
  </si>
  <si>
    <t xml:space="preserve"> NACAR MOSTACILLAS ROJAS Y PEZ</t>
  </si>
  <si>
    <t>TUBITOS CORAL</t>
  </si>
  <si>
    <t>Hilo polyester rojo</t>
  </si>
  <si>
    <t>AMARILLO MARRON Y PEZ MARRON</t>
  </si>
  <si>
    <t>Discos nacar amarillo</t>
  </si>
  <si>
    <t xml:space="preserve"> CRIZOPRASA  (VERDE-MARRON)</t>
  </si>
  <si>
    <t>Hilo polyester fucsia</t>
  </si>
  <si>
    <t>AGATA MULTICOLOR 2MM</t>
  </si>
  <si>
    <t xml:space="preserve"> NACAR, TUBITOS CORAL Y PEZ VERDE</t>
  </si>
  <si>
    <t>PERLAS BARROCAS</t>
  </si>
  <si>
    <t>Perlas PO35</t>
  </si>
  <si>
    <t>NACAR TUBITO Y MOSTACILLAS ROJA</t>
  </si>
  <si>
    <t>DISCOS NACAR AMARILLO</t>
  </si>
  <si>
    <t xml:space="preserve">DISCOS TURQUESA Y AGATAS COLORES </t>
  </si>
  <si>
    <t>Discos turquesas</t>
  </si>
  <si>
    <t xml:space="preserve">Agatas colores </t>
  </si>
  <si>
    <t>BOLITAS NACAR Y PERLA</t>
  </si>
  <si>
    <t>Bolitas nacar</t>
  </si>
  <si>
    <t>TUBITO OJO DE TIGRE Y HILO CHINO</t>
  </si>
  <si>
    <t xml:space="preserve">ESTRELLA PIEDRA </t>
  </si>
  <si>
    <t xml:space="preserve">Estrella piedra </t>
  </si>
  <si>
    <t>CARACOL CRUDO REDONDO</t>
  </si>
  <si>
    <t>Dije caracol crudo redondo</t>
  </si>
  <si>
    <t>Caracol amonita</t>
  </si>
  <si>
    <t>Cordon de seda retorcido blanco</t>
  </si>
  <si>
    <t>CORDON RETORCIDO Y CARACOL AMONITA</t>
  </si>
  <si>
    <t>PERLA Y LANGOSTA DE VIDRIO</t>
  </si>
  <si>
    <t>Langosta de vidrio</t>
  </si>
  <si>
    <t>Hilo polyester blanco</t>
  </si>
  <si>
    <t>Perlas PO34</t>
  </si>
  <si>
    <t>HILO ROJO Y FLOR</t>
  </si>
  <si>
    <t xml:space="preserve">Flor coral </t>
  </si>
  <si>
    <t>Flor coral</t>
  </si>
  <si>
    <t>Tubito coral</t>
  </si>
  <si>
    <t xml:space="preserve">FLOR CORAL </t>
  </si>
  <si>
    <t xml:space="preserve">PERLA Y TURQUESA </t>
  </si>
  <si>
    <t>PERLA Y CARACOL CRUDO</t>
  </si>
  <si>
    <t>Agata redonda 4mm</t>
  </si>
  <si>
    <t>PASANTE CON COLORES</t>
  </si>
  <si>
    <t>PERLAS CHATAS</t>
  </si>
  <si>
    <t>Perlas tipo barrocas  PO37</t>
  </si>
  <si>
    <t xml:space="preserve">Escallas beige </t>
  </si>
  <si>
    <t>Bolsa lienzo chica</t>
  </si>
  <si>
    <t>DOC VIAJES ESCALLAS BEIGE Y CARACOL</t>
  </si>
  <si>
    <t>Dije conector buzio 16,8mm</t>
  </si>
  <si>
    <t>CO72</t>
  </si>
  <si>
    <t xml:space="preserve">Dije conector ojito circones </t>
  </si>
  <si>
    <t>CO58</t>
  </si>
  <si>
    <t>CO78</t>
  </si>
  <si>
    <t>Dije conector corazon circones</t>
  </si>
  <si>
    <t>Cilindro imantado</t>
  </si>
  <si>
    <t>A209</t>
  </si>
  <si>
    <t>Dije espiral grande con agarre</t>
  </si>
  <si>
    <t>AVION CIRCONES</t>
  </si>
  <si>
    <t>Avion circones</t>
  </si>
  <si>
    <t xml:space="preserve">Dije nuevo audaz oro </t>
  </si>
  <si>
    <t>Dije nuevo audaz plata</t>
  </si>
  <si>
    <t>CADENAS ARMADAS CON DIJE PARA BAÑAR</t>
  </si>
  <si>
    <t xml:space="preserve">Collar sóller </t>
  </si>
  <si>
    <t>Cadena forcet rectangular grande con dije</t>
  </si>
  <si>
    <t xml:space="preserve">Precio baño </t>
  </si>
  <si>
    <t>Pulsera sóller</t>
  </si>
  <si>
    <t>Bolsa gamuza</t>
  </si>
  <si>
    <t>Balin y circones (GF-0259)</t>
  </si>
  <si>
    <t>Hilo tipo brasil  4mm</t>
  </si>
  <si>
    <t>Argollas infladas/golpeadas</t>
  </si>
  <si>
    <t>GF-0623</t>
  </si>
  <si>
    <t>Golpeado</t>
  </si>
  <si>
    <t>Doble (una fina/una ancha)</t>
  </si>
  <si>
    <t>Doble liso</t>
  </si>
  <si>
    <t>Grande stras</t>
  </si>
  <si>
    <t>Argollas infladas / golpeadas</t>
  </si>
  <si>
    <t>Anillo golpeados</t>
  </si>
  <si>
    <t>Anillo doble fino y grueso</t>
  </si>
  <si>
    <t xml:space="preserve">Dona piedra </t>
  </si>
  <si>
    <t xml:space="preserve">Argollas bisagra </t>
  </si>
  <si>
    <t>LAZO (negro-marron-beig)</t>
  </si>
  <si>
    <t xml:space="preserve">Bolitas pulsera oro </t>
  </si>
  <si>
    <t xml:space="preserve">Argollas chain grandes </t>
  </si>
  <si>
    <t>PA89273</t>
  </si>
  <si>
    <t>PA89284</t>
  </si>
  <si>
    <t>Argollas circones (gratia) 12 x 2mm</t>
  </si>
  <si>
    <t>PA80027B</t>
  </si>
  <si>
    <t>Argollas circones (gratia) 10 x 3mm</t>
  </si>
  <si>
    <t>Aro pasante con cadena/palito</t>
  </si>
  <si>
    <t>PA62129</t>
  </si>
  <si>
    <t>Argollas chain grandes</t>
  </si>
  <si>
    <t>12x2mm</t>
  </si>
  <si>
    <t xml:space="preserve">Argollas circones </t>
  </si>
  <si>
    <t>10x3mm</t>
  </si>
  <si>
    <t>LINES</t>
  </si>
  <si>
    <t>SHINY</t>
  </si>
  <si>
    <t>CON IVA</t>
  </si>
  <si>
    <t xml:space="preserve">Cadena terminal </t>
  </si>
  <si>
    <t>PEARL MINI ORO</t>
  </si>
  <si>
    <t>Rolo 8 mm</t>
  </si>
  <si>
    <t>Forcet ractangular nueva (MI_45) Basic</t>
  </si>
  <si>
    <t>SPOT MINI ORO</t>
  </si>
  <si>
    <t>Cadena Spot</t>
  </si>
  <si>
    <t>Cadena Spot mini</t>
  </si>
  <si>
    <t>Cadena Basic</t>
  </si>
  <si>
    <t>Forcet rectangular grande (1045) Soller</t>
  </si>
  <si>
    <t>Cadena channel terminal (1034)</t>
  </si>
  <si>
    <t>Cadena chanel terminal gruesa</t>
  </si>
  <si>
    <t>5 Rolo x 1 largo (Botafogo)</t>
  </si>
  <si>
    <t>8,5x9</t>
  </si>
  <si>
    <t>6x6</t>
  </si>
  <si>
    <t>Sobre gamuza grande</t>
  </si>
  <si>
    <t>Sobre gamuza chico</t>
  </si>
  <si>
    <t>Aro pasante con dije de estrella</t>
  </si>
  <si>
    <t>Aro pasante circon engarzado</t>
  </si>
  <si>
    <t>Aro pasante sol con circon en el centro</t>
  </si>
  <si>
    <t>CORAZON BRILLO VERDE</t>
  </si>
  <si>
    <t>ANILLO ONDAS</t>
  </si>
  <si>
    <t>ANILLO SOL</t>
  </si>
  <si>
    <t>ONDAS</t>
  </si>
  <si>
    <t xml:space="preserve">Pulsera sóller </t>
  </si>
  <si>
    <t>PULSERAS ARMADAS  PARA BAÑAR</t>
  </si>
  <si>
    <t xml:space="preserve">Cadena tubitos </t>
  </si>
  <si>
    <t>HUELLITA</t>
  </si>
  <si>
    <t>1,8mm</t>
  </si>
  <si>
    <t>Perla SS05</t>
  </si>
  <si>
    <t>Escallon Jaspe dalmata</t>
  </si>
  <si>
    <t>Vidrio negro</t>
  </si>
  <si>
    <t>Hilo crudo encerado</t>
  </si>
  <si>
    <t xml:space="preserve">Escallon Jaspe dalmata </t>
  </si>
  <si>
    <t>Ostra chica</t>
  </si>
  <si>
    <t xml:space="preserve">Hilo crudo encerado </t>
  </si>
  <si>
    <t xml:space="preserve">Hilo de algodón marron </t>
  </si>
  <si>
    <t xml:space="preserve">Buzio grande </t>
  </si>
  <si>
    <t>Mosqueton marinero</t>
  </si>
  <si>
    <t>Cadena Forcet 1x1 (MI_4549)</t>
  </si>
  <si>
    <t>Cordon de seda retorcido negro</t>
  </si>
  <si>
    <t>Bolsa de lienzo</t>
  </si>
  <si>
    <t xml:space="preserve">Chapita plata </t>
  </si>
  <si>
    <t>Bolitas plata</t>
  </si>
  <si>
    <t>Pulsera bolitas oro</t>
  </si>
  <si>
    <t>Pulsera bolitas plata</t>
  </si>
  <si>
    <t>Chapita oro</t>
  </si>
  <si>
    <t>Hilo tipo brazil marrón</t>
  </si>
  <si>
    <t>QUERER NEW PLATA</t>
  </si>
  <si>
    <t xml:space="preserve">Dije conector buzio </t>
  </si>
  <si>
    <t>Base ajustable simple</t>
  </si>
  <si>
    <t>Dije conector conector</t>
  </si>
  <si>
    <t>Palitos coral</t>
  </si>
  <si>
    <t>Dije nuevo audaz oro</t>
  </si>
  <si>
    <t>Cuero negro</t>
  </si>
  <si>
    <t>AUDAZ NEGRO / ORO</t>
  </si>
  <si>
    <t>AUDAZ MARRÓN / PLATA</t>
  </si>
  <si>
    <t>Cuero marrón</t>
  </si>
  <si>
    <t xml:space="preserve">Hilo de algodón crudo </t>
  </si>
  <si>
    <t xml:space="preserve">Hilo chino beige </t>
  </si>
  <si>
    <t>Escallas turqesas</t>
  </si>
  <si>
    <t xml:space="preserve">Howlite gota turquesa grande </t>
  </si>
  <si>
    <t>Howlite donas turquesas</t>
  </si>
  <si>
    <t>Turquesa reconst dona 14mm</t>
  </si>
  <si>
    <t>Turquesa reconst dona 20mm</t>
  </si>
  <si>
    <t>Caracol pintitas negras</t>
  </si>
  <si>
    <t>Caracol ipanema</t>
  </si>
  <si>
    <t>Argolla madera</t>
  </si>
  <si>
    <t>Caracol retorcido</t>
  </si>
  <si>
    <t xml:space="preserve">Hilo algodón crudo </t>
  </si>
  <si>
    <t xml:space="preserve">Bolitas oro </t>
  </si>
  <si>
    <t>BOYA (blanca- verde- negro)</t>
  </si>
  <si>
    <t>PROFUNDIDAD</t>
  </si>
  <si>
    <t>MAR Y TIERRA</t>
  </si>
  <si>
    <t>SHELL PLATA</t>
  </si>
  <si>
    <t>CHOCKER MUELLE</t>
  </si>
  <si>
    <t>CHOCKER CAURI</t>
  </si>
  <si>
    <t>ATOLÓN</t>
  </si>
  <si>
    <t>NEA</t>
  </si>
  <si>
    <t>MUELLE</t>
  </si>
  <si>
    <t>AMARRAS</t>
  </si>
  <si>
    <t>APAREJO PLATA</t>
  </si>
  <si>
    <t>APAREJO ORO</t>
  </si>
  <si>
    <t>ABALÓN</t>
  </si>
  <si>
    <t>Buzio natural grande</t>
  </si>
  <si>
    <t xml:space="preserve">Negra matiz </t>
  </si>
  <si>
    <t xml:space="preserve">CHAIN M </t>
  </si>
  <si>
    <t>LOVE CIRCON</t>
  </si>
  <si>
    <t xml:space="preserve">EXCIBIDORES Y ALHAJEROS </t>
  </si>
  <si>
    <t xml:space="preserve">Excibidor sin divisiones </t>
  </si>
  <si>
    <t xml:space="preserve">Excibidor con divisiones </t>
  </si>
  <si>
    <t>35x24cm</t>
  </si>
  <si>
    <t xml:space="preserve">35x24cm </t>
  </si>
  <si>
    <t>Alhajero</t>
  </si>
  <si>
    <t>Alhajero (PE20000)</t>
  </si>
  <si>
    <t>20x15cm</t>
  </si>
  <si>
    <t>ALHAJEROS</t>
  </si>
  <si>
    <t>BRAZALETE 5 vueltas</t>
  </si>
  <si>
    <t>Sobre gamuza</t>
  </si>
  <si>
    <t xml:space="preserve"> Bolsa con pegamento </t>
  </si>
  <si>
    <t xml:space="preserve">9x12 </t>
  </si>
  <si>
    <t>12x15</t>
  </si>
  <si>
    <t>CANTIDAD</t>
  </si>
  <si>
    <t>Argollas microzirconia 12,5mm</t>
  </si>
  <si>
    <t>ZA147</t>
  </si>
  <si>
    <t>Hilo de algodón 3mm</t>
  </si>
  <si>
    <t xml:space="preserve">Exhibidor sin divisiones </t>
  </si>
  <si>
    <t xml:space="preserve">EXHIBIDOR SIN DIVISIONES </t>
  </si>
  <si>
    <t>30x30</t>
  </si>
  <si>
    <t xml:space="preserve">Bolsa fiselina </t>
  </si>
  <si>
    <t xml:space="preserve">EXHIBIDOR CON DIVISIONES </t>
  </si>
  <si>
    <t>Bolita niquel  10mm pase ancho -10g</t>
  </si>
  <si>
    <t>12,5mm</t>
  </si>
  <si>
    <t>CIRCON S</t>
  </si>
  <si>
    <t>CIRCON XS</t>
  </si>
  <si>
    <t>CIRCON M</t>
  </si>
  <si>
    <t xml:space="preserve">Base ajustable balines </t>
  </si>
  <si>
    <t xml:space="preserve">SOBRE VEGETAL CHICO </t>
  </si>
  <si>
    <t>SOBRE VEGETAL GRANDE</t>
  </si>
  <si>
    <t>SOBRE GAMUZA CHICO</t>
  </si>
  <si>
    <t xml:space="preserve">SOBRE GAMUZA GRANDE </t>
  </si>
  <si>
    <t xml:space="preserve">AROS BAJAMAR </t>
  </si>
  <si>
    <t>AROS PEZ</t>
  </si>
  <si>
    <t>AROS CORALINA</t>
  </si>
  <si>
    <t>AROS DIA DE PLAYA</t>
  </si>
  <si>
    <t>AROS BAJO EL MAR</t>
  </si>
  <si>
    <t>AROS SIMPLE</t>
  </si>
  <si>
    <t>AROS CARACOL</t>
  </si>
  <si>
    <t>AROS ALCUDIA</t>
  </si>
  <si>
    <t>AROS MERCADAL</t>
  </si>
  <si>
    <t>AROS A LA ORILLA</t>
  </si>
  <si>
    <t>AROS BRIO S-M</t>
  </si>
  <si>
    <t>AROS AUDAZ S-M</t>
  </si>
  <si>
    <t>AROS TORSION</t>
  </si>
  <si>
    <t>AROS FLOR CORAL</t>
  </si>
  <si>
    <t xml:space="preserve">AROS PERLA Y TURQUESA </t>
  </si>
  <si>
    <t>AROS PERLA Y CARACOL CRUDO</t>
  </si>
  <si>
    <t xml:space="preserve">AROS PASANTE COLORES </t>
  </si>
  <si>
    <t xml:space="preserve">AROS PERLA Y VERDE </t>
  </si>
  <si>
    <t xml:space="preserve">AROS ONDAS </t>
  </si>
  <si>
    <t xml:space="preserve">BOLSA LIENZO CHICA </t>
  </si>
  <si>
    <t xml:space="preserve">BOLSA LIENZO GRANDE </t>
  </si>
  <si>
    <t>CAJA CHICA</t>
  </si>
  <si>
    <t xml:space="preserve">CAJA GRANDE </t>
  </si>
  <si>
    <t>AROS BOYA (VERDE-CRISTAL-NEGRO)</t>
  </si>
  <si>
    <t>AROS NUT</t>
  </si>
  <si>
    <t xml:space="preserve">AROS AGUA </t>
  </si>
  <si>
    <t>COLLAR FLUORITA</t>
  </si>
  <si>
    <t>COLLAR BAJO EL MAR</t>
  </si>
  <si>
    <t>COLLAR AMOR CORAL</t>
  </si>
  <si>
    <t xml:space="preserve">COLLAR COSTA </t>
  </si>
  <si>
    <t>COLLAR FORMENTERA</t>
  </si>
  <si>
    <t>COLLAR MAÓ</t>
  </si>
  <si>
    <t>COLLAR PEZ</t>
  </si>
  <si>
    <t>COLLAR A LA ORILLA</t>
  </si>
  <si>
    <t>COLLAR MERCADAL</t>
  </si>
  <si>
    <t>COLLAR FEZ</t>
  </si>
  <si>
    <t>COLLAR ALCUDIA</t>
  </si>
  <si>
    <t>COLLAR BAJAMAR</t>
  </si>
  <si>
    <t>COLLAR OSTUNI</t>
  </si>
  <si>
    <t>COLLAR RAMBLA</t>
  </si>
  <si>
    <t>COLLAR AMATISTA</t>
  </si>
  <si>
    <t>COLLAR CONFITÉ</t>
  </si>
  <si>
    <t>COLLAR MALLORCA</t>
  </si>
  <si>
    <t>COLLAR PALMA</t>
  </si>
  <si>
    <t>COLLAR MAROLA</t>
  </si>
  <si>
    <t>COLLAR DIA DE PLAYA</t>
  </si>
  <si>
    <t>COLLAR MORO</t>
  </si>
  <si>
    <t>COLLAR ARENA</t>
  </si>
  <si>
    <t>COLLAR MENORCA</t>
  </si>
  <si>
    <t>COLLAR TUBITO OJO DE TIGRE</t>
  </si>
  <si>
    <t>COLLAR PEZ TURQUESA</t>
  </si>
  <si>
    <t>COLLAR TURQUESA COLORES Y PEZ</t>
  </si>
  <si>
    <t>COLLAR TUBITO CELESTE Y MARRON</t>
  </si>
  <si>
    <t>COLLAR ROJO Y NACAR Y PEZ VERDE</t>
  </si>
  <si>
    <t>COLLAR BOLITAS NACAR Y PERLA</t>
  </si>
  <si>
    <t>COLLAR MOSTAZA Y PES MARRON</t>
  </si>
  <si>
    <t>COLLAR CRIZOPRASA</t>
  </si>
  <si>
    <t xml:space="preserve">CHOKER PERLAS </t>
  </si>
  <si>
    <t>COLLAR CORDON BLANCO Y CARACOL</t>
  </si>
  <si>
    <t>COLLAR PERLAS Y LANGOSTA</t>
  </si>
  <si>
    <t>COLLAR PERLAS CHATAS</t>
  </si>
  <si>
    <t>COLLAR PROFUNDIDAD</t>
  </si>
  <si>
    <t>COLLAR MAR Y TIERRA</t>
  </si>
  <si>
    <t>COLLAR AGUA</t>
  </si>
  <si>
    <t>CHOKER CAURI</t>
  </si>
  <si>
    <t>COLLAR SHELL (ORO- PLATA)</t>
  </si>
  <si>
    <t>CHOKER MUELLE</t>
  </si>
  <si>
    <t>COLLAR SOLLER</t>
  </si>
  <si>
    <t>COLLAR ATOLON</t>
  </si>
  <si>
    <t>PULSERA BAJO EL MAR</t>
  </si>
  <si>
    <t>PULSERA OCEANO</t>
  </si>
  <si>
    <t>PULSERA COSTA</t>
  </si>
  <si>
    <t>PULSERA FORMENTERA</t>
  </si>
  <si>
    <t>PULSERA A LA ORILLA</t>
  </si>
  <si>
    <t>PULSERA CONFITÉ</t>
  </si>
  <si>
    <t>PULSERA MERCADAL</t>
  </si>
  <si>
    <t>PULSERA ALCUDIA</t>
  </si>
  <si>
    <t>PULSERA RAMBLA</t>
  </si>
  <si>
    <t>PULSERA SOLLER</t>
  </si>
  <si>
    <t>PULSERA VISION</t>
  </si>
  <si>
    <t>PULSERA NEA</t>
  </si>
  <si>
    <t>PULSERA LOVE CIRCON</t>
  </si>
  <si>
    <t>LAZO FORMENTERA</t>
  </si>
  <si>
    <t>LAZO INICIO</t>
  </si>
  <si>
    <t>LAZO CORALINA</t>
  </si>
  <si>
    <t>LAZO MENORCA (LILA-SALMON)</t>
  </si>
  <si>
    <t>LAZO ELEMENTOS (NEGRO-MARRON)</t>
  </si>
  <si>
    <t>LAZO IBIZA</t>
  </si>
  <si>
    <t>LAZO MUELLE</t>
  </si>
  <si>
    <t>LAZO AMARRAS</t>
  </si>
  <si>
    <t>LAZO APAREJO (ORO-PLATA)</t>
  </si>
  <si>
    <t>LAZO TIERRA</t>
  </si>
  <si>
    <t>LAZO ABALON</t>
  </si>
  <si>
    <t>LAZO AUDAZ (ORO-PLATA)</t>
  </si>
  <si>
    <t>LAZO VERANO</t>
  </si>
  <si>
    <t>BAG CHARM AGUA</t>
  </si>
  <si>
    <t>BAG CHARM AMARRAS</t>
  </si>
  <si>
    <t>BAG CHARM BAJO EL MAR</t>
  </si>
  <si>
    <t>BAG CHARM CORALINA</t>
  </si>
  <si>
    <t>BAG CHARM ELEFANTES</t>
  </si>
  <si>
    <t>BAG CHARM MORO</t>
  </si>
  <si>
    <t xml:space="preserve">BAG CHARM ARENA </t>
  </si>
  <si>
    <t>CADENA LLUVIA</t>
  </si>
  <si>
    <t>CADENA BASIC (ORO-PLATA)</t>
  </si>
  <si>
    <t>ANILLO DROP</t>
  </si>
  <si>
    <t xml:space="preserve">ANILLO BOLD </t>
  </si>
  <si>
    <t>ANILLO CIRCON GOTA</t>
  </si>
  <si>
    <t>ANIILO PODER (ORO-PLATA)</t>
  </si>
  <si>
    <t>Peso</t>
  </si>
  <si>
    <t>100g</t>
  </si>
  <si>
    <t>Perla plastica engomada (1261) 8mm</t>
  </si>
  <si>
    <t>Perla plastica nacarada (1218) 8mm</t>
  </si>
  <si>
    <t>Perla plastica engomada (1252) 6mm</t>
  </si>
  <si>
    <t>Cuentas plasticas pase ancho (127)</t>
  </si>
  <si>
    <t>Cuentas plasticas esmerilada (77)</t>
  </si>
  <si>
    <t>Cuentas plasticas facetado (123) n6</t>
  </si>
  <si>
    <t>Cuentas plasticas liso (117) 6mm</t>
  </si>
  <si>
    <t>Cuentas plasticas liso (119) 8mm</t>
  </si>
  <si>
    <t xml:space="preserve">Buzios grandes </t>
  </si>
  <si>
    <t>Buzios chicos pastel (1360)</t>
  </si>
  <si>
    <t>FIMO</t>
  </si>
  <si>
    <t xml:space="preserve">Animales </t>
  </si>
  <si>
    <t xml:space="preserve">Candy </t>
  </si>
  <si>
    <t>Flores</t>
  </si>
  <si>
    <t>Promedio precios</t>
  </si>
  <si>
    <t>Cantidad de gramos x cajita osito</t>
  </si>
  <si>
    <t xml:space="preserve">Acrilicos </t>
  </si>
  <si>
    <t>DIJES ACRILICOS</t>
  </si>
  <si>
    <t>KIDS</t>
  </si>
  <si>
    <t xml:space="preserve">OSTRA CON CIRCONES </t>
  </si>
  <si>
    <t>Dije ostra circon</t>
  </si>
  <si>
    <t xml:space="preserve">CORAZON CALADO </t>
  </si>
  <si>
    <t>Dije corazon calado circon</t>
  </si>
  <si>
    <t>Dije corazon relleno circon</t>
  </si>
  <si>
    <t>CORAZON RELLENO</t>
  </si>
  <si>
    <t xml:space="preserve">SENTIMIENTO </t>
  </si>
  <si>
    <t xml:space="preserve">Precio baño oro </t>
  </si>
  <si>
    <t>Dije caracol espiral redondo</t>
  </si>
  <si>
    <t>Hilo tipo brasil - 4mm</t>
  </si>
  <si>
    <t>LAZO CARACOL</t>
  </si>
  <si>
    <t>ZA156</t>
  </si>
  <si>
    <t>ZA157</t>
  </si>
  <si>
    <t>Argollas circones (gratia) 10mm</t>
  </si>
  <si>
    <t>Argollas circones (gratia) 14mm</t>
  </si>
  <si>
    <t>PA73154A</t>
  </si>
  <si>
    <t>PA73154C</t>
  </si>
  <si>
    <t>PA73148</t>
  </si>
  <si>
    <t xml:space="preserve">Argollas trenzadas (gratia) </t>
  </si>
  <si>
    <t>PA80076</t>
  </si>
  <si>
    <t>PA73156</t>
  </si>
  <si>
    <t>Aros pasante argolla corazon 15mm</t>
  </si>
  <si>
    <t>Aros pasante triple circon (gratia)</t>
  </si>
  <si>
    <t>PA73155</t>
  </si>
  <si>
    <t>Argollas con estrella circones (gratia)</t>
  </si>
  <si>
    <t>PA73151</t>
  </si>
  <si>
    <t>PA73153A</t>
  </si>
  <si>
    <t>PA73153B</t>
  </si>
  <si>
    <t>PA73153C</t>
  </si>
  <si>
    <t>Argollas con stras (gratia) 10mm</t>
  </si>
  <si>
    <t>Argollas con stras (gratia) 12mm</t>
  </si>
  <si>
    <t>Argollas con stras (gratia) 14mm</t>
  </si>
  <si>
    <t xml:space="preserve">Argolla con estrella circones </t>
  </si>
  <si>
    <t xml:space="preserve"> PA73151</t>
  </si>
  <si>
    <t>Argolla con stras 10mm</t>
  </si>
  <si>
    <t>Argolla con stras 12mm</t>
  </si>
  <si>
    <t>Argolla con stras 14mm</t>
  </si>
  <si>
    <t>Argolla clasica triangular 15,6mm</t>
  </si>
  <si>
    <t>Argollas clasicas triangular  15,6mm</t>
  </si>
  <si>
    <t>Argollas clasicas triangular 17,2mm</t>
  </si>
  <si>
    <t>Argolla clasica triangular 17,2mm</t>
  </si>
  <si>
    <t xml:space="preserve">Argolla trenzada </t>
  </si>
  <si>
    <t>Argollas triangular circones  (gratia) 15mm</t>
  </si>
  <si>
    <t>Argolla con circones 10mm</t>
  </si>
  <si>
    <t>Argolla con circones 14mm</t>
  </si>
  <si>
    <t xml:space="preserve">CIRCONES GRANDE </t>
  </si>
  <si>
    <t>CIRCONES CHICO</t>
  </si>
  <si>
    <t>LAZO SHELL</t>
  </si>
  <si>
    <t>Dije caracol retorcido plata</t>
  </si>
  <si>
    <t>Cordon de seda turquesa</t>
  </si>
  <si>
    <t>SOGA</t>
  </si>
  <si>
    <t>STARLIGH</t>
  </si>
  <si>
    <t>NOVA S</t>
  </si>
  <si>
    <t>NOVA M</t>
  </si>
  <si>
    <t>NOVA L</t>
  </si>
  <si>
    <t>DEIA M</t>
  </si>
  <si>
    <t>DEIA L</t>
  </si>
  <si>
    <t>DEIA S</t>
  </si>
  <si>
    <t>Argolla clasica triangular 13,4mm</t>
  </si>
  <si>
    <t>ZA155</t>
  </si>
  <si>
    <t>Argollas clasicas triangular  13,4mm</t>
  </si>
  <si>
    <t>DEIA CIRCON</t>
  </si>
  <si>
    <t>LAZO MARINO</t>
  </si>
  <si>
    <t>Dije conector estrella de mar circones</t>
  </si>
  <si>
    <t>CO85</t>
  </si>
  <si>
    <t>Bolsa con pegamento</t>
  </si>
  <si>
    <t xml:space="preserve">Hilo chino </t>
  </si>
  <si>
    <t xml:space="preserve">Dije conector caracol </t>
  </si>
  <si>
    <t xml:space="preserve">Dije conector estrella de mar circones </t>
  </si>
  <si>
    <t>BUZIO (hilo beige-marrón-verde)</t>
  </si>
  <si>
    <t>Base aro bolita cristal 4mm</t>
  </si>
  <si>
    <t>GF-0124</t>
  </si>
  <si>
    <t>Caracol rugoso (maó)</t>
  </si>
  <si>
    <t>Nudo (GF-0257)</t>
  </si>
  <si>
    <t>Dije sol 15mm</t>
  </si>
  <si>
    <t>GF-0037</t>
  </si>
  <si>
    <t xml:space="preserve">Broche palanca ovalado </t>
  </si>
  <si>
    <t>GF-0571</t>
  </si>
  <si>
    <t>GF-0160</t>
  </si>
  <si>
    <t>Argollas puntos circon (shine bright) 14mm</t>
  </si>
  <si>
    <t>Argollas circon corazon (brigh love) 17mm</t>
  </si>
  <si>
    <t>GF-0446</t>
  </si>
  <si>
    <t xml:space="preserve">BRIGH LOVE </t>
  </si>
  <si>
    <t>Brisuras circon corazón</t>
  </si>
  <si>
    <t xml:space="preserve">Brisuras puntos circon </t>
  </si>
  <si>
    <t xml:space="preserve">Hilo tipo brasil  </t>
  </si>
  <si>
    <t xml:space="preserve">Beige </t>
  </si>
  <si>
    <t xml:space="preserve">2x3 </t>
  </si>
  <si>
    <t xml:space="preserve">Cianita </t>
  </si>
  <si>
    <t>Jadeita dona</t>
  </si>
  <si>
    <t>4x8</t>
  </si>
  <si>
    <t xml:space="preserve">Flor piedra </t>
  </si>
  <si>
    <t>Unakita dona</t>
  </si>
  <si>
    <t xml:space="preserve">Labradorita </t>
  </si>
  <si>
    <t xml:space="preserve">Prenita </t>
  </si>
  <si>
    <t xml:space="preserve">Agata india </t>
  </si>
  <si>
    <t xml:space="preserve">Turmalina </t>
  </si>
  <si>
    <t>Agata india</t>
  </si>
  <si>
    <t>Labradorita</t>
  </si>
  <si>
    <t>Agata mocha</t>
  </si>
  <si>
    <t>NUDO</t>
  </si>
  <si>
    <t>ESTRELLA DE MAR</t>
  </si>
  <si>
    <t>Dije happy face</t>
  </si>
  <si>
    <t>Dije trebol</t>
  </si>
  <si>
    <t>Dije gota (D41562)</t>
  </si>
  <si>
    <t>D41563</t>
  </si>
  <si>
    <t>Pez globo plata</t>
  </si>
  <si>
    <t>Pez globo oro</t>
  </si>
  <si>
    <t>Bolita con arandela oro</t>
  </si>
  <si>
    <t>Hilo tipo brasil marrón</t>
  </si>
  <si>
    <t>Delfin oro</t>
  </si>
  <si>
    <t>Buzio grande oro</t>
  </si>
  <si>
    <t>Lifeguard rosa/rojo (tipo 3)</t>
  </si>
  <si>
    <t>Lifeguard marron/beige (tipo 3)</t>
  </si>
  <si>
    <t>Lifeguard verde/negro (tipo 3)</t>
  </si>
  <si>
    <t>Lifeguard azul/negro (tipo 3)</t>
  </si>
  <si>
    <t>Lifeguard rojo (tipo 2)</t>
  </si>
  <si>
    <t>Corazon candado</t>
  </si>
  <si>
    <t>Lifeguard  (tipo 2)</t>
  </si>
  <si>
    <t xml:space="preserve">Buzio grande oro </t>
  </si>
  <si>
    <t>Dije corazon candado oro</t>
  </si>
  <si>
    <t>Lifeguard marron (tipo 2)</t>
  </si>
  <si>
    <t>Dije ancla oro</t>
  </si>
  <si>
    <t>Hilo tipo brasil marron</t>
  </si>
  <si>
    <t xml:space="preserve">Bolita con arandela </t>
  </si>
  <si>
    <t>#8</t>
  </si>
  <si>
    <t>Sobre vegetal chico</t>
  </si>
  <si>
    <t>Hilo tipo brasil negro</t>
  </si>
  <si>
    <t xml:space="preserve">Bolita oro </t>
  </si>
  <si>
    <t>#12</t>
  </si>
  <si>
    <t>Dije caballito de mar</t>
  </si>
  <si>
    <t>Corazon resina rojo</t>
  </si>
  <si>
    <t>Lifeguard rosa y rojo (tipo 3)</t>
  </si>
  <si>
    <t>Lifeguard marron y beige (tipo 3)</t>
  </si>
  <si>
    <t>Corazon resina marron</t>
  </si>
  <si>
    <t>Dije cangrejo</t>
  </si>
  <si>
    <t>Bola resina marron</t>
  </si>
  <si>
    <t>Aros flor golpeada</t>
  </si>
  <si>
    <t>ZA158</t>
  </si>
  <si>
    <t>DI579</t>
  </si>
  <si>
    <t>Collar orbita (new)</t>
  </si>
  <si>
    <t>Bolsa de lienzo chica</t>
  </si>
  <si>
    <t xml:space="preserve">Citrino </t>
  </si>
  <si>
    <t>Arandela (alambre #18)</t>
  </si>
  <si>
    <t>GANANCIA</t>
  </si>
  <si>
    <t>DELFIN</t>
  </si>
  <si>
    <t>PROTECCIÓN</t>
  </si>
  <si>
    <t>ANCLA</t>
  </si>
  <si>
    <t>ESFERAS</t>
  </si>
  <si>
    <t>DROP RED</t>
  </si>
  <si>
    <t>BALL</t>
  </si>
  <si>
    <t>QUERER ROJO</t>
  </si>
  <si>
    <t>QUERER MARRON</t>
  </si>
  <si>
    <t>SARDINAS</t>
  </si>
  <si>
    <t>SARDINA</t>
  </si>
  <si>
    <t>MARAL</t>
  </si>
  <si>
    <t>LUCKY NEW</t>
  </si>
  <si>
    <t>Balin 1,8mm</t>
  </si>
  <si>
    <t>DI404</t>
  </si>
  <si>
    <t>Dije anana gold</t>
  </si>
  <si>
    <t>Argolla 8mm</t>
  </si>
  <si>
    <t>Brisura 110</t>
  </si>
  <si>
    <t xml:space="preserve">Anillo trama </t>
  </si>
  <si>
    <t>Cant bolitas</t>
  </si>
  <si>
    <t>Precio unidad bolita</t>
  </si>
  <si>
    <t>Agata celeste</t>
  </si>
  <si>
    <t>Hilo polyester celeste</t>
  </si>
  <si>
    <t>CIANITA</t>
  </si>
  <si>
    <t>Cianita</t>
  </si>
  <si>
    <t>Agata marron</t>
  </si>
  <si>
    <t>Hilo polyester marrón</t>
  </si>
  <si>
    <t xml:space="preserve"> MARRÓN</t>
  </si>
  <si>
    <t>MARRÓN</t>
  </si>
  <si>
    <t>Agatas marrón</t>
  </si>
  <si>
    <t>Broche palanca ovalado</t>
  </si>
  <si>
    <t>Hilo polyestrer fuerte marrón</t>
  </si>
  <si>
    <t xml:space="preserve">Agata rosa </t>
  </si>
  <si>
    <t>TURMALINA</t>
  </si>
  <si>
    <t>Turmalina</t>
  </si>
  <si>
    <t>Dije flor  (aros flor)</t>
  </si>
  <si>
    <t>Mostacillas checas marron</t>
  </si>
  <si>
    <t xml:space="preserve">Cubo biselado </t>
  </si>
  <si>
    <t>Dona chata 2,5mm x 8mm</t>
  </si>
  <si>
    <t>2mm x 6mm</t>
  </si>
  <si>
    <t>REVERDECER NEW</t>
  </si>
  <si>
    <t>Dije pez piedra</t>
  </si>
  <si>
    <t>Sodalita azul</t>
  </si>
  <si>
    <t>DI237</t>
  </si>
  <si>
    <t>DI321</t>
  </si>
  <si>
    <t>Dije corazon  liso (chico)</t>
  </si>
  <si>
    <t>Dije corazon  liso 3D (grande)</t>
  </si>
  <si>
    <t>Broche corazon 20mm (FO71)</t>
  </si>
  <si>
    <t>Balin estriado 3mm (SE152)</t>
  </si>
  <si>
    <t>Balin estriado 4mm (SE153)</t>
  </si>
  <si>
    <t>Separador ovalado 4,6mmx8,5mm</t>
  </si>
  <si>
    <t xml:space="preserve">Dije frutilla metalizada </t>
  </si>
  <si>
    <t>DI304</t>
  </si>
  <si>
    <t xml:space="preserve">Pez </t>
  </si>
  <si>
    <t>Ambar</t>
  </si>
  <si>
    <t>Rojo trasparente</t>
  </si>
  <si>
    <t>Caracol  retorcido</t>
  </si>
  <si>
    <t xml:space="preserve">Hilo tipo brasil </t>
  </si>
  <si>
    <t>Cadena 5x1 chapita (armonia)</t>
  </si>
  <si>
    <t>Cadena tipo basic 1x1</t>
  </si>
  <si>
    <t>48cm</t>
  </si>
  <si>
    <t>7x4mm</t>
  </si>
  <si>
    <t>8x6mm</t>
  </si>
  <si>
    <t>Cadena tipo basic ovalada 1x1</t>
  </si>
  <si>
    <t>7x5mm</t>
  </si>
  <si>
    <t xml:space="preserve">Cadena tipo aros cala </t>
  </si>
  <si>
    <t>43cm</t>
  </si>
  <si>
    <t>6x3mm</t>
  </si>
  <si>
    <t>Dije flor nueva grande</t>
  </si>
  <si>
    <t>Dije flor chica pasante</t>
  </si>
  <si>
    <t xml:space="preserve">Dije flor mediana </t>
  </si>
  <si>
    <t xml:space="preserve">Opalo rosa </t>
  </si>
  <si>
    <t>Turquesa africana</t>
  </si>
  <si>
    <t>Pulsera pearl (ultima compra 28-2)</t>
  </si>
  <si>
    <t>Amarilla y marrón</t>
  </si>
  <si>
    <t>Coral dona</t>
  </si>
  <si>
    <t>4x6mm</t>
  </si>
  <si>
    <t>Redondas 3mm</t>
  </si>
  <si>
    <t>A11401</t>
  </si>
  <si>
    <t xml:space="preserve"> Amarillo 10mm</t>
  </si>
  <si>
    <t>Coral redondo</t>
  </si>
  <si>
    <t>Lisa celeste 14mm</t>
  </si>
  <si>
    <t>Rosa 8mm</t>
  </si>
  <si>
    <t>Rosa 10mm</t>
  </si>
  <si>
    <t>CUERO REDONDO</t>
  </si>
  <si>
    <t>1.8 x 9</t>
  </si>
  <si>
    <t>PRECIO X BOLSA</t>
  </si>
  <si>
    <t>Dije corazon chunky alargado 20mm</t>
  </si>
  <si>
    <t>Dije corazon chunky pasante 15mm</t>
  </si>
  <si>
    <t>Dije cerezas chicas (rojo)</t>
  </si>
  <si>
    <t>Dije cerezas grandes (rojo)</t>
  </si>
  <si>
    <t>Dije cereza bañada en oro</t>
  </si>
  <si>
    <t>Argolla estilo pandora 9x6</t>
  </si>
  <si>
    <t>Argolla estilo pandora 10x7</t>
  </si>
  <si>
    <t>Isabel enchapado (circon y balin)</t>
  </si>
  <si>
    <t>OJITO SHINY</t>
  </si>
  <si>
    <t xml:space="preserve">TRIPLE CIRCONES </t>
  </si>
  <si>
    <t>Triple circones y balin</t>
  </si>
  <si>
    <t>Dije Frutilla</t>
  </si>
  <si>
    <t>Dije Cereza chica</t>
  </si>
  <si>
    <t>Dije Flor lima</t>
  </si>
  <si>
    <t xml:space="preserve">Agata celeste </t>
  </si>
  <si>
    <t xml:space="preserve">Dona jadeita </t>
  </si>
  <si>
    <t>Cadena armonia</t>
  </si>
  <si>
    <t>59cm</t>
  </si>
  <si>
    <t>CADENA CON DIJES</t>
  </si>
  <si>
    <t>Dije Ananá gold</t>
  </si>
  <si>
    <t>NEW BAJO EL MAR</t>
  </si>
  <si>
    <t xml:space="preserve">Cuarzo celeste </t>
  </si>
  <si>
    <t xml:space="preserve">Agata azul </t>
  </si>
  <si>
    <t xml:space="preserve">Citrino grande </t>
  </si>
  <si>
    <t xml:space="preserve">Dije sol </t>
  </si>
  <si>
    <t>2,5x8mm</t>
  </si>
  <si>
    <t xml:space="preserve">Cubito biselado </t>
  </si>
  <si>
    <t>30x07mm</t>
  </si>
  <si>
    <t>Redonda 10mm</t>
  </si>
  <si>
    <t>Coral redondo chato</t>
  </si>
  <si>
    <t>11x11mm</t>
  </si>
  <si>
    <t>Hilo polyestrer fuerte amarillo</t>
  </si>
  <si>
    <t xml:space="preserve">Aventurina celeste </t>
  </si>
  <si>
    <t>CITRINO</t>
  </si>
  <si>
    <t>Citrino grande</t>
  </si>
  <si>
    <t>Hilo tipo polyester fuerte amarillo</t>
  </si>
  <si>
    <t>Escalla turquesa africana</t>
  </si>
  <si>
    <t>TURQUESA AFRICANA</t>
  </si>
  <si>
    <t>CONFITE NEW ´25</t>
  </si>
  <si>
    <t>Agata dona facetada</t>
  </si>
  <si>
    <t>Hilo tipo polyester amarillo</t>
  </si>
  <si>
    <t>Redonda grande de un lado chata</t>
  </si>
  <si>
    <t>P027A</t>
  </si>
  <si>
    <t>CONFITE NEW</t>
  </si>
  <si>
    <t>Mostacillas transparentes</t>
  </si>
  <si>
    <t>CEREZA</t>
  </si>
  <si>
    <t>Dije cereza grande</t>
  </si>
  <si>
    <t xml:space="preserve">Hilo polyester fuerte blanco </t>
  </si>
  <si>
    <t xml:space="preserve">TIERRA NEW </t>
  </si>
  <si>
    <t>Piedra labradorita</t>
  </si>
  <si>
    <t>FLOR GOLPEADA</t>
  </si>
  <si>
    <t>Dije flor golpeada</t>
  </si>
  <si>
    <t>ROSA BORDO Y PERLA</t>
  </si>
  <si>
    <t>Agata rosa</t>
  </si>
  <si>
    <t xml:space="preserve">Agata bordo </t>
  </si>
  <si>
    <t>2x3</t>
  </si>
  <si>
    <t>2,5cm</t>
  </si>
  <si>
    <t>Cadena gucci (CA15)</t>
  </si>
  <si>
    <t>Dije corazon amore pasante 23,5mm</t>
  </si>
  <si>
    <t>DI503</t>
  </si>
  <si>
    <t>(FO67)</t>
  </si>
  <si>
    <t xml:space="preserve">Broche I/O </t>
  </si>
  <si>
    <t>18cm</t>
  </si>
  <si>
    <t>1,5x1,8mm</t>
  </si>
  <si>
    <t>Cadena gruesa redonda  (14847)</t>
  </si>
  <si>
    <t>Cadena gruesa redonda y rectagular (16041)</t>
  </si>
  <si>
    <t xml:space="preserve">Cadena nacred </t>
  </si>
  <si>
    <t>Rolo 5mm</t>
  </si>
  <si>
    <t>49cm</t>
  </si>
  <si>
    <t xml:space="preserve">Cadenas armonia </t>
  </si>
  <si>
    <t>Jadeita hexagonal</t>
  </si>
  <si>
    <t>Celeste 8mm</t>
  </si>
  <si>
    <t>Azul/Celeste 10mm</t>
  </si>
  <si>
    <t xml:space="preserve">Celeste </t>
  </si>
  <si>
    <t>Marron jaspeada</t>
  </si>
  <si>
    <t>Arandela de fundicion</t>
  </si>
  <si>
    <t>Corazon inflado chico nuevo</t>
  </si>
  <si>
    <t>Rolada Marron</t>
  </si>
  <si>
    <t xml:space="preserve">Celeste hexagonal </t>
  </si>
  <si>
    <t>Rosa hexagonal</t>
  </si>
  <si>
    <t xml:space="preserve">Rosa cilindro </t>
  </si>
  <si>
    <t>Cuarzo limon</t>
  </si>
  <si>
    <t>Rosa tipo dona</t>
  </si>
  <si>
    <t>Broncita</t>
  </si>
  <si>
    <t xml:space="preserve">Rolada marrones </t>
  </si>
  <si>
    <t xml:space="preserve">Roladas marrones </t>
  </si>
  <si>
    <t xml:space="preserve">OPALO ROSA </t>
  </si>
  <si>
    <t xml:space="preserve">AGATA AZUL </t>
  </si>
  <si>
    <t>Agata azul</t>
  </si>
  <si>
    <t xml:space="preserve">Separador ovalado </t>
  </si>
  <si>
    <t>4,6mmx8,5mm</t>
  </si>
  <si>
    <t>Aprieta tanza mediana Zag FO2</t>
  </si>
  <si>
    <t>Alfiler 20mm x 0,6</t>
  </si>
  <si>
    <t>Argollas lisas gruesas chicas 14mm</t>
  </si>
  <si>
    <t>Argollas lisas gruesas grandes 16mm</t>
  </si>
  <si>
    <t>GF-0601</t>
  </si>
  <si>
    <t>GF-0602</t>
  </si>
  <si>
    <t>PERLAS Y CEREZA</t>
  </si>
  <si>
    <t xml:space="preserve">Dije Cereza </t>
  </si>
  <si>
    <t xml:space="preserve">Broche marinero </t>
  </si>
  <si>
    <t>Cuero marron</t>
  </si>
  <si>
    <t>Dije manzana</t>
  </si>
  <si>
    <t>Pulsera armonia</t>
  </si>
  <si>
    <t xml:space="preserve">DROP 2 </t>
  </si>
  <si>
    <t>DROP 1</t>
  </si>
  <si>
    <t>ROSA Y CEREZA</t>
  </si>
  <si>
    <t>Dije cereza banada en oro</t>
  </si>
  <si>
    <t xml:space="preserve">PERLA ARROZ </t>
  </si>
  <si>
    <t>Perlas P031</t>
  </si>
  <si>
    <t>BORDO FINITO</t>
  </si>
  <si>
    <t>NEGRO Y CEREZA</t>
  </si>
  <si>
    <t>Dije cereza chica roja</t>
  </si>
  <si>
    <t>BORDO Y MANZANA</t>
  </si>
  <si>
    <t>2x4mm</t>
  </si>
  <si>
    <t>DROP 2</t>
  </si>
  <si>
    <t xml:space="preserve">Sobre chico </t>
  </si>
  <si>
    <t>Separador estriado</t>
  </si>
  <si>
    <t xml:space="preserve">Bolsa con pegamento </t>
  </si>
  <si>
    <t>9x12</t>
  </si>
  <si>
    <t>BORDO</t>
  </si>
  <si>
    <t xml:space="preserve">ROSA Y PERLA </t>
  </si>
  <si>
    <t xml:space="preserve">PERLAS </t>
  </si>
  <si>
    <t>NEGRA MATIZ</t>
  </si>
  <si>
    <t>Negra matiz</t>
  </si>
  <si>
    <t>Cubito biselado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</si>
</sst>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 #,##0;[Red]\-&quot;$&quot;\ #,##0"/>
    <numFmt numFmtId="44" formatCode="_-&quot;$&quot;\ * #,##0.00_-;\-&quot;$&quot;\ * #,##0.00_-;_-&quot;$&quot;\ * &quot;-&quot;??_-;_-@_-"/>
    <numFmt numFmtId="43" formatCode="_-* #,##0.00_-;\-* #,##0.00_-;_-* &quot;-&quot;??_-;_-@_-"/>
    <numFmt numFmtId="164" formatCode="_-&quot;£&quot;* #,##0.00_-;\-&quot;£&quot;* #,##0.00_-;_-&quot;£&quot;* &quot;-&quot;??_-;_-@_-"/>
    <numFmt numFmtId="165" formatCode="_-[$$-409]* #,##0.00_ ;_-[$$-409]* \-#,##0.00\ ;_-[$$-409]* &quot;-&quot;??_ ;_-@_ "/>
    <numFmt numFmtId="166" formatCode="_-[$$-2C0A]\ * #,##0.00_-;\-[$$-2C0A]\ * #,##0.00_-;_-[$$-2C0A]\ * &quot;-&quot;??_-;_-@_-"/>
    <numFmt numFmtId="167" formatCode="_-* #,##0_-;\-* #,##0_-;_-* &quot;-&quot;??_-;_-@_-"/>
    <numFmt numFmtId="168" formatCode="_-[$$-2C0A]\ * #,##0_-;\-[$$-2C0A]\ * #,##0_-;_-[$$-2C0A]\ * &quot;-&quot;??_-;_-@_-"/>
  </numFmts>
  <fonts count="66" x14ac:knownFonts="1">
    <font>
      <sz val="11"/>
      <color theme="1"/>
      <name val="Calibri"/>
      <family val="2"/>
      <scheme val="minor"/>
    </font>
    <font>
      <sz val="11"/>
      <color theme="1"/>
      <name val="Calibri"/>
      <family val="2"/>
      <scheme val="minor"/>
    </font>
    <font>
      <sz val="12"/>
      <color theme="1"/>
      <name val="Times New Roman"/>
      <family val="1"/>
    </font>
    <font>
      <sz val="12"/>
      <color theme="0"/>
      <name val="Times New Roman"/>
      <family val="1"/>
    </font>
    <font>
      <sz val="12"/>
      <name val="Times New Roman"/>
      <family val="1"/>
    </font>
    <font>
      <b/>
      <sz val="12"/>
      <color theme="1"/>
      <name val="Times New Roman"/>
      <family val="1"/>
    </font>
    <font>
      <b/>
      <sz val="14"/>
      <color theme="1"/>
      <name val="Times New Roman"/>
      <family val="1"/>
    </font>
    <font>
      <sz val="14"/>
      <color theme="0"/>
      <name val="Times New Roman"/>
      <family val="1"/>
    </font>
    <font>
      <sz val="12"/>
      <color rgb="FFFF0000"/>
      <name val="Times New Roman"/>
      <family val="1"/>
    </font>
    <font>
      <b/>
      <sz val="16"/>
      <color theme="1"/>
      <name val="Times New Roman"/>
      <family val="1"/>
    </font>
    <font>
      <sz val="14"/>
      <color theme="1"/>
      <name val="Times New Roman"/>
      <family val="1"/>
    </font>
    <font>
      <b/>
      <sz val="12"/>
      <name val="Times New Roman"/>
      <family val="1"/>
    </font>
    <font>
      <sz val="14"/>
      <name val="Times New Roman"/>
      <family val="1"/>
    </font>
    <font>
      <sz val="16"/>
      <color theme="1"/>
      <name val="Times New Roman"/>
      <family val="1"/>
    </font>
    <font>
      <sz val="16"/>
      <color theme="1"/>
      <name val="Verdana"/>
      <family val="2"/>
    </font>
    <font>
      <b/>
      <sz val="12"/>
      <color theme="1"/>
      <name val="Verdana"/>
      <family val="2"/>
    </font>
    <font>
      <sz val="11"/>
      <color theme="1"/>
      <name val="Times New Roman"/>
      <family val="1"/>
    </font>
    <font>
      <sz val="16"/>
      <name val="Verdana"/>
      <family val="2"/>
    </font>
    <font>
      <b/>
      <sz val="15"/>
      <color theme="1"/>
      <name val="Times New Roman"/>
      <family val="1"/>
    </font>
    <font>
      <sz val="15"/>
      <color theme="1"/>
      <name val="Times New Roman"/>
      <family val="1"/>
    </font>
    <font>
      <sz val="20"/>
      <color theme="1"/>
      <name val="Verdana"/>
      <family val="2"/>
    </font>
    <font>
      <sz val="8"/>
      <name val="Calibri"/>
      <family val="2"/>
      <scheme val="minor"/>
    </font>
    <font>
      <sz val="8"/>
      <color theme="1"/>
      <name val="Calibri"/>
      <family val="2"/>
      <scheme val="minor"/>
    </font>
    <font>
      <sz val="15"/>
      <name val="Times New Roman"/>
      <family val="1"/>
    </font>
    <font>
      <sz val="11"/>
      <name val="Calibri"/>
      <family val="2"/>
      <scheme val="minor"/>
    </font>
    <font>
      <sz val="11"/>
      <color theme="1"/>
      <name val="Verdana"/>
      <family val="2"/>
    </font>
    <font>
      <vertAlign val="superscript"/>
      <sz val="12"/>
      <name val="Times New Roman"/>
      <family val="1"/>
    </font>
    <font>
      <sz val="11"/>
      <color theme="1"/>
      <name val="Arial"/>
      <family val="2"/>
    </font>
    <font>
      <sz val="12"/>
      <color theme="0"/>
      <name val="Arial"/>
      <family val="2"/>
    </font>
    <font>
      <sz val="12"/>
      <color theme="1"/>
      <name val="Arial"/>
      <family val="2"/>
    </font>
    <font>
      <b/>
      <sz val="12"/>
      <color theme="1"/>
      <name val="Arial"/>
      <family val="2"/>
    </font>
    <font>
      <b/>
      <sz val="14"/>
      <color theme="1"/>
      <name val="Arial"/>
      <family val="2"/>
    </font>
    <font>
      <sz val="12"/>
      <color rgb="FFFF0000"/>
      <name val="Arial"/>
      <family val="2"/>
    </font>
    <font>
      <sz val="14"/>
      <color theme="5" tint="-0.249977111117893"/>
      <name val="Times New Roman"/>
      <family val="1"/>
    </font>
    <font>
      <sz val="15"/>
      <color theme="5" tint="-0.249977111117893"/>
      <name val="Times New Roman"/>
      <family val="1"/>
    </font>
    <font>
      <sz val="16"/>
      <color theme="5" tint="-0.249977111117893"/>
      <name val="Times New Roman"/>
      <family val="1"/>
    </font>
    <font>
      <b/>
      <sz val="14"/>
      <color theme="1"/>
      <name val="Calibri"/>
      <family val="2"/>
      <scheme val="minor"/>
    </font>
    <font>
      <b/>
      <sz val="16"/>
      <color theme="1"/>
      <name val="Calibri"/>
      <family val="2"/>
      <scheme val="minor"/>
    </font>
    <font>
      <sz val="12"/>
      <name val="Arial"/>
      <family val="2"/>
    </font>
    <font>
      <b/>
      <sz val="12"/>
      <name val="Arial"/>
      <family val="2"/>
    </font>
    <font>
      <b/>
      <sz val="14"/>
      <name val="Times New Roman"/>
      <family val="1"/>
    </font>
    <font>
      <sz val="16"/>
      <name val="Times New Roman"/>
      <family val="1"/>
    </font>
    <font>
      <sz val="14"/>
      <color theme="0"/>
      <name val="Calibri"/>
      <family val="2"/>
      <scheme val="minor"/>
    </font>
    <font>
      <sz val="11"/>
      <color rgb="FF000000"/>
      <name val="Calibri"/>
      <family val="2"/>
      <scheme val="minor"/>
    </font>
    <font>
      <b/>
      <sz val="11"/>
      <color rgb="FF000000"/>
      <name val="Calibri"/>
      <family val="2"/>
      <scheme val="minor"/>
    </font>
    <font>
      <sz val="14"/>
      <color theme="1"/>
      <name val="Calibri"/>
      <family val="2"/>
      <scheme val="minor"/>
    </font>
    <font>
      <sz val="14"/>
      <color rgb="FFC00000"/>
      <name val="Times New Roman"/>
      <family val="1"/>
    </font>
    <font>
      <sz val="16"/>
      <color rgb="FFC00000"/>
      <name val="Times New Roman"/>
      <family val="1"/>
    </font>
    <font>
      <sz val="15"/>
      <color rgb="FFC00000"/>
      <name val="Times New Roman"/>
      <family val="1"/>
    </font>
    <font>
      <b/>
      <sz val="10"/>
      <color theme="1"/>
      <name val="Times New Roman"/>
      <family val="1"/>
    </font>
    <font>
      <sz val="10"/>
      <color theme="1"/>
      <name val="Times New Roman"/>
      <family val="1"/>
    </font>
    <font>
      <sz val="10"/>
      <color theme="5" tint="-0.249977111117893"/>
      <name val="Times New Roman"/>
      <family val="1"/>
    </font>
    <font>
      <sz val="10"/>
      <name val="Times New Roman"/>
      <family val="1"/>
    </font>
    <font>
      <sz val="10"/>
      <color rgb="FFC00000"/>
      <name val="Times New Roman"/>
      <family val="1"/>
    </font>
    <font>
      <b/>
      <sz val="10"/>
      <name val="Times New Roman"/>
      <family val="1"/>
    </font>
    <font>
      <sz val="10"/>
      <color theme="1"/>
      <name val="Calibri"/>
      <family val="2"/>
      <scheme val="minor"/>
    </font>
    <font>
      <sz val="12"/>
      <color theme="1"/>
      <name val="Arial"/>
      <family val="2"/>
    </font>
    <font>
      <sz val="10"/>
      <name val="Calibri"/>
      <family val="2"/>
      <scheme val="minor"/>
    </font>
    <font>
      <b/>
      <sz val="12"/>
      <color theme="1"/>
      <name val="Arial"/>
      <family val="2"/>
    </font>
    <font>
      <b/>
      <sz val="12"/>
      <color theme="1"/>
      <name val="Arial"/>
      <family val="2"/>
    </font>
    <font>
      <sz val="12"/>
      <color theme="1"/>
      <name val="Arial"/>
      <family val="2"/>
    </font>
    <font>
      <sz val="12"/>
      <color theme="1"/>
      <name val="Arial"/>
      <family val="2"/>
    </font>
    <font>
      <b/>
      <sz val="12"/>
      <color theme="1"/>
      <name val="Arial"/>
      <family val="2"/>
    </font>
    <font>
      <sz val="12"/>
      <color theme="1"/>
      <name val="Arial"/>
    </font>
    <font>
      <b/>
      <sz val="22"/>
      <color theme="1"/>
      <name val="Calibri"/>
      <family val="2"/>
      <scheme val="minor"/>
    </font>
    <font>
      <sz val="28"/>
      <color theme="1"/>
      <name val="Calibri"/>
      <family val="2"/>
      <scheme val="minor"/>
    </font>
  </fonts>
  <fills count="47">
    <fill>
      <patternFill patternType="none"/>
    </fill>
    <fill>
      <patternFill patternType="gray125"/>
    </fill>
    <fill>
      <patternFill patternType="solid">
        <fgColor theme="9"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EBD0FC"/>
        <bgColor indexed="64"/>
      </patternFill>
    </fill>
    <fill>
      <patternFill patternType="solid">
        <fgColor theme="9" tint="0.79998168889431442"/>
        <bgColor indexed="64"/>
      </patternFill>
    </fill>
    <fill>
      <patternFill patternType="solid">
        <fgColor rgb="FFDBB7FF"/>
        <bgColor indexed="64"/>
      </patternFill>
    </fill>
    <fill>
      <patternFill patternType="solid">
        <fgColor rgb="FFFFFF00"/>
        <bgColor indexed="64"/>
      </patternFill>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DCC3AC"/>
        <bgColor indexed="64"/>
      </patternFill>
    </fill>
    <fill>
      <patternFill patternType="solid">
        <fgColor theme="6" tint="-0.249977111117893"/>
        <bgColor indexed="64"/>
      </patternFill>
    </fill>
    <fill>
      <patternFill patternType="solid">
        <fgColor theme="5"/>
        <bgColor indexed="64"/>
      </patternFill>
    </fill>
    <fill>
      <patternFill patternType="solid">
        <fgColor theme="7"/>
        <bgColor indexed="64"/>
      </patternFill>
    </fill>
    <fill>
      <patternFill patternType="solid">
        <fgColor rgb="FFFFD7CD"/>
        <bgColor indexed="64"/>
      </patternFill>
    </fill>
    <fill>
      <patternFill patternType="solid">
        <fgColor rgb="FFFFCC00"/>
        <bgColor indexed="64"/>
      </patternFill>
    </fill>
    <fill>
      <patternFill patternType="solid">
        <fgColor rgb="FFB2B2B2"/>
        <bgColor indexed="64"/>
      </patternFill>
    </fill>
    <fill>
      <patternFill patternType="solid">
        <fgColor rgb="FFFF3300"/>
        <bgColor indexed="64"/>
      </patternFill>
    </fill>
    <fill>
      <patternFill patternType="solid">
        <fgColor rgb="FFEACB9E"/>
        <bgColor indexed="64"/>
      </patternFill>
    </fill>
    <fill>
      <patternFill patternType="solid">
        <fgColor rgb="FFFF0000"/>
        <bgColor indexed="64"/>
      </patternFill>
    </fill>
    <fill>
      <patternFill patternType="solid">
        <fgColor theme="7" tint="-0.249977111117893"/>
        <bgColor indexed="64"/>
      </patternFill>
    </fill>
    <fill>
      <patternFill patternType="solid">
        <fgColor rgb="FFFFFF99"/>
        <bgColor indexed="64"/>
      </patternFill>
    </fill>
    <fill>
      <patternFill patternType="solid">
        <fgColor theme="1" tint="0.499984740745262"/>
        <bgColor indexed="64"/>
      </patternFill>
    </fill>
    <fill>
      <patternFill patternType="solid">
        <fgColor rgb="FFCCCC00"/>
        <bgColor indexed="64"/>
      </patternFill>
    </fill>
    <fill>
      <patternFill patternType="solid">
        <fgColor rgb="FFC9ECC6"/>
        <bgColor indexed="64"/>
      </patternFill>
    </fill>
    <fill>
      <patternFill patternType="solid">
        <fgColor theme="3" tint="0.59999389629810485"/>
        <bgColor indexed="64"/>
      </patternFill>
    </fill>
    <fill>
      <patternFill patternType="solid">
        <fgColor rgb="FFCC66FF"/>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FF9966"/>
        <bgColor indexed="64"/>
      </patternFill>
    </fill>
  </fills>
  <borders count="9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bottom style="medium">
        <color indexed="64"/>
      </bottom>
      <diagonal/>
    </border>
    <border>
      <left style="medium">
        <color indexed="64"/>
      </left>
      <right/>
      <top/>
      <bottom style="thin">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style="medium">
        <color indexed="64"/>
      </left>
      <right/>
      <top/>
      <bottom/>
      <diagonal/>
    </border>
    <border>
      <left style="thin">
        <color indexed="64"/>
      </left>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medium">
        <color indexed="64"/>
      </top>
      <bottom style="medium">
        <color indexed="64"/>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bottom/>
      <diagonal/>
    </border>
    <border>
      <left/>
      <right style="medium">
        <color indexed="64"/>
      </right>
      <top/>
      <bottom style="thin">
        <color indexed="64"/>
      </bottom>
      <diagonal/>
    </border>
    <border>
      <left style="medium">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right/>
      <top style="hair">
        <color theme="8" tint="0.79998168889431442"/>
      </top>
      <bottom/>
      <diagonal/>
    </border>
    <border>
      <left style="hair">
        <color theme="8" tint="0.79998168889431442"/>
      </left>
      <right/>
      <top/>
      <bottom/>
      <diagonal/>
    </border>
    <border>
      <left style="hair">
        <color theme="8" tint="0.79998168889431442"/>
      </left>
      <right style="hair">
        <color theme="8" tint="0.79998168889431442"/>
      </right>
      <top style="hair">
        <color theme="2"/>
      </top>
      <bottom style="hair">
        <color theme="8" tint="0.79998168889431442"/>
      </bottom>
      <diagonal/>
    </border>
    <border>
      <left style="hair">
        <color theme="3" tint="0.79998168889431442"/>
      </left>
      <right/>
      <top/>
      <bottom/>
      <diagonal/>
    </border>
    <border>
      <left style="hair">
        <color theme="3" tint="0.79998168889431442"/>
      </left>
      <right style="hair">
        <color theme="3" tint="0.79998168889431442"/>
      </right>
      <top/>
      <bottom style="hair">
        <color theme="3" tint="0.79998168889431442"/>
      </bottom>
      <diagonal/>
    </border>
    <border>
      <left style="medium">
        <color indexed="64"/>
      </left>
      <right style="thin">
        <color indexed="64"/>
      </right>
      <top style="thin">
        <color indexed="64"/>
      </top>
      <bottom style="medium">
        <color theme="1"/>
      </bottom>
      <diagonal/>
    </border>
    <border>
      <left style="thin">
        <color indexed="64"/>
      </left>
      <right style="thin">
        <color indexed="64"/>
      </right>
      <top style="thin">
        <color indexed="64"/>
      </top>
      <bottom style="medium">
        <color theme="1"/>
      </bottom>
      <diagonal/>
    </border>
    <border>
      <left style="hair">
        <color theme="3" tint="0.79998168889431442"/>
      </left>
      <right style="hair">
        <color theme="3" tint="0.79998168889431442"/>
      </right>
      <top style="medium">
        <color theme="1"/>
      </top>
      <bottom style="hair">
        <color theme="3" tint="0.79998168889431442"/>
      </bottom>
      <diagonal/>
    </border>
    <border>
      <left style="thin">
        <color indexed="64"/>
      </left>
      <right style="medium">
        <color indexed="64"/>
      </right>
      <top style="medium">
        <color indexed="64"/>
      </top>
      <bottom style="medium">
        <color theme="1"/>
      </bottom>
      <diagonal/>
    </border>
    <border>
      <left/>
      <right style="hair">
        <color theme="3" tint="0.79998168889431442"/>
      </right>
      <top style="medium">
        <color theme="1"/>
      </top>
      <bottom/>
      <diagonal/>
    </border>
    <border>
      <left style="hair">
        <color theme="3" tint="0.79998168889431442"/>
      </left>
      <right style="hair">
        <color theme="3" tint="0.79998168889431442"/>
      </right>
      <top style="medium">
        <color theme="1"/>
      </top>
      <bottom/>
      <diagonal/>
    </border>
    <border>
      <left style="mediumDashed">
        <color indexed="64"/>
      </left>
      <right/>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1841">
    <xf numFmtId="0" fontId="0" fillId="0" borderId="0" xfId="0"/>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2" fillId="0" borderId="6" xfId="0" applyFont="1" applyBorder="1" applyAlignment="1">
      <alignment horizontal="center" vertical="center"/>
    </xf>
    <xf numFmtId="0" fontId="2" fillId="0" borderId="19" xfId="0" applyFont="1" applyBorder="1" applyAlignment="1">
      <alignment horizontal="center" vertical="center"/>
    </xf>
    <xf numFmtId="0" fontId="2" fillId="0" borderId="18" xfId="0" applyFont="1" applyBorder="1" applyAlignment="1">
      <alignment horizontal="center" vertical="center"/>
    </xf>
    <xf numFmtId="0" fontId="3" fillId="0" borderId="0" xfId="0" applyFont="1" applyAlignment="1">
      <alignment horizontal="center" vertical="center"/>
    </xf>
    <xf numFmtId="0" fontId="2" fillId="0" borderId="21" xfId="0" applyFont="1" applyBorder="1" applyAlignment="1">
      <alignment horizontal="center" vertical="center"/>
    </xf>
    <xf numFmtId="0" fontId="2" fillId="2" borderId="20"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1" xfId="0" applyFont="1" applyFill="1" applyBorder="1" applyAlignment="1">
      <alignment horizontal="center" vertical="center"/>
    </xf>
    <xf numFmtId="0" fontId="2" fillId="0" borderId="20" xfId="0" applyFont="1" applyBorder="1" applyAlignment="1">
      <alignment horizontal="center" vertical="center"/>
    </xf>
    <xf numFmtId="0" fontId="2" fillId="2" borderId="4" xfId="0" applyFont="1" applyFill="1" applyBorder="1" applyAlignment="1">
      <alignment horizontal="center" vertical="center"/>
    </xf>
    <xf numFmtId="0" fontId="2" fillId="0" borderId="4" xfId="0" applyFont="1" applyBorder="1" applyAlignment="1">
      <alignment horizontal="center" vertical="center"/>
    </xf>
    <xf numFmtId="43" fontId="2" fillId="6" borderId="28" xfId="0" applyNumberFormat="1" applyFont="1" applyFill="1" applyBorder="1" applyAlignment="1">
      <alignment horizontal="center" vertical="center"/>
    </xf>
    <xf numFmtId="43" fontId="2" fillId="6" borderId="34" xfId="0" applyNumberFormat="1" applyFont="1" applyFill="1" applyBorder="1" applyAlignment="1">
      <alignment horizontal="center" vertical="center"/>
    </xf>
    <xf numFmtId="0" fontId="2" fillId="0" borderId="35" xfId="0" applyFont="1" applyBorder="1" applyAlignment="1">
      <alignment horizontal="center" vertical="center"/>
    </xf>
    <xf numFmtId="0" fontId="4" fillId="2" borderId="27"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2" fillId="0" borderId="33" xfId="0" applyFont="1" applyBorder="1" applyAlignment="1">
      <alignment horizontal="center" vertical="center" wrapText="1"/>
    </xf>
    <xf numFmtId="0" fontId="3" fillId="0" borderId="0" xfId="0" applyFont="1" applyAlignment="1">
      <alignment vertical="center"/>
    </xf>
    <xf numFmtId="0" fontId="2" fillId="0" borderId="46" xfId="0" applyFont="1" applyBorder="1" applyAlignment="1">
      <alignment horizontal="center" vertical="center"/>
    </xf>
    <xf numFmtId="0" fontId="2" fillId="2" borderId="28" xfId="0" applyFont="1" applyFill="1" applyBorder="1" applyAlignment="1">
      <alignment horizontal="center" vertical="center"/>
    </xf>
    <xf numFmtId="43" fontId="2" fillId="4" borderId="17" xfId="0" applyNumberFormat="1" applyFont="1" applyFill="1" applyBorder="1" applyAlignment="1">
      <alignment horizontal="center" vertical="center"/>
    </xf>
    <xf numFmtId="43" fontId="2" fillId="4" borderId="34" xfId="0" applyNumberFormat="1" applyFont="1" applyFill="1" applyBorder="1" applyAlignment="1">
      <alignment horizontal="center" vertical="center"/>
    </xf>
    <xf numFmtId="43" fontId="2" fillId="4" borderId="28" xfId="0" applyNumberFormat="1" applyFont="1" applyFill="1" applyBorder="1" applyAlignment="1">
      <alignment horizontal="center" vertical="center"/>
    </xf>
    <xf numFmtId="43" fontId="2" fillId="4" borderId="49" xfId="0" applyNumberFormat="1" applyFont="1" applyFill="1" applyBorder="1" applyAlignment="1">
      <alignment horizontal="center" vertical="center"/>
    </xf>
    <xf numFmtId="43" fontId="2" fillId="4" borderId="51" xfId="0" applyNumberFormat="1" applyFont="1" applyFill="1" applyBorder="1" applyAlignment="1">
      <alignment horizontal="center" vertical="center"/>
    </xf>
    <xf numFmtId="43" fontId="2" fillId="5" borderId="35" xfId="0" applyNumberFormat="1" applyFont="1" applyFill="1" applyBorder="1" applyAlignment="1">
      <alignment horizontal="center" vertical="center"/>
    </xf>
    <xf numFmtId="43" fontId="2" fillId="5" borderId="36" xfId="0" applyNumberFormat="1" applyFont="1" applyFill="1" applyBorder="1" applyAlignment="1">
      <alignment horizontal="center" vertical="center"/>
    </xf>
    <xf numFmtId="43" fontId="2" fillId="5" borderId="4" xfId="0" applyNumberFormat="1" applyFont="1" applyFill="1" applyBorder="1" applyAlignment="1">
      <alignment horizontal="center" vertical="center"/>
    </xf>
    <xf numFmtId="43" fontId="2" fillId="5" borderId="33" xfId="0" applyNumberFormat="1" applyFont="1" applyFill="1" applyBorder="1" applyAlignment="1">
      <alignment horizontal="center" vertical="center"/>
    </xf>
    <xf numFmtId="0" fontId="2" fillId="12" borderId="8"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9" xfId="0" applyFont="1" applyFill="1" applyBorder="1" applyAlignment="1">
      <alignment horizontal="center" vertical="center"/>
    </xf>
    <xf numFmtId="0" fontId="2" fillId="0" borderId="53" xfId="0" applyFont="1" applyBorder="1" applyAlignment="1">
      <alignment horizontal="center" vertical="center"/>
    </xf>
    <xf numFmtId="43" fontId="2" fillId="0" borderId="9" xfId="0" applyNumberFormat="1" applyFont="1" applyBorder="1" applyAlignment="1">
      <alignment horizontal="center"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19" xfId="0" applyFont="1" applyFill="1" applyBorder="1" applyAlignment="1">
      <alignment horizontal="center" vertical="center"/>
    </xf>
    <xf numFmtId="43" fontId="2" fillId="0" borderId="19" xfId="2" applyNumberFormat="1" applyFont="1" applyBorder="1" applyAlignment="1">
      <alignment horizontal="center" vertical="center"/>
    </xf>
    <xf numFmtId="43" fontId="2" fillId="0" borderId="1" xfId="2" applyNumberFormat="1" applyFont="1" applyBorder="1" applyAlignment="1">
      <alignment horizontal="center" vertical="center"/>
    </xf>
    <xf numFmtId="0" fontId="2" fillId="13" borderId="8" xfId="0" applyFont="1" applyFill="1" applyBorder="1" applyAlignment="1">
      <alignment horizontal="center" vertical="center"/>
    </xf>
    <xf numFmtId="0" fontId="2" fillId="13"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9" borderId="1" xfId="0" applyFont="1" applyFill="1" applyBorder="1" applyAlignment="1">
      <alignment horizontal="center" vertical="center"/>
    </xf>
    <xf numFmtId="43" fontId="5" fillId="2" borderId="7" xfId="0" applyNumberFormat="1" applyFont="1" applyFill="1" applyBorder="1" applyAlignment="1">
      <alignment horizontal="center" vertical="center"/>
    </xf>
    <xf numFmtId="43" fontId="2" fillId="13" borderId="9" xfId="0" applyNumberFormat="1" applyFont="1" applyFill="1" applyBorder="1" applyAlignment="1">
      <alignment horizontal="center" vertical="center"/>
    </xf>
    <xf numFmtId="43" fontId="2" fillId="11" borderId="9" xfId="0" applyNumberFormat="1" applyFont="1" applyFill="1" applyBorder="1" applyAlignment="1">
      <alignment horizontal="center" vertical="center"/>
    </xf>
    <xf numFmtId="0" fontId="2" fillId="9" borderId="10" xfId="0" applyFont="1" applyFill="1" applyBorder="1" applyAlignment="1">
      <alignment horizontal="center" vertical="center"/>
    </xf>
    <xf numFmtId="0" fontId="2" fillId="9" borderId="41" xfId="0" applyFont="1" applyFill="1" applyBorder="1" applyAlignment="1">
      <alignment horizontal="center" vertical="center"/>
    </xf>
    <xf numFmtId="43" fontId="5" fillId="9" borderId="12" xfId="0" applyNumberFormat="1" applyFont="1" applyFill="1" applyBorder="1" applyAlignment="1">
      <alignment horizontal="center" vertical="center"/>
    </xf>
    <xf numFmtId="43" fontId="2" fillId="2" borderId="19" xfId="0" applyNumberFormat="1" applyFont="1" applyFill="1" applyBorder="1" applyAlignment="1">
      <alignment horizontal="center" vertical="center"/>
    </xf>
    <xf numFmtId="43" fontId="5" fillId="2" borderId="17" xfId="0" applyNumberFormat="1" applyFont="1" applyFill="1" applyBorder="1" applyAlignment="1">
      <alignment horizontal="center" vertical="center"/>
    </xf>
    <xf numFmtId="43" fontId="2" fillId="9" borderId="41" xfId="0" applyNumberFormat="1" applyFont="1" applyFill="1" applyBorder="1" applyAlignment="1">
      <alignment horizontal="center" vertical="center"/>
    </xf>
    <xf numFmtId="43" fontId="5" fillId="9" borderId="34" xfId="0" applyNumberFormat="1" applyFont="1" applyFill="1" applyBorder="1" applyAlignment="1">
      <alignment horizontal="center" vertical="center"/>
    </xf>
    <xf numFmtId="43" fontId="2" fillId="9" borderId="11" xfId="0" applyNumberFormat="1" applyFont="1" applyFill="1" applyBorder="1" applyAlignment="1">
      <alignment horizontal="center" vertical="center"/>
    </xf>
    <xf numFmtId="43" fontId="2" fillId="0" borderId="0" xfId="0" applyNumberFormat="1" applyFont="1" applyAlignment="1">
      <alignment horizontal="center" vertical="center"/>
    </xf>
    <xf numFmtId="43" fontId="5" fillId="0" borderId="0" xfId="0" applyNumberFormat="1" applyFont="1" applyAlignment="1">
      <alignment horizontal="center" vertical="center"/>
    </xf>
    <xf numFmtId="0" fontId="3" fillId="0" borderId="0" xfId="0" applyFont="1" applyAlignment="1">
      <alignment vertical="center" wrapText="1"/>
    </xf>
    <xf numFmtId="0" fontId="2" fillId="0" borderId="0" xfId="0" applyFont="1" applyAlignment="1">
      <alignment horizontal="center" vertical="center" wrapText="1"/>
    </xf>
    <xf numFmtId="0" fontId="2" fillId="12" borderId="19" xfId="0" applyFont="1" applyFill="1" applyBorder="1" applyAlignment="1">
      <alignment horizontal="center" vertical="center"/>
    </xf>
    <xf numFmtId="0" fontId="2" fillId="13" borderId="19" xfId="0" applyFont="1" applyFill="1" applyBorder="1" applyAlignment="1">
      <alignment horizontal="center" vertical="center"/>
    </xf>
    <xf numFmtId="43" fontId="2" fillId="0" borderId="19" xfId="0" applyNumberFormat="1" applyFont="1" applyBorder="1" applyAlignment="1">
      <alignment horizontal="center" vertical="center"/>
    </xf>
    <xf numFmtId="43" fontId="2" fillId="6" borderId="22" xfId="0" applyNumberFormat="1" applyFont="1" applyFill="1" applyBorder="1" applyAlignment="1">
      <alignment horizontal="center" vertical="center"/>
    </xf>
    <xf numFmtId="0" fontId="2" fillId="2" borderId="32" xfId="0" applyFont="1" applyFill="1" applyBorder="1" applyAlignment="1">
      <alignment horizontal="center" vertical="center"/>
    </xf>
    <xf numFmtId="43" fontId="2" fillId="10" borderId="1" xfId="0" applyNumberFormat="1" applyFont="1" applyFill="1" applyBorder="1" applyAlignment="1">
      <alignment horizontal="center" vertical="center"/>
    </xf>
    <xf numFmtId="0" fontId="2" fillId="11" borderId="1" xfId="0" applyFont="1" applyFill="1" applyBorder="1" applyAlignment="1">
      <alignment horizontal="center" vertical="center"/>
    </xf>
    <xf numFmtId="0" fontId="2" fillId="8" borderId="1" xfId="0" applyFont="1" applyFill="1" applyBorder="1" applyAlignment="1">
      <alignment horizontal="center" vertical="center"/>
    </xf>
    <xf numFmtId="43" fontId="2" fillId="8" borderId="1" xfId="0" applyNumberFormat="1" applyFont="1" applyFill="1" applyBorder="1" applyAlignment="1">
      <alignment horizontal="center" vertical="center"/>
    </xf>
    <xf numFmtId="0" fontId="2" fillId="7" borderId="11" xfId="0" applyFont="1" applyFill="1" applyBorder="1" applyAlignment="1">
      <alignment horizontal="center" vertical="center"/>
    </xf>
    <xf numFmtId="43" fontId="6" fillId="7" borderId="12" xfId="0" applyNumberFormat="1" applyFont="1" applyFill="1" applyBorder="1" applyAlignment="1">
      <alignment horizontal="center" vertical="center"/>
    </xf>
    <xf numFmtId="43" fontId="6" fillId="8" borderId="7" xfId="0" applyNumberFormat="1" applyFont="1" applyFill="1" applyBorder="1" applyAlignment="1">
      <alignment horizontal="center" vertical="center"/>
    </xf>
    <xf numFmtId="0" fontId="2" fillId="14" borderId="3" xfId="0" applyFont="1" applyFill="1" applyBorder="1" applyAlignment="1">
      <alignment horizontal="center" vertical="center"/>
    </xf>
    <xf numFmtId="0" fontId="2" fillId="14" borderId="31" xfId="0" applyFont="1" applyFill="1" applyBorder="1" applyAlignment="1">
      <alignment horizontal="center" vertical="center"/>
    </xf>
    <xf numFmtId="0" fontId="2" fillId="14" borderId="5" xfId="0" applyFont="1" applyFill="1" applyBorder="1" applyAlignment="1">
      <alignment horizontal="center" vertical="center"/>
    </xf>
    <xf numFmtId="0" fontId="2" fillId="11" borderId="8" xfId="0" applyFont="1" applyFill="1" applyBorder="1" applyAlignment="1">
      <alignment horizontal="center" vertical="center"/>
    </xf>
    <xf numFmtId="0" fontId="2" fillId="8" borderId="8" xfId="0" applyFont="1" applyFill="1" applyBorder="1" applyAlignment="1">
      <alignment horizontal="center" vertical="center"/>
    </xf>
    <xf numFmtId="0" fontId="2" fillId="7" borderId="10" xfId="0" applyFont="1" applyFill="1" applyBorder="1" applyAlignment="1">
      <alignment horizontal="center" vertical="center"/>
    </xf>
    <xf numFmtId="0" fontId="2" fillId="14" borderId="6" xfId="0" applyFont="1" applyFill="1" applyBorder="1" applyAlignment="1">
      <alignment horizontal="center" vertical="center"/>
    </xf>
    <xf numFmtId="0" fontId="2" fillId="14" borderId="7" xfId="0" applyFont="1" applyFill="1" applyBorder="1" applyAlignment="1">
      <alignment horizontal="center" vertical="center"/>
    </xf>
    <xf numFmtId="0" fontId="2" fillId="14" borderId="60" xfId="0" applyFont="1" applyFill="1" applyBorder="1" applyAlignment="1">
      <alignment horizontal="center" vertical="center"/>
    </xf>
    <xf numFmtId="0" fontId="2" fillId="11" borderId="19" xfId="0" applyFont="1" applyFill="1" applyBorder="1" applyAlignment="1">
      <alignment horizontal="center" vertical="center"/>
    </xf>
    <xf numFmtId="0" fontId="2" fillId="0" borderId="36" xfId="0" applyFont="1" applyBorder="1" applyAlignment="1">
      <alignment horizontal="center" vertical="center"/>
    </xf>
    <xf numFmtId="0" fontId="2" fillId="0" borderId="33" xfId="0" applyFont="1" applyBorder="1" applyAlignment="1">
      <alignment horizontal="center" vertical="center"/>
    </xf>
    <xf numFmtId="43" fontId="2" fillId="6" borderId="7" xfId="0" applyNumberFormat="1" applyFont="1" applyFill="1" applyBorder="1" applyAlignment="1">
      <alignment horizontal="center" vertical="center"/>
    </xf>
    <xf numFmtId="43" fontId="2" fillId="6" borderId="9" xfId="0" applyNumberFormat="1" applyFont="1" applyFill="1" applyBorder="1" applyAlignment="1">
      <alignment horizontal="center" vertical="center"/>
    </xf>
    <xf numFmtId="43" fontId="2" fillId="6" borderId="12" xfId="0" applyNumberFormat="1" applyFont="1" applyFill="1" applyBorder="1" applyAlignment="1">
      <alignment horizontal="center" vertical="center"/>
    </xf>
    <xf numFmtId="43" fontId="2" fillId="0" borderId="0" xfId="1" applyNumberFormat="1" applyFont="1" applyFill="1" applyBorder="1" applyAlignment="1">
      <alignment horizontal="center" vertical="center"/>
    </xf>
    <xf numFmtId="43" fontId="2" fillId="5" borderId="22" xfId="1" applyNumberFormat="1" applyFont="1" applyFill="1" applyBorder="1" applyAlignment="1">
      <alignment horizontal="center" vertical="center"/>
    </xf>
    <xf numFmtId="43" fontId="2" fillId="6" borderId="51" xfId="0" applyNumberFormat="1" applyFont="1" applyFill="1" applyBorder="1" applyAlignment="1">
      <alignment horizontal="center" vertical="center"/>
    </xf>
    <xf numFmtId="43" fontId="2" fillId="6" borderId="31" xfId="0" applyNumberFormat="1" applyFont="1" applyFill="1" applyBorder="1" applyAlignment="1">
      <alignment horizontal="center" vertical="center"/>
    </xf>
    <xf numFmtId="43" fontId="2" fillId="6" borderId="33" xfId="0" applyNumberFormat="1" applyFont="1" applyFill="1" applyBorder="1" applyAlignment="1">
      <alignment horizontal="center" vertical="center"/>
    </xf>
    <xf numFmtId="43" fontId="6" fillId="0" borderId="0" xfId="0" applyNumberFormat="1" applyFont="1" applyAlignment="1">
      <alignment horizontal="center" vertical="center"/>
    </xf>
    <xf numFmtId="0" fontId="2" fillId="14" borderId="61" xfId="0" applyFont="1" applyFill="1" applyBorder="1" applyAlignment="1">
      <alignment horizontal="center" vertical="center"/>
    </xf>
    <xf numFmtId="0" fontId="2" fillId="0" borderId="40" xfId="0" applyFont="1" applyBorder="1" applyAlignment="1">
      <alignment horizontal="center" vertical="center"/>
    </xf>
    <xf numFmtId="0" fontId="2" fillId="11" borderId="40" xfId="0" applyFont="1" applyFill="1" applyBorder="1" applyAlignment="1">
      <alignment horizontal="center" vertical="center"/>
    </xf>
    <xf numFmtId="0" fontId="2" fillId="8" borderId="40" xfId="0" applyFont="1" applyFill="1" applyBorder="1" applyAlignment="1">
      <alignment horizontal="center" vertical="center"/>
    </xf>
    <xf numFmtId="0" fontId="2" fillId="7" borderId="43" xfId="0" applyFont="1" applyFill="1" applyBorder="1" applyAlignment="1">
      <alignment horizontal="center" vertical="center"/>
    </xf>
    <xf numFmtId="43" fontId="2" fillId="0" borderId="1" xfId="0" applyNumberFormat="1" applyFont="1" applyBorder="1" applyAlignment="1">
      <alignment horizontal="center" vertical="center"/>
    </xf>
    <xf numFmtId="0" fontId="2" fillId="0" borderId="56" xfId="0" applyFont="1" applyBorder="1" applyAlignment="1">
      <alignment horizontal="center" vertical="center"/>
    </xf>
    <xf numFmtId="0" fontId="2" fillId="0" borderId="30" xfId="0" applyFont="1" applyBorder="1" applyAlignment="1">
      <alignment horizontal="center" vertical="center"/>
    </xf>
    <xf numFmtId="43" fontId="2" fillId="4" borderId="56" xfId="0" applyNumberFormat="1" applyFont="1" applyFill="1" applyBorder="1" applyAlignment="1">
      <alignment horizontal="center" vertical="center"/>
    </xf>
    <xf numFmtId="43" fontId="2" fillId="6" borderId="1" xfId="0" applyNumberFormat="1" applyFont="1" applyFill="1" applyBorder="1" applyAlignment="1">
      <alignment horizontal="center" vertical="center"/>
    </xf>
    <xf numFmtId="0" fontId="2" fillId="19" borderId="3" xfId="0" applyFont="1" applyFill="1" applyBorder="1" applyAlignment="1">
      <alignment horizontal="center" vertical="center"/>
    </xf>
    <xf numFmtId="0" fontId="2" fillId="14" borderId="45" xfId="0" applyFont="1" applyFill="1" applyBorder="1" applyAlignment="1">
      <alignment horizontal="center" vertical="center"/>
    </xf>
    <xf numFmtId="43" fontId="2" fillId="19" borderId="45" xfId="0" applyNumberFormat="1" applyFont="1" applyFill="1" applyBorder="1" applyAlignment="1">
      <alignment horizontal="center" vertical="center"/>
    </xf>
    <xf numFmtId="43" fontId="2" fillId="19" borderId="31" xfId="0" applyNumberFormat="1" applyFont="1" applyFill="1" applyBorder="1" applyAlignment="1">
      <alignment horizontal="center" vertical="center"/>
    </xf>
    <xf numFmtId="43" fontId="2" fillId="0" borderId="1" xfId="1" applyNumberFormat="1" applyFont="1" applyBorder="1" applyAlignment="1">
      <alignment horizontal="center"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2" fillId="18" borderId="1" xfId="0" applyFont="1" applyFill="1" applyBorder="1" applyAlignment="1">
      <alignment horizontal="center" vertical="center"/>
    </xf>
    <xf numFmtId="43" fontId="2" fillId="18" borderId="1" xfId="0" applyNumberFormat="1" applyFont="1" applyFill="1" applyBorder="1" applyAlignment="1">
      <alignment horizontal="center" vertical="center"/>
    </xf>
    <xf numFmtId="0" fontId="2" fillId="16" borderId="1" xfId="0" applyFont="1" applyFill="1" applyBorder="1" applyAlignment="1">
      <alignment horizontal="center" vertical="center"/>
    </xf>
    <xf numFmtId="43" fontId="2" fillId="16" borderId="1" xfId="1" applyNumberFormat="1" applyFont="1" applyFill="1" applyBorder="1" applyAlignment="1">
      <alignment horizontal="center" vertical="center"/>
    </xf>
    <xf numFmtId="0" fontId="5" fillId="4" borderId="4" xfId="0" applyFont="1" applyFill="1" applyBorder="1" applyAlignment="1">
      <alignment horizontal="center" vertical="center"/>
    </xf>
    <xf numFmtId="43" fontId="6" fillId="18" borderId="7" xfId="0" applyNumberFormat="1" applyFont="1" applyFill="1" applyBorder="1" applyAlignment="1">
      <alignment horizontal="center" vertical="center"/>
    </xf>
    <xf numFmtId="43" fontId="2" fillId="0" borderId="3" xfId="0" applyNumberFormat="1" applyFont="1" applyBorder="1" applyAlignment="1">
      <alignment horizontal="center" vertical="center"/>
    </xf>
    <xf numFmtId="0" fontId="3" fillId="14" borderId="20" xfId="0" applyFont="1" applyFill="1" applyBorder="1" applyAlignment="1">
      <alignment horizontal="center" vertical="center" wrapText="1"/>
    </xf>
    <xf numFmtId="0" fontId="4" fillId="14" borderId="21" xfId="0" applyFont="1" applyFill="1" applyBorder="1" applyAlignment="1">
      <alignment horizontal="center" vertical="center" wrapText="1"/>
    </xf>
    <xf numFmtId="0" fontId="4" fillId="14" borderId="21" xfId="0" applyFont="1" applyFill="1" applyBorder="1" applyAlignment="1">
      <alignment horizontal="center" vertical="center"/>
    </xf>
    <xf numFmtId="0" fontId="4" fillId="14" borderId="22" xfId="0" applyFont="1" applyFill="1" applyBorder="1" applyAlignment="1">
      <alignment horizontal="center" vertical="center" wrapText="1"/>
    </xf>
    <xf numFmtId="0" fontId="2" fillId="17" borderId="11" xfId="0" applyFont="1" applyFill="1" applyBorder="1" applyAlignment="1">
      <alignment horizontal="center" vertical="center"/>
    </xf>
    <xf numFmtId="43" fontId="2" fillId="17" borderId="11" xfId="0" applyNumberFormat="1" applyFont="1" applyFill="1" applyBorder="1" applyAlignment="1">
      <alignment horizontal="center" vertical="center"/>
    </xf>
    <xf numFmtId="43" fontId="6" fillId="17" borderId="12" xfId="0" applyNumberFormat="1" applyFont="1" applyFill="1" applyBorder="1" applyAlignment="1">
      <alignment horizontal="center" vertical="center"/>
    </xf>
    <xf numFmtId="0" fontId="2" fillId="16" borderId="8" xfId="0" applyFont="1" applyFill="1" applyBorder="1" applyAlignment="1">
      <alignment horizontal="center" vertical="center"/>
    </xf>
    <xf numFmtId="0" fontId="2" fillId="18" borderId="8" xfId="0" applyFont="1" applyFill="1" applyBorder="1" applyAlignment="1">
      <alignment horizontal="center" vertical="center"/>
    </xf>
    <xf numFmtId="0" fontId="2" fillId="17" borderId="10" xfId="0" applyFont="1" applyFill="1" applyBorder="1" applyAlignment="1">
      <alignment horizontal="center" vertical="center"/>
    </xf>
    <xf numFmtId="0" fontId="4" fillId="2" borderId="20" xfId="0" applyFont="1" applyFill="1" applyBorder="1" applyAlignment="1">
      <alignment horizontal="center" vertical="center" wrapText="1"/>
    </xf>
    <xf numFmtId="0" fontId="4" fillId="2" borderId="22" xfId="0" applyFont="1" applyFill="1" applyBorder="1" applyAlignment="1">
      <alignment horizontal="center" vertical="center" wrapText="1"/>
    </xf>
    <xf numFmtId="0" fontId="2" fillId="0" borderId="37" xfId="0" applyFont="1" applyBorder="1" applyAlignment="1">
      <alignment horizontal="center" vertical="center"/>
    </xf>
    <xf numFmtId="0" fontId="2" fillId="0" borderId="55" xfId="0" applyFont="1" applyBorder="1" applyAlignment="1">
      <alignment horizontal="center" vertical="center"/>
    </xf>
    <xf numFmtId="0" fontId="2" fillId="0" borderId="24" xfId="0" applyFont="1" applyBorder="1" applyAlignment="1">
      <alignment horizontal="center" vertical="center"/>
    </xf>
    <xf numFmtId="43" fontId="2" fillId="6" borderId="64" xfId="0" applyNumberFormat="1" applyFont="1" applyFill="1" applyBorder="1" applyAlignment="1">
      <alignment horizontal="center" vertical="center"/>
    </xf>
    <xf numFmtId="43" fontId="4" fillId="4" borderId="51" xfId="0" applyNumberFormat="1" applyFont="1" applyFill="1" applyBorder="1" applyAlignment="1">
      <alignment horizontal="center" vertical="center"/>
    </xf>
    <xf numFmtId="0" fontId="2" fillId="0" borderId="23" xfId="0" applyFont="1" applyBorder="1" applyAlignment="1">
      <alignment horizontal="center" vertical="center"/>
    </xf>
    <xf numFmtId="43" fontId="2" fillId="6" borderId="0" xfId="0" applyNumberFormat="1" applyFont="1" applyFill="1" applyAlignment="1">
      <alignment horizontal="center" vertical="center"/>
    </xf>
    <xf numFmtId="43" fontId="2" fillId="5" borderId="17" xfId="2" applyNumberFormat="1" applyFont="1" applyFill="1" applyBorder="1" applyAlignment="1">
      <alignment horizontal="center" vertical="center"/>
    </xf>
    <xf numFmtId="43" fontId="2" fillId="0" borderId="62" xfId="1" applyNumberFormat="1" applyFont="1" applyFill="1" applyBorder="1" applyAlignment="1">
      <alignment horizontal="center" vertical="center"/>
    </xf>
    <xf numFmtId="43" fontId="2" fillId="0" borderId="4" xfId="1" applyNumberFormat="1" applyFont="1" applyFill="1" applyBorder="1" applyAlignment="1">
      <alignment horizontal="center" vertical="center"/>
    </xf>
    <xf numFmtId="0" fontId="4" fillId="2" borderId="1" xfId="0" applyFont="1" applyFill="1" applyBorder="1" applyAlignment="1">
      <alignment horizontal="center" vertical="center"/>
    </xf>
    <xf numFmtId="0" fontId="2" fillId="0" borderId="22" xfId="0" applyFont="1" applyBorder="1" applyAlignment="1">
      <alignment horizontal="center" vertical="center"/>
    </xf>
    <xf numFmtId="0" fontId="2" fillId="0" borderId="40" xfId="0" applyFont="1" applyBorder="1" applyAlignment="1">
      <alignment horizontal="center" vertical="center" wrapText="1"/>
    </xf>
    <xf numFmtId="0" fontId="2" fillId="0" borderId="60" xfId="0" applyFont="1" applyBorder="1" applyAlignment="1">
      <alignment horizontal="center" vertical="center"/>
    </xf>
    <xf numFmtId="0" fontId="4" fillId="2" borderId="2" xfId="0" applyFont="1" applyFill="1" applyBorder="1" applyAlignment="1">
      <alignment horizontal="center" vertical="center"/>
    </xf>
    <xf numFmtId="0" fontId="2" fillId="0" borderId="61" xfId="0" applyFont="1" applyBorder="1" applyAlignment="1">
      <alignment horizontal="center" vertical="center"/>
    </xf>
    <xf numFmtId="0" fontId="2" fillId="0" borderId="67" xfId="0" applyFont="1" applyBorder="1" applyAlignment="1">
      <alignment horizontal="center" vertical="center"/>
    </xf>
    <xf numFmtId="0" fontId="2" fillId="0" borderId="63"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2" fillId="0" borderId="42" xfId="0" applyFont="1" applyBorder="1" applyAlignment="1">
      <alignment horizontal="center" vertical="center"/>
    </xf>
    <xf numFmtId="0" fontId="2" fillId="0" borderId="68" xfId="0" applyFont="1" applyBorder="1" applyAlignment="1">
      <alignment horizontal="center" vertical="center"/>
    </xf>
    <xf numFmtId="43" fontId="4" fillId="0" borderId="31" xfId="0" applyNumberFormat="1" applyFont="1" applyBorder="1" applyAlignment="1">
      <alignment horizontal="center" vertical="center"/>
    </xf>
    <xf numFmtId="43" fontId="4" fillId="0" borderId="9" xfId="0" applyNumberFormat="1" applyFont="1" applyBorder="1" applyAlignment="1">
      <alignment horizontal="center" vertical="center"/>
    </xf>
    <xf numFmtId="43" fontId="4" fillId="0" borderId="9" xfId="1" applyNumberFormat="1" applyFont="1" applyBorder="1" applyAlignment="1">
      <alignment horizontal="center" vertical="center"/>
    </xf>
    <xf numFmtId="43" fontId="4" fillId="16" borderId="9" xfId="1" applyNumberFormat="1" applyFont="1" applyFill="1" applyBorder="1" applyAlignment="1">
      <alignment horizontal="center" vertical="center"/>
    </xf>
    <xf numFmtId="0" fontId="2" fillId="0" borderId="65" xfId="0" applyFont="1" applyBorder="1" applyAlignment="1">
      <alignment horizontal="center" vertical="center"/>
    </xf>
    <xf numFmtId="0" fontId="2" fillId="0" borderId="69" xfId="0" applyFont="1" applyBorder="1" applyAlignment="1">
      <alignment horizontal="center" vertical="center"/>
    </xf>
    <xf numFmtId="43" fontId="2" fillId="6" borderId="70" xfId="0" applyNumberFormat="1" applyFont="1" applyFill="1" applyBorder="1" applyAlignment="1">
      <alignment horizontal="center" vertical="center"/>
    </xf>
    <xf numFmtId="0" fontId="2" fillId="0" borderId="0" xfId="0" applyFont="1" applyAlignment="1">
      <alignment horizontal="center"/>
    </xf>
    <xf numFmtId="0" fontId="2" fillId="0" borderId="4" xfId="1" applyNumberFormat="1" applyFont="1" applyFill="1" applyBorder="1" applyAlignment="1">
      <alignment horizontal="center" vertical="center"/>
    </xf>
    <xf numFmtId="0" fontId="2" fillId="0" borderId="48" xfId="0" applyFont="1" applyBorder="1" applyAlignment="1">
      <alignment horizontal="center" vertical="center"/>
    </xf>
    <xf numFmtId="0" fontId="2" fillId="2" borderId="27" xfId="0" applyFont="1" applyFill="1" applyBorder="1" applyAlignment="1">
      <alignment horizontal="center" vertical="center"/>
    </xf>
    <xf numFmtId="43" fontId="2" fillId="6" borderId="6" xfId="0" applyNumberFormat="1" applyFont="1" applyFill="1" applyBorder="1" applyAlignment="1">
      <alignment horizontal="center" vertical="center"/>
    </xf>
    <xf numFmtId="43" fontId="2" fillId="6" borderId="11" xfId="0" applyNumberFormat="1" applyFont="1" applyFill="1" applyBorder="1" applyAlignment="1">
      <alignment horizontal="center" vertical="center"/>
    </xf>
    <xf numFmtId="0" fontId="2" fillId="0" borderId="10" xfId="0" applyFont="1" applyBorder="1" applyAlignment="1">
      <alignment horizontal="center" vertical="center"/>
    </xf>
    <xf numFmtId="0" fontId="2" fillId="0" borderId="66" xfId="0" applyFont="1" applyBorder="1" applyAlignment="1">
      <alignment horizontal="center" vertical="center"/>
    </xf>
    <xf numFmtId="0" fontId="2" fillId="0" borderId="43" xfId="0" applyFont="1" applyBorder="1" applyAlignment="1">
      <alignment horizontal="center" vertical="center"/>
    </xf>
    <xf numFmtId="0" fontId="2" fillId="0" borderId="0" xfId="0" applyFont="1"/>
    <xf numFmtId="0" fontId="2" fillId="15" borderId="1" xfId="0" applyFont="1" applyFill="1" applyBorder="1"/>
    <xf numFmtId="0" fontId="8" fillId="0" borderId="0" xfId="0" applyFont="1" applyAlignment="1">
      <alignment vertical="center" wrapText="1"/>
    </xf>
    <xf numFmtId="0" fontId="8" fillId="0" borderId="0" xfId="0" applyFont="1" applyAlignment="1">
      <alignment horizontal="center" vertical="center"/>
    </xf>
    <xf numFmtId="43" fontId="8" fillId="0" borderId="0" xfId="0" applyNumberFormat="1" applyFont="1" applyAlignment="1">
      <alignment horizontal="center" vertical="center"/>
    </xf>
    <xf numFmtId="0" fontId="4" fillId="2" borderId="71" xfId="0" applyFont="1" applyFill="1" applyBorder="1" applyAlignment="1">
      <alignment horizontal="center" vertical="center"/>
    </xf>
    <xf numFmtId="0" fontId="4" fillId="2" borderId="8" xfId="0" applyFont="1" applyFill="1" applyBorder="1" applyAlignment="1">
      <alignment horizontal="center" vertical="center" wrapText="1"/>
    </xf>
    <xf numFmtId="0" fontId="4" fillId="2" borderId="9" xfId="0" applyFont="1" applyFill="1" applyBorder="1" applyAlignment="1">
      <alignment horizontal="center" vertical="center"/>
    </xf>
    <xf numFmtId="0" fontId="4" fillId="2" borderId="46" xfId="0" applyFont="1" applyFill="1" applyBorder="1" applyAlignment="1">
      <alignment horizontal="center" vertical="center"/>
    </xf>
    <xf numFmtId="0" fontId="2" fillId="0" borderId="62" xfId="0" applyFont="1" applyBorder="1" applyAlignment="1">
      <alignment horizontal="center" vertical="center"/>
    </xf>
    <xf numFmtId="0" fontId="4" fillId="2" borderId="32" xfId="0" applyFont="1" applyFill="1" applyBorder="1" applyAlignment="1">
      <alignment horizontal="center" vertical="center" wrapText="1"/>
    </xf>
    <xf numFmtId="43" fontId="4" fillId="4" borderId="4" xfId="0" applyNumberFormat="1" applyFont="1" applyFill="1" applyBorder="1" applyAlignment="1">
      <alignment horizontal="center" vertical="center"/>
    </xf>
    <xf numFmtId="0" fontId="2" fillId="14" borderId="30" xfId="0" applyFont="1" applyFill="1" applyBorder="1" applyAlignment="1">
      <alignment horizontal="center" vertical="center"/>
    </xf>
    <xf numFmtId="0" fontId="2" fillId="0" borderId="29" xfId="0" applyFont="1" applyBorder="1" applyAlignment="1">
      <alignment horizontal="center" vertical="center"/>
    </xf>
    <xf numFmtId="0" fontId="2" fillId="0" borderId="29" xfId="0" applyFont="1" applyBorder="1" applyAlignment="1">
      <alignment horizontal="center" vertical="center" wrapText="1"/>
    </xf>
    <xf numFmtId="43" fontId="2" fillId="0" borderId="40" xfId="0" applyNumberFormat="1" applyFont="1" applyBorder="1" applyAlignment="1">
      <alignment horizontal="center" vertical="center"/>
    </xf>
    <xf numFmtId="43" fontId="2" fillId="0" borderId="4" xfId="0" applyNumberFormat="1" applyFont="1" applyBorder="1" applyAlignment="1">
      <alignment horizontal="center" vertical="center"/>
    </xf>
    <xf numFmtId="0" fontId="3" fillId="0" borderId="59" xfId="0" applyFont="1" applyBorder="1" applyAlignment="1">
      <alignment vertical="center"/>
    </xf>
    <xf numFmtId="0" fontId="2" fillId="0" borderId="8" xfId="0" applyFont="1" applyBorder="1" applyAlignment="1">
      <alignment horizontal="center" vertical="center" wrapText="1"/>
    </xf>
    <xf numFmtId="0" fontId="2" fillId="0" borderId="3" xfId="0" applyFont="1" applyBorder="1" applyAlignment="1">
      <alignment horizontal="center" vertical="center"/>
    </xf>
    <xf numFmtId="0" fontId="2" fillId="0" borderId="30" xfId="0" applyFont="1" applyBorder="1" applyAlignment="1">
      <alignment horizontal="center" vertical="center" wrapText="1"/>
    </xf>
    <xf numFmtId="43" fontId="5" fillId="18" borderId="7" xfId="0" applyNumberFormat="1" applyFont="1" applyFill="1" applyBorder="1" applyAlignment="1">
      <alignment horizontal="center" vertical="center"/>
    </xf>
    <xf numFmtId="43" fontId="5" fillId="17" borderId="12" xfId="0" applyNumberFormat="1" applyFont="1" applyFill="1" applyBorder="1" applyAlignment="1">
      <alignment horizontal="center" vertical="center"/>
    </xf>
    <xf numFmtId="0" fontId="2" fillId="0" borderId="59" xfId="0" applyFont="1" applyBorder="1" applyAlignment="1">
      <alignment horizontal="center" vertical="center"/>
    </xf>
    <xf numFmtId="43" fontId="2" fillId="6" borderId="72" xfId="0" applyNumberFormat="1" applyFont="1" applyFill="1" applyBorder="1" applyAlignment="1">
      <alignment horizontal="center" vertical="center"/>
    </xf>
    <xf numFmtId="43" fontId="2" fillId="10" borderId="9" xfId="0" applyNumberFormat="1" applyFont="1" applyFill="1" applyBorder="1" applyAlignment="1">
      <alignment horizontal="center" vertical="center"/>
    </xf>
    <xf numFmtId="43" fontId="2" fillId="0" borderId="11" xfId="0" applyNumberFormat="1" applyFont="1" applyBorder="1" applyAlignment="1">
      <alignment horizontal="center" vertical="center"/>
    </xf>
    <xf numFmtId="43" fontId="2" fillId="10" borderId="12" xfId="0" applyNumberFormat="1" applyFont="1" applyFill="1" applyBorder="1" applyAlignment="1">
      <alignment horizontal="center" vertical="center"/>
    </xf>
    <xf numFmtId="0" fontId="4" fillId="2" borderId="9" xfId="0" applyFont="1" applyFill="1" applyBorder="1" applyAlignment="1">
      <alignment horizontal="center" vertical="center" wrapText="1"/>
    </xf>
    <xf numFmtId="0" fontId="4" fillId="2" borderId="72" xfId="0" applyFont="1" applyFill="1" applyBorder="1" applyAlignment="1">
      <alignment horizontal="center" vertical="center" wrapText="1"/>
    </xf>
    <xf numFmtId="0" fontId="3" fillId="0" borderId="59" xfId="0" applyFont="1" applyBorder="1" applyAlignment="1">
      <alignment vertical="center" wrapText="1"/>
    </xf>
    <xf numFmtId="0" fontId="2" fillId="0" borderId="61" xfId="0" applyFont="1" applyBorder="1" applyAlignment="1">
      <alignment horizontal="center" vertical="center" wrapText="1"/>
    </xf>
    <xf numFmtId="43" fontId="5" fillId="8" borderId="7" xfId="0" applyNumberFormat="1" applyFont="1" applyFill="1" applyBorder="1" applyAlignment="1">
      <alignment horizontal="center" vertical="center"/>
    </xf>
    <xf numFmtId="43" fontId="5" fillId="7" borderId="12" xfId="0" applyNumberFormat="1" applyFont="1" applyFill="1" applyBorder="1" applyAlignment="1">
      <alignment horizontal="center" vertical="center"/>
    </xf>
    <xf numFmtId="0" fontId="2" fillId="0" borderId="73" xfId="0" applyFont="1" applyBorder="1" applyAlignment="1">
      <alignment horizontal="center" vertical="center"/>
    </xf>
    <xf numFmtId="0" fontId="2" fillId="0" borderId="63" xfId="0" applyFont="1" applyBorder="1" applyAlignment="1">
      <alignment horizontal="center" vertical="center" wrapText="1"/>
    </xf>
    <xf numFmtId="43" fontId="5" fillId="2" borderId="4" xfId="0" applyNumberFormat="1" applyFont="1" applyFill="1" applyBorder="1" applyAlignment="1">
      <alignment horizontal="center" vertical="center"/>
    </xf>
    <xf numFmtId="43" fontId="2" fillId="2" borderId="9" xfId="0" applyNumberFormat="1" applyFont="1" applyFill="1" applyBorder="1" applyAlignment="1">
      <alignment horizontal="center" vertical="center"/>
    </xf>
    <xf numFmtId="43" fontId="2" fillId="9" borderId="12" xfId="0" applyNumberFormat="1" applyFont="1" applyFill="1" applyBorder="1" applyAlignment="1">
      <alignment horizontal="center" vertical="center"/>
    </xf>
    <xf numFmtId="43" fontId="6" fillId="8" borderId="28" xfId="0" applyNumberFormat="1" applyFont="1" applyFill="1" applyBorder="1" applyAlignment="1">
      <alignment horizontal="center" vertical="center"/>
    </xf>
    <xf numFmtId="0" fontId="2" fillId="8" borderId="10" xfId="0" applyFont="1" applyFill="1" applyBorder="1" applyAlignment="1">
      <alignment horizontal="center" vertical="center"/>
    </xf>
    <xf numFmtId="0" fontId="2" fillId="8" borderId="11" xfId="0" applyFont="1" applyFill="1" applyBorder="1" applyAlignment="1">
      <alignment horizontal="center" vertical="center"/>
    </xf>
    <xf numFmtId="43" fontId="2" fillId="8" borderId="12" xfId="0" applyNumberFormat="1" applyFont="1" applyFill="1" applyBorder="1" applyAlignment="1">
      <alignment horizontal="center" vertical="center"/>
    </xf>
    <xf numFmtId="0" fontId="2" fillId="8" borderId="43" xfId="0" applyFont="1" applyFill="1" applyBorder="1" applyAlignment="1">
      <alignment horizontal="center" vertical="center"/>
    </xf>
    <xf numFmtId="43" fontId="2" fillId="8" borderId="11" xfId="0" applyNumberFormat="1" applyFont="1" applyFill="1" applyBorder="1" applyAlignment="1">
      <alignment horizontal="center" vertical="center"/>
    </xf>
    <xf numFmtId="0" fontId="2" fillId="13" borderId="40" xfId="0" applyFont="1" applyFill="1" applyBorder="1" applyAlignment="1">
      <alignment horizontal="center" vertical="center"/>
    </xf>
    <xf numFmtId="0" fontId="2" fillId="0" borderId="56" xfId="0" applyFont="1" applyBorder="1"/>
    <xf numFmtId="0" fontId="2" fillId="2" borderId="24" xfId="0" applyFont="1" applyFill="1" applyBorder="1" applyAlignment="1">
      <alignment horizontal="center" vertical="center"/>
    </xf>
    <xf numFmtId="43" fontId="2" fillId="7" borderId="11" xfId="0" applyNumberFormat="1" applyFont="1" applyFill="1" applyBorder="1" applyAlignment="1">
      <alignment horizontal="center" vertical="center"/>
    </xf>
    <xf numFmtId="0" fontId="2" fillId="8" borderId="19" xfId="0" applyFont="1" applyFill="1" applyBorder="1" applyAlignment="1">
      <alignment horizontal="center" vertical="center"/>
    </xf>
    <xf numFmtId="43" fontId="2" fillId="8" borderId="19" xfId="0" applyNumberFormat="1" applyFont="1" applyFill="1" applyBorder="1" applyAlignment="1">
      <alignment horizontal="center" vertical="center"/>
    </xf>
    <xf numFmtId="0" fontId="2" fillId="7" borderId="41" xfId="0" applyFont="1" applyFill="1" applyBorder="1" applyAlignment="1">
      <alignment horizontal="center" vertical="center"/>
    </xf>
    <xf numFmtId="43" fontId="2" fillId="7" borderId="41" xfId="0" applyNumberFormat="1" applyFont="1" applyFill="1" applyBorder="1" applyAlignment="1">
      <alignment horizontal="center" vertical="center"/>
    </xf>
    <xf numFmtId="0" fontId="2" fillId="12" borderId="30" xfId="0" applyFont="1" applyFill="1" applyBorder="1" applyAlignment="1">
      <alignment horizontal="center" vertical="center"/>
    </xf>
    <xf numFmtId="0" fontId="2" fillId="12" borderId="3" xfId="0" applyFont="1" applyFill="1" applyBorder="1" applyAlignment="1">
      <alignment horizontal="center" vertical="center"/>
    </xf>
    <xf numFmtId="0" fontId="2" fillId="12" borderId="45" xfId="0" applyFont="1" applyFill="1" applyBorder="1" applyAlignment="1">
      <alignment horizontal="center" vertical="center"/>
    </xf>
    <xf numFmtId="0" fontId="2" fillId="12" borderId="31" xfId="0" applyFont="1" applyFill="1" applyBorder="1" applyAlignment="1">
      <alignment horizontal="center" vertical="center"/>
    </xf>
    <xf numFmtId="0" fontId="2" fillId="0" borderId="22" xfId="2" applyNumberFormat="1" applyFont="1" applyFill="1" applyBorder="1" applyAlignment="1">
      <alignment horizontal="center" vertical="center"/>
    </xf>
    <xf numFmtId="0" fontId="2" fillId="0" borderId="4" xfId="0" applyFont="1" applyBorder="1"/>
    <xf numFmtId="0" fontId="2" fillId="0" borderId="2" xfId="0" applyFont="1" applyBorder="1" applyAlignment="1">
      <alignment horizontal="center" vertical="center"/>
    </xf>
    <xf numFmtId="0" fontId="2" fillId="0" borderId="38" xfId="0" applyFont="1" applyBorder="1" applyAlignment="1">
      <alignment horizontal="center" vertical="center"/>
    </xf>
    <xf numFmtId="43" fontId="2" fillId="6" borderId="4" xfId="0" applyNumberFormat="1" applyFont="1" applyFill="1" applyBorder="1" applyAlignment="1">
      <alignment horizontal="center" vertical="center"/>
    </xf>
    <xf numFmtId="0" fontId="2" fillId="0" borderId="69" xfId="0" applyFont="1" applyBorder="1" applyAlignment="1">
      <alignment horizontal="center" vertical="center" wrapText="1"/>
    </xf>
    <xf numFmtId="49" fontId="2" fillId="0" borderId="4" xfId="2" applyNumberFormat="1" applyFont="1" applyBorder="1" applyAlignment="1">
      <alignment horizontal="center" vertical="center"/>
    </xf>
    <xf numFmtId="43" fontId="5" fillId="2" borderId="35" xfId="0" applyNumberFormat="1" applyFont="1" applyFill="1" applyBorder="1" applyAlignment="1">
      <alignment horizontal="center" vertical="center"/>
    </xf>
    <xf numFmtId="43" fontId="5" fillId="9" borderId="36" xfId="0" applyNumberFormat="1" applyFont="1" applyFill="1" applyBorder="1" applyAlignment="1">
      <alignment horizontal="center" vertical="center"/>
    </xf>
    <xf numFmtId="43" fontId="5" fillId="9" borderId="4" xfId="0" applyNumberFormat="1" applyFont="1" applyFill="1" applyBorder="1" applyAlignment="1">
      <alignment horizontal="center" vertical="center"/>
    </xf>
    <xf numFmtId="43" fontId="6" fillId="7" borderId="4" xfId="0" applyNumberFormat="1" applyFont="1" applyFill="1" applyBorder="1" applyAlignment="1">
      <alignment horizontal="center" vertical="center"/>
    </xf>
    <xf numFmtId="0" fontId="2" fillId="0" borderId="32" xfId="0" applyFont="1" applyBorder="1" applyAlignment="1">
      <alignment horizontal="center" vertical="center"/>
    </xf>
    <xf numFmtId="43" fontId="2" fillId="4" borderId="4" xfId="0" applyNumberFormat="1" applyFont="1" applyFill="1" applyBorder="1" applyAlignment="1">
      <alignment horizontal="center" vertical="center"/>
    </xf>
    <xf numFmtId="0" fontId="2" fillId="0" borderId="44" xfId="0" applyFont="1" applyBorder="1" applyAlignment="1">
      <alignment horizontal="center" vertical="center"/>
    </xf>
    <xf numFmtId="0" fontId="2" fillId="0" borderId="52" xfId="0" applyFont="1" applyBorder="1" applyAlignment="1">
      <alignment horizontal="center" vertical="center"/>
    </xf>
    <xf numFmtId="0" fontId="2" fillId="2" borderId="25" xfId="0" applyFont="1" applyFill="1" applyBorder="1" applyAlignment="1">
      <alignment horizontal="center" vertical="center"/>
    </xf>
    <xf numFmtId="0" fontId="2" fillId="4" borderId="24" xfId="0" applyFont="1" applyFill="1" applyBorder="1" applyAlignment="1">
      <alignment horizontal="center" vertical="center"/>
    </xf>
    <xf numFmtId="0" fontId="2" fillId="2" borderId="62" xfId="0" applyFont="1" applyFill="1" applyBorder="1" applyAlignment="1">
      <alignment horizontal="center" vertical="center"/>
    </xf>
    <xf numFmtId="43" fontId="5" fillId="22" borderId="4" xfId="0" applyNumberFormat="1" applyFont="1" applyFill="1" applyBorder="1" applyAlignment="1">
      <alignment horizontal="center" vertical="center"/>
    </xf>
    <xf numFmtId="0" fontId="7" fillId="0" borderId="0" xfId="0" applyFont="1" applyAlignment="1">
      <alignment vertical="center" wrapText="1"/>
    </xf>
    <xf numFmtId="43" fontId="5" fillId="21" borderId="52" xfId="0" applyNumberFormat="1" applyFont="1" applyFill="1" applyBorder="1" applyAlignment="1">
      <alignment horizontal="center" vertical="center"/>
    </xf>
    <xf numFmtId="43" fontId="5" fillId="13" borderId="52" xfId="0" applyNumberFormat="1" applyFont="1" applyFill="1" applyBorder="1" applyAlignment="1">
      <alignment horizontal="center" vertical="center"/>
    </xf>
    <xf numFmtId="43" fontId="5" fillId="22" borderId="52" xfId="0" applyNumberFormat="1" applyFont="1" applyFill="1" applyBorder="1" applyAlignment="1">
      <alignment horizontal="center" vertical="center"/>
    </xf>
    <xf numFmtId="43" fontId="5" fillId="22" borderId="26" xfId="0" applyNumberFormat="1" applyFont="1" applyFill="1" applyBorder="1" applyAlignment="1">
      <alignment horizontal="center" vertical="center"/>
    </xf>
    <xf numFmtId="0" fontId="2" fillId="0" borderId="0" xfId="0" applyFont="1" applyAlignment="1">
      <alignment vertical="center"/>
    </xf>
    <xf numFmtId="43" fontId="5" fillId="8" borderId="22" xfId="0" applyNumberFormat="1" applyFont="1" applyFill="1" applyBorder="1" applyAlignment="1">
      <alignment horizontal="center" vertical="center"/>
    </xf>
    <xf numFmtId="43" fontId="6" fillId="18" borderId="17" xfId="0" applyNumberFormat="1" applyFont="1" applyFill="1" applyBorder="1" applyAlignment="1">
      <alignment horizontal="center" vertical="center"/>
    </xf>
    <xf numFmtId="43" fontId="6" fillId="17" borderId="34" xfId="0" applyNumberFormat="1" applyFont="1" applyFill="1" applyBorder="1" applyAlignment="1">
      <alignment horizontal="center" vertical="center"/>
    </xf>
    <xf numFmtId="43" fontId="2" fillId="18" borderId="9" xfId="0" applyNumberFormat="1" applyFont="1" applyFill="1" applyBorder="1" applyAlignment="1">
      <alignment horizontal="center" vertical="center"/>
    </xf>
    <xf numFmtId="43" fontId="2" fillId="17" borderId="12" xfId="0" applyNumberFormat="1" applyFont="1" applyFill="1" applyBorder="1" applyAlignment="1">
      <alignment horizontal="center" vertical="center"/>
    </xf>
    <xf numFmtId="43" fontId="2" fillId="6" borderId="15" xfId="0" applyNumberFormat="1" applyFont="1" applyFill="1" applyBorder="1" applyAlignment="1">
      <alignment horizontal="center" vertical="center"/>
    </xf>
    <xf numFmtId="0" fontId="2" fillId="0" borderId="58" xfId="0" applyFont="1" applyBorder="1" applyAlignment="1">
      <alignment horizontal="center" vertical="center" wrapText="1"/>
    </xf>
    <xf numFmtId="0" fontId="2" fillId="15" borderId="3" xfId="0" applyFont="1" applyFill="1" applyBorder="1"/>
    <xf numFmtId="0" fontId="2" fillId="0" borderId="39" xfId="0" applyFont="1" applyBorder="1"/>
    <xf numFmtId="0" fontId="2" fillId="15" borderId="28" xfId="0" applyFont="1" applyFill="1" applyBorder="1" applyAlignment="1">
      <alignment horizontal="center" vertical="center"/>
    </xf>
    <xf numFmtId="0" fontId="4" fillId="2" borderId="30"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center" vertical="center"/>
    </xf>
    <xf numFmtId="0" fontId="4" fillId="2" borderId="31" xfId="0" applyFont="1" applyFill="1" applyBorder="1" applyAlignment="1">
      <alignment horizontal="center" vertical="center"/>
    </xf>
    <xf numFmtId="43" fontId="2" fillId="8" borderId="9" xfId="0" applyNumberFormat="1" applyFont="1" applyFill="1" applyBorder="1" applyAlignment="1">
      <alignment horizontal="center" vertical="center"/>
    </xf>
    <xf numFmtId="43" fontId="5" fillId="8" borderId="17" xfId="0" applyNumberFormat="1" applyFont="1" applyFill="1" applyBorder="1" applyAlignment="1">
      <alignment horizontal="center" vertical="center"/>
    </xf>
    <xf numFmtId="0" fontId="8" fillId="7" borderId="41" xfId="0" applyFont="1" applyFill="1" applyBorder="1" applyAlignment="1">
      <alignment horizontal="center" vertical="center"/>
    </xf>
    <xf numFmtId="43" fontId="8" fillId="7" borderId="12" xfId="0" applyNumberFormat="1" applyFont="1" applyFill="1" applyBorder="1" applyAlignment="1">
      <alignment horizontal="center" vertical="center"/>
    </xf>
    <xf numFmtId="0" fontId="2" fillId="22" borderId="8" xfId="0" applyFont="1" applyFill="1" applyBorder="1" applyAlignment="1">
      <alignment horizontal="center" vertical="center"/>
    </xf>
    <xf numFmtId="0" fontId="2" fillId="22" borderId="1" xfId="0" applyFont="1" applyFill="1" applyBorder="1" applyAlignment="1">
      <alignment horizontal="center" vertical="center"/>
    </xf>
    <xf numFmtId="0" fontId="2" fillId="22" borderId="19" xfId="0" applyFont="1" applyFill="1" applyBorder="1" applyAlignment="1">
      <alignment horizontal="center" vertical="center"/>
    </xf>
    <xf numFmtId="0" fontId="2" fillId="22" borderId="9" xfId="0" applyFont="1" applyFill="1" applyBorder="1" applyAlignment="1">
      <alignment horizontal="center" vertical="center"/>
    </xf>
    <xf numFmtId="0" fontId="4" fillId="7" borderId="10" xfId="0" applyFont="1" applyFill="1" applyBorder="1" applyAlignment="1">
      <alignment horizontal="center" vertical="center"/>
    </xf>
    <xf numFmtId="0" fontId="2" fillId="8" borderId="41" xfId="0" applyFont="1" applyFill="1" applyBorder="1" applyAlignment="1">
      <alignment horizontal="center" vertical="center"/>
    </xf>
    <xf numFmtId="43" fontId="2" fillId="7" borderId="12" xfId="0" applyNumberFormat="1" applyFont="1" applyFill="1" applyBorder="1" applyAlignment="1">
      <alignment horizontal="center" vertical="center"/>
    </xf>
    <xf numFmtId="43" fontId="6" fillId="8" borderId="17" xfId="0" applyNumberFormat="1" applyFont="1" applyFill="1" applyBorder="1" applyAlignment="1">
      <alignment horizontal="center" vertical="center"/>
    </xf>
    <xf numFmtId="43" fontId="6" fillId="7" borderId="34" xfId="0" applyNumberFormat="1" applyFont="1" applyFill="1" applyBorder="1" applyAlignment="1">
      <alignment horizontal="center" vertical="center"/>
    </xf>
    <xf numFmtId="0" fontId="2" fillId="7" borderId="12" xfId="0" applyFont="1" applyFill="1" applyBorder="1" applyAlignment="1">
      <alignment horizontal="center" vertical="center"/>
    </xf>
    <xf numFmtId="43" fontId="11" fillId="7" borderId="34" xfId="0" applyNumberFormat="1" applyFont="1" applyFill="1" applyBorder="1" applyAlignment="1">
      <alignment horizontal="center" vertical="center"/>
    </xf>
    <xf numFmtId="0" fontId="10" fillId="0" borderId="1" xfId="0" applyFont="1" applyBorder="1" applyAlignment="1">
      <alignment horizontal="center" vertical="center"/>
    </xf>
    <xf numFmtId="0" fontId="6" fillId="20" borderId="4" xfId="0" applyFont="1" applyFill="1" applyBorder="1" applyAlignment="1">
      <alignment horizontal="center" vertical="center"/>
    </xf>
    <xf numFmtId="0" fontId="10" fillId="0" borderId="5" xfId="0" applyFont="1" applyBorder="1" applyAlignment="1">
      <alignment horizontal="center" vertical="center"/>
    </xf>
    <xf numFmtId="0" fontId="10" fillId="0" borderId="8" xfId="0" applyFont="1" applyBorder="1" applyAlignment="1">
      <alignment horizontal="center" vertical="center"/>
    </xf>
    <xf numFmtId="0" fontId="10" fillId="0" borderId="30" xfId="0" applyFont="1" applyBorder="1" applyAlignment="1">
      <alignment horizontal="center" vertical="center"/>
    </xf>
    <xf numFmtId="0" fontId="10" fillId="0" borderId="0" xfId="0" applyFont="1" applyAlignment="1">
      <alignment horizontal="center" vertical="center"/>
    </xf>
    <xf numFmtId="0" fontId="10" fillId="0" borderId="10" xfId="0" applyFont="1" applyBorder="1" applyAlignment="1">
      <alignment horizontal="center" vertical="center"/>
    </xf>
    <xf numFmtId="0" fontId="2" fillId="6" borderId="8"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9" xfId="0" applyFont="1" applyFill="1" applyBorder="1" applyAlignment="1">
      <alignment horizontal="center" vertical="center"/>
    </xf>
    <xf numFmtId="0" fontId="2" fillId="23" borderId="8" xfId="0" applyFont="1" applyFill="1" applyBorder="1" applyAlignment="1">
      <alignment horizontal="center" vertical="center"/>
    </xf>
    <xf numFmtId="0" fontId="2" fillId="23" borderId="1" xfId="0" applyFont="1" applyFill="1" applyBorder="1" applyAlignment="1">
      <alignment horizontal="center" vertical="center"/>
    </xf>
    <xf numFmtId="43" fontId="2" fillId="23" borderId="9" xfId="0" applyNumberFormat="1" applyFont="1" applyFill="1" applyBorder="1" applyAlignment="1">
      <alignment horizontal="center" vertical="center"/>
    </xf>
    <xf numFmtId="0" fontId="2" fillId="25" borderId="8" xfId="0" applyFont="1" applyFill="1" applyBorder="1" applyAlignment="1">
      <alignment horizontal="center" vertical="center"/>
    </xf>
    <xf numFmtId="0" fontId="2" fillId="25" borderId="19" xfId="0" applyFont="1" applyFill="1" applyBorder="1" applyAlignment="1">
      <alignment horizontal="center" vertical="center"/>
    </xf>
    <xf numFmtId="43" fontId="2" fillId="25" borderId="19" xfId="0" applyNumberFormat="1" applyFont="1" applyFill="1" applyBorder="1" applyAlignment="1">
      <alignment horizontal="center" vertical="center"/>
    </xf>
    <xf numFmtId="43" fontId="5" fillId="25" borderId="7" xfId="0" applyNumberFormat="1" applyFont="1" applyFill="1" applyBorder="1" applyAlignment="1">
      <alignment horizontal="center" vertical="center"/>
    </xf>
    <xf numFmtId="0" fontId="2" fillId="24" borderId="10" xfId="0" applyFont="1" applyFill="1" applyBorder="1" applyAlignment="1">
      <alignment horizontal="center" vertical="center"/>
    </xf>
    <xf numFmtId="0" fontId="2" fillId="24" borderId="41" xfId="0" applyFont="1" applyFill="1" applyBorder="1" applyAlignment="1">
      <alignment horizontal="center" vertical="center"/>
    </xf>
    <xf numFmtId="43" fontId="2" fillId="24" borderId="41" xfId="0" applyNumberFormat="1" applyFont="1" applyFill="1" applyBorder="1" applyAlignment="1">
      <alignment horizontal="center" vertical="center"/>
    </xf>
    <xf numFmtId="43" fontId="5" fillId="24" borderId="12" xfId="0" applyNumberFormat="1" applyFont="1" applyFill="1" applyBorder="1" applyAlignment="1">
      <alignment horizontal="center" vertical="center"/>
    </xf>
    <xf numFmtId="0" fontId="6" fillId="0" borderId="0" xfId="0" applyFont="1" applyAlignment="1">
      <alignment vertical="center" wrapText="1"/>
    </xf>
    <xf numFmtId="0" fontId="2" fillId="23" borderId="19" xfId="0" applyFont="1" applyFill="1" applyBorder="1" applyAlignment="1">
      <alignment horizontal="center" vertical="center"/>
    </xf>
    <xf numFmtId="0" fontId="2" fillId="0" borderId="39" xfId="0" applyFont="1" applyBorder="1" applyAlignment="1">
      <alignment horizontal="center" vertical="center"/>
    </xf>
    <xf numFmtId="0" fontId="2" fillId="0" borderId="74" xfId="0" applyFont="1" applyBorder="1" applyAlignment="1">
      <alignment horizontal="center" vertical="center"/>
    </xf>
    <xf numFmtId="0" fontId="5" fillId="26" borderId="4" xfId="0" applyFont="1" applyFill="1" applyBorder="1" applyAlignment="1">
      <alignment horizontal="center" vertical="center"/>
    </xf>
    <xf numFmtId="0" fontId="5" fillId="26" borderId="27" xfId="0" applyFont="1" applyFill="1" applyBorder="1" applyAlignment="1">
      <alignment vertical="center"/>
    </xf>
    <xf numFmtId="0" fontId="2" fillId="26" borderId="4" xfId="0" applyFont="1" applyFill="1" applyBorder="1" applyAlignment="1">
      <alignment horizontal="center" vertical="center"/>
    </xf>
    <xf numFmtId="0" fontId="10" fillId="0" borderId="35" xfId="0" applyFont="1" applyBorder="1" applyAlignment="1">
      <alignment horizontal="center" vertical="center"/>
    </xf>
    <xf numFmtId="0" fontId="10" fillId="0" borderId="37" xfId="0" applyFont="1" applyBorder="1" applyAlignment="1">
      <alignment horizontal="center" vertical="center"/>
    </xf>
    <xf numFmtId="0" fontId="10" fillId="0" borderId="36" xfId="0" applyFont="1" applyBorder="1" applyAlignment="1">
      <alignment horizontal="center" vertical="center"/>
    </xf>
    <xf numFmtId="0" fontId="5" fillId="0" borderId="0" xfId="0" applyFont="1" applyAlignment="1">
      <alignment horizontal="center" vertical="center"/>
    </xf>
    <xf numFmtId="0" fontId="5" fillId="20" borderId="32" xfId="0" applyFont="1" applyFill="1" applyBorder="1" applyAlignment="1">
      <alignment horizontal="center" vertical="center"/>
    </xf>
    <xf numFmtId="0" fontId="10" fillId="0" borderId="48" xfId="0" applyFont="1" applyBorder="1" applyAlignment="1">
      <alignment horizontal="center" vertical="center"/>
    </xf>
    <xf numFmtId="0" fontId="10" fillId="19" borderId="37" xfId="0" applyFont="1" applyFill="1" applyBorder="1" applyAlignment="1">
      <alignment horizontal="center" vertical="center"/>
    </xf>
    <xf numFmtId="0" fontId="10" fillId="0" borderId="47" xfId="0" applyFont="1" applyBorder="1" applyAlignment="1">
      <alignment horizontal="center" vertical="center"/>
    </xf>
    <xf numFmtId="0" fontId="2" fillId="6" borderId="19" xfId="0" applyFont="1" applyFill="1" applyBorder="1" applyAlignment="1">
      <alignment horizontal="center" vertical="center"/>
    </xf>
    <xf numFmtId="0" fontId="2" fillId="0" borderId="35" xfId="0" applyFont="1" applyBorder="1" applyAlignment="1">
      <alignment vertical="center"/>
    </xf>
    <xf numFmtId="0" fontId="2" fillId="0" borderId="37" xfId="0" applyFont="1" applyBorder="1" applyAlignment="1">
      <alignment vertical="center"/>
    </xf>
    <xf numFmtId="0" fontId="2" fillId="0" borderId="36" xfId="0" applyFont="1" applyBorder="1" applyAlignment="1">
      <alignment vertical="center"/>
    </xf>
    <xf numFmtId="0" fontId="2" fillId="0" borderId="17" xfId="0" applyFont="1" applyBorder="1" applyAlignment="1">
      <alignment horizontal="center" vertical="center"/>
    </xf>
    <xf numFmtId="0" fontId="2" fillId="0" borderId="49" xfId="0" applyFont="1" applyBorder="1" applyAlignment="1">
      <alignment horizontal="center" vertical="center"/>
    </xf>
    <xf numFmtId="0" fontId="2" fillId="0" borderId="34" xfId="0" applyFont="1" applyBorder="1" applyAlignment="1">
      <alignment horizontal="center" vertical="center"/>
    </xf>
    <xf numFmtId="0" fontId="4" fillId="0" borderId="0" xfId="0" applyFont="1" applyAlignment="1">
      <alignment horizontal="center" vertical="center"/>
    </xf>
    <xf numFmtId="0" fontId="10" fillId="0" borderId="1" xfId="0" applyFont="1" applyBorder="1" applyAlignment="1">
      <alignment horizontal="center" vertical="center" wrapText="1"/>
    </xf>
    <xf numFmtId="43" fontId="10" fillId="6" borderId="1" xfId="0" applyNumberFormat="1" applyFont="1" applyFill="1" applyBorder="1" applyAlignment="1">
      <alignment horizontal="center" vertical="center"/>
    </xf>
    <xf numFmtId="0" fontId="5" fillId="26" borderId="35" xfId="0" applyFont="1" applyFill="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2" fillId="0" borderId="58" xfId="0" applyFont="1" applyBorder="1" applyAlignment="1">
      <alignment horizontal="center" vertical="center"/>
    </xf>
    <xf numFmtId="0" fontId="12" fillId="0" borderId="0" xfId="0" applyFont="1" applyAlignment="1">
      <alignment horizontal="center" vertical="center"/>
    </xf>
    <xf numFmtId="0" fontId="2" fillId="0" borderId="50" xfId="0" applyFont="1" applyBorder="1" applyAlignment="1">
      <alignment horizontal="center" vertical="center"/>
    </xf>
    <xf numFmtId="0" fontId="2" fillId="0" borderId="2" xfId="0" applyFont="1" applyBorder="1" applyAlignment="1">
      <alignment horizontal="center" vertical="center" wrapText="1"/>
    </xf>
    <xf numFmtId="0" fontId="2" fillId="26" borderId="0" xfId="0" applyFont="1" applyFill="1"/>
    <xf numFmtId="43" fontId="6" fillId="8" borderId="35" xfId="0" applyNumberFormat="1" applyFont="1" applyFill="1" applyBorder="1" applyAlignment="1">
      <alignment horizontal="center" vertical="center"/>
    </xf>
    <xf numFmtId="43" fontId="6" fillId="7" borderId="36" xfId="0" applyNumberFormat="1" applyFont="1" applyFill="1" applyBorder="1" applyAlignment="1">
      <alignment horizontal="center" vertical="center"/>
    </xf>
    <xf numFmtId="43" fontId="2" fillId="0" borderId="12" xfId="0" applyNumberFormat="1" applyFont="1" applyBorder="1" applyAlignment="1">
      <alignment horizontal="center" vertical="center"/>
    </xf>
    <xf numFmtId="0" fontId="2" fillId="0" borderId="16" xfId="0" applyFont="1" applyBorder="1" applyAlignment="1">
      <alignment horizontal="center" vertical="center"/>
    </xf>
    <xf numFmtId="0" fontId="2" fillId="0" borderId="75" xfId="0" applyFont="1" applyBorder="1" applyAlignment="1">
      <alignment horizontal="center" vertical="center"/>
    </xf>
    <xf numFmtId="0" fontId="2" fillId="7" borderId="65" xfId="0" applyFont="1" applyFill="1" applyBorder="1" applyAlignment="1">
      <alignment horizontal="center" vertical="center"/>
    </xf>
    <xf numFmtId="0" fontId="2" fillId="7" borderId="69" xfId="0" applyFont="1" applyFill="1" applyBorder="1" applyAlignment="1">
      <alignment horizontal="center" vertical="center"/>
    </xf>
    <xf numFmtId="0" fontId="2" fillId="7" borderId="67" xfId="0" applyFont="1" applyFill="1" applyBorder="1" applyAlignment="1">
      <alignment horizontal="center" vertical="center"/>
    </xf>
    <xf numFmtId="43" fontId="6" fillId="7" borderId="33" xfId="0" applyNumberFormat="1" applyFont="1" applyFill="1" applyBorder="1" applyAlignment="1">
      <alignment horizontal="center" vertical="center"/>
    </xf>
    <xf numFmtId="0" fontId="2" fillId="7" borderId="8" xfId="0" applyFont="1" applyFill="1" applyBorder="1" applyAlignment="1">
      <alignment horizontal="center" vertical="center"/>
    </xf>
    <xf numFmtId="0" fontId="2" fillId="7" borderId="1" xfId="0" applyFont="1" applyFill="1" applyBorder="1" applyAlignment="1">
      <alignment horizontal="center" vertical="center"/>
    </xf>
    <xf numFmtId="43" fontId="2" fillId="7" borderId="9" xfId="0" applyNumberFormat="1" applyFont="1" applyFill="1" applyBorder="1" applyAlignment="1">
      <alignment horizontal="center" vertical="center"/>
    </xf>
    <xf numFmtId="0" fontId="2" fillId="11" borderId="29" xfId="0" applyFont="1" applyFill="1" applyBorder="1" applyAlignment="1">
      <alignment horizontal="center" vertical="center"/>
    </xf>
    <xf numFmtId="0" fontId="2" fillId="11" borderId="46" xfId="0" applyFont="1" applyFill="1" applyBorder="1" applyAlignment="1">
      <alignment horizontal="center" vertical="center"/>
    </xf>
    <xf numFmtId="0" fontId="2" fillId="11" borderId="2" xfId="0" applyFont="1" applyFill="1" applyBorder="1" applyAlignment="1">
      <alignment horizontal="center" vertical="center"/>
    </xf>
    <xf numFmtId="0" fontId="2" fillId="11" borderId="71" xfId="0" applyFont="1" applyFill="1" applyBorder="1" applyAlignment="1">
      <alignment horizontal="center" vertical="center"/>
    </xf>
    <xf numFmtId="43" fontId="2" fillId="11" borderId="72" xfId="0" applyNumberFormat="1" applyFont="1" applyFill="1" applyBorder="1" applyAlignment="1">
      <alignment horizontal="center" vertical="center"/>
    </xf>
    <xf numFmtId="43" fontId="2" fillId="7" borderId="70" xfId="0" applyNumberFormat="1" applyFont="1" applyFill="1" applyBorder="1" applyAlignment="1">
      <alignment horizontal="center" vertical="center"/>
    </xf>
    <xf numFmtId="2" fontId="6" fillId="7" borderId="35" xfId="0" applyNumberFormat="1" applyFont="1" applyFill="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43" fontId="2" fillId="6" borderId="28" xfId="0" applyNumberFormat="1" applyFont="1" applyFill="1" applyBorder="1" applyAlignment="1">
      <alignment vertical="center"/>
    </xf>
    <xf numFmtId="49" fontId="10" fillId="0" borderId="0" xfId="2" applyNumberFormat="1" applyFont="1" applyBorder="1" applyAlignment="1">
      <alignment horizontal="center" vertical="center"/>
    </xf>
    <xf numFmtId="0" fontId="13" fillId="0" borderId="0" xfId="0" applyFont="1" applyAlignment="1">
      <alignment horizontal="center" vertical="center"/>
    </xf>
    <xf numFmtId="49" fontId="14" fillId="0" borderId="1" xfId="2" applyNumberFormat="1" applyFont="1" applyBorder="1" applyAlignment="1">
      <alignment horizontal="center" vertical="center"/>
    </xf>
    <xf numFmtId="0" fontId="14" fillId="0" borderId="1" xfId="0" applyFont="1" applyBorder="1" applyAlignment="1">
      <alignment horizontal="left" vertical="center"/>
    </xf>
    <xf numFmtId="165" fontId="13" fillId="0" borderId="0" xfId="1" applyNumberFormat="1" applyFont="1" applyBorder="1" applyAlignment="1">
      <alignment horizontal="center" vertical="center"/>
    </xf>
    <xf numFmtId="49" fontId="14" fillId="0" borderId="1" xfId="2"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1" applyNumberFormat="1" applyFont="1" applyBorder="1" applyAlignment="1">
      <alignment horizontal="right" vertical="center" wrapText="1"/>
    </xf>
    <xf numFmtId="49" fontId="14" fillId="0" borderId="0" xfId="2" applyNumberFormat="1" applyFont="1" applyBorder="1" applyAlignment="1">
      <alignment horizontal="center" vertical="center"/>
    </xf>
    <xf numFmtId="0" fontId="14" fillId="0" borderId="0" xfId="0" applyFont="1" applyAlignment="1">
      <alignment horizontal="left" vertical="center"/>
    </xf>
    <xf numFmtId="165" fontId="14" fillId="0" borderId="0" xfId="1" applyNumberFormat="1" applyFont="1" applyBorder="1" applyAlignment="1">
      <alignment horizontal="right" vertical="center" wrapText="1"/>
    </xf>
    <xf numFmtId="0" fontId="2" fillId="27" borderId="0" xfId="0" applyFont="1" applyFill="1"/>
    <xf numFmtId="43" fontId="6" fillId="8" borderId="12" xfId="0" applyNumberFormat="1" applyFont="1" applyFill="1" applyBorder="1" applyAlignment="1">
      <alignment horizontal="center" vertical="center"/>
    </xf>
    <xf numFmtId="43" fontId="2" fillId="8" borderId="41" xfId="0" applyNumberFormat="1" applyFont="1" applyFill="1" applyBorder="1" applyAlignment="1">
      <alignment horizontal="center" vertical="center"/>
    </xf>
    <xf numFmtId="0" fontId="2" fillId="0" borderId="28" xfId="0" applyFont="1" applyBorder="1" applyAlignment="1">
      <alignment horizontal="center" vertical="center"/>
    </xf>
    <xf numFmtId="43" fontId="2" fillId="0" borderId="9" xfId="1" applyNumberFormat="1" applyFont="1" applyBorder="1" applyAlignment="1">
      <alignment horizontal="center" vertical="center"/>
    </xf>
    <xf numFmtId="0" fontId="2" fillId="0" borderId="3" xfId="0" applyFont="1" applyBorder="1" applyAlignment="1">
      <alignment horizontal="center" vertical="center" wrapText="1"/>
    </xf>
    <xf numFmtId="43" fontId="4" fillId="4" borderId="28" xfId="0" applyNumberFormat="1" applyFont="1" applyFill="1" applyBorder="1" applyAlignment="1">
      <alignment horizontal="center" vertical="center"/>
    </xf>
    <xf numFmtId="43" fontId="4" fillId="4" borderId="55" xfId="0" applyNumberFormat="1" applyFont="1" applyFill="1" applyBorder="1" applyAlignment="1">
      <alignment horizontal="center" vertical="center"/>
    </xf>
    <xf numFmtId="43" fontId="2" fillId="10" borderId="2" xfId="0" applyNumberFormat="1" applyFont="1" applyFill="1" applyBorder="1" applyAlignment="1">
      <alignment horizontal="center" vertical="center"/>
    </xf>
    <xf numFmtId="0" fontId="2" fillId="23" borderId="40" xfId="0" applyFont="1" applyFill="1" applyBorder="1" applyAlignment="1">
      <alignment horizontal="center" vertical="center"/>
    </xf>
    <xf numFmtId="43" fontId="2" fillId="0" borderId="0" xfId="0" applyNumberFormat="1" applyFont="1"/>
    <xf numFmtId="0" fontId="2" fillId="8" borderId="30" xfId="0" applyFont="1" applyFill="1" applyBorder="1" applyAlignment="1">
      <alignment horizontal="center" vertical="center"/>
    </xf>
    <xf numFmtId="0" fontId="2" fillId="8" borderId="61" xfId="0" applyFont="1" applyFill="1" applyBorder="1" applyAlignment="1">
      <alignment horizontal="center" vertical="center"/>
    </xf>
    <xf numFmtId="0" fontId="2" fillId="8" borderId="3" xfId="0" applyFont="1" applyFill="1" applyBorder="1" applyAlignment="1">
      <alignment horizontal="center" vertical="center"/>
    </xf>
    <xf numFmtId="43" fontId="2" fillId="8" borderId="3" xfId="0" applyNumberFormat="1" applyFont="1" applyFill="1" applyBorder="1" applyAlignment="1">
      <alignment horizontal="center" vertical="center"/>
    </xf>
    <xf numFmtId="0" fontId="2" fillId="14" borderId="66" xfId="0" applyFont="1" applyFill="1" applyBorder="1" applyAlignment="1">
      <alignment horizontal="center" vertical="center"/>
    </xf>
    <xf numFmtId="16" fontId="10" fillId="0" borderId="0" xfId="0" applyNumberFormat="1" applyFont="1" applyAlignment="1">
      <alignment horizontal="center" vertical="center"/>
    </xf>
    <xf numFmtId="0" fontId="2" fillId="0" borderId="47" xfId="0" applyFont="1" applyBorder="1" applyAlignment="1">
      <alignment horizontal="center" vertical="center"/>
    </xf>
    <xf numFmtId="0" fontId="2" fillId="0" borderId="54" xfId="0" applyFont="1" applyBorder="1" applyAlignment="1">
      <alignment horizontal="center" vertical="center"/>
    </xf>
    <xf numFmtId="0" fontId="2" fillId="0" borderId="72" xfId="0" applyFont="1" applyBorder="1" applyAlignment="1">
      <alignment horizontal="center" vertical="center"/>
    </xf>
    <xf numFmtId="43" fontId="2" fillId="0" borderId="0" xfId="0" applyNumberFormat="1" applyFont="1" applyAlignment="1">
      <alignment vertical="center"/>
    </xf>
    <xf numFmtId="0" fontId="10" fillId="0" borderId="29" xfId="0" applyFont="1" applyBorder="1" applyAlignment="1">
      <alignment horizontal="center" vertical="center"/>
    </xf>
    <xf numFmtId="164" fontId="18" fillId="20" borderId="4" xfId="1" applyFont="1" applyFill="1" applyBorder="1" applyAlignment="1">
      <alignment horizontal="center" vertical="center"/>
    </xf>
    <xf numFmtId="165" fontId="19" fillId="0" borderId="9" xfId="1" applyNumberFormat="1" applyFont="1" applyBorder="1" applyAlignment="1">
      <alignment horizontal="center" vertical="center"/>
    </xf>
    <xf numFmtId="165" fontId="19" fillId="0" borderId="7" xfId="1" applyNumberFormat="1" applyFont="1" applyBorder="1" applyAlignment="1">
      <alignment horizontal="center" vertical="center"/>
    </xf>
    <xf numFmtId="165" fontId="19" fillId="0" borderId="9" xfId="1" applyNumberFormat="1" applyFont="1" applyFill="1" applyBorder="1" applyAlignment="1">
      <alignment horizontal="center" vertical="center"/>
    </xf>
    <xf numFmtId="165" fontId="19" fillId="0" borderId="31" xfId="1" applyNumberFormat="1" applyFont="1" applyBorder="1" applyAlignment="1">
      <alignment horizontal="center" vertical="center"/>
    </xf>
    <xf numFmtId="0" fontId="19" fillId="0" borderId="0" xfId="0" applyFont="1" applyAlignment="1">
      <alignment horizontal="center" vertical="center"/>
    </xf>
    <xf numFmtId="165" fontId="19" fillId="0" borderId="1" xfId="1" applyNumberFormat="1" applyFont="1" applyFill="1" applyBorder="1" applyAlignment="1">
      <alignment horizontal="center" vertical="center"/>
    </xf>
    <xf numFmtId="165" fontId="19" fillId="0" borderId="1" xfId="1" applyNumberFormat="1" applyFont="1" applyBorder="1" applyAlignment="1">
      <alignment horizontal="center" vertical="center"/>
    </xf>
    <xf numFmtId="165" fontId="19" fillId="19" borderId="1" xfId="1" applyNumberFormat="1" applyFont="1" applyFill="1" applyBorder="1" applyAlignment="1">
      <alignment horizontal="center" vertical="center"/>
    </xf>
    <xf numFmtId="165" fontId="19" fillId="0" borderId="3" xfId="1" applyNumberFormat="1" applyFont="1" applyBorder="1" applyAlignment="1">
      <alignment horizontal="center" vertical="center"/>
    </xf>
    <xf numFmtId="165" fontId="19" fillId="0" borderId="2" xfId="1" applyNumberFormat="1" applyFont="1" applyFill="1" applyBorder="1" applyAlignment="1">
      <alignment horizontal="center" vertical="center"/>
    </xf>
    <xf numFmtId="165" fontId="19" fillId="0" borderId="11" xfId="1" applyNumberFormat="1" applyFont="1" applyBorder="1" applyAlignment="1">
      <alignment horizontal="center" vertical="center"/>
    </xf>
    <xf numFmtId="165" fontId="19" fillId="0" borderId="6" xfId="1" applyNumberFormat="1" applyFont="1" applyBorder="1" applyAlignment="1">
      <alignment horizontal="center" vertical="center"/>
    </xf>
    <xf numFmtId="0" fontId="19" fillId="0" borderId="1" xfId="0" applyFont="1" applyBorder="1" applyAlignment="1">
      <alignment horizontal="center" vertical="center"/>
    </xf>
    <xf numFmtId="0" fontId="19" fillId="0" borderId="2" xfId="0" applyFont="1" applyBorder="1" applyAlignment="1">
      <alignment horizontal="center" vertical="center"/>
    </xf>
    <xf numFmtId="0" fontId="19" fillId="0" borderId="11" xfId="0" applyFont="1" applyBorder="1" applyAlignment="1">
      <alignment horizontal="center" vertical="center"/>
    </xf>
    <xf numFmtId="165" fontId="19" fillId="0" borderId="11" xfId="1" applyNumberFormat="1" applyFont="1" applyFill="1" applyBorder="1" applyAlignment="1">
      <alignment horizontal="center" vertical="center"/>
    </xf>
    <xf numFmtId="165" fontId="19" fillId="0" borderId="1" xfId="0" applyNumberFormat="1" applyFont="1" applyBorder="1" applyAlignment="1">
      <alignment horizontal="center" vertical="center"/>
    </xf>
    <xf numFmtId="165" fontId="19" fillId="0" borderId="3" xfId="1" applyNumberFormat="1" applyFont="1" applyFill="1" applyBorder="1" applyAlignment="1">
      <alignment horizontal="center" vertical="center"/>
    </xf>
    <xf numFmtId="165" fontId="19" fillId="0" borderId="31" xfId="1" applyNumberFormat="1" applyFont="1" applyFill="1" applyBorder="1" applyAlignment="1">
      <alignment horizontal="center" vertical="center"/>
    </xf>
    <xf numFmtId="43" fontId="19" fillId="0" borderId="1" xfId="0" applyNumberFormat="1" applyFont="1" applyBorder="1" applyAlignment="1">
      <alignment horizontal="center" vertical="center"/>
    </xf>
    <xf numFmtId="0" fontId="10" fillId="19" borderId="8" xfId="0" applyFont="1" applyFill="1" applyBorder="1" applyAlignment="1">
      <alignment horizontal="center" vertical="center"/>
    </xf>
    <xf numFmtId="165" fontId="19" fillId="19" borderId="9" xfId="1" applyNumberFormat="1" applyFont="1" applyFill="1" applyBorder="1" applyAlignment="1">
      <alignment horizontal="center" vertical="center"/>
    </xf>
    <xf numFmtId="165" fontId="19" fillId="0" borderId="6" xfId="1" applyNumberFormat="1" applyFont="1" applyFill="1" applyBorder="1" applyAlignment="1">
      <alignment horizontal="center" vertical="center"/>
    </xf>
    <xf numFmtId="0" fontId="10" fillId="0" borderId="20" xfId="0" applyFont="1" applyBorder="1" applyAlignment="1">
      <alignment horizontal="center" vertical="center"/>
    </xf>
    <xf numFmtId="165" fontId="19" fillId="0" borderId="21" xfId="1" applyNumberFormat="1" applyFont="1" applyBorder="1" applyAlignment="1">
      <alignment horizontal="center" vertical="center"/>
    </xf>
    <xf numFmtId="0" fontId="10" fillId="0" borderId="0" xfId="0" applyFont="1" applyAlignment="1">
      <alignment vertical="center"/>
    </xf>
    <xf numFmtId="0" fontId="5" fillId="20" borderId="13" xfId="0" applyFont="1" applyFill="1" applyBorder="1" applyAlignment="1">
      <alignment horizontal="center" vertical="center"/>
    </xf>
    <xf numFmtId="165" fontId="2" fillId="0" borderId="0" xfId="1" applyNumberFormat="1" applyFont="1" applyFill="1" applyBorder="1" applyAlignment="1">
      <alignment horizontal="center" vertical="center"/>
    </xf>
    <xf numFmtId="0" fontId="0" fillId="0" borderId="0" xfId="0" applyAlignment="1">
      <alignment horizontal="center" vertical="center"/>
    </xf>
    <xf numFmtId="0" fontId="5" fillId="15" borderId="0" xfId="0" applyFont="1" applyFill="1"/>
    <xf numFmtId="43" fontId="6" fillId="15" borderId="0" xfId="0" applyNumberFormat="1" applyFont="1" applyFill="1" applyAlignment="1">
      <alignment horizontal="center" vertical="center"/>
    </xf>
    <xf numFmtId="165" fontId="17" fillId="0" borderId="0" xfId="1" applyNumberFormat="1" applyFont="1" applyFill="1" applyBorder="1" applyAlignment="1">
      <alignment horizontal="center" vertical="center" wrapText="1"/>
    </xf>
    <xf numFmtId="43" fontId="2" fillId="0" borderId="33" xfId="0" applyNumberFormat="1" applyFont="1" applyBorder="1" applyAlignment="1">
      <alignment horizontal="center" vertical="center"/>
    </xf>
    <xf numFmtId="0" fontId="8" fillId="0" borderId="0" xfId="0" applyFont="1" applyAlignment="1">
      <alignment vertical="center"/>
    </xf>
    <xf numFmtId="0" fontId="14" fillId="0" borderId="2" xfId="0" applyFont="1" applyBorder="1" applyAlignment="1">
      <alignment horizontal="left" vertical="center"/>
    </xf>
    <xf numFmtId="49" fontId="14" fillId="0" borderId="0" xfId="2" applyNumberFormat="1" applyFont="1" applyBorder="1" applyAlignment="1">
      <alignment horizontal="right" vertical="center"/>
    </xf>
    <xf numFmtId="165" fontId="14" fillId="0" borderId="2" xfId="1" applyNumberFormat="1" applyFont="1" applyBorder="1" applyAlignment="1">
      <alignment horizontal="right" vertical="center" wrapText="1"/>
    </xf>
    <xf numFmtId="165" fontId="10" fillId="0" borderId="0" xfId="1" applyNumberFormat="1" applyFont="1" applyBorder="1" applyAlignment="1">
      <alignment horizontal="right" vertical="center" wrapText="1"/>
    </xf>
    <xf numFmtId="49" fontId="10" fillId="0" borderId="0" xfId="2" applyNumberFormat="1" applyFont="1" applyFill="1" applyBorder="1" applyAlignment="1">
      <alignment horizontal="center" vertical="center"/>
    </xf>
    <xf numFmtId="165" fontId="10" fillId="0" borderId="0" xfId="1" applyNumberFormat="1" applyFont="1" applyFill="1" applyBorder="1" applyAlignment="1">
      <alignment horizontal="right" vertical="center" wrapText="1"/>
    </xf>
    <xf numFmtId="0" fontId="10" fillId="0" borderId="0" xfId="0" applyFont="1" applyAlignment="1">
      <alignment horizontal="right" vertical="center"/>
    </xf>
    <xf numFmtId="49" fontId="17" fillId="0" borderId="0" xfId="2" applyNumberFormat="1" applyFont="1" applyFill="1" applyBorder="1" applyAlignment="1">
      <alignment horizontal="center" vertical="center"/>
    </xf>
    <xf numFmtId="0" fontId="17" fillId="0" borderId="0" xfId="0" applyFont="1" applyAlignment="1">
      <alignment horizontal="left" vertical="center"/>
    </xf>
    <xf numFmtId="165" fontId="17" fillId="0" borderId="0" xfId="1" applyNumberFormat="1" applyFont="1" applyFill="1" applyBorder="1" applyAlignment="1">
      <alignment horizontal="right" vertical="center" wrapText="1"/>
    </xf>
    <xf numFmtId="0" fontId="14" fillId="0" borderId="0" xfId="0" applyFont="1" applyAlignment="1">
      <alignment horizontal="center" vertical="center"/>
    </xf>
    <xf numFmtId="0" fontId="17" fillId="0" borderId="0" xfId="0" applyFont="1" applyAlignment="1">
      <alignment horizontal="left" vertical="center" wrapText="1"/>
    </xf>
    <xf numFmtId="49" fontId="17" fillId="0" borderId="0" xfId="2" applyNumberFormat="1" applyFont="1" applyFill="1" applyBorder="1" applyAlignment="1">
      <alignment horizontal="center" vertical="center" wrapText="1"/>
    </xf>
    <xf numFmtId="49" fontId="20" fillId="0" borderId="0" xfId="2" applyNumberFormat="1" applyFont="1" applyFill="1" applyBorder="1" applyAlignment="1">
      <alignment vertical="center"/>
    </xf>
    <xf numFmtId="0" fontId="14" fillId="0" borderId="0" xfId="0" applyFont="1" applyAlignment="1">
      <alignment vertical="center"/>
    </xf>
    <xf numFmtId="0" fontId="2" fillId="0" borderId="29" xfId="0" applyFont="1" applyBorder="1" applyAlignment="1">
      <alignment vertical="center"/>
    </xf>
    <xf numFmtId="0" fontId="2" fillId="0" borderId="58" xfId="0" applyFont="1" applyBorder="1" applyAlignment="1">
      <alignment vertical="center"/>
    </xf>
    <xf numFmtId="0" fontId="2" fillId="0" borderId="30" xfId="0" applyFont="1" applyBorder="1" applyAlignment="1">
      <alignment vertical="center"/>
    </xf>
    <xf numFmtId="43" fontId="2" fillId="0" borderId="49" xfId="0" applyNumberFormat="1" applyFont="1" applyBorder="1" applyAlignment="1">
      <alignment horizontal="center" vertical="center"/>
    </xf>
    <xf numFmtId="0" fontId="6" fillId="0" borderId="8" xfId="0" applyFont="1" applyBorder="1" applyAlignment="1">
      <alignment horizontal="center" vertical="center"/>
    </xf>
    <xf numFmtId="43" fontId="2" fillId="0" borderId="38" xfId="0" applyNumberFormat="1" applyFont="1" applyBorder="1" applyAlignment="1">
      <alignment horizontal="center" vertical="center"/>
    </xf>
    <xf numFmtId="0" fontId="2" fillId="0" borderId="76" xfId="0" applyFont="1" applyBorder="1" applyAlignment="1">
      <alignment horizontal="center" vertical="center"/>
    </xf>
    <xf numFmtId="0" fontId="2" fillId="0" borderId="78" xfId="0" applyFont="1" applyBorder="1" applyAlignment="1">
      <alignment horizontal="center" vertical="center"/>
    </xf>
    <xf numFmtId="0" fontId="10" fillId="0" borderId="17" xfId="0" applyFont="1" applyBorder="1" applyAlignment="1">
      <alignment horizontal="center" vertical="center"/>
    </xf>
    <xf numFmtId="0" fontId="10" fillId="0" borderId="49" xfId="0" applyFont="1" applyBorder="1" applyAlignment="1">
      <alignment horizontal="center" vertical="center"/>
    </xf>
    <xf numFmtId="165" fontId="19" fillId="0" borderId="0" xfId="1" applyNumberFormat="1" applyFont="1" applyBorder="1" applyAlignment="1">
      <alignment horizontal="center" vertical="center"/>
    </xf>
    <xf numFmtId="0" fontId="2" fillId="2" borderId="23" xfId="0" applyFont="1" applyFill="1" applyBorder="1" applyAlignment="1">
      <alignment horizontal="center" vertical="center"/>
    </xf>
    <xf numFmtId="49" fontId="14" fillId="0" borderId="3" xfId="2" applyNumberFormat="1" applyFont="1" applyBorder="1" applyAlignment="1">
      <alignment horizontal="center" vertical="center"/>
    </xf>
    <xf numFmtId="0" fontId="14" fillId="0" borderId="3" xfId="0" applyFont="1" applyBorder="1" applyAlignment="1">
      <alignment horizontal="left" vertical="center"/>
    </xf>
    <xf numFmtId="165" fontId="14" fillId="0" borderId="3" xfId="1" applyNumberFormat="1" applyFont="1" applyBorder="1" applyAlignment="1">
      <alignment horizontal="right" vertical="center" wrapText="1"/>
    </xf>
    <xf numFmtId="0" fontId="12" fillId="0" borderId="0" xfId="0" applyFont="1" applyAlignment="1">
      <alignment vertical="center"/>
    </xf>
    <xf numFmtId="0" fontId="12" fillId="0" borderId="8" xfId="0" applyFont="1" applyBorder="1" applyAlignment="1">
      <alignment horizontal="center" vertical="center"/>
    </xf>
    <xf numFmtId="165" fontId="23" fillId="0" borderId="1" xfId="1" applyNumberFormat="1" applyFont="1" applyFill="1" applyBorder="1" applyAlignment="1">
      <alignment horizontal="center" vertical="center"/>
    </xf>
    <xf numFmtId="165" fontId="23" fillId="0" borderId="9" xfId="1" applyNumberFormat="1" applyFont="1" applyFill="1" applyBorder="1" applyAlignment="1">
      <alignment horizontal="center" vertical="center"/>
    </xf>
    <xf numFmtId="0" fontId="22" fillId="0" borderId="0" xfId="0" applyFont="1"/>
    <xf numFmtId="43" fontId="2" fillId="5" borderId="38" xfId="0" applyNumberFormat="1" applyFont="1" applyFill="1" applyBorder="1" applyAlignment="1">
      <alignment horizontal="center" vertical="center"/>
    </xf>
    <xf numFmtId="43" fontId="2" fillId="4" borderId="77" xfId="0" applyNumberFormat="1" applyFont="1" applyFill="1" applyBorder="1" applyAlignment="1">
      <alignment horizontal="center" vertical="center"/>
    </xf>
    <xf numFmtId="165" fontId="10" fillId="0" borderId="0" xfId="0" applyNumberFormat="1" applyFont="1" applyAlignment="1">
      <alignment horizontal="center" vertical="center"/>
    </xf>
    <xf numFmtId="17" fontId="2" fillId="0" borderId="10" xfId="0" applyNumberFormat="1" applyFont="1" applyBorder="1" applyAlignment="1">
      <alignment horizontal="center" vertical="center"/>
    </xf>
    <xf numFmtId="43" fontId="10" fillId="0" borderId="1" xfId="0" applyNumberFormat="1" applyFont="1" applyBorder="1" applyAlignment="1">
      <alignment horizontal="center" vertical="center"/>
    </xf>
    <xf numFmtId="43" fontId="0" fillId="0" borderId="0" xfId="0" applyNumberFormat="1"/>
    <xf numFmtId="0" fontId="10" fillId="0" borderId="54" xfId="0" applyFont="1" applyBorder="1" applyAlignment="1">
      <alignment horizontal="center" vertical="center"/>
    </xf>
    <xf numFmtId="165" fontId="10" fillId="0" borderId="19" xfId="1" applyNumberFormat="1" applyFont="1" applyFill="1" applyBorder="1" applyAlignment="1">
      <alignment horizontal="center" vertical="center"/>
    </xf>
    <xf numFmtId="0" fontId="4" fillId="2" borderId="21" xfId="0" applyFont="1" applyFill="1" applyBorder="1" applyAlignment="1">
      <alignment horizontal="center" vertical="center" wrapText="1"/>
    </xf>
    <xf numFmtId="0" fontId="4" fillId="2" borderId="21" xfId="0" applyFont="1" applyFill="1" applyBorder="1" applyAlignment="1">
      <alignment horizontal="center" vertical="center"/>
    </xf>
    <xf numFmtId="43" fontId="2" fillId="10" borderId="31" xfId="0" applyNumberFormat="1" applyFont="1" applyFill="1" applyBorder="1" applyAlignment="1">
      <alignment horizontal="center" vertical="center"/>
    </xf>
    <xf numFmtId="43" fontId="2" fillId="8" borderId="77" xfId="0" applyNumberFormat="1" applyFont="1" applyFill="1" applyBorder="1" applyAlignment="1">
      <alignment horizontal="center" vertical="center"/>
    </xf>
    <xf numFmtId="43" fontId="8" fillId="7" borderId="34" xfId="0" applyNumberFormat="1" applyFont="1" applyFill="1" applyBorder="1" applyAlignment="1">
      <alignment horizontal="center" vertical="center"/>
    </xf>
    <xf numFmtId="0" fontId="4" fillId="0" borderId="0" xfId="0" applyFont="1"/>
    <xf numFmtId="165" fontId="19" fillId="0" borderId="21" xfId="1" applyNumberFormat="1" applyFont="1" applyFill="1" applyBorder="1" applyAlignment="1">
      <alignment horizontal="center" vertical="center"/>
    </xf>
    <xf numFmtId="0" fontId="2" fillId="0" borderId="70" xfId="0" applyFont="1" applyBorder="1" applyAlignment="1">
      <alignment horizontal="center" vertical="center"/>
    </xf>
    <xf numFmtId="0" fontId="4" fillId="2" borderId="19" xfId="0" applyFont="1" applyFill="1" applyBorder="1" applyAlignment="1">
      <alignment horizontal="center" vertical="center" wrapText="1"/>
    </xf>
    <xf numFmtId="0" fontId="4" fillId="2" borderId="4" xfId="0" applyFont="1" applyFill="1" applyBorder="1" applyAlignment="1">
      <alignment horizontal="center" vertical="center"/>
    </xf>
    <xf numFmtId="165" fontId="2" fillId="0" borderId="0" xfId="0" applyNumberFormat="1" applyFont="1" applyAlignment="1">
      <alignment horizontal="center" vertical="center"/>
    </xf>
    <xf numFmtId="43" fontId="2" fillId="8" borderId="40" xfId="0" applyNumberFormat="1" applyFont="1" applyFill="1" applyBorder="1" applyAlignment="1">
      <alignment horizontal="center" vertical="center"/>
    </xf>
    <xf numFmtId="0" fontId="2" fillId="7" borderId="42" xfId="0" applyFont="1" applyFill="1" applyBorder="1" applyAlignment="1">
      <alignment horizontal="center" vertical="center"/>
    </xf>
    <xf numFmtId="0" fontId="2" fillId="22" borderId="5" xfId="0" applyFont="1" applyFill="1" applyBorder="1" applyAlignment="1">
      <alignment horizontal="center" vertical="center"/>
    </xf>
    <xf numFmtId="0" fontId="2" fillId="22" borderId="6" xfId="0" applyFont="1" applyFill="1" applyBorder="1" applyAlignment="1">
      <alignment horizontal="center" vertical="center"/>
    </xf>
    <xf numFmtId="0" fontId="2" fillId="22" borderId="60" xfId="0" applyFont="1" applyFill="1" applyBorder="1" applyAlignment="1">
      <alignment horizontal="center" vertical="center"/>
    </xf>
    <xf numFmtId="0" fontId="2" fillId="22" borderId="7" xfId="0" applyFont="1" applyFill="1" applyBorder="1" applyAlignment="1">
      <alignment horizontal="center" vertical="center"/>
    </xf>
    <xf numFmtId="43" fontId="2" fillId="8" borderId="62" xfId="0" applyNumberFormat="1" applyFont="1" applyFill="1" applyBorder="1" applyAlignment="1">
      <alignment horizontal="center" vertical="center"/>
    </xf>
    <xf numFmtId="43" fontId="8" fillId="7" borderId="41" xfId="0" applyNumberFormat="1" applyFont="1" applyFill="1" applyBorder="1" applyAlignment="1">
      <alignment horizontal="center" vertical="center"/>
    </xf>
    <xf numFmtId="43" fontId="2" fillId="8" borderId="21" xfId="0" applyNumberFormat="1" applyFont="1" applyFill="1" applyBorder="1" applyAlignment="1">
      <alignment horizontal="center" vertical="center"/>
    </xf>
    <xf numFmtId="43" fontId="2" fillId="8" borderId="73" xfId="0" applyNumberFormat="1" applyFont="1" applyFill="1" applyBorder="1" applyAlignment="1">
      <alignment horizontal="center" vertical="center"/>
    </xf>
    <xf numFmtId="43" fontId="5" fillId="8" borderId="28" xfId="0" applyNumberFormat="1" applyFont="1" applyFill="1" applyBorder="1" applyAlignment="1">
      <alignment horizontal="center" vertical="center"/>
    </xf>
    <xf numFmtId="43" fontId="2" fillId="8" borderId="6" xfId="0" applyNumberFormat="1" applyFont="1" applyFill="1" applyBorder="1" applyAlignment="1">
      <alignment horizontal="center" vertical="center"/>
    </xf>
    <xf numFmtId="43" fontId="8" fillId="7" borderId="11" xfId="0" applyNumberFormat="1" applyFont="1" applyFill="1" applyBorder="1" applyAlignment="1">
      <alignment horizontal="center" vertical="center"/>
    </xf>
    <xf numFmtId="43" fontId="5" fillId="8" borderId="25" xfId="0" applyNumberFormat="1" applyFont="1" applyFill="1" applyBorder="1" applyAlignment="1">
      <alignment horizontal="center" vertical="center"/>
    </xf>
    <xf numFmtId="43" fontId="5" fillId="8" borderId="12" xfId="0" applyNumberFormat="1" applyFont="1" applyFill="1" applyBorder="1" applyAlignment="1">
      <alignment horizontal="center" vertical="center"/>
    </xf>
    <xf numFmtId="43" fontId="2" fillId="8" borderId="66" xfId="0" applyNumberFormat="1" applyFont="1" applyFill="1" applyBorder="1" applyAlignment="1">
      <alignment horizontal="center" vertical="center"/>
    </xf>
    <xf numFmtId="43" fontId="8" fillId="7" borderId="42" xfId="0" applyNumberFormat="1" applyFont="1" applyFill="1" applyBorder="1" applyAlignment="1">
      <alignment horizontal="center" vertical="center"/>
    </xf>
    <xf numFmtId="43" fontId="11" fillId="7" borderId="22" xfId="0" applyNumberFormat="1" applyFont="1" applyFill="1" applyBorder="1" applyAlignment="1">
      <alignment horizontal="center" vertical="center"/>
    </xf>
    <xf numFmtId="43" fontId="11" fillId="7" borderId="28" xfId="0" applyNumberFormat="1" applyFont="1" applyFill="1" applyBorder="1" applyAlignment="1">
      <alignment horizontal="center" vertical="center"/>
    </xf>
    <xf numFmtId="43" fontId="4" fillId="7" borderId="21" xfId="0" applyNumberFormat="1" applyFont="1" applyFill="1" applyBorder="1" applyAlignment="1">
      <alignment horizontal="center" vertical="center"/>
    </xf>
    <xf numFmtId="0" fontId="2" fillId="22" borderId="30" xfId="0" applyFont="1" applyFill="1" applyBorder="1" applyAlignment="1">
      <alignment horizontal="center" vertical="center"/>
    </xf>
    <xf numFmtId="0" fontId="2" fillId="22" borderId="3" xfId="0" applyFont="1" applyFill="1" applyBorder="1" applyAlignment="1">
      <alignment horizontal="center" vertical="center"/>
    </xf>
    <xf numFmtId="0" fontId="2" fillId="22" borderId="45" xfId="0" applyFont="1" applyFill="1" applyBorder="1" applyAlignment="1">
      <alignment horizontal="center" vertical="center"/>
    </xf>
    <xf numFmtId="0" fontId="2" fillId="22" borderId="31" xfId="0" applyFont="1" applyFill="1" applyBorder="1" applyAlignment="1">
      <alignment horizontal="center" vertical="center"/>
    </xf>
    <xf numFmtId="43" fontId="8" fillId="7" borderId="43" xfId="0" applyNumberFormat="1" applyFont="1" applyFill="1" applyBorder="1" applyAlignment="1">
      <alignment horizontal="center" vertical="center"/>
    </xf>
    <xf numFmtId="0" fontId="4" fillId="0" borderId="30" xfId="0" applyFont="1" applyBorder="1" applyAlignment="1">
      <alignment horizontal="center" vertical="center" wrapText="1"/>
    </xf>
    <xf numFmtId="0" fontId="2" fillId="6" borderId="5" xfId="0" applyFont="1" applyFill="1" applyBorder="1" applyAlignment="1">
      <alignment horizontal="center" vertical="center"/>
    </xf>
    <xf numFmtId="0" fontId="2" fillId="6" borderId="6" xfId="0" applyFont="1" applyFill="1" applyBorder="1" applyAlignment="1">
      <alignment horizontal="center" vertical="center"/>
    </xf>
    <xf numFmtId="0" fontId="2" fillId="6" borderId="7" xfId="0" applyFont="1" applyFill="1" applyBorder="1" applyAlignment="1">
      <alignment horizontal="center" vertical="center"/>
    </xf>
    <xf numFmtId="43" fontId="5" fillId="25" borderId="17" xfId="0" applyNumberFormat="1" applyFont="1" applyFill="1" applyBorder="1" applyAlignment="1">
      <alignment horizontal="center" vertical="center"/>
    </xf>
    <xf numFmtId="43" fontId="5" fillId="24" borderId="34" xfId="0" applyNumberFormat="1" applyFont="1" applyFill="1" applyBorder="1" applyAlignment="1">
      <alignment horizontal="center" vertical="center"/>
    </xf>
    <xf numFmtId="43" fontId="2" fillId="8" borderId="35" xfId="0" applyNumberFormat="1" applyFont="1" applyFill="1" applyBorder="1" applyAlignment="1">
      <alignment horizontal="center" vertical="center"/>
    </xf>
    <xf numFmtId="43" fontId="8" fillId="7" borderId="36" xfId="0" applyNumberFormat="1" applyFont="1" applyFill="1" applyBorder="1" applyAlignment="1">
      <alignment horizontal="center" vertical="center"/>
    </xf>
    <xf numFmtId="43" fontId="2" fillId="8" borderId="20" xfId="0" applyNumberFormat="1" applyFont="1" applyFill="1" applyBorder="1" applyAlignment="1">
      <alignment horizontal="center" vertical="center"/>
    </xf>
    <xf numFmtId="43" fontId="2" fillId="8" borderId="4" xfId="0" applyNumberFormat="1" applyFont="1" applyFill="1" applyBorder="1" applyAlignment="1">
      <alignment horizontal="center" vertical="center"/>
    </xf>
    <xf numFmtId="43" fontId="11" fillId="7" borderId="4" xfId="0" applyNumberFormat="1" applyFont="1" applyFill="1" applyBorder="1" applyAlignment="1">
      <alignment horizontal="center" vertical="center"/>
    </xf>
    <xf numFmtId="43" fontId="4" fillId="7" borderId="73" xfId="0" applyNumberFormat="1" applyFont="1" applyFill="1" applyBorder="1" applyAlignment="1">
      <alignment horizontal="center" vertical="center"/>
    </xf>
    <xf numFmtId="43" fontId="4" fillId="7" borderId="12" xfId="0" applyNumberFormat="1" applyFont="1" applyFill="1" applyBorder="1" applyAlignment="1">
      <alignment horizontal="center" vertical="center"/>
    </xf>
    <xf numFmtId="43" fontId="4" fillId="7" borderId="34" xfId="0" applyNumberFormat="1" applyFont="1" applyFill="1" applyBorder="1" applyAlignment="1">
      <alignment horizontal="center" vertical="center"/>
    </xf>
    <xf numFmtId="165" fontId="13" fillId="0" borderId="31" xfId="1" applyNumberFormat="1" applyFont="1" applyFill="1" applyBorder="1" applyAlignment="1">
      <alignment horizontal="center" vertical="center"/>
    </xf>
    <xf numFmtId="165" fontId="13" fillId="0" borderId="9" xfId="1" applyNumberFormat="1" applyFont="1" applyFill="1" applyBorder="1" applyAlignment="1">
      <alignment horizontal="center" vertical="center"/>
    </xf>
    <xf numFmtId="0" fontId="2" fillId="7" borderId="36" xfId="0" applyFont="1" applyFill="1" applyBorder="1" applyAlignment="1">
      <alignment horizontal="center" vertical="center"/>
    </xf>
    <xf numFmtId="43" fontId="2" fillId="0" borderId="72" xfId="0" applyNumberFormat="1" applyFont="1" applyBorder="1" applyAlignment="1">
      <alignment horizontal="center" vertical="center"/>
    </xf>
    <xf numFmtId="43" fontId="2" fillId="0" borderId="9" xfId="0" applyNumberFormat="1" applyFont="1" applyBorder="1"/>
    <xf numFmtId="0" fontId="24" fillId="0" borderId="0" xfId="0" applyFont="1"/>
    <xf numFmtId="43" fontId="5" fillId="7" borderId="34" xfId="0" applyNumberFormat="1" applyFont="1" applyFill="1" applyBorder="1" applyAlignment="1">
      <alignment horizontal="center" vertical="center"/>
    </xf>
    <xf numFmtId="43" fontId="5" fillId="7" borderId="22" xfId="0" applyNumberFormat="1" applyFont="1" applyFill="1" applyBorder="1" applyAlignment="1">
      <alignment horizontal="center" vertical="center"/>
    </xf>
    <xf numFmtId="0" fontId="2" fillId="17" borderId="36" xfId="0" applyFont="1" applyFill="1" applyBorder="1" applyAlignment="1">
      <alignment horizontal="center" vertical="center"/>
    </xf>
    <xf numFmtId="0" fontId="2" fillId="18" borderId="36" xfId="0" applyFont="1" applyFill="1" applyBorder="1" applyAlignment="1">
      <alignment horizontal="center" vertical="center"/>
    </xf>
    <xf numFmtId="43" fontId="6" fillId="7" borderId="22" xfId="0" applyNumberFormat="1" applyFont="1" applyFill="1" applyBorder="1" applyAlignment="1">
      <alignment horizontal="center" vertical="center"/>
    </xf>
    <xf numFmtId="43" fontId="6" fillId="8" borderId="22" xfId="0" applyNumberFormat="1" applyFont="1" applyFill="1" applyBorder="1" applyAlignment="1">
      <alignment horizontal="center" vertical="center"/>
    </xf>
    <xf numFmtId="0" fontId="4" fillId="2" borderId="22" xfId="0" applyFont="1" applyFill="1" applyBorder="1" applyAlignment="1">
      <alignment horizontal="center" vertical="center"/>
    </xf>
    <xf numFmtId="43" fontId="2" fillId="4" borderId="33" xfId="0" applyNumberFormat="1" applyFont="1" applyFill="1" applyBorder="1" applyAlignment="1">
      <alignment horizontal="center" vertical="center"/>
    </xf>
    <xf numFmtId="0" fontId="6" fillId="19" borderId="8" xfId="0" applyFont="1" applyFill="1" applyBorder="1" applyAlignment="1">
      <alignment horizontal="center" vertical="center"/>
    </xf>
    <xf numFmtId="0" fontId="6" fillId="0" borderId="20" xfId="0" applyFont="1" applyBorder="1" applyAlignment="1">
      <alignment horizontal="center" vertical="center"/>
    </xf>
    <xf numFmtId="165" fontId="18" fillId="0" borderId="1" xfId="1" applyNumberFormat="1" applyFont="1" applyBorder="1" applyAlignment="1">
      <alignment horizontal="center" vertical="center"/>
    </xf>
    <xf numFmtId="165" fontId="18" fillId="0" borderId="1" xfId="1" applyNumberFormat="1" applyFont="1" applyFill="1" applyBorder="1" applyAlignment="1">
      <alignment horizontal="center" vertical="center"/>
    </xf>
    <xf numFmtId="49" fontId="20" fillId="0" borderId="0" xfId="2" applyNumberFormat="1" applyFont="1" applyFill="1" applyBorder="1" applyAlignment="1">
      <alignment horizontal="right" vertical="center"/>
    </xf>
    <xf numFmtId="0" fontId="14" fillId="0" borderId="0" xfId="0" applyFont="1" applyAlignment="1">
      <alignment horizontal="right" vertical="center"/>
    </xf>
    <xf numFmtId="43" fontId="11" fillId="18" borderId="4" xfId="0" applyNumberFormat="1" applyFont="1" applyFill="1" applyBorder="1" applyAlignment="1">
      <alignment horizontal="center" vertical="center"/>
    </xf>
    <xf numFmtId="0" fontId="14" fillId="0" borderId="74" xfId="0" applyFont="1" applyBorder="1" applyAlignment="1">
      <alignment horizontal="left" vertical="center"/>
    </xf>
    <xf numFmtId="49" fontId="14" fillId="0" borderId="2" xfId="2" applyNumberFormat="1" applyFont="1" applyBorder="1" applyAlignment="1">
      <alignment horizontal="center" vertical="center" wrapText="1"/>
    </xf>
    <xf numFmtId="0" fontId="12" fillId="0" borderId="30" xfId="0" applyFont="1" applyBorder="1" applyAlignment="1">
      <alignment horizontal="center" vertical="center"/>
    </xf>
    <xf numFmtId="165" fontId="23" fillId="0" borderId="3" xfId="1" applyNumberFormat="1" applyFont="1" applyFill="1" applyBorder="1" applyAlignment="1">
      <alignment horizontal="center" vertical="center"/>
    </xf>
    <xf numFmtId="165" fontId="23" fillId="0" borderId="31" xfId="1" applyNumberFormat="1" applyFont="1" applyFill="1" applyBorder="1" applyAlignment="1">
      <alignment horizontal="center" vertical="center"/>
    </xf>
    <xf numFmtId="165" fontId="19" fillId="0" borderId="6" xfId="1" applyNumberFormat="1" applyFont="1" applyBorder="1" applyAlignment="1">
      <alignment vertical="center"/>
    </xf>
    <xf numFmtId="165" fontId="19" fillId="0" borderId="6" xfId="1" applyNumberFormat="1" applyFont="1" applyFill="1" applyBorder="1" applyAlignment="1">
      <alignment vertical="center"/>
    </xf>
    <xf numFmtId="43" fontId="2" fillId="8" borderId="5" xfId="0" applyNumberFormat="1" applyFont="1" applyFill="1" applyBorder="1" applyAlignment="1">
      <alignment horizontal="center" vertical="center"/>
    </xf>
    <xf numFmtId="0" fontId="2" fillId="7" borderId="68" xfId="0" applyFont="1" applyFill="1" applyBorder="1" applyAlignment="1">
      <alignment horizontal="center" vertical="center"/>
    </xf>
    <xf numFmtId="0" fontId="8" fillId="0" borderId="1" xfId="0" applyFont="1" applyBorder="1" applyAlignment="1">
      <alignment horizontal="center" vertical="center"/>
    </xf>
    <xf numFmtId="43" fontId="8" fillId="6" borderId="1" xfId="0" applyNumberFormat="1" applyFont="1" applyFill="1" applyBorder="1" applyAlignment="1">
      <alignment horizontal="center" vertical="center"/>
    </xf>
    <xf numFmtId="0" fontId="8" fillId="15" borderId="3" xfId="0" applyFont="1" applyFill="1" applyBorder="1"/>
    <xf numFmtId="0" fontId="5" fillId="0" borderId="40" xfId="0" applyFont="1" applyBorder="1" applyAlignment="1">
      <alignment horizontal="center" vertical="center"/>
    </xf>
    <xf numFmtId="0" fontId="2" fillId="14" borderId="30" xfId="0" applyFont="1" applyFill="1" applyBorder="1" applyAlignment="1">
      <alignment horizontal="center" vertical="center" wrapText="1"/>
    </xf>
    <xf numFmtId="0" fontId="2" fillId="14" borderId="61"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45" xfId="0" applyFont="1" applyFill="1" applyBorder="1" applyAlignment="1">
      <alignment horizontal="center" vertical="center" wrapText="1"/>
    </xf>
    <xf numFmtId="0" fontId="2" fillId="14" borderId="31" xfId="0" applyFont="1" applyFill="1" applyBorder="1" applyAlignment="1">
      <alignment horizontal="center" vertical="center" wrapText="1"/>
    </xf>
    <xf numFmtId="0" fontId="2" fillId="19" borderId="3" xfId="0" applyFont="1" applyFill="1" applyBorder="1" applyAlignment="1">
      <alignment horizontal="center" vertical="center" wrapText="1"/>
    </xf>
    <xf numFmtId="43" fontId="2" fillId="19" borderId="45" xfId="0" applyNumberFormat="1" applyFont="1" applyFill="1" applyBorder="1" applyAlignment="1">
      <alignment horizontal="center" vertical="center" wrapText="1"/>
    </xf>
    <xf numFmtId="43" fontId="2" fillId="19" borderId="31" xfId="0" applyNumberFormat="1" applyFont="1" applyFill="1" applyBorder="1" applyAlignment="1">
      <alignment horizontal="center" vertical="center" wrapText="1"/>
    </xf>
    <xf numFmtId="0" fontId="2" fillId="0" borderId="19" xfId="0" applyFont="1" applyBorder="1" applyAlignment="1">
      <alignment horizontal="center" vertical="center" wrapText="1"/>
    </xf>
    <xf numFmtId="43" fontId="2" fillId="0" borderId="9" xfId="0" applyNumberFormat="1" applyFont="1" applyBorder="1" applyAlignment="1">
      <alignment horizontal="center" vertical="center" wrapText="1"/>
    </xf>
    <xf numFmtId="43" fontId="2" fillId="0" borderId="19" xfId="0" applyNumberFormat="1" applyFont="1" applyBorder="1" applyAlignment="1">
      <alignment horizontal="center" vertical="center" wrapText="1"/>
    </xf>
    <xf numFmtId="0" fontId="2" fillId="11" borderId="8" xfId="0" applyFont="1" applyFill="1" applyBorder="1" applyAlignment="1">
      <alignment horizontal="center" vertical="center" wrapText="1"/>
    </xf>
    <xf numFmtId="0" fontId="2" fillId="11" borderId="40" xfId="0" applyFont="1" applyFill="1" applyBorder="1" applyAlignment="1">
      <alignment horizontal="center" vertical="center" wrapText="1"/>
    </xf>
    <xf numFmtId="0" fontId="2" fillId="11" borderId="1" xfId="0" applyFont="1" applyFill="1" applyBorder="1" applyAlignment="1">
      <alignment horizontal="center" vertical="center" wrapText="1"/>
    </xf>
    <xf numFmtId="43" fontId="2" fillId="11" borderId="9" xfId="0" applyNumberFormat="1"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1" xfId="0" applyFont="1" applyFill="1" applyBorder="1" applyAlignment="1">
      <alignment horizontal="center" vertical="center" wrapText="1"/>
    </xf>
    <xf numFmtId="43" fontId="2" fillId="8" borderId="19" xfId="0" applyNumberFormat="1" applyFont="1" applyFill="1" applyBorder="1" applyAlignment="1">
      <alignment horizontal="center" vertical="center" wrapText="1"/>
    </xf>
    <xf numFmtId="43" fontId="2" fillId="8" borderId="35" xfId="0" applyNumberFormat="1" applyFont="1" applyFill="1" applyBorder="1" applyAlignment="1">
      <alignment horizontal="center" vertical="center" wrapText="1"/>
    </xf>
    <xf numFmtId="43" fontId="6" fillId="8" borderId="17" xfId="0" applyNumberFormat="1" applyFont="1" applyFill="1" applyBorder="1" applyAlignment="1">
      <alignment horizontal="center" vertical="center" wrapText="1"/>
    </xf>
    <xf numFmtId="0" fontId="2" fillId="7" borderId="10" xfId="0" applyFont="1" applyFill="1" applyBorder="1" applyAlignment="1">
      <alignment horizontal="center" vertical="center" wrapText="1"/>
    </xf>
    <xf numFmtId="0" fontId="2" fillId="7" borderId="43"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2" fillId="7" borderId="41" xfId="0" applyFont="1" applyFill="1" applyBorder="1" applyAlignment="1">
      <alignment horizontal="center" vertical="center" wrapText="1"/>
    </xf>
    <xf numFmtId="0" fontId="2" fillId="7" borderId="36" xfId="0" applyFont="1" applyFill="1" applyBorder="1" applyAlignment="1">
      <alignment horizontal="center" vertical="center" wrapText="1"/>
    </xf>
    <xf numFmtId="43" fontId="6" fillId="7" borderId="34" xfId="0" applyNumberFormat="1" applyFont="1" applyFill="1" applyBorder="1" applyAlignment="1">
      <alignment horizontal="center" vertical="center" wrapText="1"/>
    </xf>
    <xf numFmtId="0" fontId="2" fillId="11" borderId="19" xfId="0" applyFont="1" applyFill="1" applyBorder="1" applyAlignment="1">
      <alignment horizontal="center" vertical="center" wrapText="1"/>
    </xf>
    <xf numFmtId="43" fontId="2" fillId="8" borderId="1" xfId="0" applyNumberFormat="1" applyFont="1" applyFill="1" applyBorder="1" applyAlignment="1">
      <alignment horizontal="center" vertical="center" wrapText="1"/>
    </xf>
    <xf numFmtId="43" fontId="6" fillId="8" borderId="7" xfId="0" applyNumberFormat="1" applyFont="1" applyFill="1" applyBorder="1" applyAlignment="1">
      <alignment horizontal="center" vertical="center" wrapText="1"/>
    </xf>
    <xf numFmtId="43" fontId="6" fillId="7" borderId="12" xfId="0" applyNumberFormat="1" applyFont="1" applyFill="1" applyBorder="1" applyAlignment="1">
      <alignment horizontal="center" vertical="center" wrapText="1"/>
    </xf>
    <xf numFmtId="0" fontId="16" fillId="0" borderId="0" xfId="0" applyFont="1" applyAlignment="1">
      <alignment horizontal="center" vertical="center" wrapText="1"/>
    </xf>
    <xf numFmtId="0" fontId="16" fillId="0" borderId="1" xfId="0" applyFont="1" applyBorder="1" applyAlignment="1">
      <alignment horizontal="center" vertical="center" wrapText="1"/>
    </xf>
    <xf numFmtId="0" fontId="0" fillId="0" borderId="0" xfId="0" applyAlignment="1">
      <alignment horizontal="center" vertical="center" wrapText="1"/>
    </xf>
    <xf numFmtId="0" fontId="10" fillId="0" borderId="65" xfId="0" applyFont="1" applyBorder="1" applyAlignment="1">
      <alignment horizontal="center" vertical="center"/>
    </xf>
    <xf numFmtId="165" fontId="19" fillId="0" borderId="67" xfId="1" applyNumberFormat="1" applyFont="1" applyBorder="1" applyAlignment="1">
      <alignment horizontal="center" vertical="center"/>
    </xf>
    <xf numFmtId="165" fontId="19" fillId="0" borderId="49" xfId="1" applyNumberFormat="1" applyFont="1" applyBorder="1" applyAlignment="1">
      <alignment horizontal="center" vertical="center"/>
    </xf>
    <xf numFmtId="49" fontId="14" fillId="0" borderId="0" xfId="2"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49" fontId="14" fillId="0" borderId="71" xfId="2" applyNumberFormat="1" applyFont="1" applyBorder="1" applyAlignment="1">
      <alignment horizontal="center" vertical="center"/>
    </xf>
    <xf numFmtId="165" fontId="14" fillId="0" borderId="46" xfId="1" applyNumberFormat="1" applyFont="1" applyBorder="1" applyAlignment="1">
      <alignment horizontal="right" vertical="center" wrapText="1"/>
    </xf>
    <xf numFmtId="0" fontId="2" fillId="8" borderId="65" xfId="0" applyFont="1" applyFill="1" applyBorder="1" applyAlignment="1">
      <alignment horizontal="center" vertical="center"/>
    </xf>
    <xf numFmtId="0" fontId="2" fillId="8" borderId="69" xfId="0" applyFont="1" applyFill="1" applyBorder="1" applyAlignment="1">
      <alignment horizontal="center" vertical="center"/>
    </xf>
    <xf numFmtId="0" fontId="2" fillId="8" borderId="67" xfId="0" applyFont="1" applyFill="1" applyBorder="1" applyAlignment="1">
      <alignment horizontal="center" vertical="center"/>
    </xf>
    <xf numFmtId="43" fontId="2" fillId="8" borderId="67" xfId="0" applyNumberFormat="1" applyFont="1" applyFill="1" applyBorder="1" applyAlignment="1">
      <alignment horizontal="center" vertical="center"/>
    </xf>
    <xf numFmtId="43" fontId="2" fillId="8" borderId="22" xfId="0" applyNumberFormat="1" applyFont="1" applyFill="1" applyBorder="1" applyAlignment="1">
      <alignment horizontal="center" vertical="center"/>
    </xf>
    <xf numFmtId="0" fontId="2" fillId="8" borderId="63" xfId="0" applyFont="1" applyFill="1" applyBorder="1" applyAlignment="1">
      <alignment horizontal="center" vertical="center"/>
    </xf>
    <xf numFmtId="43" fontId="2" fillId="8" borderId="70" xfId="0" applyNumberFormat="1" applyFont="1" applyFill="1" applyBorder="1" applyAlignment="1">
      <alignment horizontal="center" vertical="center"/>
    </xf>
    <xf numFmtId="0" fontId="16" fillId="0" borderId="0" xfId="0" applyFont="1" applyAlignment="1">
      <alignment horizontal="center" vertical="center"/>
    </xf>
    <xf numFmtId="0" fontId="16" fillId="0" borderId="1" xfId="0" applyFont="1" applyBorder="1" applyAlignment="1">
      <alignment horizontal="center" vertical="center"/>
    </xf>
    <xf numFmtId="165" fontId="19" fillId="0" borderId="19" xfId="1" applyNumberFormat="1" applyFont="1" applyFill="1" applyBorder="1" applyAlignment="1">
      <alignment horizontal="center" vertical="center"/>
    </xf>
    <xf numFmtId="43" fontId="2" fillId="8" borderId="17" xfId="0" applyNumberFormat="1" applyFont="1" applyFill="1" applyBorder="1" applyAlignment="1">
      <alignment horizontal="center" vertical="center"/>
    </xf>
    <xf numFmtId="0" fontId="2" fillId="7" borderId="34" xfId="0" applyFont="1" applyFill="1" applyBorder="1" applyAlignment="1">
      <alignment horizontal="center" vertical="center"/>
    </xf>
    <xf numFmtId="43" fontId="4" fillId="7" borderId="11" xfId="0" applyNumberFormat="1" applyFont="1" applyFill="1" applyBorder="1" applyAlignment="1">
      <alignment horizontal="center" vertical="center"/>
    </xf>
    <xf numFmtId="43" fontId="4" fillId="7" borderId="28" xfId="0" applyNumberFormat="1" applyFont="1" applyFill="1" applyBorder="1" applyAlignment="1">
      <alignment horizontal="center" vertical="center"/>
    </xf>
    <xf numFmtId="43" fontId="2" fillId="8" borderId="28" xfId="0" applyNumberFormat="1" applyFont="1" applyFill="1" applyBorder="1" applyAlignment="1">
      <alignment horizontal="center" vertical="center"/>
    </xf>
    <xf numFmtId="165" fontId="19" fillId="0" borderId="19" xfId="1" applyNumberFormat="1" applyFont="1" applyBorder="1" applyAlignment="1">
      <alignment horizontal="center" vertical="center"/>
    </xf>
    <xf numFmtId="0" fontId="4" fillId="18" borderId="20" xfId="0" applyFont="1" applyFill="1" applyBorder="1" applyAlignment="1">
      <alignment horizontal="center" vertical="center"/>
    </xf>
    <xf numFmtId="0" fontId="2" fillId="18" borderId="62" xfId="0" applyFont="1" applyFill="1" applyBorder="1" applyAlignment="1">
      <alignment horizontal="center" vertical="center"/>
    </xf>
    <xf numFmtId="43" fontId="2" fillId="18" borderId="22" xfId="0" applyNumberFormat="1" applyFont="1" applyFill="1" applyBorder="1" applyAlignment="1">
      <alignment horizontal="center" vertical="center"/>
    </xf>
    <xf numFmtId="43" fontId="4" fillId="18" borderId="28" xfId="0" applyNumberFormat="1" applyFont="1" applyFill="1" applyBorder="1" applyAlignment="1">
      <alignment horizontal="center" vertical="center"/>
    </xf>
    <xf numFmtId="0" fontId="4" fillId="18" borderId="65" xfId="0" applyFont="1" applyFill="1" applyBorder="1" applyAlignment="1">
      <alignment horizontal="center" vertical="center"/>
    </xf>
    <xf numFmtId="0" fontId="2" fillId="18" borderId="63" xfId="0" applyFont="1" applyFill="1" applyBorder="1" applyAlignment="1">
      <alignment horizontal="center" vertical="center"/>
    </xf>
    <xf numFmtId="43" fontId="2" fillId="18" borderId="70" xfId="0" applyNumberFormat="1" applyFont="1" applyFill="1" applyBorder="1" applyAlignment="1">
      <alignment horizontal="center" vertical="center"/>
    </xf>
    <xf numFmtId="43" fontId="5" fillId="9" borderId="22" xfId="0" applyNumberFormat="1" applyFont="1" applyFill="1" applyBorder="1" applyAlignment="1">
      <alignment horizontal="center" vertical="center"/>
    </xf>
    <xf numFmtId="43" fontId="2" fillId="9" borderId="27" xfId="0" applyNumberFormat="1" applyFont="1" applyFill="1" applyBorder="1" applyAlignment="1">
      <alignment horizontal="center" vertical="center"/>
    </xf>
    <xf numFmtId="165" fontId="19" fillId="0" borderId="45" xfId="1" applyNumberFormat="1" applyFont="1" applyBorder="1" applyAlignment="1">
      <alignment horizontal="center" vertical="center"/>
    </xf>
    <xf numFmtId="165" fontId="19" fillId="0" borderId="45" xfId="1" applyNumberFormat="1" applyFont="1" applyFill="1" applyBorder="1" applyAlignment="1">
      <alignment horizontal="center" vertical="center"/>
    </xf>
    <xf numFmtId="0" fontId="10" fillId="19" borderId="10" xfId="0" applyFont="1" applyFill="1" applyBorder="1" applyAlignment="1">
      <alignment horizontal="center" vertical="center"/>
    </xf>
    <xf numFmtId="165" fontId="19" fillId="19" borderId="11" xfId="1" applyNumberFormat="1" applyFont="1" applyFill="1" applyBorder="1" applyAlignment="1">
      <alignment horizontal="center" vertical="center"/>
    </xf>
    <xf numFmtId="0" fontId="2" fillId="0" borderId="46" xfId="0" applyFont="1" applyBorder="1" applyAlignment="1">
      <alignment horizontal="center" vertical="center" wrapText="1"/>
    </xf>
    <xf numFmtId="0" fontId="4" fillId="7" borderId="20" xfId="0" applyFont="1" applyFill="1" applyBorder="1" applyAlignment="1">
      <alignment horizontal="center" vertical="center"/>
    </xf>
    <xf numFmtId="0" fontId="2" fillId="8" borderId="62" xfId="0" applyFont="1" applyFill="1" applyBorder="1" applyAlignment="1">
      <alignment horizontal="center" vertical="center"/>
    </xf>
    <xf numFmtId="165" fontId="10" fillId="0" borderId="31" xfId="1" applyNumberFormat="1" applyFont="1" applyFill="1" applyBorder="1" applyAlignment="1">
      <alignment horizontal="center" vertical="center"/>
    </xf>
    <xf numFmtId="165" fontId="10" fillId="0" borderId="45" xfId="1" applyNumberFormat="1" applyFont="1" applyFill="1" applyBorder="1" applyAlignment="1">
      <alignment horizontal="center" vertical="center"/>
    </xf>
    <xf numFmtId="0" fontId="3" fillId="0" borderId="0" xfId="0" applyFont="1" applyAlignment="1">
      <alignment horizontal="center" vertical="center" wrapText="1"/>
    </xf>
    <xf numFmtId="0" fontId="2" fillId="0" borderId="59" xfId="0" applyFont="1" applyBorder="1"/>
    <xf numFmtId="0" fontId="2" fillId="0" borderId="55" xfId="0" applyFont="1" applyBorder="1"/>
    <xf numFmtId="43" fontId="2" fillId="18" borderId="27" xfId="0" applyNumberFormat="1" applyFont="1" applyFill="1" applyBorder="1" applyAlignment="1">
      <alignment horizontal="center" vertical="center"/>
    </xf>
    <xf numFmtId="43" fontId="5" fillId="18" borderId="22" xfId="0" applyNumberFormat="1" applyFont="1" applyFill="1" applyBorder="1" applyAlignment="1">
      <alignment horizontal="center" vertical="center"/>
    </xf>
    <xf numFmtId="0" fontId="10" fillId="0" borderId="39" xfId="0" applyFont="1" applyBorder="1" applyAlignment="1">
      <alignment horizontal="center" vertical="center"/>
    </xf>
    <xf numFmtId="165" fontId="19" fillId="0" borderId="2" xfId="1" applyNumberFormat="1" applyFont="1" applyBorder="1" applyAlignment="1">
      <alignment horizontal="center" vertical="center"/>
    </xf>
    <xf numFmtId="0" fontId="2" fillId="0" borderId="79" xfId="0" applyFont="1" applyBorder="1" applyAlignment="1">
      <alignment horizontal="center" vertical="center"/>
    </xf>
    <xf numFmtId="0" fontId="2" fillId="0" borderId="12" xfId="0" applyFont="1" applyBorder="1" applyAlignment="1">
      <alignment horizontal="center" vertical="center"/>
    </xf>
    <xf numFmtId="0" fontId="2" fillId="19" borderId="11" xfId="0" applyFont="1" applyFill="1" applyBorder="1" applyAlignment="1">
      <alignment horizontal="center" vertical="center"/>
    </xf>
    <xf numFmtId="43" fontId="2" fillId="11" borderId="19" xfId="0" applyNumberFormat="1" applyFont="1" applyFill="1" applyBorder="1" applyAlignment="1">
      <alignment horizontal="center" vertical="center"/>
    </xf>
    <xf numFmtId="0" fontId="0" fillId="0" borderId="1" xfId="0" applyBorder="1"/>
    <xf numFmtId="0" fontId="2" fillId="8" borderId="20" xfId="0" applyFont="1" applyFill="1" applyBorder="1" applyAlignment="1">
      <alignment horizontal="center" vertical="center"/>
    </xf>
    <xf numFmtId="0" fontId="2" fillId="8" borderId="73" xfId="0" applyFont="1" applyFill="1" applyBorder="1" applyAlignment="1">
      <alignment horizontal="center" vertical="center"/>
    </xf>
    <xf numFmtId="0" fontId="2" fillId="8" borderId="21" xfId="0" applyFont="1" applyFill="1" applyBorder="1" applyAlignment="1">
      <alignment horizontal="center" vertical="center"/>
    </xf>
    <xf numFmtId="43" fontId="10" fillId="6" borderId="1" xfId="1" applyNumberFormat="1" applyFont="1" applyFill="1" applyBorder="1" applyAlignment="1">
      <alignment horizontal="center" vertical="center"/>
    </xf>
    <xf numFmtId="167" fontId="2" fillId="6" borderId="28" xfId="0" applyNumberFormat="1" applyFont="1" applyFill="1" applyBorder="1" applyAlignment="1">
      <alignment horizontal="center" vertical="center"/>
    </xf>
    <xf numFmtId="0" fontId="4" fillId="2" borderId="57" xfId="0" applyFont="1" applyFill="1" applyBorder="1" applyAlignment="1">
      <alignment horizontal="center" vertical="center" wrapText="1"/>
    </xf>
    <xf numFmtId="0" fontId="4" fillId="2" borderId="57" xfId="0" applyFont="1" applyFill="1" applyBorder="1" applyAlignment="1">
      <alignment horizontal="center" vertical="center"/>
    </xf>
    <xf numFmtId="167" fontId="2" fillId="6" borderId="22" xfId="0" applyNumberFormat="1" applyFont="1" applyFill="1" applyBorder="1" applyAlignment="1">
      <alignment horizontal="center" vertical="center"/>
    </xf>
    <xf numFmtId="14" fontId="2" fillId="0" borderId="4" xfId="0" applyNumberFormat="1" applyFont="1" applyBorder="1" applyAlignment="1">
      <alignment horizontal="center" vertical="center"/>
    </xf>
    <xf numFmtId="167" fontId="2" fillId="6" borderId="12" xfId="0" applyNumberFormat="1" applyFont="1" applyFill="1" applyBorder="1" applyAlignment="1">
      <alignment horizontal="center" vertical="center"/>
    </xf>
    <xf numFmtId="0" fontId="27" fillId="0" borderId="0" xfId="0" applyFont="1"/>
    <xf numFmtId="0" fontId="29" fillId="0" borderId="0" xfId="0" applyFont="1"/>
    <xf numFmtId="0" fontId="29" fillId="14" borderId="30" xfId="0" applyFont="1" applyFill="1" applyBorder="1" applyAlignment="1">
      <alignment horizontal="center" vertical="center"/>
    </xf>
    <xf numFmtId="0" fontId="29" fillId="14" borderId="61" xfId="0" applyFont="1" applyFill="1" applyBorder="1" applyAlignment="1">
      <alignment horizontal="center" vertical="center"/>
    </xf>
    <xf numFmtId="0" fontId="29" fillId="14" borderId="3" xfId="0" applyFont="1" applyFill="1" applyBorder="1" applyAlignment="1">
      <alignment horizontal="center" vertical="center"/>
    </xf>
    <xf numFmtId="0" fontId="29" fillId="14" borderId="31" xfId="0" applyFont="1" applyFill="1" applyBorder="1" applyAlignment="1">
      <alignment horizontal="center" vertical="center"/>
    </xf>
    <xf numFmtId="0" fontId="29" fillId="0" borderId="0" xfId="0" applyFont="1" applyAlignment="1">
      <alignment horizontal="center" vertical="center"/>
    </xf>
    <xf numFmtId="0" fontId="29" fillId="0" borderId="29" xfId="0" applyFont="1" applyBorder="1" applyAlignment="1">
      <alignment horizontal="center" vertical="center" wrapText="1"/>
    </xf>
    <xf numFmtId="0" fontId="29" fillId="0" borderId="40" xfId="0" applyFont="1" applyBorder="1" applyAlignment="1">
      <alignment horizontal="center" vertical="center"/>
    </xf>
    <xf numFmtId="43" fontId="29" fillId="0" borderId="1" xfId="0" applyNumberFormat="1" applyFont="1" applyBorder="1" applyAlignment="1">
      <alignment horizontal="center" vertical="center"/>
    </xf>
    <xf numFmtId="43" fontId="29" fillId="0" borderId="9" xfId="0" applyNumberFormat="1" applyFont="1" applyBorder="1" applyAlignment="1">
      <alignment horizontal="center" vertical="center"/>
    </xf>
    <xf numFmtId="0" fontId="29" fillId="0" borderId="29" xfId="0" applyFont="1" applyBorder="1" applyAlignment="1">
      <alignment horizontal="center" vertical="center"/>
    </xf>
    <xf numFmtId="43" fontId="29" fillId="0" borderId="9" xfId="1" applyNumberFormat="1" applyFont="1" applyBorder="1" applyAlignment="1">
      <alignment horizontal="center" vertical="center"/>
    </xf>
    <xf numFmtId="0" fontId="29" fillId="0" borderId="8" xfId="0" applyFont="1" applyBorder="1" applyAlignment="1">
      <alignment horizontal="center" vertical="center"/>
    </xf>
    <xf numFmtId="0" fontId="29" fillId="0" borderId="30" xfId="0" applyFont="1" applyBorder="1" applyAlignment="1">
      <alignment horizontal="center" vertical="center"/>
    </xf>
    <xf numFmtId="43" fontId="29" fillId="0" borderId="72" xfId="0" applyNumberFormat="1" applyFont="1" applyBorder="1" applyAlignment="1">
      <alignment horizontal="center" vertical="center"/>
    </xf>
    <xf numFmtId="43" fontId="29" fillId="0" borderId="19" xfId="0" applyNumberFormat="1" applyFont="1" applyBorder="1" applyAlignment="1">
      <alignment horizontal="center" vertical="center"/>
    </xf>
    <xf numFmtId="43" fontId="29" fillId="0" borderId="9" xfId="0" applyNumberFormat="1" applyFont="1" applyBorder="1"/>
    <xf numFmtId="0" fontId="29" fillId="11" borderId="8" xfId="0" applyFont="1" applyFill="1" applyBorder="1" applyAlignment="1">
      <alignment horizontal="center" vertical="center"/>
    </xf>
    <xf numFmtId="0" fontId="29" fillId="11" borderId="40" xfId="0" applyFont="1" applyFill="1" applyBorder="1" applyAlignment="1">
      <alignment horizontal="center" vertical="center"/>
    </xf>
    <xf numFmtId="0" fontId="29" fillId="11" borderId="1" xfId="0" applyFont="1" applyFill="1" applyBorder="1" applyAlignment="1">
      <alignment horizontal="center" vertical="center"/>
    </xf>
    <xf numFmtId="43" fontId="29" fillId="11" borderId="9" xfId="0" applyNumberFormat="1" applyFont="1" applyFill="1" applyBorder="1" applyAlignment="1">
      <alignment horizontal="center" vertical="center"/>
    </xf>
    <xf numFmtId="0" fontId="27" fillId="0" borderId="0" xfId="0" applyFont="1" applyAlignment="1">
      <alignment horizontal="center" vertical="center"/>
    </xf>
    <xf numFmtId="0" fontId="29" fillId="8" borderId="8" xfId="0" applyFont="1" applyFill="1" applyBorder="1" applyAlignment="1">
      <alignment horizontal="center" vertical="center"/>
    </xf>
    <xf numFmtId="0" fontId="29" fillId="8" borderId="40" xfId="0" applyFont="1" applyFill="1" applyBorder="1" applyAlignment="1">
      <alignment horizontal="center" vertical="center"/>
    </xf>
    <xf numFmtId="0" fontId="29" fillId="8" borderId="1" xfId="0" applyFont="1" applyFill="1" applyBorder="1" applyAlignment="1">
      <alignment horizontal="center" vertical="center"/>
    </xf>
    <xf numFmtId="43" fontId="29" fillId="8" borderId="9" xfId="0" applyNumberFormat="1" applyFont="1" applyFill="1" applyBorder="1" applyAlignment="1">
      <alignment horizontal="center" vertical="center"/>
    </xf>
    <xf numFmtId="43" fontId="29" fillId="8" borderId="17" xfId="0" applyNumberFormat="1" applyFont="1" applyFill="1" applyBorder="1" applyAlignment="1">
      <alignment horizontal="center" vertical="center"/>
    </xf>
    <xf numFmtId="43" fontId="29" fillId="8" borderId="35" xfId="0" applyNumberFormat="1" applyFont="1" applyFill="1" applyBorder="1" applyAlignment="1">
      <alignment horizontal="center" vertical="center"/>
    </xf>
    <xf numFmtId="43" fontId="30" fillId="8" borderId="35" xfId="0" applyNumberFormat="1" applyFont="1" applyFill="1" applyBorder="1" applyAlignment="1">
      <alignment horizontal="center" vertical="center"/>
    </xf>
    <xf numFmtId="43" fontId="30" fillId="8" borderId="17" xfId="0" applyNumberFormat="1" applyFont="1" applyFill="1" applyBorder="1" applyAlignment="1">
      <alignment horizontal="center" vertical="center"/>
    </xf>
    <xf numFmtId="0" fontId="29" fillId="0" borderId="46" xfId="0" applyFont="1" applyBorder="1" applyAlignment="1">
      <alignment horizontal="center" vertical="center"/>
    </xf>
    <xf numFmtId="0" fontId="29" fillId="7" borderId="10" xfId="0" applyFont="1" applyFill="1" applyBorder="1" applyAlignment="1">
      <alignment horizontal="center" vertical="center"/>
    </xf>
    <xf numFmtId="0" fontId="29" fillId="7" borderId="43" xfId="0" applyFont="1" applyFill="1" applyBorder="1" applyAlignment="1">
      <alignment horizontal="center" vertical="center"/>
    </xf>
    <xf numFmtId="0" fontId="29" fillId="7" borderId="11" xfId="0" applyFont="1" applyFill="1" applyBorder="1" applyAlignment="1">
      <alignment horizontal="center" vertical="center"/>
    </xf>
    <xf numFmtId="0" fontId="29" fillId="7" borderId="12" xfId="0" applyFont="1" applyFill="1" applyBorder="1" applyAlignment="1">
      <alignment horizontal="center" vertical="center"/>
    </xf>
    <xf numFmtId="0" fontId="29" fillId="7" borderId="34" xfId="0" applyFont="1" applyFill="1" applyBorder="1" applyAlignment="1">
      <alignment horizontal="center" vertical="center"/>
    </xf>
    <xf numFmtId="165" fontId="29" fillId="7" borderId="36" xfId="1" applyNumberFormat="1" applyFont="1" applyFill="1" applyBorder="1" applyAlignment="1">
      <alignment horizontal="center" vertical="center"/>
    </xf>
    <xf numFmtId="0" fontId="29" fillId="7" borderId="36" xfId="0" applyFont="1" applyFill="1" applyBorder="1" applyAlignment="1">
      <alignment horizontal="center" vertical="center"/>
    </xf>
    <xf numFmtId="43" fontId="30" fillId="7" borderId="34" xfId="0" applyNumberFormat="1" applyFont="1" applyFill="1" applyBorder="1" applyAlignment="1">
      <alignment horizontal="center" vertical="center"/>
    </xf>
    <xf numFmtId="43" fontId="29" fillId="8" borderId="1" xfId="0" applyNumberFormat="1" applyFont="1" applyFill="1" applyBorder="1" applyAlignment="1">
      <alignment horizontal="center" vertical="center"/>
    </xf>
    <xf numFmtId="43" fontId="29" fillId="8" borderId="6" xfId="0" applyNumberFormat="1" applyFont="1" applyFill="1" applyBorder="1" applyAlignment="1">
      <alignment horizontal="center" vertical="center"/>
    </xf>
    <xf numFmtId="43" fontId="32" fillId="7" borderId="11" xfId="0" applyNumberFormat="1" applyFont="1" applyFill="1" applyBorder="1" applyAlignment="1">
      <alignment horizontal="center" vertical="center"/>
    </xf>
    <xf numFmtId="165" fontId="23" fillId="0" borderId="45" xfId="1" applyNumberFormat="1" applyFont="1" applyFill="1" applyBorder="1" applyAlignment="1">
      <alignment horizontal="center" vertical="center"/>
    </xf>
    <xf numFmtId="165" fontId="19" fillId="0" borderId="3" xfId="1" applyNumberFormat="1" applyFont="1" applyBorder="1" applyAlignment="1">
      <alignment vertical="center"/>
    </xf>
    <xf numFmtId="165" fontId="19" fillId="0" borderId="3" xfId="1" applyNumberFormat="1" applyFont="1" applyFill="1" applyBorder="1" applyAlignment="1">
      <alignment vertical="center"/>
    </xf>
    <xf numFmtId="43" fontId="29" fillId="0" borderId="0" xfId="0" applyNumberFormat="1" applyFont="1" applyAlignment="1">
      <alignment horizontal="center" vertical="center"/>
    </xf>
    <xf numFmtId="43" fontId="29" fillId="8" borderId="33" xfId="0" applyNumberFormat="1" applyFont="1" applyFill="1" applyBorder="1" applyAlignment="1">
      <alignment horizontal="center" vertical="center"/>
    </xf>
    <xf numFmtId="43" fontId="29" fillId="8" borderId="26" xfId="0" applyNumberFormat="1" applyFont="1" applyFill="1" applyBorder="1" applyAlignment="1">
      <alignment horizontal="center" vertical="center"/>
    </xf>
    <xf numFmtId="43" fontId="29" fillId="8" borderId="4" xfId="0" applyNumberFormat="1" applyFont="1" applyFill="1" applyBorder="1" applyAlignment="1">
      <alignment horizontal="center" vertical="center"/>
    </xf>
    <xf numFmtId="43" fontId="30" fillId="8" borderId="4" xfId="0" applyNumberFormat="1" applyFont="1" applyFill="1" applyBorder="1" applyAlignment="1">
      <alignment horizontal="center" vertical="center"/>
    </xf>
    <xf numFmtId="43" fontId="30" fillId="8" borderId="28" xfId="0" applyNumberFormat="1" applyFont="1" applyFill="1" applyBorder="1" applyAlignment="1">
      <alignment horizontal="center" vertical="center"/>
    </xf>
    <xf numFmtId="0" fontId="29" fillId="8" borderId="65" xfId="0" applyFont="1" applyFill="1" applyBorder="1" applyAlignment="1">
      <alignment horizontal="center" vertical="center"/>
    </xf>
    <xf numFmtId="0" fontId="29" fillId="8" borderId="69" xfId="0" applyFont="1" applyFill="1" applyBorder="1" applyAlignment="1">
      <alignment horizontal="center" vertical="center"/>
    </xf>
    <xf numFmtId="0" fontId="29" fillId="8" borderId="67" xfId="0" applyFont="1" applyFill="1" applyBorder="1" applyAlignment="1">
      <alignment horizontal="center" vertical="center"/>
    </xf>
    <xf numFmtId="43" fontId="29" fillId="8" borderId="70" xfId="0" applyNumberFormat="1" applyFont="1" applyFill="1" applyBorder="1" applyAlignment="1">
      <alignment horizontal="center" vertical="center"/>
    </xf>
    <xf numFmtId="43" fontId="29" fillId="7" borderId="34" xfId="0" applyNumberFormat="1" applyFont="1" applyFill="1" applyBorder="1" applyAlignment="1">
      <alignment horizontal="center" vertical="center"/>
    </xf>
    <xf numFmtId="43" fontId="29" fillId="18" borderId="33" xfId="0" applyNumberFormat="1" applyFont="1" applyFill="1" applyBorder="1" applyAlignment="1">
      <alignment horizontal="center" vertical="center"/>
    </xf>
    <xf numFmtId="43" fontId="5" fillId="8" borderId="34" xfId="0" applyNumberFormat="1" applyFont="1" applyFill="1" applyBorder="1" applyAlignment="1">
      <alignment horizontal="center" vertical="center"/>
    </xf>
    <xf numFmtId="43" fontId="30" fillId="0" borderId="0" xfId="0" applyNumberFormat="1" applyFont="1" applyAlignment="1">
      <alignment horizontal="center" vertical="center"/>
    </xf>
    <xf numFmtId="43" fontId="29" fillId="7" borderId="4" xfId="0" applyNumberFormat="1" applyFont="1" applyFill="1" applyBorder="1" applyAlignment="1">
      <alignment horizontal="center" vertical="center"/>
    </xf>
    <xf numFmtId="165" fontId="19" fillId="0" borderId="67" xfId="1" applyNumberFormat="1" applyFont="1" applyFill="1" applyBorder="1" applyAlignment="1">
      <alignment horizontal="center" vertical="center"/>
    </xf>
    <xf numFmtId="0" fontId="33" fillId="0" borderId="8" xfId="0" applyFont="1" applyBorder="1" applyAlignment="1">
      <alignment horizontal="center" vertical="center"/>
    </xf>
    <xf numFmtId="165" fontId="34" fillId="0" borderId="1" xfId="1" applyNumberFormat="1" applyFont="1" applyBorder="1" applyAlignment="1">
      <alignment horizontal="center" vertical="center"/>
    </xf>
    <xf numFmtId="165" fontId="34" fillId="0" borderId="1" xfId="1" applyNumberFormat="1" applyFont="1" applyFill="1" applyBorder="1" applyAlignment="1">
      <alignment horizontal="center" vertical="center"/>
    </xf>
    <xf numFmtId="165" fontId="34" fillId="0" borderId="19" xfId="1" applyNumberFormat="1" applyFont="1" applyBorder="1" applyAlignment="1">
      <alignment horizontal="center" vertical="center"/>
    </xf>
    <xf numFmtId="165" fontId="34" fillId="0" borderId="9" xfId="1" applyNumberFormat="1" applyFont="1" applyBorder="1" applyAlignment="1">
      <alignment horizontal="center" vertical="center"/>
    </xf>
    <xf numFmtId="0" fontId="33" fillId="0" borderId="30" xfId="0" applyFont="1" applyBorder="1" applyAlignment="1">
      <alignment horizontal="center" vertical="center"/>
    </xf>
    <xf numFmtId="165" fontId="34" fillId="0" borderId="3" xfId="1" applyNumberFormat="1" applyFont="1" applyBorder="1" applyAlignment="1">
      <alignment horizontal="center" vertical="center"/>
    </xf>
    <xf numFmtId="165" fontId="34" fillId="0" borderId="31" xfId="1" applyNumberFormat="1" applyFont="1" applyBorder="1" applyAlignment="1">
      <alignment horizontal="center" vertical="center"/>
    </xf>
    <xf numFmtId="0" fontId="33" fillId="0" borderId="10" xfId="0" applyFont="1" applyBorder="1" applyAlignment="1">
      <alignment horizontal="center" vertical="center"/>
    </xf>
    <xf numFmtId="165" fontId="34" fillId="0" borderId="11" xfId="1" applyNumberFormat="1" applyFont="1" applyBorder="1" applyAlignment="1">
      <alignment horizontal="center" vertical="center"/>
    </xf>
    <xf numFmtId="165" fontId="34" fillId="0" borderId="12" xfId="1" applyNumberFormat="1" applyFont="1" applyBorder="1" applyAlignment="1">
      <alignment horizontal="center" vertical="center"/>
    </xf>
    <xf numFmtId="0" fontId="33" fillId="0" borderId="5" xfId="0" applyFont="1" applyBorder="1" applyAlignment="1">
      <alignment horizontal="center" vertical="center"/>
    </xf>
    <xf numFmtId="165" fontId="34" fillId="0" borderId="6" xfId="1" applyNumberFormat="1" applyFont="1" applyBorder="1" applyAlignment="1">
      <alignment horizontal="center" vertical="center"/>
    </xf>
    <xf numFmtId="165" fontId="34" fillId="0" borderId="7" xfId="1" applyNumberFormat="1" applyFont="1" applyBorder="1" applyAlignment="1">
      <alignment horizontal="center" vertical="center"/>
    </xf>
    <xf numFmtId="0" fontId="33" fillId="0" borderId="75" xfId="0" applyFont="1" applyBorder="1" applyAlignment="1">
      <alignment horizontal="center" vertical="center"/>
    </xf>
    <xf numFmtId="165" fontId="35" fillId="0" borderId="9" xfId="1" applyNumberFormat="1" applyFont="1" applyFill="1" applyBorder="1" applyAlignment="1">
      <alignment horizontal="center" vertical="center"/>
    </xf>
    <xf numFmtId="165" fontId="34" fillId="0" borderId="6" xfId="1" applyNumberFormat="1" applyFont="1" applyFill="1" applyBorder="1" applyAlignment="1">
      <alignment horizontal="center" vertical="center"/>
    </xf>
    <xf numFmtId="165" fontId="34" fillId="0" borderId="0" xfId="1" applyNumberFormat="1" applyFont="1" applyBorder="1" applyAlignment="1">
      <alignment horizontal="center" vertical="center"/>
    </xf>
    <xf numFmtId="165" fontId="34" fillId="0" borderId="3" xfId="1" applyNumberFormat="1" applyFont="1" applyFill="1" applyBorder="1" applyAlignment="1">
      <alignment horizontal="center" vertical="center"/>
    </xf>
    <xf numFmtId="165" fontId="34" fillId="0" borderId="31" xfId="1" applyNumberFormat="1" applyFont="1" applyFill="1" applyBorder="1" applyAlignment="1">
      <alignment horizontal="center" vertical="center"/>
    </xf>
    <xf numFmtId="0" fontId="33" fillId="19" borderId="8" xfId="0" applyFont="1" applyFill="1" applyBorder="1" applyAlignment="1">
      <alignment horizontal="center" vertical="center"/>
    </xf>
    <xf numFmtId="165" fontId="34" fillId="19" borderId="1" xfId="1" applyNumberFormat="1" applyFont="1" applyFill="1" applyBorder="1" applyAlignment="1">
      <alignment horizontal="center" vertical="center"/>
    </xf>
    <xf numFmtId="165" fontId="34" fillId="19" borderId="49" xfId="1" applyNumberFormat="1" applyFont="1" applyFill="1" applyBorder="1" applyAlignment="1">
      <alignment horizontal="center" vertical="center"/>
    </xf>
    <xf numFmtId="165" fontId="34" fillId="0" borderId="49" xfId="1" applyNumberFormat="1" applyFont="1" applyBorder="1" applyAlignment="1">
      <alignment horizontal="center" vertical="center"/>
    </xf>
    <xf numFmtId="165" fontId="34" fillId="0" borderId="9" xfId="1" applyNumberFormat="1" applyFont="1" applyFill="1" applyBorder="1" applyAlignment="1">
      <alignment horizontal="center" vertical="center"/>
    </xf>
    <xf numFmtId="165" fontId="34" fillId="0" borderId="55" xfId="1" applyNumberFormat="1" applyFont="1" applyFill="1" applyBorder="1" applyAlignment="1">
      <alignment horizontal="center" vertical="center"/>
    </xf>
    <xf numFmtId="165" fontId="34" fillId="0" borderId="51" xfId="1" applyNumberFormat="1" applyFont="1" applyFill="1" applyBorder="1" applyAlignment="1">
      <alignment horizontal="center" vertical="center"/>
    </xf>
    <xf numFmtId="165" fontId="34" fillId="0" borderId="1" xfId="0" applyNumberFormat="1" applyFont="1" applyBorder="1" applyAlignment="1">
      <alignment horizontal="center" vertical="center"/>
    </xf>
    <xf numFmtId="43" fontId="34" fillId="0" borderId="1" xfId="0" applyNumberFormat="1" applyFont="1" applyBorder="1" applyAlignment="1">
      <alignment horizontal="center" vertical="center"/>
    </xf>
    <xf numFmtId="165" fontId="34" fillId="0" borderId="67" xfId="1" applyNumberFormat="1" applyFont="1" applyBorder="1" applyAlignment="1">
      <alignment horizontal="center" vertical="center"/>
    </xf>
    <xf numFmtId="0" fontId="29" fillId="0" borderId="30" xfId="0" applyFont="1" applyBorder="1" applyAlignment="1">
      <alignment horizontal="center" vertical="center" wrapText="1"/>
    </xf>
    <xf numFmtId="43" fontId="2" fillId="0" borderId="74" xfId="0" applyNumberFormat="1" applyFont="1" applyBorder="1" applyAlignment="1">
      <alignment horizontal="center" vertical="center"/>
    </xf>
    <xf numFmtId="43" fontId="11" fillId="0" borderId="0" xfId="0" applyNumberFormat="1" applyFont="1" applyAlignment="1">
      <alignment horizontal="center" vertical="center"/>
    </xf>
    <xf numFmtId="0" fontId="4" fillId="0" borderId="59" xfId="0" applyFont="1" applyBorder="1" applyAlignment="1">
      <alignment horizontal="center" vertical="center"/>
    </xf>
    <xf numFmtId="43" fontId="2" fillId="25" borderId="35" xfId="0" applyNumberFormat="1" applyFont="1" applyFill="1" applyBorder="1" applyAlignment="1">
      <alignment horizontal="center" vertical="center"/>
    </xf>
    <xf numFmtId="43" fontId="2" fillId="24" borderId="33" xfId="0" applyNumberFormat="1" applyFont="1" applyFill="1" applyBorder="1" applyAlignment="1">
      <alignment horizontal="center" vertical="center"/>
    </xf>
    <xf numFmtId="0" fontId="2" fillId="25" borderId="10" xfId="0" applyFont="1" applyFill="1" applyBorder="1" applyAlignment="1">
      <alignment horizontal="center" vertical="center"/>
    </xf>
    <xf numFmtId="0" fontId="2" fillId="25" borderId="41" xfId="0" applyFont="1" applyFill="1" applyBorder="1" applyAlignment="1">
      <alignment horizontal="center" vertical="center"/>
    </xf>
    <xf numFmtId="43" fontId="2" fillId="25" borderId="33" xfId="0" applyNumberFormat="1" applyFont="1" applyFill="1" applyBorder="1" applyAlignment="1">
      <alignment horizontal="center" vertical="center"/>
    </xf>
    <xf numFmtId="43" fontId="5" fillId="25" borderId="12" xfId="0" applyNumberFormat="1" applyFont="1" applyFill="1" applyBorder="1" applyAlignment="1">
      <alignment horizontal="center" vertical="center"/>
    </xf>
    <xf numFmtId="43" fontId="2" fillId="7" borderId="33" xfId="0" applyNumberFormat="1" applyFont="1" applyFill="1" applyBorder="1" applyAlignment="1">
      <alignment horizontal="center" vertical="center"/>
    </xf>
    <xf numFmtId="43" fontId="2" fillId="11" borderId="35" xfId="0" applyNumberFormat="1" applyFont="1" applyFill="1" applyBorder="1" applyAlignment="1">
      <alignment horizontal="center" vertical="center"/>
    </xf>
    <xf numFmtId="43" fontId="5" fillId="11" borderId="7" xfId="0" applyNumberFormat="1" applyFont="1" applyFill="1" applyBorder="1" applyAlignment="1">
      <alignment horizontal="center" vertical="center"/>
    </xf>
    <xf numFmtId="0" fontId="2" fillId="18" borderId="10" xfId="0" applyFont="1" applyFill="1" applyBorder="1" applyAlignment="1">
      <alignment horizontal="center" vertical="center"/>
    </xf>
    <xf numFmtId="0" fontId="2" fillId="18" borderId="41" xfId="0" applyFont="1" applyFill="1" applyBorder="1" applyAlignment="1">
      <alignment horizontal="center" vertical="center"/>
    </xf>
    <xf numFmtId="43" fontId="2" fillId="18" borderId="41" xfId="0" applyNumberFormat="1" applyFont="1" applyFill="1" applyBorder="1" applyAlignment="1">
      <alignment horizontal="center" vertical="center"/>
    </xf>
    <xf numFmtId="43" fontId="2" fillId="18" borderId="33" xfId="0" applyNumberFormat="1" applyFont="1" applyFill="1" applyBorder="1" applyAlignment="1">
      <alignment horizontal="center" vertical="center"/>
    </xf>
    <xf numFmtId="43" fontId="5" fillId="18" borderId="12" xfId="0" applyNumberFormat="1" applyFont="1" applyFill="1" applyBorder="1" applyAlignment="1">
      <alignment horizontal="center" vertical="center"/>
    </xf>
    <xf numFmtId="43" fontId="2" fillId="18" borderId="12" xfId="0" applyNumberFormat="1" applyFont="1" applyFill="1" applyBorder="1" applyAlignment="1">
      <alignment horizontal="center" vertical="center"/>
    </xf>
    <xf numFmtId="43" fontId="2" fillId="18" borderId="51" xfId="0" applyNumberFormat="1" applyFont="1" applyFill="1" applyBorder="1" applyAlignment="1">
      <alignment horizontal="center" vertical="center"/>
    </xf>
    <xf numFmtId="43" fontId="2" fillId="11" borderId="17" xfId="0" applyNumberFormat="1" applyFont="1" applyFill="1" applyBorder="1" applyAlignment="1">
      <alignment horizontal="center" vertical="center"/>
    </xf>
    <xf numFmtId="0" fontId="36" fillId="27" borderId="0" xfId="0" applyFont="1" applyFill="1"/>
    <xf numFmtId="0" fontId="31" fillId="27" borderId="0" xfId="0" applyFont="1" applyFill="1"/>
    <xf numFmtId="0" fontId="29" fillId="27" borderId="0" xfId="0" applyFont="1" applyFill="1"/>
    <xf numFmtId="0" fontId="29" fillId="0" borderId="58" xfId="0" applyFont="1" applyBorder="1" applyAlignment="1">
      <alignment horizontal="center" vertical="center"/>
    </xf>
    <xf numFmtId="0" fontId="29" fillId="0" borderId="1" xfId="0" applyFont="1" applyBorder="1" applyAlignment="1">
      <alignment horizontal="center" vertical="center"/>
    </xf>
    <xf numFmtId="43" fontId="30" fillId="8" borderId="7" xfId="0" applyNumberFormat="1" applyFont="1" applyFill="1" applyBorder="1" applyAlignment="1">
      <alignment horizontal="center" vertical="center"/>
    </xf>
    <xf numFmtId="0" fontId="29" fillId="7" borderId="41" xfId="0" applyFont="1" applyFill="1" applyBorder="1" applyAlignment="1">
      <alignment horizontal="center" vertical="center"/>
    </xf>
    <xf numFmtId="43" fontId="30" fillId="7" borderId="12" xfId="0" applyNumberFormat="1" applyFont="1" applyFill="1" applyBorder="1" applyAlignment="1">
      <alignment horizontal="center" vertical="center"/>
    </xf>
    <xf numFmtId="0" fontId="29" fillId="14" borderId="45" xfId="0" applyFont="1" applyFill="1" applyBorder="1" applyAlignment="1">
      <alignment horizontal="center" vertical="center"/>
    </xf>
    <xf numFmtId="0" fontId="29" fillId="14" borderId="5" xfId="0" applyFont="1" applyFill="1" applyBorder="1" applyAlignment="1">
      <alignment horizontal="center" vertical="center"/>
    </xf>
    <xf numFmtId="0" fontId="29" fillId="14" borderId="66" xfId="0" applyFont="1" applyFill="1" applyBorder="1" applyAlignment="1">
      <alignment horizontal="center" vertical="center"/>
    </xf>
    <xf numFmtId="0" fontId="29" fillId="14" borderId="6" xfId="0" applyFont="1" applyFill="1" applyBorder="1" applyAlignment="1">
      <alignment horizontal="center" vertical="center"/>
    </xf>
    <xf numFmtId="0" fontId="29" fillId="14" borderId="7" xfId="0" applyFont="1" applyFill="1" applyBorder="1" applyAlignment="1">
      <alignment horizontal="center" vertical="center"/>
    </xf>
    <xf numFmtId="0" fontId="29" fillId="0" borderId="8" xfId="0" applyFont="1" applyBorder="1" applyAlignment="1">
      <alignment horizontal="center" vertical="center" wrapText="1"/>
    </xf>
    <xf numFmtId="0" fontId="29" fillId="0" borderId="19" xfId="0" applyFont="1" applyBorder="1" applyAlignment="1">
      <alignment horizontal="center" vertical="center"/>
    </xf>
    <xf numFmtId="0" fontId="29" fillId="11" borderId="19" xfId="0" applyFont="1" applyFill="1" applyBorder="1" applyAlignment="1">
      <alignment horizontal="center" vertical="center"/>
    </xf>
    <xf numFmtId="0" fontId="29" fillId="8" borderId="10" xfId="0" applyFont="1" applyFill="1" applyBorder="1" applyAlignment="1">
      <alignment horizontal="center" vertical="center"/>
    </xf>
    <xf numFmtId="0" fontId="29" fillId="8" borderId="43" xfId="0" applyFont="1" applyFill="1" applyBorder="1" applyAlignment="1">
      <alignment horizontal="center" vertical="center"/>
    </xf>
    <xf numFmtId="0" fontId="29" fillId="8" borderId="11" xfId="0" applyFont="1" applyFill="1" applyBorder="1" applyAlignment="1">
      <alignment horizontal="center" vertical="center"/>
    </xf>
    <xf numFmtId="43" fontId="29" fillId="8" borderId="12" xfId="0" applyNumberFormat="1" applyFont="1" applyFill="1" applyBorder="1" applyAlignment="1">
      <alignment horizontal="center" vertical="center"/>
    </xf>
    <xf numFmtId="43" fontId="30" fillId="8" borderId="22" xfId="0" applyNumberFormat="1" applyFont="1" applyFill="1" applyBorder="1" applyAlignment="1">
      <alignment horizontal="center" vertical="center"/>
    </xf>
    <xf numFmtId="43" fontId="29" fillId="8" borderId="19" xfId="0" applyNumberFormat="1" applyFont="1" applyFill="1" applyBorder="1" applyAlignment="1">
      <alignment horizontal="center" vertical="center"/>
    </xf>
    <xf numFmtId="43" fontId="29" fillId="8" borderId="41" xfId="0" applyNumberFormat="1" applyFont="1" applyFill="1" applyBorder="1" applyAlignment="1">
      <alignment horizontal="center" vertical="center"/>
    </xf>
    <xf numFmtId="43" fontId="29" fillId="8" borderId="67" xfId="0" applyNumberFormat="1" applyFont="1" applyFill="1" applyBorder="1" applyAlignment="1">
      <alignment horizontal="center" vertical="center"/>
    </xf>
    <xf numFmtId="0" fontId="29" fillId="23" borderId="8" xfId="0" applyFont="1" applyFill="1" applyBorder="1" applyAlignment="1">
      <alignment horizontal="center" vertical="center"/>
    </xf>
    <xf numFmtId="0" fontId="29" fillId="23" borderId="40" xfId="0" applyFont="1" applyFill="1" applyBorder="1" applyAlignment="1">
      <alignment horizontal="center" vertical="center"/>
    </xf>
    <xf numFmtId="0" fontId="29" fillId="23" borderId="1" xfId="0" applyFont="1" applyFill="1" applyBorder="1" applyAlignment="1">
      <alignment horizontal="center" vertical="center"/>
    </xf>
    <xf numFmtId="43" fontId="29" fillId="23" borderId="9" xfId="0" applyNumberFormat="1" applyFont="1" applyFill="1" applyBorder="1" applyAlignment="1">
      <alignment horizontal="center" vertical="center"/>
    </xf>
    <xf numFmtId="0" fontId="29" fillId="8" borderId="30" xfId="0" applyFont="1" applyFill="1" applyBorder="1" applyAlignment="1">
      <alignment horizontal="center" vertical="center"/>
    </xf>
    <xf numFmtId="0" fontId="29" fillId="8" borderId="61" xfId="0" applyFont="1" applyFill="1" applyBorder="1" applyAlignment="1">
      <alignment horizontal="center" vertical="center"/>
    </xf>
    <xf numFmtId="0" fontId="29" fillId="8" borderId="3" xfId="0" applyFont="1" applyFill="1" applyBorder="1" applyAlignment="1">
      <alignment horizontal="center" vertical="center"/>
    </xf>
    <xf numFmtId="43" fontId="29" fillId="8" borderId="3" xfId="0" applyNumberFormat="1" applyFont="1" applyFill="1" applyBorder="1" applyAlignment="1">
      <alignment horizontal="center" vertical="center"/>
    </xf>
    <xf numFmtId="43" fontId="30" fillId="8" borderId="12" xfId="0" applyNumberFormat="1" applyFont="1" applyFill="1" applyBorder="1" applyAlignment="1">
      <alignment horizontal="center" vertical="center"/>
    </xf>
    <xf numFmtId="0" fontId="38" fillId="0" borderId="0" xfId="0" applyFont="1"/>
    <xf numFmtId="43" fontId="29" fillId="8" borderId="7" xfId="0" applyNumberFormat="1" applyFont="1" applyFill="1" applyBorder="1" applyAlignment="1">
      <alignment horizontal="center" vertical="center"/>
    </xf>
    <xf numFmtId="43" fontId="2" fillId="23" borderId="19" xfId="0" applyNumberFormat="1" applyFont="1" applyFill="1" applyBorder="1" applyAlignment="1">
      <alignment horizontal="center" vertical="center"/>
    </xf>
    <xf numFmtId="43" fontId="2" fillId="23" borderId="35" xfId="0" applyNumberFormat="1" applyFont="1" applyFill="1" applyBorder="1" applyAlignment="1">
      <alignment horizontal="center" vertical="center"/>
    </xf>
    <xf numFmtId="43" fontId="5" fillId="23" borderId="7" xfId="0" applyNumberFormat="1" applyFont="1" applyFill="1" applyBorder="1" applyAlignment="1">
      <alignment horizontal="center" vertical="center"/>
    </xf>
    <xf numFmtId="43" fontId="2" fillId="25" borderId="11" xfId="0" applyNumberFormat="1" applyFont="1" applyFill="1" applyBorder="1" applyAlignment="1">
      <alignment horizontal="center" vertical="center"/>
    </xf>
    <xf numFmtId="0" fontId="28" fillId="0" borderId="0" xfId="0" applyFont="1" applyAlignment="1">
      <alignment vertical="center"/>
    </xf>
    <xf numFmtId="0" fontId="29" fillId="22" borderId="8" xfId="0" applyFont="1" applyFill="1" applyBorder="1" applyAlignment="1">
      <alignment horizontal="center" vertical="center"/>
    </xf>
    <xf numFmtId="0" fontId="29" fillId="22" borderId="1" xfId="0" applyFont="1" applyFill="1" applyBorder="1" applyAlignment="1">
      <alignment horizontal="center" vertical="center"/>
    </xf>
    <xf numFmtId="0" fontId="29" fillId="22" borderId="19" xfId="0" applyFont="1" applyFill="1" applyBorder="1" applyAlignment="1">
      <alignment horizontal="center" vertical="center"/>
    </xf>
    <xf numFmtId="0" fontId="29" fillId="22" borderId="9" xfId="0" applyFont="1" applyFill="1" applyBorder="1" applyAlignment="1">
      <alignment horizontal="center" vertical="center"/>
    </xf>
    <xf numFmtId="0" fontId="29" fillId="0" borderId="55" xfId="0" applyFont="1" applyBorder="1" applyAlignment="1">
      <alignment horizontal="center" vertical="center"/>
    </xf>
    <xf numFmtId="0" fontId="29" fillId="8" borderId="19" xfId="0" applyFont="1" applyFill="1" applyBorder="1" applyAlignment="1">
      <alignment horizontal="center" vertical="center"/>
    </xf>
    <xf numFmtId="43" fontId="29" fillId="8" borderId="66" xfId="0" applyNumberFormat="1" applyFont="1" applyFill="1" applyBorder="1" applyAlignment="1">
      <alignment horizontal="center" vertical="center"/>
    </xf>
    <xf numFmtId="0" fontId="38" fillId="7" borderId="10" xfId="0" applyFont="1" applyFill="1" applyBorder="1" applyAlignment="1">
      <alignment horizontal="center" vertical="center"/>
    </xf>
    <xf numFmtId="0" fontId="32" fillId="7" borderId="41" xfId="0" applyFont="1" applyFill="1" applyBorder="1" applyAlignment="1">
      <alignment horizontal="center" vertical="center"/>
    </xf>
    <xf numFmtId="43" fontId="32" fillId="7" borderId="43" xfId="0" applyNumberFormat="1" applyFont="1" applyFill="1" applyBorder="1" applyAlignment="1">
      <alignment horizontal="center" vertical="center"/>
    </xf>
    <xf numFmtId="43" fontId="39" fillId="7" borderId="34" xfId="0" applyNumberFormat="1" applyFont="1" applyFill="1" applyBorder="1" applyAlignment="1">
      <alignment horizontal="center" vertical="center"/>
    </xf>
    <xf numFmtId="43" fontId="32" fillId="7" borderId="41" xfId="0" applyNumberFormat="1" applyFont="1" applyFill="1" applyBorder="1" applyAlignment="1">
      <alignment horizontal="center" vertical="center"/>
    </xf>
    <xf numFmtId="43" fontId="29" fillId="8" borderId="77" xfId="0" applyNumberFormat="1" applyFont="1" applyFill="1" applyBorder="1" applyAlignment="1">
      <alignment horizontal="center" vertical="center"/>
    </xf>
    <xf numFmtId="43" fontId="32" fillId="7" borderId="34" xfId="0" applyNumberFormat="1" applyFont="1" applyFill="1" applyBorder="1" applyAlignment="1">
      <alignment horizontal="center" vertical="center"/>
    </xf>
    <xf numFmtId="43" fontId="32" fillId="7" borderId="12" xfId="0" applyNumberFormat="1" applyFont="1" applyFill="1" applyBorder="1" applyAlignment="1">
      <alignment horizontal="center" vertical="center"/>
    </xf>
    <xf numFmtId="0" fontId="29" fillId="0" borderId="61" xfId="0" applyFont="1" applyBorder="1" applyAlignment="1">
      <alignment horizontal="center" vertical="center"/>
    </xf>
    <xf numFmtId="0" fontId="29" fillId="22" borderId="5" xfId="0" applyFont="1" applyFill="1" applyBorder="1" applyAlignment="1">
      <alignment horizontal="center" vertical="center"/>
    </xf>
    <xf numFmtId="0" fontId="29" fillId="22" borderId="6" xfId="0" applyFont="1" applyFill="1" applyBorder="1" applyAlignment="1">
      <alignment horizontal="center" vertical="center"/>
    </xf>
    <xf numFmtId="0" fontId="29" fillId="22" borderId="60" xfId="0" applyFont="1" applyFill="1" applyBorder="1" applyAlignment="1">
      <alignment horizontal="center" vertical="center"/>
    </xf>
    <xf numFmtId="0" fontId="29" fillId="22" borderId="7" xfId="0" applyFont="1" applyFill="1" applyBorder="1" applyAlignment="1">
      <alignment horizontal="center" vertical="center"/>
    </xf>
    <xf numFmtId="0" fontId="29" fillId="8" borderId="41" xfId="0" applyFont="1" applyFill="1" applyBorder="1" applyAlignment="1">
      <alignment horizontal="center" vertical="center"/>
    </xf>
    <xf numFmtId="43" fontId="29" fillId="8" borderId="62" xfId="0" applyNumberFormat="1" applyFont="1" applyFill="1" applyBorder="1" applyAlignment="1">
      <alignment horizontal="center" vertical="center"/>
    </xf>
    <xf numFmtId="0" fontId="40" fillId="0" borderId="0" xfId="0" applyFont="1" applyAlignment="1">
      <alignment horizontal="center" vertical="center"/>
    </xf>
    <xf numFmtId="0" fontId="12" fillId="0" borderId="5" xfId="0" applyFont="1" applyBorder="1" applyAlignment="1">
      <alignment horizontal="center" vertical="center"/>
    </xf>
    <xf numFmtId="164" fontId="13" fillId="20" borderId="4" xfId="1" applyFont="1" applyFill="1" applyBorder="1" applyAlignment="1">
      <alignment horizontal="center" vertical="center"/>
    </xf>
    <xf numFmtId="165" fontId="13" fillId="0" borderId="7" xfId="1" applyNumberFormat="1" applyFont="1" applyBorder="1" applyAlignment="1">
      <alignment horizontal="center" vertical="center"/>
    </xf>
    <xf numFmtId="165" fontId="13" fillId="0" borderId="9" xfId="1" applyNumberFormat="1" applyFont="1" applyBorder="1" applyAlignment="1">
      <alignment horizontal="center" vertical="center"/>
    </xf>
    <xf numFmtId="165" fontId="13" fillId="0" borderId="31" xfId="1" applyNumberFormat="1" applyFont="1" applyBorder="1" applyAlignment="1">
      <alignment horizontal="center" vertical="center"/>
    </xf>
    <xf numFmtId="165" fontId="35" fillId="0" borderId="9" xfId="0" applyNumberFormat="1" applyFont="1" applyBorder="1" applyAlignment="1">
      <alignment horizontal="center" vertical="center"/>
    </xf>
    <xf numFmtId="165" fontId="13" fillId="0" borderId="9" xfId="0" applyNumberFormat="1" applyFont="1" applyBorder="1" applyAlignment="1">
      <alignment horizontal="center" vertical="center"/>
    </xf>
    <xf numFmtId="166" fontId="13" fillId="0" borderId="9" xfId="1" applyNumberFormat="1" applyFont="1" applyBorder="1" applyAlignment="1">
      <alignment horizontal="center" vertical="center"/>
    </xf>
    <xf numFmtId="165" fontId="35" fillId="0" borderId="9" xfId="1" applyNumberFormat="1" applyFont="1" applyBorder="1" applyAlignment="1">
      <alignment horizontal="center" vertical="center"/>
    </xf>
    <xf numFmtId="165" fontId="35" fillId="0" borderId="31" xfId="1" applyNumberFormat="1" applyFont="1" applyBorder="1" applyAlignment="1">
      <alignment horizontal="center" vertical="center"/>
    </xf>
    <xf numFmtId="165" fontId="41" fillId="0" borderId="9" xfId="1" applyNumberFormat="1" applyFont="1" applyFill="1" applyBorder="1" applyAlignment="1">
      <alignment horizontal="center" vertical="center"/>
    </xf>
    <xf numFmtId="165" fontId="41" fillId="0" borderId="31" xfId="1" applyNumberFormat="1" applyFont="1" applyFill="1" applyBorder="1" applyAlignment="1">
      <alignment horizontal="center" vertical="center"/>
    </xf>
    <xf numFmtId="165" fontId="35" fillId="0" borderId="12" xfId="1" applyNumberFormat="1" applyFont="1" applyBorder="1" applyAlignment="1">
      <alignment horizontal="center" vertical="center"/>
    </xf>
    <xf numFmtId="165" fontId="35" fillId="0" borderId="7" xfId="1" applyNumberFormat="1" applyFont="1" applyBorder="1" applyAlignment="1">
      <alignment horizontal="center" vertical="center"/>
    </xf>
    <xf numFmtId="165" fontId="13" fillId="0" borderId="12" xfId="1" applyNumberFormat="1" applyFont="1" applyBorder="1" applyAlignment="1">
      <alignment horizontal="center" vertical="center"/>
    </xf>
    <xf numFmtId="165" fontId="13" fillId="0" borderId="72" xfId="1" applyNumberFormat="1" applyFont="1" applyFill="1" applyBorder="1" applyAlignment="1">
      <alignment horizontal="center" vertical="center"/>
    </xf>
    <xf numFmtId="165" fontId="13" fillId="0" borderId="12" xfId="1" applyNumberFormat="1" applyFont="1" applyFill="1" applyBorder="1" applyAlignment="1">
      <alignment horizontal="center" vertical="center"/>
    </xf>
    <xf numFmtId="165" fontId="13" fillId="0" borderId="22" xfId="1" applyNumberFormat="1" applyFont="1" applyBorder="1" applyAlignment="1">
      <alignment horizontal="center" vertical="center"/>
    </xf>
    <xf numFmtId="165" fontId="13" fillId="0" borderId="72" xfId="1" applyNumberFormat="1" applyFont="1" applyBorder="1" applyAlignment="1">
      <alignment horizontal="center" vertical="center"/>
    </xf>
    <xf numFmtId="165" fontId="13" fillId="0" borderId="70" xfId="1" applyNumberFormat="1" applyFont="1" applyBorder="1" applyAlignment="1">
      <alignment horizontal="center" vertical="center"/>
    </xf>
    <xf numFmtId="0" fontId="41" fillId="0" borderId="0" xfId="0" applyFont="1" applyAlignment="1">
      <alignment horizontal="center" vertical="center"/>
    </xf>
    <xf numFmtId="165" fontId="13" fillId="0" borderId="7" xfId="1" applyNumberFormat="1" applyFont="1" applyFill="1" applyBorder="1" applyAlignment="1">
      <alignment horizontal="center" vertical="center"/>
    </xf>
    <xf numFmtId="44" fontId="41" fillId="0" borderId="56" xfId="0" applyNumberFormat="1" applyFont="1" applyBorder="1" applyAlignment="1">
      <alignment horizontal="center" vertical="center"/>
    </xf>
    <xf numFmtId="165" fontId="13" fillId="19" borderId="9" xfId="1" applyNumberFormat="1" applyFont="1" applyFill="1" applyBorder="1" applyAlignment="1">
      <alignment horizontal="center" vertical="center"/>
    </xf>
    <xf numFmtId="165" fontId="35" fillId="0" borderId="31" xfId="1" applyNumberFormat="1" applyFont="1" applyFill="1" applyBorder="1" applyAlignment="1">
      <alignment horizontal="center" vertical="center"/>
    </xf>
    <xf numFmtId="165" fontId="35" fillId="19" borderId="49" xfId="1" applyNumberFormat="1" applyFont="1" applyFill="1" applyBorder="1" applyAlignment="1">
      <alignment horizontal="center" vertical="center"/>
    </xf>
    <xf numFmtId="165" fontId="35" fillId="0" borderId="49" xfId="1" applyNumberFormat="1" applyFont="1" applyBorder="1" applyAlignment="1">
      <alignment horizontal="center" vertical="center"/>
    </xf>
    <xf numFmtId="165" fontId="35" fillId="0" borderId="49" xfId="1" applyNumberFormat="1" applyFont="1" applyFill="1" applyBorder="1" applyAlignment="1">
      <alignment horizontal="center" vertical="center"/>
    </xf>
    <xf numFmtId="165" fontId="41" fillId="0" borderId="49" xfId="1" applyNumberFormat="1" applyFont="1" applyFill="1" applyBorder="1" applyAlignment="1">
      <alignment horizontal="center" vertical="center"/>
    </xf>
    <xf numFmtId="165" fontId="35" fillId="0" borderId="51" xfId="1" applyNumberFormat="1" applyFont="1" applyFill="1" applyBorder="1" applyAlignment="1">
      <alignment horizontal="center" vertical="center"/>
    </xf>
    <xf numFmtId="165" fontId="13" fillId="0" borderId="7" xfId="1" applyNumberFormat="1" applyFont="1" applyBorder="1" applyAlignment="1">
      <alignment vertical="center"/>
    </xf>
    <xf numFmtId="165" fontId="13" fillId="0" borderId="31" xfId="1" applyNumberFormat="1" applyFont="1" applyBorder="1" applyAlignment="1">
      <alignment vertical="center"/>
    </xf>
    <xf numFmtId="165" fontId="9" fillId="0" borderId="9" xfId="1" applyNumberFormat="1" applyFont="1" applyBorder="1" applyAlignment="1">
      <alignment horizontal="center" vertical="center"/>
    </xf>
    <xf numFmtId="165" fontId="13" fillId="0" borderId="49" xfId="1" applyNumberFormat="1" applyFont="1" applyBorder="1" applyAlignment="1">
      <alignment horizontal="center" vertical="center"/>
    </xf>
    <xf numFmtId="0" fontId="13" fillId="0" borderId="0" xfId="0" applyFont="1" applyAlignment="1">
      <alignment vertical="center"/>
    </xf>
    <xf numFmtId="165" fontId="13" fillId="19" borderId="12" xfId="1" applyNumberFormat="1" applyFont="1" applyFill="1" applyBorder="1" applyAlignment="1">
      <alignment horizontal="center" vertical="center"/>
    </xf>
    <xf numFmtId="0" fontId="41" fillId="0" borderId="0" xfId="0" applyFont="1" applyAlignment="1">
      <alignment vertical="center"/>
    </xf>
    <xf numFmtId="0" fontId="2" fillId="2" borderId="29"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72" xfId="0" applyFont="1" applyFill="1" applyBorder="1" applyAlignment="1">
      <alignment horizontal="center" vertical="center"/>
    </xf>
    <xf numFmtId="43" fontId="2" fillId="0" borderId="6" xfId="0" applyNumberFormat="1" applyFont="1" applyBorder="1" applyAlignment="1">
      <alignment horizontal="center" vertical="center"/>
    </xf>
    <xf numFmtId="43" fontId="2" fillId="10" borderId="7" xfId="0" applyNumberFormat="1" applyFont="1" applyFill="1" applyBorder="1" applyAlignment="1">
      <alignment horizontal="center" vertical="center"/>
    </xf>
    <xf numFmtId="43" fontId="2" fillId="0" borderId="21" xfId="0" applyNumberFormat="1" applyFont="1" applyBorder="1" applyAlignment="1">
      <alignment horizontal="center" vertical="center"/>
    </xf>
    <xf numFmtId="43" fontId="2" fillId="10" borderId="22" xfId="0" applyNumberFormat="1" applyFont="1" applyFill="1" applyBorder="1" applyAlignment="1">
      <alignment horizontal="center" vertical="center"/>
    </xf>
    <xf numFmtId="0" fontId="0" fillId="0" borderId="59" xfId="0" applyBorder="1"/>
    <xf numFmtId="0" fontId="4" fillId="2" borderId="58" xfId="0" applyFont="1" applyFill="1" applyBorder="1" applyAlignment="1">
      <alignment horizontal="center" vertical="center" wrapText="1"/>
    </xf>
    <xf numFmtId="0" fontId="2" fillId="0" borderId="51" xfId="0" applyFont="1" applyBorder="1" applyAlignment="1">
      <alignment horizontal="center" vertical="center"/>
    </xf>
    <xf numFmtId="0" fontId="0" fillId="0" borderId="55" xfId="0" applyBorder="1"/>
    <xf numFmtId="43" fontId="2" fillId="5" borderId="35" xfId="2" applyNumberFormat="1" applyFont="1" applyFill="1" applyBorder="1" applyAlignment="1">
      <alignment horizontal="center" vertical="center"/>
    </xf>
    <xf numFmtId="43" fontId="2" fillId="5" borderId="4" xfId="2" applyNumberFormat="1" applyFont="1" applyFill="1" applyBorder="1" applyAlignment="1">
      <alignment horizontal="center" vertical="center"/>
    </xf>
    <xf numFmtId="0" fontId="42" fillId="0" borderId="0" xfId="0" applyFont="1" applyAlignment="1">
      <alignment horizontal="center" vertical="center"/>
    </xf>
    <xf numFmtId="167" fontId="2" fillId="0" borderId="0" xfId="0" applyNumberFormat="1" applyFont="1" applyAlignment="1">
      <alignment horizontal="center" vertical="center"/>
    </xf>
    <xf numFmtId="43" fontId="2" fillId="0" borderId="27" xfId="0" applyNumberFormat="1" applyFont="1" applyBorder="1" applyAlignment="1">
      <alignment horizontal="center"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43" fontId="2" fillId="0" borderId="14" xfId="0" applyNumberFormat="1" applyFont="1" applyBorder="1" applyAlignment="1">
      <alignment horizontal="center" vertical="center"/>
    </xf>
    <xf numFmtId="43" fontId="2" fillId="10" borderId="15" xfId="0" applyNumberFormat="1" applyFont="1" applyFill="1" applyBorder="1" applyAlignment="1">
      <alignment horizontal="center" vertical="center"/>
    </xf>
    <xf numFmtId="43" fontId="2" fillId="0" borderId="67" xfId="0" applyNumberFormat="1" applyFont="1" applyBorder="1" applyAlignment="1">
      <alignment horizontal="center" vertical="center"/>
    </xf>
    <xf numFmtId="0" fontId="5" fillId="0" borderId="0" xfId="0" applyFont="1" applyAlignment="1">
      <alignment vertical="center" wrapText="1"/>
    </xf>
    <xf numFmtId="165" fontId="23" fillId="0" borderId="0" xfId="1" applyNumberFormat="1" applyFont="1" applyBorder="1" applyAlignment="1">
      <alignment horizontal="center" vertical="center"/>
    </xf>
    <xf numFmtId="165" fontId="23" fillId="0" borderId="31" xfId="1" applyNumberFormat="1" applyFont="1" applyBorder="1" applyAlignment="1">
      <alignment horizontal="center" vertical="center"/>
    </xf>
    <xf numFmtId="165" fontId="41" fillId="0" borderId="31" xfId="1" applyNumberFormat="1" applyFont="1" applyBorder="1" applyAlignment="1">
      <alignment horizontal="center" vertical="center"/>
    </xf>
    <xf numFmtId="0" fontId="2" fillId="0" borderId="73" xfId="0" applyFont="1" applyBorder="1" applyAlignment="1">
      <alignment horizontal="center" vertical="center" wrapText="1"/>
    </xf>
    <xf numFmtId="0" fontId="12" fillId="2" borderId="57" xfId="0" applyFont="1" applyFill="1" applyBorder="1" applyAlignment="1">
      <alignment horizontal="center" vertical="center"/>
    </xf>
    <xf numFmtId="0" fontId="12" fillId="2" borderId="57" xfId="0" applyFont="1" applyFill="1" applyBorder="1" applyAlignment="1">
      <alignment horizontal="center" vertical="center" wrapText="1"/>
    </xf>
    <xf numFmtId="43" fontId="10" fillId="6" borderId="1" xfId="0" applyNumberFormat="1" applyFont="1" applyFill="1" applyBorder="1" applyAlignment="1">
      <alignment horizontal="center" vertical="center" wrapText="1"/>
    </xf>
    <xf numFmtId="0" fontId="10" fillId="0" borderId="0" xfId="0" applyFont="1" applyAlignment="1">
      <alignment horizontal="center" vertical="center" wrapText="1"/>
    </xf>
    <xf numFmtId="43" fontId="12" fillId="2" borderId="57" xfId="1" applyNumberFormat="1" applyFont="1" applyFill="1" applyBorder="1" applyAlignment="1">
      <alignment horizontal="center" vertical="center"/>
    </xf>
    <xf numFmtId="43" fontId="10" fillId="0" borderId="0" xfId="1" applyNumberFormat="1" applyFont="1" applyAlignment="1">
      <alignment horizontal="center" vertical="center"/>
    </xf>
    <xf numFmtId="0" fontId="10" fillId="0" borderId="19" xfId="0" applyFont="1" applyBorder="1" applyAlignment="1">
      <alignment horizontal="center" vertical="center"/>
    </xf>
    <xf numFmtId="0" fontId="37" fillId="27" borderId="0" xfId="0" applyFont="1" applyFill="1" applyAlignment="1">
      <alignment horizontal="center"/>
    </xf>
    <xf numFmtId="0" fontId="2" fillId="0" borderId="15" xfId="0" applyFont="1" applyBorder="1" applyAlignment="1">
      <alignment horizontal="center" vertical="center"/>
    </xf>
    <xf numFmtId="0" fontId="4" fillId="2" borderId="23" xfId="0" applyFont="1" applyFill="1" applyBorder="1" applyAlignment="1">
      <alignment horizontal="center" vertical="center" wrapText="1"/>
    </xf>
    <xf numFmtId="0" fontId="10" fillId="0" borderId="6" xfId="0" applyFont="1" applyBorder="1" applyAlignment="1">
      <alignment horizontal="center" vertical="center"/>
    </xf>
    <xf numFmtId="0" fontId="10" fillId="0" borderId="11" xfId="0" applyFont="1" applyBorder="1" applyAlignment="1">
      <alignment horizontal="center" vertical="center"/>
    </xf>
    <xf numFmtId="0" fontId="2" fillId="0" borderId="7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43" fontId="2" fillId="6" borderId="2" xfId="0" applyNumberFormat="1" applyFont="1" applyFill="1" applyBorder="1" applyAlignment="1">
      <alignment horizontal="center" vertical="center"/>
    </xf>
    <xf numFmtId="0" fontId="2" fillId="0" borderId="21" xfId="0" applyFont="1" applyBorder="1" applyAlignment="1">
      <alignment horizontal="center" vertical="center" wrapText="1"/>
    </xf>
    <xf numFmtId="43" fontId="2" fillId="6" borderId="21" xfId="0" applyNumberFormat="1" applyFont="1" applyFill="1" applyBorder="1" applyAlignment="1">
      <alignment horizontal="center" vertical="center"/>
    </xf>
    <xf numFmtId="0" fontId="5" fillId="0" borderId="4" xfId="0" applyFont="1" applyBorder="1" applyAlignment="1">
      <alignment horizontal="center" vertical="center"/>
    </xf>
    <xf numFmtId="0" fontId="10" fillId="0" borderId="4" xfId="0" applyFont="1" applyBorder="1" applyAlignment="1">
      <alignment horizontal="center" vertical="center"/>
    </xf>
    <xf numFmtId="43" fontId="2" fillId="6" borderId="67" xfId="0" applyNumberFormat="1" applyFont="1" applyFill="1" applyBorder="1" applyAlignment="1">
      <alignment horizontal="center" vertical="center"/>
    </xf>
    <xf numFmtId="0" fontId="43" fillId="0" borderId="8" xfId="0" applyFont="1" applyBorder="1" applyAlignment="1">
      <alignment horizontal="center" vertical="center"/>
    </xf>
    <xf numFmtId="0" fontId="43" fillId="0" borderId="10" xfId="0" applyFont="1" applyBorder="1" applyAlignment="1">
      <alignment horizontal="center" vertical="center"/>
    </xf>
    <xf numFmtId="0" fontId="4" fillId="2" borderId="24" xfId="0" applyFont="1" applyFill="1" applyBorder="1" applyAlignment="1">
      <alignment horizontal="center" vertical="center" wrapText="1"/>
    </xf>
    <xf numFmtId="0" fontId="4" fillId="2" borderId="25" xfId="0" applyFont="1" applyFill="1" applyBorder="1" applyAlignment="1">
      <alignment horizontal="center" vertical="center" wrapText="1"/>
    </xf>
    <xf numFmtId="0" fontId="43" fillId="0" borderId="5" xfId="0" applyFont="1" applyBorder="1" applyAlignment="1">
      <alignment horizontal="center" vertical="center"/>
    </xf>
    <xf numFmtId="166" fontId="2" fillId="0" borderId="7" xfId="1" applyNumberFormat="1" applyFont="1" applyBorder="1"/>
    <xf numFmtId="168" fontId="2" fillId="0" borderId="25" xfId="1" applyNumberFormat="1" applyFont="1" applyBorder="1"/>
    <xf numFmtId="0" fontId="2" fillId="0" borderId="1" xfId="0" applyFont="1" applyBorder="1" applyAlignment="1">
      <alignment horizontal="center"/>
    </xf>
    <xf numFmtId="0" fontId="2" fillId="0" borderId="6" xfId="0" applyFont="1" applyBorder="1" applyAlignment="1">
      <alignment horizontal="center"/>
    </xf>
    <xf numFmtId="0" fontId="2" fillId="0" borderId="11" xfId="0" applyFont="1" applyBorder="1" applyAlignment="1">
      <alignment horizontal="center"/>
    </xf>
    <xf numFmtId="0" fontId="43" fillId="8" borderId="30" xfId="0" applyFont="1" applyFill="1" applyBorder="1" applyAlignment="1">
      <alignment horizontal="center" vertical="center"/>
    </xf>
    <xf numFmtId="0" fontId="2" fillId="8" borderId="61" xfId="0" applyFont="1" applyFill="1" applyBorder="1" applyAlignment="1">
      <alignment horizontal="center"/>
    </xf>
    <xf numFmtId="0" fontId="43" fillId="8" borderId="8" xfId="0" applyFont="1" applyFill="1" applyBorder="1" applyAlignment="1">
      <alignment horizontal="center" vertical="center"/>
    </xf>
    <xf numFmtId="0" fontId="2" fillId="8" borderId="40" xfId="0" applyFont="1" applyFill="1" applyBorder="1" applyAlignment="1">
      <alignment horizontal="center"/>
    </xf>
    <xf numFmtId="0" fontId="43" fillId="8" borderId="29" xfId="0" applyFont="1" applyFill="1" applyBorder="1" applyAlignment="1">
      <alignment horizontal="center" vertical="center"/>
    </xf>
    <xf numFmtId="0" fontId="2" fillId="8" borderId="46" xfId="0" applyFont="1" applyFill="1" applyBorder="1" applyAlignment="1">
      <alignment horizontal="center"/>
    </xf>
    <xf numFmtId="43" fontId="11" fillId="28" borderId="9" xfId="0" applyNumberFormat="1" applyFont="1" applyFill="1" applyBorder="1" applyAlignment="1">
      <alignment horizontal="center" vertical="center"/>
    </xf>
    <xf numFmtId="43" fontId="5" fillId="28" borderId="9" xfId="0" applyNumberFormat="1" applyFont="1" applyFill="1" applyBorder="1" applyAlignment="1">
      <alignment horizontal="center" vertical="center"/>
    </xf>
    <xf numFmtId="43" fontId="5" fillId="6" borderId="70" xfId="0" applyNumberFormat="1" applyFont="1" applyFill="1" applyBorder="1" applyAlignment="1">
      <alignment horizontal="center" vertical="center"/>
    </xf>
    <xf numFmtId="0" fontId="4" fillId="2" borderId="8" xfId="0" applyFont="1" applyFill="1" applyBorder="1" applyAlignment="1">
      <alignment horizontal="center" vertical="center"/>
    </xf>
    <xf numFmtId="0" fontId="4" fillId="2" borderId="20" xfId="0" applyFont="1" applyFill="1" applyBorder="1" applyAlignment="1">
      <alignment horizontal="center" vertical="center"/>
    </xf>
    <xf numFmtId="0" fontId="4" fillId="2" borderId="29" xfId="0" applyFont="1" applyFill="1" applyBorder="1" applyAlignment="1">
      <alignment horizontal="center" vertical="center"/>
    </xf>
    <xf numFmtId="0" fontId="4" fillId="2" borderId="72" xfId="0" applyFont="1" applyFill="1" applyBorder="1" applyAlignment="1">
      <alignment horizontal="center" vertical="center"/>
    </xf>
    <xf numFmtId="0" fontId="0" fillId="0" borderId="4" xfId="0" applyBorder="1"/>
    <xf numFmtId="0" fontId="4" fillId="2" borderId="30" xfId="0" applyFont="1" applyFill="1" applyBorder="1" applyAlignment="1">
      <alignment horizontal="center" vertical="center"/>
    </xf>
    <xf numFmtId="0" fontId="4" fillId="2" borderId="65" xfId="0" applyFont="1" applyFill="1" applyBorder="1" applyAlignment="1">
      <alignment horizontal="center" vertical="center"/>
    </xf>
    <xf numFmtId="0" fontId="4" fillId="2" borderId="67" xfId="0" applyFont="1" applyFill="1" applyBorder="1" applyAlignment="1">
      <alignment horizontal="center" vertical="center"/>
    </xf>
    <xf numFmtId="0" fontId="4" fillId="2" borderId="7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0"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57" xfId="0" applyFont="1" applyFill="1" applyBorder="1" applyAlignment="1">
      <alignment horizontal="center" vertical="center"/>
    </xf>
    <xf numFmtId="0" fontId="2" fillId="2" borderId="64" xfId="0" applyFont="1" applyFill="1" applyBorder="1" applyAlignment="1">
      <alignment horizontal="center" vertical="center"/>
    </xf>
    <xf numFmtId="43" fontId="4" fillId="4" borderId="21" xfId="0" applyNumberFormat="1" applyFont="1" applyFill="1" applyBorder="1" applyAlignment="1">
      <alignment horizontal="center" vertical="center"/>
    </xf>
    <xf numFmtId="43" fontId="4" fillId="4" borderId="22" xfId="0" applyNumberFormat="1" applyFont="1" applyFill="1" applyBorder="1" applyAlignment="1">
      <alignment horizontal="center" vertical="center"/>
    </xf>
    <xf numFmtId="0" fontId="45" fillId="0" borderId="0" xfId="0" applyFont="1"/>
    <xf numFmtId="0" fontId="46" fillId="0" borderId="8" xfId="0" applyFont="1" applyBorder="1" applyAlignment="1">
      <alignment horizontal="center" vertical="center"/>
    </xf>
    <xf numFmtId="165" fontId="47" fillId="0" borderId="9" xfId="1" applyNumberFormat="1" applyFont="1" applyBorder="1" applyAlignment="1">
      <alignment horizontal="center" vertical="center"/>
    </xf>
    <xf numFmtId="0" fontId="10" fillId="0" borderId="59" xfId="0" applyFont="1" applyBorder="1" applyAlignment="1">
      <alignment horizontal="center" vertical="center"/>
    </xf>
    <xf numFmtId="165" fontId="13" fillId="0" borderId="56" xfId="1" applyNumberFormat="1" applyFont="1" applyBorder="1" applyAlignment="1">
      <alignment horizontal="center" vertical="center"/>
    </xf>
    <xf numFmtId="165" fontId="48" fillId="0" borderId="1" xfId="1" applyNumberFormat="1" applyFont="1" applyBorder="1" applyAlignment="1">
      <alignment horizontal="center" vertical="center"/>
    </xf>
    <xf numFmtId="165" fontId="48" fillId="0" borderId="1" xfId="1" applyNumberFormat="1" applyFont="1" applyFill="1" applyBorder="1" applyAlignment="1">
      <alignment horizontal="center" vertical="center"/>
    </xf>
    <xf numFmtId="17" fontId="2" fillId="0" borderId="29" xfId="0" applyNumberFormat="1" applyFont="1" applyBorder="1" applyAlignment="1">
      <alignment horizontal="center" vertical="center"/>
    </xf>
    <xf numFmtId="44" fontId="30" fillId="7" borderId="36" xfId="0" applyNumberFormat="1" applyFont="1" applyFill="1" applyBorder="1" applyAlignment="1">
      <alignment horizontal="center" vertical="center"/>
    </xf>
    <xf numFmtId="43" fontId="29" fillId="8" borderId="60" xfId="0" applyNumberFormat="1" applyFont="1" applyFill="1" applyBorder="1" applyAlignment="1">
      <alignment horizontal="center" vertical="center"/>
    </xf>
    <xf numFmtId="0" fontId="2" fillId="19" borderId="0" xfId="0" applyFont="1" applyFill="1" applyAlignment="1">
      <alignment horizontal="center" vertical="center"/>
    </xf>
    <xf numFmtId="43" fontId="2" fillId="19" borderId="0" xfId="0" applyNumberFormat="1" applyFont="1" applyFill="1" applyAlignment="1">
      <alignment horizontal="center" vertical="center"/>
    </xf>
    <xf numFmtId="43" fontId="5" fillId="19" borderId="0" xfId="0" applyNumberFormat="1" applyFont="1" applyFill="1" applyAlignment="1">
      <alignment horizontal="center" vertical="center"/>
    </xf>
    <xf numFmtId="43" fontId="6" fillId="8" borderId="4" xfId="0" applyNumberFormat="1" applyFont="1" applyFill="1" applyBorder="1" applyAlignment="1">
      <alignment horizontal="center" vertical="center"/>
    </xf>
    <xf numFmtId="0" fontId="2" fillId="25" borderId="43" xfId="0" applyFont="1" applyFill="1" applyBorder="1" applyAlignment="1">
      <alignment horizontal="center" vertical="center"/>
    </xf>
    <xf numFmtId="165" fontId="41" fillId="0" borderId="9" xfId="1" applyNumberFormat="1" applyFont="1" applyBorder="1" applyAlignment="1">
      <alignment horizontal="center" vertical="center"/>
    </xf>
    <xf numFmtId="165" fontId="34" fillId="0" borderId="63" xfId="1" applyNumberFormat="1" applyFont="1" applyBorder="1" applyAlignment="1">
      <alignment horizontal="center" vertical="center"/>
    </xf>
    <xf numFmtId="0" fontId="12" fillId="0" borderId="59" xfId="0" applyFont="1" applyBorder="1" applyAlignment="1">
      <alignment vertical="center"/>
    </xf>
    <xf numFmtId="0" fontId="49" fillId="20" borderId="4" xfId="0" applyFont="1" applyFill="1" applyBorder="1" applyAlignment="1">
      <alignment horizontal="center" vertical="center"/>
    </xf>
    <xf numFmtId="164" fontId="49" fillId="20" borderId="4" xfId="1" applyFont="1" applyFill="1" applyBorder="1" applyAlignment="1">
      <alignment horizontal="center" vertical="center"/>
    </xf>
    <xf numFmtId="164" fontId="50" fillId="20" borderId="4" xfId="1" applyFont="1" applyFill="1" applyBorder="1" applyAlignment="1">
      <alignment horizontal="center" vertical="center"/>
    </xf>
    <xf numFmtId="16" fontId="50" fillId="0" borderId="0" xfId="0" applyNumberFormat="1" applyFont="1" applyAlignment="1">
      <alignment horizontal="center" vertical="center"/>
    </xf>
    <xf numFmtId="0" fontId="50" fillId="0" borderId="0" xfId="0" applyFont="1" applyAlignment="1">
      <alignment vertical="center"/>
    </xf>
    <xf numFmtId="0" fontId="50" fillId="0" borderId="0" xfId="0" applyFont="1" applyAlignment="1">
      <alignment horizontal="center" vertical="center"/>
    </xf>
    <xf numFmtId="0" fontId="50" fillId="0" borderId="5" xfId="0" applyFont="1" applyBorder="1" applyAlignment="1">
      <alignment horizontal="center" vertical="center"/>
    </xf>
    <xf numFmtId="165" fontId="50" fillId="0" borderId="6" xfId="1" applyNumberFormat="1" applyFont="1" applyBorder="1" applyAlignment="1">
      <alignment horizontal="center" vertical="center"/>
    </xf>
    <xf numFmtId="165" fontId="50" fillId="0" borderId="7" xfId="1" applyNumberFormat="1" applyFont="1" applyBorder="1" applyAlignment="1">
      <alignment horizontal="center" vertical="center"/>
    </xf>
    <xf numFmtId="0" fontId="51" fillId="0" borderId="5" xfId="0" applyFont="1" applyBorder="1" applyAlignment="1">
      <alignment horizontal="center" vertical="center"/>
    </xf>
    <xf numFmtId="165" fontId="51" fillId="0" borderId="6" xfId="1" applyNumberFormat="1" applyFont="1" applyBorder="1" applyAlignment="1">
      <alignment horizontal="center" vertical="center"/>
    </xf>
    <xf numFmtId="165" fontId="51" fillId="0" borderId="7" xfId="1" applyNumberFormat="1" applyFont="1" applyBorder="1" applyAlignment="1">
      <alignment horizontal="center" vertical="center"/>
    </xf>
    <xf numFmtId="0" fontId="50" fillId="0" borderId="20" xfId="0" applyFont="1" applyBorder="1" applyAlignment="1">
      <alignment horizontal="center" vertical="center"/>
    </xf>
    <xf numFmtId="165" fontId="50" fillId="0" borderId="21" xfId="1" applyNumberFormat="1" applyFont="1" applyBorder="1" applyAlignment="1">
      <alignment horizontal="center" vertical="center"/>
    </xf>
    <xf numFmtId="165" fontId="50" fillId="0" borderId="22" xfId="1" applyNumberFormat="1" applyFont="1" applyBorder="1" applyAlignment="1">
      <alignment horizontal="center" vertical="center"/>
    </xf>
    <xf numFmtId="0" fontId="50" fillId="0" borderId="30" xfId="0" applyFont="1" applyBorder="1" applyAlignment="1">
      <alignment horizontal="center" vertical="center"/>
    </xf>
    <xf numFmtId="165" fontId="50" fillId="0" borderId="3" xfId="1" applyNumberFormat="1" applyFont="1" applyBorder="1" applyAlignment="1">
      <alignment horizontal="center" vertical="center"/>
    </xf>
    <xf numFmtId="165" fontId="50" fillId="0" borderId="45" xfId="1" applyNumberFormat="1" applyFont="1" applyBorder="1" applyAlignment="1">
      <alignment horizontal="center" vertical="center"/>
    </xf>
    <xf numFmtId="165" fontId="50" fillId="0" borderId="31" xfId="1" applyNumberFormat="1" applyFont="1" applyBorder="1" applyAlignment="1">
      <alignment horizontal="center" vertical="center"/>
    </xf>
    <xf numFmtId="0" fontId="52" fillId="0" borderId="30" xfId="0" applyFont="1" applyBorder="1" applyAlignment="1">
      <alignment horizontal="center" vertical="center"/>
    </xf>
    <xf numFmtId="165" fontId="52" fillId="0" borderId="0" xfId="1" applyNumberFormat="1" applyFont="1" applyAlignment="1">
      <alignment horizontal="center" vertical="center"/>
    </xf>
    <xf numFmtId="165" fontId="52" fillId="0" borderId="31" xfId="1" applyNumberFormat="1" applyFont="1" applyBorder="1" applyAlignment="1">
      <alignment horizontal="center" vertical="center"/>
    </xf>
    <xf numFmtId="0" fontId="50" fillId="0" borderId="8" xfId="0" applyFont="1" applyBorder="1" applyAlignment="1">
      <alignment horizontal="center" vertical="center"/>
    </xf>
    <xf numFmtId="165" fontId="50" fillId="0" borderId="1" xfId="1" applyNumberFormat="1" applyFont="1" applyBorder="1" applyAlignment="1">
      <alignment horizontal="center" vertical="center"/>
    </xf>
    <xf numFmtId="165" fontId="50" fillId="0" borderId="19" xfId="1" applyNumberFormat="1" applyFont="1" applyBorder="1" applyAlignment="1">
      <alignment horizontal="center" vertical="center"/>
    </xf>
    <xf numFmtId="165" fontId="50" fillId="0" borderId="9" xfId="1" applyNumberFormat="1" applyFont="1" applyBorder="1" applyAlignment="1">
      <alignment horizontal="center" vertical="center"/>
    </xf>
    <xf numFmtId="165" fontId="50" fillId="0" borderId="0" xfId="1" applyNumberFormat="1" applyFont="1" applyAlignment="1">
      <alignment horizontal="center" vertical="center"/>
    </xf>
    <xf numFmtId="0" fontId="50" fillId="0" borderId="10" xfId="0" applyFont="1" applyBorder="1" applyAlignment="1">
      <alignment horizontal="center" vertical="center"/>
    </xf>
    <xf numFmtId="165" fontId="50" fillId="0" borderId="11" xfId="1" applyNumberFormat="1" applyFont="1" applyBorder="1" applyAlignment="1">
      <alignment horizontal="center" vertical="center"/>
    </xf>
    <xf numFmtId="165" fontId="50" fillId="0" borderId="12" xfId="1" applyNumberFormat="1" applyFont="1" applyBorder="1" applyAlignment="1">
      <alignment horizontal="center" vertical="center"/>
    </xf>
    <xf numFmtId="165" fontId="50" fillId="0" borderId="0" xfId="0" applyNumberFormat="1" applyFont="1" applyAlignment="1">
      <alignment horizontal="center" vertical="center"/>
    </xf>
    <xf numFmtId="0" fontId="51" fillId="0" borderId="8" xfId="0" applyFont="1" applyBorder="1" applyAlignment="1">
      <alignment horizontal="center" vertical="center"/>
    </xf>
    <xf numFmtId="165" fontId="51" fillId="0" borderId="0" xfId="1" applyNumberFormat="1" applyFont="1" applyAlignment="1">
      <alignment horizontal="center" vertical="center"/>
    </xf>
    <xf numFmtId="165" fontId="51" fillId="0" borderId="9" xfId="1" applyNumberFormat="1" applyFont="1" applyBorder="1" applyAlignment="1">
      <alignment horizontal="center" vertical="center"/>
    </xf>
    <xf numFmtId="165" fontId="51" fillId="0" borderId="1" xfId="1" applyNumberFormat="1" applyFont="1" applyBorder="1" applyAlignment="1">
      <alignment horizontal="center" vertical="center"/>
    </xf>
    <xf numFmtId="165" fontId="51" fillId="0" borderId="9" xfId="0" applyNumberFormat="1" applyFont="1" applyBorder="1" applyAlignment="1">
      <alignment horizontal="center" vertical="center"/>
    </xf>
    <xf numFmtId="165" fontId="50" fillId="0" borderId="9" xfId="0" applyNumberFormat="1" applyFont="1" applyBorder="1" applyAlignment="1">
      <alignment horizontal="center" vertical="center"/>
    </xf>
    <xf numFmtId="0" fontId="53" fillId="0" borderId="8" xfId="0" applyFont="1" applyBorder="1" applyAlignment="1">
      <alignment horizontal="center" vertical="center"/>
    </xf>
    <xf numFmtId="165" fontId="53" fillId="0" borderId="9" xfId="1" applyNumberFormat="1" applyFont="1" applyBorder="1" applyAlignment="1">
      <alignment horizontal="center" vertical="center"/>
    </xf>
    <xf numFmtId="0" fontId="50" fillId="19" borderId="10" xfId="0" applyFont="1" applyFill="1" applyBorder="1" applyAlignment="1">
      <alignment horizontal="center" vertical="center"/>
    </xf>
    <xf numFmtId="165" fontId="50" fillId="19" borderId="11" xfId="1" applyNumberFormat="1" applyFont="1" applyFill="1" applyBorder="1" applyAlignment="1">
      <alignment horizontal="center" vertical="center"/>
    </xf>
    <xf numFmtId="165" fontId="50" fillId="19" borderId="12" xfId="1" applyNumberFormat="1" applyFont="1" applyFill="1" applyBorder="1" applyAlignment="1">
      <alignment horizontal="center" vertical="center"/>
    </xf>
    <xf numFmtId="43" fontId="50" fillId="0" borderId="1" xfId="0" applyNumberFormat="1" applyFont="1" applyBorder="1" applyAlignment="1">
      <alignment horizontal="center" vertical="center"/>
    </xf>
    <xf numFmtId="166" fontId="50" fillId="0" borderId="9" xfId="1" applyNumberFormat="1" applyFont="1" applyBorder="1" applyAlignment="1">
      <alignment horizontal="center" vertical="center"/>
    </xf>
    <xf numFmtId="0" fontId="52" fillId="0" borderId="5" xfId="0" applyFont="1" applyBorder="1" applyAlignment="1">
      <alignment horizontal="center" vertical="center"/>
    </xf>
    <xf numFmtId="0" fontId="54" fillId="0" borderId="0" xfId="0" applyFont="1" applyAlignment="1">
      <alignment horizontal="center" vertical="center"/>
    </xf>
    <xf numFmtId="44" fontId="52" fillId="0" borderId="56" xfId="0" applyNumberFormat="1" applyFont="1" applyBorder="1" applyAlignment="1">
      <alignment horizontal="center" vertical="center"/>
    </xf>
    <xf numFmtId="165" fontId="53" fillId="0" borderId="1" xfId="1" applyNumberFormat="1" applyFont="1" applyBorder="1" applyAlignment="1">
      <alignment horizontal="center" vertical="center"/>
    </xf>
    <xf numFmtId="165" fontId="51" fillId="0" borderId="19" xfId="1" applyNumberFormat="1" applyFont="1" applyBorder="1" applyAlignment="1">
      <alignment horizontal="center" vertical="center"/>
    </xf>
    <xf numFmtId="0" fontId="49" fillId="19" borderId="8" xfId="0" applyFont="1" applyFill="1" applyBorder="1" applyAlignment="1">
      <alignment horizontal="center" vertical="center"/>
    </xf>
    <xf numFmtId="165" fontId="50" fillId="19" borderId="1" xfId="1" applyNumberFormat="1" applyFont="1" applyFill="1" applyBorder="1" applyAlignment="1">
      <alignment horizontal="center" vertical="center"/>
    </xf>
    <xf numFmtId="165" fontId="50" fillId="19" borderId="9" xfId="1" applyNumberFormat="1" applyFont="1" applyFill="1" applyBorder="1" applyAlignment="1">
      <alignment horizontal="center" vertical="center"/>
    </xf>
    <xf numFmtId="0" fontId="50" fillId="19" borderId="8" xfId="0" applyFont="1" applyFill="1" applyBorder="1" applyAlignment="1">
      <alignment horizontal="center" vertical="center"/>
    </xf>
    <xf numFmtId="0" fontId="52" fillId="0" borderId="8" xfId="0" applyFont="1" applyBorder="1" applyAlignment="1">
      <alignment horizontal="center" vertical="center"/>
    </xf>
    <xf numFmtId="165" fontId="52" fillId="0" borderId="9" xfId="1" applyNumberFormat="1" applyFont="1" applyBorder="1" applyAlignment="1">
      <alignment horizontal="center" vertical="center"/>
    </xf>
    <xf numFmtId="0" fontId="51" fillId="0" borderId="30" xfId="0" applyFont="1" applyBorder="1" applyAlignment="1">
      <alignment horizontal="center" vertical="center"/>
    </xf>
    <xf numFmtId="165" fontId="51" fillId="0" borderId="3" xfId="1" applyNumberFormat="1" applyFont="1" applyBorder="1" applyAlignment="1">
      <alignment horizontal="center" vertical="center"/>
    </xf>
    <xf numFmtId="165" fontId="51" fillId="0" borderId="31" xfId="1" applyNumberFormat="1" applyFont="1" applyBorder="1" applyAlignment="1">
      <alignment horizontal="center" vertical="center"/>
    </xf>
    <xf numFmtId="165" fontId="52" fillId="0" borderId="1" xfId="1" applyNumberFormat="1" applyFont="1" applyBorder="1" applyAlignment="1">
      <alignment horizontal="center" vertical="center"/>
    </xf>
    <xf numFmtId="0" fontId="50" fillId="0" borderId="59" xfId="0" applyFont="1" applyBorder="1" applyAlignment="1">
      <alignment horizontal="center" vertical="center"/>
    </xf>
    <xf numFmtId="165" fontId="50" fillId="0" borderId="56" xfId="1" applyNumberFormat="1" applyFont="1" applyBorder="1" applyAlignment="1">
      <alignment horizontal="center" vertical="center"/>
    </xf>
    <xf numFmtId="165" fontId="52" fillId="0" borderId="3" xfId="1" applyNumberFormat="1" applyFont="1" applyBorder="1" applyAlignment="1">
      <alignment horizontal="center" vertical="center"/>
    </xf>
    <xf numFmtId="165" fontId="52" fillId="0" borderId="45" xfId="1" applyNumberFormat="1" applyFont="1" applyBorder="1" applyAlignment="1">
      <alignment horizontal="center" vertical="center"/>
    </xf>
    <xf numFmtId="0" fontId="50" fillId="0" borderId="1" xfId="0" applyFont="1" applyBorder="1" applyAlignment="1">
      <alignment horizontal="center" vertical="center"/>
    </xf>
    <xf numFmtId="0" fontId="51" fillId="0" borderId="10" xfId="0" applyFont="1" applyBorder="1" applyAlignment="1">
      <alignment horizontal="center" vertical="center"/>
    </xf>
    <xf numFmtId="165" fontId="51" fillId="0" borderId="11" xfId="1" applyNumberFormat="1" applyFont="1" applyBorder="1" applyAlignment="1">
      <alignment horizontal="center" vertical="center"/>
    </xf>
    <xf numFmtId="165" fontId="51" fillId="0" borderId="12" xfId="1" applyNumberFormat="1" applyFont="1" applyBorder="1" applyAlignment="1">
      <alignment horizontal="center" vertical="center"/>
    </xf>
    <xf numFmtId="0" fontId="51" fillId="19" borderId="8" xfId="0" applyFont="1" applyFill="1" applyBorder="1" applyAlignment="1">
      <alignment horizontal="center" vertical="center"/>
    </xf>
    <xf numFmtId="165" fontId="51" fillId="19" borderId="1" xfId="1" applyNumberFormat="1" applyFont="1" applyFill="1" applyBorder="1" applyAlignment="1">
      <alignment horizontal="center" vertical="center"/>
    </xf>
    <xf numFmtId="165" fontId="51" fillId="19" borderId="49" xfId="1" applyNumberFormat="1" applyFont="1" applyFill="1" applyBorder="1" applyAlignment="1">
      <alignment horizontal="center" vertical="center"/>
    </xf>
    <xf numFmtId="165" fontId="51" fillId="0" borderId="49" xfId="1" applyNumberFormat="1" applyFont="1" applyBorder="1" applyAlignment="1">
      <alignment horizontal="center" vertical="center"/>
    </xf>
    <xf numFmtId="0" fontId="50" fillId="0" borderId="54" xfId="0" applyFont="1" applyBorder="1" applyAlignment="1">
      <alignment horizontal="center" vertical="center"/>
    </xf>
    <xf numFmtId="165" fontId="52" fillId="0" borderId="49" xfId="1" applyNumberFormat="1" applyFont="1" applyBorder="1" applyAlignment="1">
      <alignment horizontal="center" vertical="center"/>
    </xf>
    <xf numFmtId="0" fontId="51" fillId="0" borderId="75" xfId="0" applyFont="1" applyBorder="1" applyAlignment="1">
      <alignment horizontal="center" vertical="center"/>
    </xf>
    <xf numFmtId="165" fontId="51" fillId="0" borderId="55" xfId="1" applyNumberFormat="1" applyFont="1" applyBorder="1" applyAlignment="1">
      <alignment horizontal="center" vertical="center"/>
    </xf>
    <xf numFmtId="165" fontId="51" fillId="0" borderId="51" xfId="1" applyNumberFormat="1" applyFont="1" applyBorder="1" applyAlignment="1">
      <alignment horizontal="center" vertical="center"/>
    </xf>
    <xf numFmtId="165" fontId="50" fillId="0" borderId="6" xfId="1" applyNumberFormat="1" applyFont="1" applyBorder="1" applyAlignment="1">
      <alignment vertical="center"/>
    </xf>
    <xf numFmtId="165" fontId="50" fillId="0" borderId="7" xfId="1" applyNumberFormat="1" applyFont="1" applyBorder="1" applyAlignment="1">
      <alignment vertical="center"/>
    </xf>
    <xf numFmtId="165" fontId="50" fillId="0" borderId="3" xfId="1" applyNumberFormat="1" applyFont="1" applyBorder="1" applyAlignment="1">
      <alignment vertical="center"/>
    </xf>
    <xf numFmtId="165" fontId="50" fillId="0" borderId="31" xfId="1" applyNumberFormat="1" applyFont="1" applyBorder="1" applyAlignment="1">
      <alignment vertical="center"/>
    </xf>
    <xf numFmtId="0" fontId="52" fillId="0" borderId="0" xfId="0" applyFont="1" applyAlignment="1">
      <alignment horizontal="center" vertical="center"/>
    </xf>
    <xf numFmtId="0" fontId="49" fillId="0" borderId="8" xfId="0" applyFont="1" applyBorder="1" applyAlignment="1">
      <alignment horizontal="center" vertical="center"/>
    </xf>
    <xf numFmtId="165" fontId="49" fillId="0" borderId="1" xfId="1" applyNumberFormat="1" applyFont="1" applyBorder="1" applyAlignment="1">
      <alignment horizontal="center" vertical="center"/>
    </xf>
    <xf numFmtId="165" fontId="49" fillId="0" borderId="9" xfId="1" applyNumberFormat="1" applyFont="1" applyBorder="1" applyAlignment="1">
      <alignment horizontal="center" vertical="center"/>
    </xf>
    <xf numFmtId="165" fontId="51" fillId="0" borderId="1" xfId="0" applyNumberFormat="1" applyFont="1" applyBorder="1" applyAlignment="1">
      <alignment horizontal="center" vertical="center"/>
    </xf>
    <xf numFmtId="43" fontId="51" fillId="0" borderId="1" xfId="0" applyNumberFormat="1" applyFont="1" applyBorder="1" applyAlignment="1">
      <alignment horizontal="center" vertical="center"/>
    </xf>
    <xf numFmtId="165" fontId="50" fillId="0" borderId="1" xfId="0" applyNumberFormat="1" applyFont="1" applyBorder="1" applyAlignment="1">
      <alignment horizontal="center" vertical="center"/>
    </xf>
    <xf numFmtId="0" fontId="50" fillId="0" borderId="29" xfId="0" applyFont="1" applyBorder="1" applyAlignment="1">
      <alignment horizontal="center" vertical="center"/>
    </xf>
    <xf numFmtId="0" fontId="50" fillId="0" borderId="2" xfId="0" applyFont="1" applyBorder="1" applyAlignment="1">
      <alignment horizontal="center" vertical="center"/>
    </xf>
    <xf numFmtId="165" fontId="50" fillId="0" borderId="2" xfId="1" applyNumberFormat="1" applyFont="1" applyBorder="1" applyAlignment="1">
      <alignment horizontal="center" vertical="center"/>
    </xf>
    <xf numFmtId="165" fontId="50" fillId="0" borderId="72" xfId="1" applyNumberFormat="1" applyFont="1" applyBorder="1" applyAlignment="1">
      <alignment horizontal="center" vertical="center"/>
    </xf>
    <xf numFmtId="0" fontId="55" fillId="0" borderId="0" xfId="0" applyFont="1"/>
    <xf numFmtId="0" fontId="50" fillId="0" borderId="11" xfId="0" applyFont="1" applyBorder="1" applyAlignment="1">
      <alignment horizontal="center" vertical="center"/>
    </xf>
    <xf numFmtId="0" fontId="52" fillId="0" borderId="0" xfId="0" applyFont="1" applyAlignment="1">
      <alignment vertical="center"/>
    </xf>
    <xf numFmtId="0" fontId="49" fillId="0" borderId="20" xfId="0" applyFont="1" applyBorder="1" applyAlignment="1">
      <alignment horizontal="center" vertical="center"/>
    </xf>
    <xf numFmtId="0" fontId="50" fillId="0" borderId="65" xfId="0" applyFont="1" applyBorder="1" applyAlignment="1">
      <alignment horizontal="center" vertical="center"/>
    </xf>
    <xf numFmtId="165" fontId="50" fillId="0" borderId="67" xfId="1" applyNumberFormat="1" applyFont="1" applyBorder="1" applyAlignment="1">
      <alignment horizontal="center" vertical="center"/>
    </xf>
    <xf numFmtId="165" fontId="50" fillId="0" borderId="70" xfId="1" applyNumberFormat="1" applyFont="1" applyBorder="1" applyAlignment="1">
      <alignment horizontal="center" vertical="center"/>
    </xf>
    <xf numFmtId="165" fontId="50" fillId="0" borderId="49" xfId="1" applyNumberFormat="1" applyFont="1" applyBorder="1" applyAlignment="1">
      <alignment horizontal="center" vertical="center"/>
    </xf>
    <xf numFmtId="165" fontId="51" fillId="0" borderId="67" xfId="1" applyNumberFormat="1" applyFont="1" applyBorder="1" applyAlignment="1">
      <alignment horizontal="center" vertical="center"/>
    </xf>
    <xf numFmtId="165" fontId="51" fillId="0" borderId="63" xfId="1" applyNumberFormat="1" applyFont="1" applyBorder="1" applyAlignment="1">
      <alignment horizontal="center" vertical="center"/>
    </xf>
    <xf numFmtId="0" fontId="52" fillId="0" borderId="59" xfId="0" applyFont="1" applyBorder="1" applyAlignment="1">
      <alignment vertical="center"/>
    </xf>
    <xf numFmtId="44" fontId="51" fillId="0" borderId="12" xfId="0" applyNumberFormat="1" applyFont="1" applyBorder="1" applyAlignment="1">
      <alignment horizontal="center" vertical="center"/>
    </xf>
    <xf numFmtId="6" fontId="11" fillId="7" borderId="22" xfId="0" applyNumberFormat="1" applyFont="1" applyFill="1" applyBorder="1" applyAlignment="1">
      <alignment horizontal="center" vertical="center"/>
    </xf>
    <xf numFmtId="43" fontId="0" fillId="0" borderId="0" xfId="1" applyNumberFormat="1" applyFont="1"/>
    <xf numFmtId="43" fontId="55" fillId="0" borderId="0" xfId="1" applyNumberFormat="1" applyFont="1"/>
    <xf numFmtId="43" fontId="2" fillId="0" borderId="55" xfId="0" applyNumberFormat="1" applyFont="1" applyBorder="1" applyAlignment="1">
      <alignment horizontal="center" vertical="center"/>
    </xf>
    <xf numFmtId="43" fontId="29" fillId="0" borderId="0" xfId="0" applyNumberFormat="1" applyFont="1"/>
    <xf numFmtId="43" fontId="2" fillId="10" borderId="64" xfId="0" applyNumberFormat="1" applyFont="1" applyFill="1" applyBorder="1" applyAlignment="1">
      <alignment horizontal="center" vertical="center"/>
    </xf>
    <xf numFmtId="43" fontId="2" fillId="10" borderId="25" xfId="0" applyNumberFormat="1" applyFont="1" applyFill="1" applyBorder="1" applyAlignment="1">
      <alignment horizontal="center" vertical="center"/>
    </xf>
    <xf numFmtId="43" fontId="2" fillId="10" borderId="72" xfId="0" applyNumberFormat="1" applyFont="1" applyFill="1" applyBorder="1" applyAlignment="1">
      <alignment horizontal="center" vertical="center"/>
    </xf>
    <xf numFmtId="165" fontId="23" fillId="0" borderId="1" xfId="1" applyNumberFormat="1" applyFont="1" applyBorder="1" applyAlignment="1">
      <alignment horizontal="center" vertical="center"/>
    </xf>
    <xf numFmtId="165" fontId="23" fillId="0" borderId="19" xfId="1" applyNumberFormat="1" applyFont="1" applyBorder="1" applyAlignment="1">
      <alignment horizontal="center" vertical="center"/>
    </xf>
    <xf numFmtId="44" fontId="35" fillId="0" borderId="70" xfId="0" applyNumberFormat="1" applyFont="1" applyBorder="1" applyAlignment="1">
      <alignment horizontal="center" vertical="center"/>
    </xf>
    <xf numFmtId="165" fontId="41" fillId="0" borderId="19" xfId="1" applyNumberFormat="1" applyFont="1" applyBorder="1" applyAlignment="1">
      <alignment horizontal="center" vertical="center"/>
    </xf>
    <xf numFmtId="0" fontId="10" fillId="0" borderId="59" xfId="0" applyFont="1" applyBorder="1" applyAlignment="1">
      <alignment vertical="center"/>
    </xf>
    <xf numFmtId="43" fontId="55" fillId="20" borderId="0" xfId="1" applyNumberFormat="1" applyFont="1" applyFill="1"/>
    <xf numFmtId="0" fontId="10" fillId="0" borderId="26" xfId="0" applyFont="1" applyBorder="1" applyAlignment="1">
      <alignment horizontal="center" vertical="center"/>
    </xf>
    <xf numFmtId="165" fontId="19" fillId="0" borderId="27" xfId="1" applyNumberFormat="1" applyFont="1" applyBorder="1" applyAlignment="1">
      <alignment horizontal="center" vertical="center"/>
    </xf>
    <xf numFmtId="165" fontId="19" fillId="0" borderId="27" xfId="1" applyNumberFormat="1" applyFont="1" applyFill="1" applyBorder="1" applyAlignment="1">
      <alignment horizontal="center" vertical="center"/>
    </xf>
    <xf numFmtId="0" fontId="12" fillId="19" borderId="30" xfId="0" applyFont="1" applyFill="1" applyBorder="1" applyAlignment="1">
      <alignment horizontal="center" vertical="center"/>
    </xf>
    <xf numFmtId="165" fontId="23" fillId="19" borderId="3" xfId="1" applyNumberFormat="1" applyFont="1" applyFill="1" applyBorder="1" applyAlignment="1">
      <alignment horizontal="center" vertical="center"/>
    </xf>
    <xf numFmtId="165" fontId="23" fillId="19" borderId="45" xfId="1" applyNumberFormat="1" applyFont="1" applyFill="1" applyBorder="1" applyAlignment="1">
      <alignment horizontal="center" vertical="center"/>
    </xf>
    <xf numFmtId="165" fontId="41" fillId="19" borderId="31" xfId="1" applyNumberFormat="1" applyFont="1" applyFill="1" applyBorder="1" applyAlignment="1">
      <alignment horizontal="center" vertical="center"/>
    </xf>
    <xf numFmtId="0" fontId="56" fillId="0" borderId="0" xfId="0" applyFont="1"/>
    <xf numFmtId="43" fontId="57" fillId="20" borderId="0" xfId="1" applyNumberFormat="1" applyFont="1" applyFill="1"/>
    <xf numFmtId="43" fontId="24" fillId="20" borderId="0" xfId="1" applyNumberFormat="1" applyFont="1" applyFill="1"/>
    <xf numFmtId="43" fontId="0" fillId="20" borderId="0" xfId="1" applyNumberFormat="1" applyFont="1" applyFill="1"/>
    <xf numFmtId="43" fontId="24" fillId="21" borderId="0" xfId="1" applyNumberFormat="1" applyFont="1" applyFill="1"/>
    <xf numFmtId="43" fontId="57" fillId="21" borderId="0" xfId="1" applyNumberFormat="1" applyFont="1" applyFill="1"/>
    <xf numFmtId="43" fontId="55" fillId="0" borderId="0" xfId="1" applyNumberFormat="1" applyFont="1" applyFill="1"/>
    <xf numFmtId="0" fontId="3" fillId="3" borderId="4" xfId="0" applyFont="1" applyFill="1" applyBorder="1" applyAlignment="1">
      <alignment vertical="center"/>
    </xf>
    <xf numFmtId="43" fontId="5" fillId="8" borderId="4" xfId="0" applyNumberFormat="1" applyFont="1" applyFill="1" applyBorder="1" applyAlignment="1">
      <alignment horizontal="center" vertical="center"/>
    </xf>
    <xf numFmtId="44" fontId="30" fillId="7" borderId="4" xfId="0" applyNumberFormat="1" applyFont="1" applyFill="1" applyBorder="1" applyAlignment="1">
      <alignment horizontal="center" vertical="center"/>
    </xf>
    <xf numFmtId="0" fontId="29" fillId="19" borderId="0" xfId="0" applyFont="1" applyFill="1" applyAlignment="1">
      <alignment horizontal="center" vertical="center"/>
    </xf>
    <xf numFmtId="43" fontId="29" fillId="8" borderId="32" xfId="0" applyNumberFormat="1" applyFont="1" applyFill="1" applyBorder="1" applyAlignment="1">
      <alignment horizontal="center" vertical="center"/>
    </xf>
    <xf numFmtId="43" fontId="29" fillId="18" borderId="4" xfId="0" applyNumberFormat="1" applyFont="1" applyFill="1" applyBorder="1" applyAlignment="1">
      <alignment horizontal="center" vertical="center"/>
    </xf>
    <xf numFmtId="43" fontId="30" fillId="8" borderId="15" xfId="0" applyNumberFormat="1" applyFont="1" applyFill="1" applyBorder="1" applyAlignment="1">
      <alignment horizontal="center" vertical="center"/>
    </xf>
    <xf numFmtId="43" fontId="5" fillId="7" borderId="70" xfId="0" applyNumberFormat="1" applyFont="1" applyFill="1" applyBorder="1" applyAlignment="1">
      <alignment horizontal="center" vertical="center"/>
    </xf>
    <xf numFmtId="43" fontId="5" fillId="25" borderId="4" xfId="0" applyNumberFormat="1" applyFont="1" applyFill="1" applyBorder="1" applyAlignment="1">
      <alignment horizontal="center" vertical="center"/>
    </xf>
    <xf numFmtId="44" fontId="29" fillId="0" borderId="36" xfId="0" applyNumberFormat="1" applyFont="1" applyBorder="1" applyAlignment="1">
      <alignment horizontal="center" vertical="center"/>
    </xf>
    <xf numFmtId="43" fontId="2" fillId="6" borderId="63" xfId="0" applyNumberFormat="1" applyFont="1" applyFill="1" applyBorder="1" applyAlignment="1">
      <alignment horizontal="center" vertical="center"/>
    </xf>
    <xf numFmtId="0" fontId="5" fillId="0" borderId="26" xfId="0" applyFont="1" applyBorder="1" applyAlignment="1">
      <alignment horizontal="center" vertical="center"/>
    </xf>
    <xf numFmtId="0" fontId="2" fillId="0" borderId="80" xfId="0" applyFont="1" applyBorder="1" applyAlignment="1">
      <alignment horizontal="center" vertical="center"/>
    </xf>
    <xf numFmtId="0" fontId="2" fillId="2" borderId="40" xfId="0" applyFont="1" applyFill="1" applyBorder="1" applyAlignment="1">
      <alignment horizontal="center" vertical="center"/>
    </xf>
    <xf numFmtId="0" fontId="10" fillId="19" borderId="1" xfId="0" applyFont="1" applyFill="1" applyBorder="1" applyAlignment="1">
      <alignment horizontal="center" vertical="center"/>
    </xf>
    <xf numFmtId="0" fontId="56" fillId="0" borderId="0" xfId="0" applyFont="1" applyAlignment="1">
      <alignment horizontal="center" vertical="center"/>
    </xf>
    <xf numFmtId="43" fontId="56" fillId="8" borderId="35" xfId="0" applyNumberFormat="1" applyFont="1" applyFill="1" applyBorder="1" applyAlignment="1">
      <alignment horizontal="center" vertical="center"/>
    </xf>
    <xf numFmtId="43" fontId="58" fillId="8" borderId="35" xfId="0" applyNumberFormat="1" applyFont="1" applyFill="1" applyBorder="1" applyAlignment="1">
      <alignment horizontal="center" vertical="center"/>
    </xf>
    <xf numFmtId="165" fontId="56" fillId="7" borderId="36" xfId="1" applyNumberFormat="1" applyFont="1" applyFill="1" applyBorder="1" applyAlignment="1">
      <alignment horizontal="center" vertical="center"/>
    </xf>
    <xf numFmtId="0" fontId="56" fillId="7" borderId="36" xfId="0" applyFont="1" applyFill="1" applyBorder="1" applyAlignment="1">
      <alignment horizontal="center" vertical="center"/>
    </xf>
    <xf numFmtId="43" fontId="58" fillId="7" borderId="34" xfId="0" applyNumberFormat="1" applyFont="1" applyFill="1" applyBorder="1" applyAlignment="1">
      <alignment horizontal="center" vertical="center"/>
    </xf>
    <xf numFmtId="2" fontId="29" fillId="7" borderId="4" xfId="0" applyNumberFormat="1" applyFont="1" applyFill="1" applyBorder="1" applyAlignment="1">
      <alignment horizontal="center" vertical="center"/>
    </xf>
    <xf numFmtId="2" fontId="29" fillId="7" borderId="36" xfId="0" applyNumberFormat="1" applyFont="1" applyFill="1" applyBorder="1" applyAlignment="1">
      <alignment horizontal="center" vertical="center"/>
    </xf>
    <xf numFmtId="0" fontId="27" fillId="0" borderId="0" xfId="0" applyFont="1" applyAlignment="1">
      <alignment horizontal="center"/>
    </xf>
    <xf numFmtId="0" fontId="0" fillId="0" borderId="33" xfId="0" applyBorder="1"/>
    <xf numFmtId="43" fontId="30" fillId="8" borderId="35" xfId="0" applyNumberFormat="1" applyFont="1" applyFill="1" applyBorder="1"/>
    <xf numFmtId="0" fontId="30" fillId="8" borderId="35" xfId="0" applyFont="1" applyFill="1" applyBorder="1" applyAlignment="1">
      <alignment horizontal="center"/>
    </xf>
    <xf numFmtId="0" fontId="30" fillId="8" borderId="33" xfId="0" applyFont="1" applyFill="1" applyBorder="1" applyAlignment="1">
      <alignment horizontal="center"/>
    </xf>
    <xf numFmtId="0" fontId="2" fillId="19" borderId="76" xfId="0" applyFont="1" applyFill="1" applyBorder="1" applyAlignment="1">
      <alignment horizontal="center" vertical="center"/>
    </xf>
    <xf numFmtId="0" fontId="2" fillId="19" borderId="61" xfId="0" applyFont="1" applyFill="1" applyBorder="1" applyAlignment="1">
      <alignment horizontal="center" vertical="center"/>
    </xf>
    <xf numFmtId="0" fontId="16" fillId="19" borderId="0" xfId="0" applyFont="1" applyFill="1" applyAlignment="1">
      <alignment horizontal="center" vertical="center"/>
    </xf>
    <xf numFmtId="0" fontId="0" fillId="19" borderId="0" xfId="0" applyFill="1"/>
    <xf numFmtId="0" fontId="2" fillId="14" borderId="1" xfId="0" applyFont="1" applyFill="1" applyBorder="1" applyAlignment="1">
      <alignment horizontal="center" vertical="center"/>
    </xf>
    <xf numFmtId="0" fontId="2" fillId="14" borderId="58" xfId="0" applyFont="1" applyFill="1" applyBorder="1" applyAlignment="1">
      <alignment horizontal="center" vertical="center"/>
    </xf>
    <xf numFmtId="0" fontId="29" fillId="0" borderId="56" xfId="0" applyFont="1" applyBorder="1"/>
    <xf numFmtId="0" fontId="4" fillId="2" borderId="44" xfId="0" applyFont="1" applyFill="1" applyBorder="1" applyAlignment="1">
      <alignment horizontal="center" vertical="center"/>
    </xf>
    <xf numFmtId="0" fontId="10" fillId="0" borderId="57" xfId="0" applyFont="1" applyBorder="1" applyAlignment="1">
      <alignment horizontal="center" vertical="center"/>
    </xf>
    <xf numFmtId="43" fontId="59" fillId="8" borderId="4" xfId="0" applyNumberFormat="1" applyFont="1" applyFill="1" applyBorder="1" applyAlignment="1">
      <alignment horizontal="center" vertical="center"/>
    </xf>
    <xf numFmtId="43" fontId="59" fillId="8" borderId="28" xfId="0" applyNumberFormat="1" applyFont="1" applyFill="1" applyBorder="1" applyAlignment="1">
      <alignment horizontal="center" vertical="center"/>
    </xf>
    <xf numFmtId="43" fontId="58" fillId="7" borderId="4" xfId="0" applyNumberFormat="1" applyFont="1" applyFill="1" applyBorder="1" applyAlignment="1">
      <alignment horizontal="center" vertical="center"/>
    </xf>
    <xf numFmtId="0" fontId="0" fillId="0" borderId="81" xfId="0" applyBorder="1"/>
    <xf numFmtId="0" fontId="0" fillId="0" borderId="82" xfId="0" applyBorder="1"/>
    <xf numFmtId="0" fontId="0" fillId="0" borderId="83" xfId="0" applyBorder="1"/>
    <xf numFmtId="43" fontId="6" fillId="7" borderId="4" xfId="0" applyNumberFormat="1" applyFont="1" applyFill="1" applyBorder="1"/>
    <xf numFmtId="0" fontId="2" fillId="8" borderId="71" xfId="0" applyFont="1" applyFill="1" applyBorder="1" applyAlignment="1">
      <alignment horizontal="center" vertical="center"/>
    </xf>
    <xf numFmtId="43" fontId="2" fillId="8" borderId="71" xfId="0" applyNumberFormat="1" applyFont="1" applyFill="1" applyBorder="1" applyAlignment="1">
      <alignment horizontal="center" vertical="center"/>
    </xf>
    <xf numFmtId="43" fontId="2" fillId="8" borderId="24" xfId="0" applyNumberFormat="1" applyFont="1" applyFill="1" applyBorder="1" applyAlignment="1">
      <alignment horizontal="center" vertical="center"/>
    </xf>
    <xf numFmtId="0" fontId="0" fillId="19" borderId="84" xfId="0" applyFill="1" applyBorder="1"/>
    <xf numFmtId="0" fontId="0" fillId="0" borderId="84" xfId="0" applyBorder="1"/>
    <xf numFmtId="0" fontId="0" fillId="19" borderId="85" xfId="0" applyFill="1" applyBorder="1"/>
    <xf numFmtId="0" fontId="2" fillId="8" borderId="86" xfId="0" applyFont="1" applyFill="1" applyBorder="1" applyAlignment="1">
      <alignment horizontal="center" vertical="center"/>
    </xf>
    <xf numFmtId="0" fontId="2" fillId="8" borderId="87" xfId="0" applyFont="1" applyFill="1" applyBorder="1" applyAlignment="1">
      <alignment horizontal="center" vertical="center"/>
    </xf>
    <xf numFmtId="0" fontId="0" fillId="19" borderId="88" xfId="0" applyFill="1" applyBorder="1"/>
    <xf numFmtId="43" fontId="5" fillId="8" borderId="89" xfId="0" applyNumberFormat="1" applyFont="1" applyFill="1" applyBorder="1" applyAlignment="1">
      <alignment horizontal="center" vertical="center"/>
    </xf>
    <xf numFmtId="0" fontId="4" fillId="0" borderId="2" xfId="0" applyFont="1" applyBorder="1" applyAlignment="1">
      <alignment horizontal="center" vertical="center"/>
    </xf>
    <xf numFmtId="0" fontId="4" fillId="6" borderId="1" xfId="0" applyFont="1" applyFill="1" applyBorder="1" applyAlignment="1">
      <alignment horizontal="center" vertical="center"/>
    </xf>
    <xf numFmtId="43" fontId="4" fillId="6" borderId="1" xfId="0" applyNumberFormat="1" applyFont="1" applyFill="1" applyBorder="1" applyAlignment="1">
      <alignment horizontal="center" vertical="center"/>
    </xf>
    <xf numFmtId="43" fontId="2" fillId="0" borderId="31" xfId="0" applyNumberFormat="1" applyFont="1" applyBorder="1" applyAlignment="1">
      <alignment horizontal="center" vertical="center"/>
    </xf>
    <xf numFmtId="0" fontId="29" fillId="0" borderId="46" xfId="0" applyFont="1" applyBorder="1" applyAlignment="1">
      <alignment horizontal="center" vertical="center" wrapText="1"/>
    </xf>
    <xf numFmtId="43" fontId="29" fillId="7" borderId="42" xfId="0" applyNumberFormat="1" applyFont="1" applyFill="1" applyBorder="1" applyAlignment="1">
      <alignment horizontal="center" vertical="center"/>
    </xf>
    <xf numFmtId="43" fontId="30" fillId="8" borderId="32" xfId="0" applyNumberFormat="1" applyFont="1" applyFill="1" applyBorder="1" applyAlignment="1">
      <alignment horizontal="center" vertical="center"/>
    </xf>
    <xf numFmtId="0" fontId="60" fillId="0" borderId="0" xfId="0" applyFont="1"/>
    <xf numFmtId="0" fontId="60" fillId="0" borderId="0" xfId="0" applyFont="1" applyAlignment="1">
      <alignment horizontal="center" vertical="center"/>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52" xfId="0" applyFont="1" applyFill="1" applyBorder="1" applyAlignment="1">
      <alignment horizontal="center" vertical="center" wrapText="1"/>
    </xf>
    <xf numFmtId="0" fontId="2" fillId="15" borderId="26" xfId="0" applyFont="1" applyFill="1" applyBorder="1" applyAlignment="1">
      <alignment horizontal="center" vertical="center"/>
    </xf>
    <xf numFmtId="0" fontId="2" fillId="15" borderId="27" xfId="0" applyFont="1" applyFill="1" applyBorder="1" applyAlignment="1">
      <alignment horizontal="center" vertical="center"/>
    </xf>
    <xf numFmtId="0" fontId="2" fillId="15" borderId="26" xfId="0" applyFont="1" applyFill="1" applyBorder="1" applyAlignment="1">
      <alignment horizontal="center"/>
    </xf>
    <xf numFmtId="0" fontId="2" fillId="15" borderId="27" xfId="0" applyFont="1" applyFill="1" applyBorder="1" applyAlignment="1">
      <alignment horizontal="center"/>
    </xf>
    <xf numFmtId="0" fontId="2" fillId="15" borderId="28" xfId="0" applyFont="1" applyFill="1" applyBorder="1" applyAlignment="1">
      <alignment horizontal="center"/>
    </xf>
    <xf numFmtId="0" fontId="61" fillId="0" borderId="0" xfId="0" applyFont="1"/>
    <xf numFmtId="0" fontId="2" fillId="0" borderId="45" xfId="0" applyFont="1" applyBorder="1" applyAlignment="1">
      <alignment horizontal="center" vertical="center"/>
    </xf>
    <xf numFmtId="44" fontId="29" fillId="7" borderId="36" xfId="0" applyNumberFormat="1" applyFont="1" applyFill="1" applyBorder="1" applyAlignment="1">
      <alignment horizontal="center" vertical="center"/>
    </xf>
    <xf numFmtId="0" fontId="61" fillId="0" borderId="0" xfId="0" applyFont="1" applyAlignment="1">
      <alignment horizontal="center" vertical="center"/>
    </xf>
    <xf numFmtId="43" fontId="61" fillId="0" borderId="0" xfId="0" applyNumberFormat="1" applyFont="1" applyAlignment="1">
      <alignment horizontal="center" vertical="center"/>
    </xf>
    <xf numFmtId="43" fontId="61" fillId="8" borderId="17" xfId="0" applyNumberFormat="1" applyFont="1" applyFill="1" applyBorder="1" applyAlignment="1">
      <alignment horizontal="center" vertical="center"/>
    </xf>
    <xf numFmtId="43" fontId="61" fillId="8" borderId="35" xfId="0" applyNumberFormat="1" applyFont="1" applyFill="1" applyBorder="1" applyAlignment="1">
      <alignment horizontal="center" vertical="center"/>
    </xf>
    <xf numFmtId="43" fontId="62" fillId="8" borderId="35" xfId="0" applyNumberFormat="1" applyFont="1" applyFill="1" applyBorder="1" applyAlignment="1">
      <alignment horizontal="center" vertical="center"/>
    </xf>
    <xf numFmtId="43" fontId="62" fillId="8" borderId="17" xfId="0" applyNumberFormat="1" applyFont="1" applyFill="1" applyBorder="1" applyAlignment="1">
      <alignment horizontal="center" vertical="center"/>
    </xf>
    <xf numFmtId="0" fontId="61" fillId="7" borderId="34" xfId="0" applyFont="1" applyFill="1" applyBorder="1" applyAlignment="1">
      <alignment horizontal="center" vertical="center"/>
    </xf>
    <xf numFmtId="165" fontId="61" fillId="7" borderId="36" xfId="1" applyNumberFormat="1" applyFont="1" applyFill="1" applyBorder="1" applyAlignment="1">
      <alignment horizontal="center" vertical="center"/>
    </xf>
    <xf numFmtId="0" fontId="61" fillId="7" borderId="36" xfId="0" applyFont="1" applyFill="1" applyBorder="1" applyAlignment="1">
      <alignment horizontal="center" vertical="center"/>
    </xf>
    <xf numFmtId="43" fontId="62" fillId="7" borderId="34" xfId="0" applyNumberFormat="1" applyFont="1" applyFill="1" applyBorder="1" applyAlignment="1">
      <alignment horizontal="center" vertical="center"/>
    </xf>
    <xf numFmtId="43" fontId="2" fillId="19" borderId="22" xfId="0" applyNumberFormat="1" applyFont="1" applyFill="1" applyBorder="1" applyAlignment="1">
      <alignment horizontal="center" vertical="center"/>
    </xf>
    <xf numFmtId="43" fontId="30" fillId="0" borderId="4" xfId="0" applyNumberFormat="1" applyFont="1" applyBorder="1" applyAlignment="1">
      <alignment horizontal="center" vertical="center"/>
    </xf>
    <xf numFmtId="43" fontId="30" fillId="8" borderId="26" xfId="0" applyNumberFormat="1" applyFont="1" applyFill="1" applyBorder="1" applyAlignment="1">
      <alignment horizontal="center" vertical="center"/>
    </xf>
    <xf numFmtId="43" fontId="29" fillId="0" borderId="1" xfId="0" applyNumberFormat="1" applyFont="1" applyBorder="1"/>
    <xf numFmtId="0" fontId="29" fillId="0" borderId="59" xfId="0" applyFont="1" applyBorder="1" applyAlignment="1">
      <alignment horizontal="center" vertical="center"/>
    </xf>
    <xf numFmtId="43" fontId="2" fillId="19" borderId="1" xfId="0" applyNumberFormat="1" applyFont="1" applyFill="1" applyBorder="1" applyAlignment="1">
      <alignment horizontal="center" vertical="center"/>
    </xf>
    <xf numFmtId="0" fontId="0" fillId="24" borderId="40" xfId="0" applyFill="1" applyBorder="1"/>
    <xf numFmtId="43" fontId="11" fillId="7" borderId="1" xfId="0" applyNumberFormat="1" applyFont="1" applyFill="1" applyBorder="1" applyAlignment="1">
      <alignment horizontal="center" vertical="center"/>
    </xf>
    <xf numFmtId="43" fontId="5" fillId="8" borderId="1" xfId="0" applyNumberFormat="1" applyFont="1" applyFill="1" applyBorder="1" applyAlignment="1">
      <alignment horizontal="center" vertical="center"/>
    </xf>
    <xf numFmtId="43" fontId="2" fillId="24" borderId="19" xfId="0" applyNumberFormat="1" applyFont="1" applyFill="1" applyBorder="1"/>
    <xf numFmtId="43" fontId="30" fillId="24" borderId="4" xfId="0" applyNumberFormat="1" applyFont="1" applyFill="1" applyBorder="1"/>
    <xf numFmtId="0" fontId="3" fillId="3" borderId="59" xfId="0" applyFont="1" applyFill="1" applyBorder="1" applyAlignment="1">
      <alignment horizontal="center" vertical="center"/>
    </xf>
    <xf numFmtId="0" fontId="3" fillId="3" borderId="0" xfId="0" applyFont="1" applyFill="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56" xfId="0" applyFont="1" applyFill="1" applyBorder="1" applyAlignment="1">
      <alignment horizontal="center" vertical="center"/>
    </xf>
    <xf numFmtId="0" fontId="42" fillId="3" borderId="13" xfId="0" applyFont="1" applyFill="1" applyBorder="1" applyAlignment="1">
      <alignment horizontal="center" vertical="center"/>
    </xf>
    <xf numFmtId="0" fontId="42" fillId="3" borderId="14" xfId="0" applyFont="1" applyFill="1" applyBorder="1" applyAlignment="1">
      <alignment horizontal="center" vertical="center"/>
    </xf>
    <xf numFmtId="0" fontId="42" fillId="3" borderId="15" xfId="0" applyFont="1" applyFill="1" applyBorder="1" applyAlignment="1">
      <alignment horizontal="center" vertical="center"/>
    </xf>
    <xf numFmtId="0" fontId="4" fillId="2" borderId="71" xfId="0" applyFont="1" applyFill="1" applyBorder="1" applyAlignment="1">
      <alignment horizontal="center" vertical="center" wrapText="1"/>
    </xf>
    <xf numFmtId="0" fontId="4" fillId="2" borderId="10"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4" fillId="2" borderId="74" xfId="0" applyFont="1" applyFill="1" applyBorder="1" applyAlignment="1">
      <alignment horizontal="center" vertical="center" wrapText="1"/>
    </xf>
    <xf numFmtId="0" fontId="4" fillId="2" borderId="68" xfId="0" applyFont="1" applyFill="1" applyBorder="1" applyAlignment="1">
      <alignment horizontal="center" vertical="center"/>
    </xf>
    <xf numFmtId="0" fontId="6" fillId="0" borderId="4" xfId="0" applyFont="1" applyBorder="1" applyAlignment="1">
      <alignment horizontal="center" vertical="center"/>
    </xf>
    <xf numFmtId="0" fontId="2" fillId="0" borderId="4" xfId="0" applyFont="1" applyBorder="1" applyAlignment="1">
      <alignment horizontal="center"/>
    </xf>
    <xf numFmtId="43" fontId="2" fillId="6" borderId="4" xfId="0" applyNumberFormat="1" applyFont="1" applyFill="1" applyBorder="1"/>
    <xf numFmtId="0" fontId="2" fillId="19" borderId="33" xfId="0" applyFont="1" applyFill="1" applyBorder="1" applyAlignment="1">
      <alignment horizontal="center" vertical="center"/>
    </xf>
    <xf numFmtId="0" fontId="2" fillId="19" borderId="4" xfId="0" applyFont="1" applyFill="1" applyBorder="1" applyAlignment="1">
      <alignment horizontal="center" vertical="center"/>
    </xf>
    <xf numFmtId="0" fontId="4" fillId="19" borderId="27" xfId="0" applyFont="1" applyFill="1" applyBorder="1" applyAlignment="1">
      <alignment horizontal="center" vertical="center"/>
    </xf>
    <xf numFmtId="0" fontId="16" fillId="0" borderId="4" xfId="0" applyFont="1" applyBorder="1" applyAlignment="1">
      <alignment horizontal="center"/>
    </xf>
    <xf numFmtId="43" fontId="2" fillId="0" borderId="4" xfId="0" applyNumberFormat="1" applyFont="1" applyBorder="1"/>
    <xf numFmtId="0" fontId="2" fillId="15" borderId="69" xfId="0" applyFont="1" applyFill="1" applyBorder="1" applyAlignment="1">
      <alignment horizontal="center" vertical="center"/>
    </xf>
    <xf numFmtId="0" fontId="2" fillId="19" borderId="32" xfId="0" applyFont="1" applyFill="1" applyBorder="1" applyAlignment="1">
      <alignment horizontal="center" vertical="center"/>
    </xf>
    <xf numFmtId="0" fontId="2" fillId="2" borderId="38" xfId="0" applyFont="1" applyFill="1" applyBorder="1" applyAlignment="1">
      <alignment horizontal="center" vertical="center"/>
    </xf>
    <xf numFmtId="43" fontId="2" fillId="6" borderId="4" xfId="2" applyNumberFormat="1" applyFont="1" applyFill="1" applyBorder="1" applyAlignment="1">
      <alignment horizontal="center" vertical="center"/>
    </xf>
    <xf numFmtId="0" fontId="2" fillId="0" borderId="55" xfId="0" applyFont="1" applyBorder="1" applyAlignment="1">
      <alignment horizontal="center" vertical="center" wrapText="1"/>
    </xf>
    <xf numFmtId="43" fontId="2" fillId="6" borderId="4" xfId="0" applyNumberFormat="1" applyFont="1" applyFill="1" applyBorder="1" applyAlignment="1">
      <alignment horizontal="center"/>
    </xf>
    <xf numFmtId="0" fontId="2" fillId="6" borderId="4" xfId="0" applyFont="1" applyFill="1" applyBorder="1"/>
    <xf numFmtId="43" fontId="4" fillId="6" borderId="55" xfId="0" applyNumberFormat="1" applyFont="1" applyFill="1" applyBorder="1" applyAlignment="1">
      <alignment horizontal="center" vertical="center"/>
    </xf>
    <xf numFmtId="0" fontId="2" fillId="0" borderId="32" xfId="1" applyNumberFormat="1" applyFont="1" applyFill="1" applyBorder="1" applyAlignment="1">
      <alignment horizontal="center" vertical="center"/>
    </xf>
    <xf numFmtId="43" fontId="2" fillId="6" borderId="32" xfId="0" applyNumberFormat="1" applyFont="1" applyFill="1" applyBorder="1" applyAlignment="1">
      <alignment horizontal="center" vertical="center"/>
    </xf>
    <xf numFmtId="43" fontId="2" fillId="6" borderId="32" xfId="2" applyNumberFormat="1" applyFont="1" applyFill="1" applyBorder="1" applyAlignment="1">
      <alignment horizontal="center" vertical="center"/>
    </xf>
    <xf numFmtId="0" fontId="2" fillId="22" borderId="24" xfId="0" applyFont="1" applyFill="1" applyBorder="1" applyAlignment="1">
      <alignment horizontal="center" vertical="center"/>
    </xf>
    <xf numFmtId="0" fontId="29" fillId="19" borderId="40" xfId="0" applyFont="1" applyFill="1" applyBorder="1" applyAlignment="1">
      <alignment horizontal="center" vertical="center"/>
    </xf>
    <xf numFmtId="0" fontId="12" fillId="19" borderId="57" xfId="0" applyFont="1" applyFill="1" applyBorder="1" applyAlignment="1">
      <alignment horizontal="center" vertical="center"/>
    </xf>
    <xf numFmtId="43" fontId="10" fillId="6" borderId="3" xfId="0" applyNumberFormat="1" applyFont="1" applyFill="1" applyBorder="1" applyAlignment="1">
      <alignment horizontal="center" vertical="center"/>
    </xf>
    <xf numFmtId="43" fontId="10" fillId="6" borderId="3" xfId="1" applyNumberFormat="1" applyFont="1" applyFill="1" applyBorder="1" applyAlignment="1">
      <alignment horizontal="center" vertical="center"/>
    </xf>
    <xf numFmtId="0" fontId="10" fillId="15" borderId="1" xfId="0" applyFont="1" applyFill="1" applyBorder="1" applyAlignment="1">
      <alignment horizontal="center" vertical="center"/>
    </xf>
    <xf numFmtId="0" fontId="10" fillId="15" borderId="2" xfId="0" applyFont="1" applyFill="1" applyBorder="1" applyAlignment="1">
      <alignment horizontal="center" vertical="center"/>
    </xf>
    <xf numFmtId="0" fontId="12" fillId="19" borderId="1" xfId="0" applyFont="1" applyFill="1" applyBorder="1" applyAlignment="1">
      <alignment horizontal="center" vertical="center"/>
    </xf>
    <xf numFmtId="43" fontId="12" fillId="6" borderId="1" xfId="0" applyNumberFormat="1" applyFont="1" applyFill="1" applyBorder="1" applyAlignment="1">
      <alignment horizontal="center" vertical="center" wrapText="1"/>
    </xf>
    <xf numFmtId="43" fontId="5" fillId="18" borderId="4" xfId="0" applyNumberFormat="1" applyFont="1" applyFill="1" applyBorder="1"/>
    <xf numFmtId="0" fontId="2" fillId="3" borderId="4" xfId="0" applyFont="1" applyFill="1" applyBorder="1" applyAlignment="1">
      <alignment horizontal="center" vertical="center"/>
    </xf>
    <xf numFmtId="0" fontId="0" fillId="0" borderId="56" xfId="0" applyBorder="1"/>
    <xf numFmtId="0" fontId="0" fillId="0" borderId="51" xfId="0" applyBorder="1"/>
    <xf numFmtId="0" fontId="0" fillId="3" borderId="4" xfId="0" applyFill="1" applyBorder="1"/>
    <xf numFmtId="0" fontId="4" fillId="2" borderId="45" xfId="0" applyFont="1" applyFill="1" applyBorder="1" applyAlignment="1">
      <alignment horizontal="center" vertical="center"/>
    </xf>
    <xf numFmtId="0" fontId="2" fillId="22" borderId="23" xfId="0" applyFont="1" applyFill="1" applyBorder="1" applyAlignment="1">
      <alignment horizontal="center" vertical="center"/>
    </xf>
    <xf numFmtId="0" fontId="29" fillId="0" borderId="1" xfId="0" applyFont="1" applyBorder="1" applyAlignment="1">
      <alignment horizontal="center" vertical="center" wrapText="1"/>
    </xf>
    <xf numFmtId="0" fontId="0" fillId="19" borderId="90" xfId="0" applyFill="1" applyBorder="1"/>
    <xf numFmtId="0" fontId="0" fillId="19" borderId="91" xfId="0" applyFill="1" applyBorder="1"/>
    <xf numFmtId="0" fontId="10" fillId="15" borderId="3" xfId="0" applyFont="1" applyFill="1" applyBorder="1" applyAlignment="1">
      <alignment horizontal="center" vertical="center"/>
    </xf>
    <xf numFmtId="0" fontId="2" fillId="0" borderId="41" xfId="0" applyFont="1" applyBorder="1" applyAlignment="1">
      <alignment horizontal="center" vertical="center"/>
    </xf>
    <xf numFmtId="43" fontId="2" fillId="19" borderId="41" xfId="0" applyNumberFormat="1" applyFont="1" applyFill="1" applyBorder="1" applyAlignment="1">
      <alignment horizontal="center" vertical="center"/>
    </xf>
    <xf numFmtId="0" fontId="2" fillId="2" borderId="26" xfId="0" applyFont="1" applyFill="1" applyBorder="1" applyAlignment="1">
      <alignment horizontal="center" vertical="center"/>
    </xf>
    <xf numFmtId="0" fontId="2" fillId="19" borderId="26" xfId="0" applyFont="1" applyFill="1" applyBorder="1" applyAlignment="1">
      <alignment horizontal="center" vertical="center"/>
    </xf>
    <xf numFmtId="0" fontId="4" fillId="19" borderId="4" xfId="0" applyFont="1" applyFill="1" applyBorder="1" applyAlignment="1">
      <alignment horizontal="center" vertical="center"/>
    </xf>
    <xf numFmtId="0" fontId="29" fillId="0" borderId="14" xfId="0" applyFont="1" applyBorder="1"/>
    <xf numFmtId="0" fontId="29" fillId="0" borderId="13" xfId="0" applyFont="1" applyBorder="1"/>
    <xf numFmtId="43" fontId="5" fillId="8" borderId="15" xfId="0" applyNumberFormat="1" applyFont="1" applyFill="1" applyBorder="1" applyAlignment="1">
      <alignment horizontal="center" vertical="center"/>
    </xf>
    <xf numFmtId="0" fontId="0" fillId="0" borderId="14" xfId="0" applyBorder="1"/>
    <xf numFmtId="43" fontId="5" fillId="8" borderId="3" xfId="0" applyNumberFormat="1" applyFont="1" applyFill="1" applyBorder="1" applyAlignment="1">
      <alignment horizontal="center" vertical="center"/>
    </xf>
    <xf numFmtId="43" fontId="2" fillId="24" borderId="45" xfId="0" applyNumberFormat="1" applyFont="1" applyFill="1" applyBorder="1"/>
    <xf numFmtId="43" fontId="11" fillId="7" borderId="11" xfId="0" applyNumberFormat="1" applyFont="1" applyFill="1" applyBorder="1" applyAlignment="1">
      <alignment horizontal="center" vertical="center"/>
    </xf>
    <xf numFmtId="0" fontId="0" fillId="24" borderId="12" xfId="0" applyFill="1" applyBorder="1"/>
    <xf numFmtId="0" fontId="29" fillId="0" borderId="3" xfId="0" applyFont="1" applyBorder="1" applyAlignment="1">
      <alignment horizontal="center" vertical="center" wrapText="1"/>
    </xf>
    <xf numFmtId="0" fontId="10" fillId="0" borderId="56" xfId="0" applyFont="1" applyBorder="1" applyAlignment="1">
      <alignment horizontal="center" vertical="center"/>
    </xf>
    <xf numFmtId="43" fontId="2" fillId="0" borderId="73" xfId="0" applyNumberFormat="1" applyFont="1" applyBorder="1" applyAlignment="1">
      <alignment horizontal="center" vertical="center"/>
    </xf>
    <xf numFmtId="43" fontId="6" fillId="8" borderId="15" xfId="0" applyNumberFormat="1" applyFont="1" applyFill="1" applyBorder="1" applyAlignment="1">
      <alignment horizontal="center" vertical="center"/>
    </xf>
    <xf numFmtId="0" fontId="2" fillId="0" borderId="14" xfId="0" applyFont="1" applyBorder="1"/>
    <xf numFmtId="0" fontId="2" fillId="8" borderId="2" xfId="0" applyFont="1" applyFill="1" applyBorder="1" applyAlignment="1">
      <alignment horizontal="center" vertical="center"/>
    </xf>
    <xf numFmtId="43" fontId="2" fillId="8" borderId="2" xfId="0" applyNumberFormat="1" applyFont="1" applyFill="1" applyBorder="1" applyAlignment="1">
      <alignment horizontal="center" vertical="center"/>
    </xf>
    <xf numFmtId="43" fontId="5" fillId="29" borderId="89" xfId="0" applyNumberFormat="1" applyFont="1" applyFill="1" applyBorder="1" applyAlignment="1">
      <alignment horizontal="center" vertical="center"/>
    </xf>
    <xf numFmtId="0" fontId="0" fillId="0" borderId="0" xfId="0" applyAlignment="1">
      <alignment horizontal="center" vertical="top"/>
    </xf>
    <xf numFmtId="43" fontId="5" fillId="29" borderId="25" xfId="0" applyNumberFormat="1" applyFont="1" applyFill="1" applyBorder="1" applyAlignment="1">
      <alignment horizontal="center" vertical="center"/>
    </xf>
    <xf numFmtId="43" fontId="5" fillId="29" borderId="7" xfId="0" applyNumberFormat="1" applyFont="1" applyFill="1" applyBorder="1" applyAlignment="1">
      <alignment horizontal="center" vertical="center"/>
    </xf>
    <xf numFmtId="43" fontId="30" fillId="29" borderId="4" xfId="0" applyNumberFormat="1" applyFont="1" applyFill="1" applyBorder="1"/>
    <xf numFmtId="43" fontId="5" fillId="29" borderId="22" xfId="0" applyNumberFormat="1" applyFont="1" applyFill="1" applyBorder="1" applyAlignment="1">
      <alignment horizontal="center" vertical="center"/>
    </xf>
    <xf numFmtId="43" fontId="11" fillId="29" borderId="34" xfId="0" applyNumberFormat="1" applyFont="1" applyFill="1" applyBorder="1" applyAlignment="1">
      <alignment horizontal="center" vertical="center"/>
    </xf>
    <xf numFmtId="43" fontId="5" fillId="29" borderId="15" xfId="0" applyNumberFormat="1" applyFont="1" applyFill="1" applyBorder="1" applyAlignment="1">
      <alignment horizontal="center" vertical="center"/>
    </xf>
    <xf numFmtId="0" fontId="0" fillId="0" borderId="0" xfId="0" applyAlignment="1">
      <alignment horizontal="center"/>
    </xf>
    <xf numFmtId="43" fontId="30" fillId="29" borderId="17" xfId="0" applyNumberFormat="1" applyFont="1" applyFill="1" applyBorder="1" applyAlignment="1">
      <alignment horizontal="center" vertical="center"/>
    </xf>
    <xf numFmtId="43" fontId="30" fillId="29" borderId="4" xfId="0" applyNumberFormat="1" applyFont="1" applyFill="1" applyBorder="1" applyAlignment="1">
      <alignment horizontal="center" vertical="center"/>
    </xf>
    <xf numFmtId="0" fontId="29" fillId="0" borderId="0" xfId="0" applyFont="1" applyAlignment="1">
      <alignment horizontal="center"/>
    </xf>
    <xf numFmtId="43" fontId="30" fillId="7" borderId="4" xfId="0" applyNumberFormat="1" applyFont="1" applyFill="1" applyBorder="1" applyAlignment="1">
      <alignment horizontal="center" vertical="center"/>
    </xf>
    <xf numFmtId="43" fontId="30" fillId="7" borderId="36" xfId="0" applyNumberFormat="1" applyFont="1" applyFill="1" applyBorder="1" applyAlignment="1">
      <alignment horizontal="center" vertical="center"/>
    </xf>
    <xf numFmtId="43" fontId="30" fillId="29" borderId="36" xfId="0" applyNumberFormat="1" applyFont="1" applyFill="1" applyBorder="1" applyAlignment="1">
      <alignment horizontal="center" vertical="center"/>
    </xf>
    <xf numFmtId="43" fontId="30" fillId="29" borderId="34" xfId="0" applyNumberFormat="1" applyFont="1" applyFill="1" applyBorder="1" applyAlignment="1">
      <alignment horizontal="center" vertical="center"/>
    </xf>
    <xf numFmtId="43" fontId="6" fillId="29" borderId="12" xfId="0" applyNumberFormat="1" applyFont="1" applyFill="1" applyBorder="1" applyAlignment="1">
      <alignment horizontal="center" vertical="center"/>
    </xf>
    <xf numFmtId="43" fontId="5" fillId="29" borderId="17" xfId="0" applyNumberFormat="1" applyFont="1" applyFill="1" applyBorder="1" applyAlignment="1">
      <alignment horizontal="center" vertical="center"/>
    </xf>
    <xf numFmtId="43" fontId="59" fillId="29" borderId="4" xfId="0" applyNumberFormat="1" applyFont="1" applyFill="1" applyBorder="1" applyAlignment="1">
      <alignment horizontal="center" vertical="center"/>
    </xf>
    <xf numFmtId="43" fontId="6" fillId="29" borderId="4" xfId="0" applyNumberFormat="1" applyFont="1" applyFill="1" applyBorder="1" applyAlignment="1">
      <alignment horizontal="center" vertical="center"/>
    </xf>
    <xf numFmtId="44" fontId="29" fillId="0" borderId="33" xfId="0" applyNumberFormat="1" applyFont="1" applyBorder="1" applyAlignment="1">
      <alignment horizontal="center" vertical="center"/>
    </xf>
    <xf numFmtId="44" fontId="30" fillId="29" borderId="4" xfId="0" applyNumberFormat="1" applyFont="1" applyFill="1" applyBorder="1" applyAlignment="1">
      <alignment horizontal="center" vertical="center"/>
    </xf>
    <xf numFmtId="0" fontId="29" fillId="0" borderId="61" xfId="0" applyFont="1" applyBorder="1" applyAlignment="1">
      <alignment horizontal="center" vertical="center" wrapText="1"/>
    </xf>
    <xf numFmtId="43" fontId="5" fillId="29" borderId="4" xfId="0" applyNumberFormat="1" applyFont="1" applyFill="1" applyBorder="1" applyAlignment="1">
      <alignment horizontal="center" vertical="center"/>
    </xf>
    <xf numFmtId="0" fontId="29" fillId="0" borderId="40" xfId="0" applyFont="1" applyBorder="1" applyAlignment="1">
      <alignment horizontal="center" vertical="center" wrapText="1"/>
    </xf>
    <xf numFmtId="0" fontId="2" fillId="2" borderId="71"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67" xfId="0" applyFont="1" applyFill="1" applyBorder="1" applyAlignment="1">
      <alignment horizontal="center" vertical="center"/>
    </xf>
    <xf numFmtId="0" fontId="2" fillId="2" borderId="59" xfId="0" applyFont="1" applyFill="1" applyBorder="1" applyAlignment="1">
      <alignment horizontal="center" vertical="center"/>
    </xf>
    <xf numFmtId="0" fontId="29" fillId="0" borderId="59" xfId="0" applyFont="1" applyBorder="1"/>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28" xfId="0" applyFont="1" applyFill="1" applyBorder="1" applyAlignment="1">
      <alignment horizontal="center" vertical="center"/>
    </xf>
    <xf numFmtId="0" fontId="2" fillId="0" borderId="92" xfId="0" applyFont="1" applyBorder="1" applyAlignment="1">
      <alignment horizontal="center" vertical="center"/>
    </xf>
    <xf numFmtId="43" fontId="2" fillId="19" borderId="28" xfId="0" applyNumberFormat="1" applyFont="1" applyFill="1" applyBorder="1" applyAlignment="1">
      <alignment horizontal="center" vertical="center"/>
    </xf>
    <xf numFmtId="0" fontId="0" fillId="0" borderId="28" xfId="0" applyBorder="1" applyAlignment="1">
      <alignment horizontal="center"/>
    </xf>
    <xf numFmtId="43" fontId="2" fillId="19" borderId="4" xfId="0" applyNumberFormat="1" applyFont="1" applyFill="1" applyBorder="1" applyAlignment="1">
      <alignment horizontal="center" vertical="center"/>
    </xf>
    <xf numFmtId="43" fontId="5" fillId="0" borderId="19" xfId="0" applyNumberFormat="1" applyFont="1" applyBorder="1" applyAlignment="1">
      <alignment horizontal="center" vertical="center"/>
    </xf>
    <xf numFmtId="0" fontId="2" fillId="16" borderId="4" xfId="0" applyFont="1" applyFill="1" applyBorder="1" applyAlignment="1">
      <alignment horizontal="center" vertical="center"/>
    </xf>
    <xf numFmtId="0" fontId="2" fillId="2" borderId="9" xfId="0" applyFont="1" applyFill="1" applyBorder="1" applyAlignment="1">
      <alignment horizontal="center" vertical="center"/>
    </xf>
    <xf numFmtId="0" fontId="4" fillId="2" borderId="55" xfId="0" applyFont="1" applyFill="1" applyBorder="1" applyAlignment="1">
      <alignment horizontal="center" vertical="center"/>
    </xf>
    <xf numFmtId="0" fontId="4" fillId="2" borderId="11" xfId="0" applyFont="1" applyFill="1" applyBorder="1" applyAlignment="1">
      <alignment horizontal="center" vertical="center" wrapText="1"/>
    </xf>
    <xf numFmtId="0" fontId="4" fillId="2" borderId="42" xfId="0" applyFont="1" applyFill="1" applyBorder="1" applyAlignment="1">
      <alignment horizontal="center" vertical="center" wrapText="1"/>
    </xf>
    <xf numFmtId="43" fontId="2" fillId="6" borderId="3" xfId="0" applyNumberFormat="1" applyFont="1" applyFill="1" applyBorder="1" applyAlignment="1">
      <alignment horizontal="center" vertical="center"/>
    </xf>
    <xf numFmtId="0" fontId="4" fillId="2" borderId="6" xfId="0" applyFont="1" applyFill="1" applyBorder="1" applyAlignment="1">
      <alignment horizontal="center" vertical="center" wrapText="1"/>
    </xf>
    <xf numFmtId="0" fontId="2" fillId="2" borderId="7" xfId="0" applyFont="1" applyFill="1" applyBorder="1" applyAlignment="1">
      <alignment horizontal="center" vertical="center"/>
    </xf>
    <xf numFmtId="43" fontId="2" fillId="6" borderId="50" xfId="0" applyNumberFormat="1" applyFont="1" applyFill="1" applyBorder="1" applyAlignment="1">
      <alignment horizontal="center" vertical="center"/>
    </xf>
    <xf numFmtId="43" fontId="2" fillId="6" borderId="49" xfId="0" applyNumberFormat="1" applyFont="1" applyFill="1" applyBorder="1" applyAlignment="1">
      <alignment horizontal="center" vertical="center"/>
    </xf>
    <xf numFmtId="43" fontId="2" fillId="6" borderId="25" xfId="0" applyNumberFormat="1" applyFont="1" applyFill="1" applyBorder="1" applyAlignment="1">
      <alignment horizontal="center" vertical="center"/>
    </xf>
    <xf numFmtId="0" fontId="8" fillId="0" borderId="76" xfId="0" applyFont="1" applyBorder="1" applyAlignment="1">
      <alignment horizontal="center" vertical="center"/>
    </xf>
    <xf numFmtId="0" fontId="8" fillId="0" borderId="8" xfId="0" applyFont="1" applyBorder="1" applyAlignment="1">
      <alignment horizontal="center" vertical="center"/>
    </xf>
    <xf numFmtId="0" fontId="2" fillId="15" borderId="8" xfId="0" applyFont="1" applyFill="1" applyBorder="1" applyAlignment="1">
      <alignment horizontal="center" vertical="center"/>
    </xf>
    <xf numFmtId="43" fontId="2" fillId="19" borderId="20" xfId="0" applyNumberFormat="1" applyFont="1" applyFill="1" applyBorder="1" applyAlignment="1">
      <alignment horizontal="center" vertical="center"/>
    </xf>
    <xf numFmtId="43" fontId="2" fillId="19" borderId="5" xfId="0" applyNumberFormat="1" applyFont="1" applyFill="1" applyBorder="1" applyAlignment="1">
      <alignment horizontal="center" vertical="center"/>
    </xf>
    <xf numFmtId="43" fontId="2" fillId="19" borderId="65" xfId="0" applyNumberFormat="1" applyFont="1" applyFill="1" applyBorder="1" applyAlignment="1">
      <alignment horizontal="center" vertical="center"/>
    </xf>
    <xf numFmtId="0" fontId="4" fillId="2" borderId="62" xfId="0" applyFont="1" applyFill="1" applyBorder="1" applyAlignment="1">
      <alignment horizontal="center" vertical="center"/>
    </xf>
    <xf numFmtId="0" fontId="4" fillId="2" borderId="28" xfId="0" applyFont="1" applyFill="1" applyBorder="1" applyAlignment="1">
      <alignment horizontal="center" vertical="center"/>
    </xf>
    <xf numFmtId="0" fontId="2" fillId="6" borderId="26" xfId="0" applyFont="1" applyFill="1" applyBorder="1" applyAlignment="1">
      <alignment horizontal="center"/>
    </xf>
    <xf numFmtId="0" fontId="2" fillId="6" borderId="28" xfId="0" applyFont="1" applyFill="1" applyBorder="1" applyAlignment="1">
      <alignment horizontal="center"/>
    </xf>
    <xf numFmtId="0" fontId="4" fillId="2" borderId="5" xfId="0" applyFont="1" applyFill="1" applyBorder="1" applyAlignment="1">
      <alignment horizontal="center" vertical="center" wrapText="1"/>
    </xf>
    <xf numFmtId="43" fontId="4" fillId="4" borderId="11" xfId="0" applyNumberFormat="1" applyFont="1" applyFill="1" applyBorder="1" applyAlignment="1">
      <alignment horizontal="right" vertical="center"/>
    </xf>
    <xf numFmtId="0" fontId="4" fillId="2" borderId="33" xfId="0" applyFont="1" applyFill="1" applyBorder="1" applyAlignment="1">
      <alignment horizontal="center" vertical="center"/>
    </xf>
    <xf numFmtId="0" fontId="2" fillId="2" borderId="33" xfId="0" applyFont="1" applyFill="1" applyBorder="1" applyAlignment="1">
      <alignment horizontal="center" vertical="center"/>
    </xf>
    <xf numFmtId="0" fontId="4" fillId="2" borderId="0" xfId="0" applyFont="1" applyFill="1" applyAlignment="1">
      <alignment horizontal="center" vertical="center"/>
    </xf>
    <xf numFmtId="0" fontId="2" fillId="19" borderId="27" xfId="0" applyFont="1" applyFill="1" applyBorder="1" applyAlignment="1">
      <alignment horizontal="center" vertical="center"/>
    </xf>
    <xf numFmtId="0" fontId="29" fillId="0" borderId="1" xfId="0" applyFont="1" applyBorder="1" applyAlignment="1">
      <alignment horizontal="center"/>
    </xf>
    <xf numFmtId="9" fontId="29" fillId="0" borderId="1" xfId="0" applyNumberFormat="1" applyFont="1" applyBorder="1" applyAlignment="1">
      <alignment horizontal="center"/>
    </xf>
    <xf numFmtId="0" fontId="29" fillId="0" borderId="1" xfId="0" applyFont="1" applyBorder="1"/>
    <xf numFmtId="0" fontId="29" fillId="0" borderId="19" xfId="0" applyFont="1" applyBorder="1"/>
    <xf numFmtId="43" fontId="29" fillId="0" borderId="19" xfId="0" applyNumberFormat="1" applyFont="1" applyBorder="1"/>
    <xf numFmtId="0" fontId="29" fillId="0" borderId="57" xfId="0" applyFont="1" applyBorder="1"/>
    <xf numFmtId="0" fontId="29" fillId="19" borderId="8" xfId="0" applyFont="1" applyFill="1" applyBorder="1" applyAlignment="1">
      <alignment horizontal="center" vertical="center"/>
    </xf>
    <xf numFmtId="0" fontId="29" fillId="19" borderId="1" xfId="0" applyFont="1" applyFill="1" applyBorder="1" applyAlignment="1">
      <alignment horizontal="center" vertical="center"/>
    </xf>
    <xf numFmtId="43" fontId="29" fillId="19" borderId="9" xfId="0" applyNumberFormat="1" applyFont="1" applyFill="1" applyBorder="1" applyAlignment="1">
      <alignment horizontal="center" vertical="center"/>
    </xf>
    <xf numFmtId="0" fontId="29" fillId="0" borderId="76" xfId="0" applyFont="1" applyBorder="1" applyAlignment="1">
      <alignment horizontal="center" vertical="center"/>
    </xf>
    <xf numFmtId="43" fontId="2" fillId="0" borderId="26" xfId="0" applyNumberFormat="1" applyFont="1" applyBorder="1" applyAlignment="1">
      <alignment horizontal="center" vertical="center"/>
    </xf>
    <xf numFmtId="43" fontId="2" fillId="0" borderId="42" xfId="0" applyNumberFormat="1" applyFont="1" applyBorder="1" applyAlignment="1">
      <alignment horizontal="center" vertical="center"/>
    </xf>
    <xf numFmtId="0" fontId="2" fillId="0" borderId="57" xfId="0" applyFont="1" applyBorder="1" applyAlignment="1">
      <alignment horizontal="center" vertical="center"/>
    </xf>
    <xf numFmtId="0" fontId="2" fillId="19" borderId="53" xfId="0" applyFont="1" applyFill="1" applyBorder="1" applyAlignment="1">
      <alignment horizontal="center" vertical="center"/>
    </xf>
    <xf numFmtId="0" fontId="4" fillId="19" borderId="26" xfId="0" applyFont="1" applyFill="1" applyBorder="1" applyAlignment="1">
      <alignment horizontal="center" vertical="center"/>
    </xf>
    <xf numFmtId="43" fontId="2" fillId="19" borderId="26" xfId="0" applyNumberFormat="1" applyFont="1" applyFill="1" applyBorder="1" applyAlignment="1">
      <alignment horizontal="center" vertical="center"/>
    </xf>
    <xf numFmtId="0" fontId="2" fillId="19" borderId="28" xfId="0" applyFont="1" applyFill="1" applyBorder="1" applyAlignment="1">
      <alignment horizontal="center" vertical="center"/>
    </xf>
    <xf numFmtId="0" fontId="2" fillId="2" borderId="45" xfId="0" applyFont="1" applyFill="1" applyBorder="1" applyAlignment="1">
      <alignment horizontal="center" vertical="center"/>
    </xf>
    <xf numFmtId="0" fontId="2" fillId="4" borderId="18" xfId="0" applyFont="1" applyFill="1" applyBorder="1" applyAlignment="1">
      <alignment horizontal="right" vertical="center"/>
    </xf>
    <xf numFmtId="43" fontId="4" fillId="4" borderId="71" xfId="0" applyNumberFormat="1" applyFont="1" applyFill="1" applyBorder="1" applyAlignment="1">
      <alignment horizontal="right" vertical="center"/>
    </xf>
    <xf numFmtId="43" fontId="4" fillId="4" borderId="19" xfId="0" applyNumberFormat="1" applyFont="1" applyFill="1" applyBorder="1" applyAlignment="1">
      <alignment horizontal="right" vertical="center"/>
    </xf>
    <xf numFmtId="0" fontId="2" fillId="2" borderId="18" xfId="0" applyFont="1" applyFill="1" applyBorder="1" applyAlignment="1">
      <alignment horizontal="center" vertical="center"/>
    </xf>
    <xf numFmtId="0" fontId="2" fillId="0" borderId="57" xfId="0" applyFont="1" applyBorder="1" applyAlignment="1">
      <alignment horizontal="center" vertical="center" wrapText="1"/>
    </xf>
    <xf numFmtId="0" fontId="2" fillId="32" borderId="32" xfId="0" applyFont="1" applyFill="1" applyBorder="1" applyAlignment="1">
      <alignment horizontal="center" vertical="center"/>
    </xf>
    <xf numFmtId="43" fontId="4" fillId="32" borderId="4" xfId="0" applyNumberFormat="1" applyFont="1" applyFill="1" applyBorder="1" applyAlignment="1">
      <alignment horizontal="center" vertical="center"/>
    </xf>
    <xf numFmtId="43" fontId="4" fillId="32" borderId="28" xfId="0" applyNumberFormat="1" applyFont="1" applyFill="1" applyBorder="1" applyAlignment="1">
      <alignment horizontal="center" vertical="center"/>
    </xf>
    <xf numFmtId="0" fontId="2" fillId="33" borderId="32" xfId="0" applyFont="1" applyFill="1" applyBorder="1" applyAlignment="1">
      <alignment horizontal="center" vertical="center"/>
    </xf>
    <xf numFmtId="43" fontId="4" fillId="33" borderId="22" xfId="0" applyNumberFormat="1" applyFont="1" applyFill="1" applyBorder="1" applyAlignment="1">
      <alignment horizontal="center" vertical="center"/>
    </xf>
    <xf numFmtId="0" fontId="5" fillId="32" borderId="32" xfId="0" applyFont="1" applyFill="1" applyBorder="1" applyAlignment="1">
      <alignment horizontal="center" vertical="center"/>
    </xf>
    <xf numFmtId="0" fontId="5" fillId="32" borderId="56" xfId="0" applyFont="1" applyFill="1" applyBorder="1" applyAlignment="1">
      <alignment horizontal="center" vertical="center"/>
    </xf>
    <xf numFmtId="0" fontId="5" fillId="33" borderId="32" xfId="0" applyFont="1" applyFill="1" applyBorder="1" applyAlignment="1">
      <alignment horizontal="center" vertical="center"/>
    </xf>
    <xf numFmtId="43" fontId="4" fillId="33" borderId="4" xfId="0" applyNumberFormat="1" applyFont="1" applyFill="1" applyBorder="1" applyAlignment="1">
      <alignment horizontal="center" vertical="center"/>
    </xf>
    <xf numFmtId="0" fontId="29" fillId="19" borderId="29" xfId="0" applyFont="1" applyFill="1" applyBorder="1" applyAlignment="1">
      <alignment horizontal="center" vertical="center"/>
    </xf>
    <xf numFmtId="43" fontId="29" fillId="19" borderId="1" xfId="0" applyNumberFormat="1" applyFont="1" applyFill="1" applyBorder="1" applyAlignment="1">
      <alignment horizontal="center" vertical="center"/>
    </xf>
    <xf numFmtId="43" fontId="29" fillId="19" borderId="9" xfId="1" applyNumberFormat="1" applyFont="1" applyFill="1" applyBorder="1" applyAlignment="1">
      <alignment horizontal="center" vertical="center"/>
    </xf>
    <xf numFmtId="0" fontId="29" fillId="22" borderId="24" xfId="0" applyFont="1" applyFill="1" applyBorder="1" applyAlignment="1">
      <alignment horizontal="center" vertical="center"/>
    </xf>
    <xf numFmtId="0" fontId="29" fillId="0" borderId="75" xfId="0" applyFont="1" applyBorder="1" applyAlignment="1">
      <alignment horizontal="center" vertical="center"/>
    </xf>
    <xf numFmtId="0" fontId="29" fillId="0" borderId="44" xfId="0" applyFont="1" applyBorder="1" applyAlignment="1">
      <alignment horizontal="center" vertical="center"/>
    </xf>
    <xf numFmtId="0" fontId="29" fillId="8" borderId="86" xfId="0" applyFont="1" applyFill="1" applyBorder="1" applyAlignment="1">
      <alignment horizontal="center" vertical="center"/>
    </xf>
    <xf numFmtId="0" fontId="29" fillId="8" borderId="87" xfId="0" applyFont="1" applyFill="1" applyBorder="1" applyAlignment="1">
      <alignment horizontal="center" vertical="center"/>
    </xf>
    <xf numFmtId="43" fontId="29" fillId="8" borderId="21" xfId="0" applyNumberFormat="1" applyFont="1" applyFill="1" applyBorder="1" applyAlignment="1">
      <alignment horizontal="center" vertical="center"/>
    </xf>
    <xf numFmtId="0" fontId="27" fillId="0" borderId="0" xfId="0" applyFont="1" applyAlignment="1">
      <alignment horizontal="center" vertical="top"/>
    </xf>
    <xf numFmtId="43" fontId="30" fillId="18" borderId="4" xfId="0" applyNumberFormat="1" applyFont="1" applyFill="1" applyBorder="1"/>
    <xf numFmtId="0" fontId="0" fillId="35" borderId="0" xfId="0" applyFill="1"/>
    <xf numFmtId="43" fontId="38" fillId="7" borderId="73" xfId="0" applyNumberFormat="1" applyFont="1" applyFill="1" applyBorder="1" applyAlignment="1">
      <alignment horizontal="center" vertical="center"/>
    </xf>
    <xf numFmtId="43" fontId="39" fillId="7" borderId="22" xfId="0" applyNumberFormat="1" applyFont="1" applyFill="1" applyBorder="1" applyAlignment="1">
      <alignment horizontal="center" vertical="center"/>
    </xf>
    <xf numFmtId="0" fontId="5" fillId="0" borderId="62" xfId="0" applyFont="1" applyBorder="1" applyAlignment="1">
      <alignment horizontal="center" vertical="center"/>
    </xf>
    <xf numFmtId="43" fontId="2" fillId="6" borderId="62" xfId="0" applyNumberFormat="1" applyFont="1" applyFill="1" applyBorder="1" applyAlignment="1">
      <alignment horizontal="center" vertical="center"/>
    </xf>
    <xf numFmtId="43" fontId="2" fillId="6" borderId="60" xfId="0" applyNumberFormat="1" applyFont="1" applyFill="1" applyBorder="1" applyAlignment="1">
      <alignment horizontal="center" vertical="center"/>
    </xf>
    <xf numFmtId="43" fontId="2" fillId="6" borderId="35" xfId="0" applyNumberFormat="1" applyFont="1" applyFill="1" applyBorder="1" applyAlignment="1">
      <alignment horizontal="center" vertical="center"/>
    </xf>
    <xf numFmtId="43" fontId="2" fillId="6" borderId="71" xfId="0" applyNumberFormat="1" applyFont="1" applyFill="1" applyBorder="1" applyAlignment="1">
      <alignment horizontal="center" vertical="center"/>
    </xf>
    <xf numFmtId="43" fontId="2" fillId="6" borderId="36" xfId="0" applyNumberFormat="1" applyFont="1" applyFill="1" applyBorder="1" applyAlignment="1">
      <alignment horizontal="center" vertical="center"/>
    </xf>
    <xf numFmtId="43" fontId="27" fillId="0" borderId="0" xfId="0" applyNumberFormat="1" applyFont="1"/>
    <xf numFmtId="0" fontId="29" fillId="19" borderId="3" xfId="0" applyFont="1" applyFill="1" applyBorder="1" applyAlignment="1">
      <alignment horizontal="center" vertical="center"/>
    </xf>
    <xf numFmtId="0" fontId="29" fillId="0" borderId="54" xfId="0" applyFont="1" applyBorder="1" applyAlignment="1">
      <alignment horizontal="center" vertical="center"/>
    </xf>
    <xf numFmtId="43" fontId="29" fillId="19" borderId="45" xfId="0" applyNumberFormat="1" applyFont="1" applyFill="1" applyBorder="1" applyAlignment="1">
      <alignment horizontal="center" vertical="center"/>
    </xf>
    <xf numFmtId="43" fontId="29" fillId="19" borderId="31" xfId="0" applyNumberFormat="1" applyFont="1" applyFill="1" applyBorder="1" applyAlignment="1">
      <alignment horizontal="center" vertical="center"/>
    </xf>
    <xf numFmtId="43" fontId="31" fillId="8" borderId="7" xfId="0" applyNumberFormat="1" applyFont="1" applyFill="1" applyBorder="1" applyAlignment="1">
      <alignment horizontal="center" vertical="center"/>
    </xf>
    <xf numFmtId="0" fontId="29" fillId="17" borderId="36" xfId="0" applyFont="1" applyFill="1" applyBorder="1" applyAlignment="1">
      <alignment horizontal="center" vertical="center"/>
    </xf>
    <xf numFmtId="43" fontId="31" fillId="7" borderId="12" xfId="0" applyNumberFormat="1" applyFont="1" applyFill="1" applyBorder="1" applyAlignment="1">
      <alignment horizontal="center" vertical="center"/>
    </xf>
    <xf numFmtId="43" fontId="30" fillId="25" borderId="25" xfId="0" applyNumberFormat="1" applyFont="1" applyFill="1" applyBorder="1" applyAlignment="1">
      <alignment horizontal="center" vertical="center"/>
    </xf>
    <xf numFmtId="43" fontId="30" fillId="29" borderId="4" xfId="0" applyNumberFormat="1" applyFont="1" applyFill="1" applyBorder="1" applyAlignment="1">
      <alignment horizontal="center"/>
    </xf>
    <xf numFmtId="43" fontId="30" fillId="29" borderId="33" xfId="0" applyNumberFormat="1" applyFont="1" applyFill="1" applyBorder="1" applyAlignment="1">
      <alignment horizontal="center" vertical="center"/>
    </xf>
    <xf numFmtId="0" fontId="2" fillId="19" borderId="62" xfId="0" applyFont="1" applyFill="1" applyBorder="1" applyAlignment="1">
      <alignment horizontal="center" vertical="center"/>
    </xf>
    <xf numFmtId="0" fontId="29" fillId="14" borderId="58" xfId="0" applyFont="1" applyFill="1" applyBorder="1" applyAlignment="1">
      <alignment horizontal="center" vertical="center"/>
    </xf>
    <xf numFmtId="0" fontId="27" fillId="0" borderId="1" xfId="0" applyFont="1" applyBorder="1" applyAlignment="1">
      <alignment horizontal="center" vertical="center"/>
    </xf>
    <xf numFmtId="43" fontId="31" fillId="0" borderId="0" xfId="0" applyNumberFormat="1" applyFont="1" applyAlignment="1">
      <alignment horizontal="center" vertical="center"/>
    </xf>
    <xf numFmtId="43" fontId="32" fillId="7" borderId="42" xfId="0" applyNumberFormat="1" applyFont="1" applyFill="1" applyBorder="1" applyAlignment="1">
      <alignment horizontal="center" vertical="center"/>
    </xf>
    <xf numFmtId="43" fontId="30" fillId="29" borderId="22" xfId="0" applyNumberFormat="1" applyFont="1" applyFill="1" applyBorder="1" applyAlignment="1">
      <alignment horizontal="center" vertical="center"/>
    </xf>
    <xf numFmtId="0" fontId="29" fillId="22" borderId="30" xfId="0" applyFont="1" applyFill="1" applyBorder="1" applyAlignment="1">
      <alignment horizontal="center" vertical="center"/>
    </xf>
    <xf numFmtId="0" fontId="29" fillId="22" borderId="3" xfId="0" applyFont="1" applyFill="1" applyBorder="1" applyAlignment="1">
      <alignment horizontal="center" vertical="center"/>
    </xf>
    <xf numFmtId="0" fontId="29" fillId="22" borderId="45" xfId="0" applyFont="1" applyFill="1" applyBorder="1" applyAlignment="1">
      <alignment horizontal="center" vertical="center"/>
    </xf>
    <xf numFmtId="0" fontId="29" fillId="22" borderId="31" xfId="0" applyFont="1" applyFill="1" applyBorder="1" applyAlignment="1">
      <alignment horizontal="center" vertical="center"/>
    </xf>
    <xf numFmtId="0" fontId="29" fillId="37" borderId="4" xfId="0" applyFont="1" applyFill="1" applyBorder="1" applyAlignment="1">
      <alignment horizontal="center" vertical="center"/>
    </xf>
    <xf numFmtId="0" fontId="29" fillId="0" borderId="4" xfId="0" applyFont="1" applyBorder="1" applyAlignment="1">
      <alignment horizontal="center" vertical="center"/>
    </xf>
    <xf numFmtId="0" fontId="29" fillId="19" borderId="30" xfId="0" applyFont="1" applyFill="1" applyBorder="1" applyAlignment="1">
      <alignment horizontal="center" vertical="center"/>
    </xf>
    <xf numFmtId="0" fontId="29" fillId="19" borderId="45" xfId="0" applyFont="1" applyFill="1" applyBorder="1" applyAlignment="1">
      <alignment horizontal="center" vertical="center"/>
    </xf>
    <xf numFmtId="0" fontId="3" fillId="3" borderId="0" xfId="0" applyFont="1" applyFill="1" applyAlignment="1">
      <alignment vertical="center"/>
    </xf>
    <xf numFmtId="0" fontId="2" fillId="0" borderId="40" xfId="0" applyFont="1" applyBorder="1" applyAlignment="1">
      <alignment horizontal="center"/>
    </xf>
    <xf numFmtId="0" fontId="12" fillId="38" borderId="1" xfId="0" applyFont="1" applyFill="1" applyBorder="1" applyAlignment="1">
      <alignment horizontal="center" vertical="center"/>
    </xf>
    <xf numFmtId="0" fontId="2" fillId="38" borderId="28" xfId="0" applyFont="1" applyFill="1" applyBorder="1" applyAlignment="1">
      <alignment horizontal="center" vertical="center"/>
    </xf>
    <xf numFmtId="0" fontId="6" fillId="38" borderId="4" xfId="0" applyFont="1" applyFill="1" applyBorder="1" applyAlignment="1">
      <alignment horizontal="center" vertical="center"/>
    </xf>
    <xf numFmtId="0" fontId="2" fillId="38" borderId="4" xfId="0" applyFont="1" applyFill="1" applyBorder="1" applyAlignment="1">
      <alignment horizontal="center"/>
    </xf>
    <xf numFmtId="0" fontId="2" fillId="38" borderId="33" xfId="0" applyFont="1" applyFill="1" applyBorder="1" applyAlignment="1">
      <alignment horizontal="center" vertical="center"/>
    </xf>
    <xf numFmtId="43" fontId="2" fillId="6" borderId="57" xfId="0" applyNumberFormat="1" applyFont="1" applyFill="1" applyBorder="1" applyAlignment="1">
      <alignment horizontal="center" vertical="center"/>
    </xf>
    <xf numFmtId="0" fontId="10" fillId="38" borderId="33" xfId="0" applyFont="1" applyFill="1" applyBorder="1" applyAlignment="1">
      <alignment horizontal="center" vertical="center"/>
    </xf>
    <xf numFmtId="0" fontId="2" fillId="38" borderId="4" xfId="0" applyFont="1" applyFill="1" applyBorder="1" applyAlignment="1">
      <alignment horizontal="center" vertical="center"/>
    </xf>
    <xf numFmtId="0" fontId="29" fillId="0" borderId="58" xfId="0" applyFont="1" applyBorder="1" applyAlignment="1">
      <alignment horizontal="center" vertical="center" wrapText="1"/>
    </xf>
    <xf numFmtId="43" fontId="2" fillId="6" borderId="56" xfId="0" applyNumberFormat="1" applyFont="1" applyFill="1" applyBorder="1" applyAlignment="1">
      <alignment horizontal="center" vertical="center"/>
    </xf>
    <xf numFmtId="43" fontId="29" fillId="0" borderId="57" xfId="0" applyNumberFormat="1" applyFont="1" applyBorder="1"/>
    <xf numFmtId="0" fontId="31" fillId="35" borderId="0" xfId="0" applyFont="1" applyFill="1"/>
    <xf numFmtId="0" fontId="29" fillId="8" borderId="63" xfId="0" applyFont="1" applyFill="1" applyBorder="1" applyAlignment="1">
      <alignment horizontal="center" vertical="center"/>
    </xf>
    <xf numFmtId="43" fontId="29" fillId="8" borderId="72" xfId="0" applyNumberFormat="1" applyFont="1" applyFill="1" applyBorder="1" applyAlignment="1">
      <alignment horizontal="center" vertical="center"/>
    </xf>
    <xf numFmtId="43" fontId="38" fillId="7" borderId="20" xfId="0" applyNumberFormat="1" applyFont="1" applyFill="1" applyBorder="1" applyAlignment="1">
      <alignment horizontal="center" vertical="center"/>
    </xf>
    <xf numFmtId="0" fontId="2" fillId="0" borderId="1" xfId="0" applyFont="1" applyBorder="1"/>
    <xf numFmtId="43" fontId="4" fillId="15" borderId="51" xfId="0" applyNumberFormat="1" applyFont="1" applyFill="1" applyBorder="1" applyAlignment="1">
      <alignment horizontal="center" vertical="center"/>
    </xf>
    <xf numFmtId="0" fontId="2" fillId="0" borderId="0" xfId="0" applyFont="1" applyAlignment="1">
      <alignment horizontal="left" vertical="center"/>
    </xf>
    <xf numFmtId="0" fontId="2" fillId="30" borderId="20" xfId="0" applyFont="1" applyFill="1" applyBorder="1" applyAlignment="1">
      <alignment horizontal="center" vertical="center"/>
    </xf>
    <xf numFmtId="0" fontId="2" fillId="30" borderId="53" xfId="0" applyFont="1" applyFill="1" applyBorder="1" applyAlignment="1">
      <alignment horizontal="center" vertical="center"/>
    </xf>
    <xf numFmtId="0" fontId="2" fillId="30" borderId="33" xfId="0" applyFont="1" applyFill="1" applyBorder="1" applyAlignment="1">
      <alignment horizontal="center" vertical="center"/>
    </xf>
    <xf numFmtId="0" fontId="5" fillId="30" borderId="53" xfId="0" applyFont="1" applyFill="1" applyBorder="1" applyAlignment="1">
      <alignment horizontal="center" vertical="center"/>
    </xf>
    <xf numFmtId="0" fontId="2" fillId="30" borderId="21" xfId="0" applyFont="1" applyFill="1" applyBorder="1" applyAlignment="1">
      <alignment horizontal="center" vertical="center"/>
    </xf>
    <xf numFmtId="43" fontId="4" fillId="30" borderId="21" xfId="0" applyNumberFormat="1" applyFont="1" applyFill="1" applyBorder="1" applyAlignment="1">
      <alignment horizontal="center" vertical="center"/>
    </xf>
    <xf numFmtId="43" fontId="4" fillId="30" borderId="22" xfId="0" applyNumberFormat="1" applyFont="1" applyFill="1" applyBorder="1" applyAlignment="1">
      <alignment horizontal="center" vertical="center"/>
    </xf>
    <xf numFmtId="0" fontId="2" fillId="30" borderId="23" xfId="0" applyFont="1" applyFill="1" applyBorder="1" applyAlignment="1">
      <alignment horizontal="center" vertical="center"/>
    </xf>
    <xf numFmtId="0" fontId="2" fillId="30" borderId="62" xfId="0" applyFont="1" applyFill="1" applyBorder="1" applyAlignment="1">
      <alignment horizontal="center" vertical="center"/>
    </xf>
    <xf numFmtId="0" fontId="4" fillId="0" borderId="20" xfId="0" applyFont="1" applyBorder="1" applyAlignment="1">
      <alignment horizontal="center" vertical="center"/>
    </xf>
    <xf numFmtId="0" fontId="2" fillId="22" borderId="2" xfId="0" applyFont="1" applyFill="1" applyBorder="1" applyAlignment="1">
      <alignment horizontal="center" vertical="center"/>
    </xf>
    <xf numFmtId="0" fontId="4" fillId="18" borderId="10" xfId="0" applyFont="1" applyFill="1" applyBorder="1" applyAlignment="1">
      <alignment horizontal="center" vertical="center"/>
    </xf>
    <xf numFmtId="43" fontId="29" fillId="29" borderId="4" xfId="0" applyNumberFormat="1" applyFont="1" applyFill="1" applyBorder="1" applyAlignment="1">
      <alignment horizontal="center" vertical="center"/>
    </xf>
    <xf numFmtId="43" fontId="2" fillId="6" borderId="17" xfId="2" applyNumberFormat="1" applyFont="1" applyFill="1" applyBorder="1" applyAlignment="1">
      <alignment horizontal="center" vertical="center"/>
    </xf>
    <xf numFmtId="0" fontId="63" fillId="0" borderId="0" xfId="0" applyFont="1" applyAlignment="1">
      <alignment horizontal="center" vertical="center"/>
    </xf>
    <xf numFmtId="43" fontId="63" fillId="0" borderId="9" xfId="0" applyNumberFormat="1" applyFont="1" applyBorder="1" applyAlignment="1">
      <alignment horizontal="center" vertical="center"/>
    </xf>
    <xf numFmtId="43" fontId="63" fillId="0" borderId="1" xfId="0" applyNumberFormat="1" applyFont="1" applyBorder="1" applyAlignment="1">
      <alignment horizontal="center" vertical="center"/>
    </xf>
    <xf numFmtId="0" fontId="63" fillId="0" borderId="40" xfId="0" applyFont="1" applyBorder="1" applyAlignment="1">
      <alignment horizontal="center" vertical="center"/>
    </xf>
    <xf numFmtId="0" fontId="63" fillId="0" borderId="30" xfId="0" applyFont="1" applyBorder="1" applyAlignment="1">
      <alignment horizontal="center" vertical="center"/>
    </xf>
    <xf numFmtId="0" fontId="29" fillId="7" borderId="33" xfId="0" applyFont="1" applyFill="1" applyBorder="1" applyAlignment="1">
      <alignment horizontal="center" vertical="center"/>
    </xf>
    <xf numFmtId="43" fontId="30" fillId="29" borderId="51" xfId="0" applyNumberFormat="1" applyFont="1" applyFill="1" applyBorder="1" applyAlignment="1">
      <alignment horizontal="center" vertical="center"/>
    </xf>
    <xf numFmtId="0" fontId="29" fillId="0" borderId="32" xfId="0" applyFont="1" applyBorder="1" applyAlignment="1">
      <alignment horizontal="center"/>
    </xf>
    <xf numFmtId="0" fontId="0" fillId="0" borderId="32" xfId="0" applyBorder="1"/>
    <xf numFmtId="43" fontId="29" fillId="0" borderId="40" xfId="0" applyNumberFormat="1" applyFont="1" applyBorder="1" applyAlignment="1">
      <alignment horizontal="center" vertical="center"/>
    </xf>
    <xf numFmtId="0" fontId="2" fillId="0" borderId="64" xfId="0" applyFont="1" applyBorder="1" applyAlignment="1">
      <alignment horizontal="center" vertical="center"/>
    </xf>
    <xf numFmtId="43" fontId="2" fillId="15" borderId="1" xfId="0" applyNumberFormat="1" applyFont="1" applyFill="1" applyBorder="1"/>
    <xf numFmtId="0" fontId="0" fillId="42" borderId="0" xfId="0" applyFill="1"/>
    <xf numFmtId="43" fontId="2" fillId="8" borderId="63" xfId="0" applyNumberFormat="1" applyFont="1" applyFill="1" applyBorder="1" applyAlignment="1">
      <alignment horizontal="center" vertical="center"/>
    </xf>
    <xf numFmtId="0" fontId="64" fillId="42" borderId="0" xfId="0" applyFont="1" applyFill="1"/>
    <xf numFmtId="0" fontId="65" fillId="42" borderId="0" xfId="0" applyFont="1" applyFill="1"/>
    <xf numFmtId="0" fontId="30" fillId="0" borderId="0" xfId="0" applyFont="1"/>
    <xf numFmtId="0" fontId="2" fillId="16" borderId="57" xfId="0" applyFont="1" applyFill="1" applyBorder="1" applyAlignment="1">
      <alignment horizontal="right" vertical="center"/>
    </xf>
    <xf numFmtId="43" fontId="4" fillId="16" borderId="2" xfId="0" applyNumberFormat="1" applyFont="1" applyFill="1" applyBorder="1" applyAlignment="1">
      <alignment horizontal="right" vertical="center"/>
    </xf>
    <xf numFmtId="43" fontId="4" fillId="16" borderId="1" xfId="0" applyNumberFormat="1" applyFont="1" applyFill="1" applyBorder="1" applyAlignment="1">
      <alignment horizontal="right" vertical="center"/>
    </xf>
    <xf numFmtId="43" fontId="4" fillId="16" borderId="11" xfId="0" applyNumberFormat="1" applyFont="1" applyFill="1" applyBorder="1" applyAlignment="1">
      <alignment horizontal="right" vertical="center"/>
    </xf>
    <xf numFmtId="43" fontId="2" fillId="44" borderId="1" xfId="0" applyNumberFormat="1" applyFont="1" applyFill="1" applyBorder="1" applyAlignment="1">
      <alignment horizontal="right" vertical="center"/>
    </xf>
    <xf numFmtId="43" fontId="2" fillId="44" borderId="2" xfId="0" applyNumberFormat="1" applyFont="1" applyFill="1" applyBorder="1" applyAlignment="1">
      <alignment horizontal="right" vertical="center"/>
    </xf>
    <xf numFmtId="0" fontId="2" fillId="24" borderId="0" xfId="0" applyFont="1" applyFill="1" applyAlignment="1">
      <alignment horizontal="right" vertical="center"/>
    </xf>
    <xf numFmtId="43" fontId="4" fillId="24" borderId="74" xfId="0" applyNumberFormat="1" applyFont="1" applyFill="1" applyBorder="1" applyAlignment="1">
      <alignment horizontal="right" vertical="center"/>
    </xf>
    <xf numFmtId="43" fontId="4" fillId="24" borderId="44" xfId="0" applyNumberFormat="1" applyFont="1" applyFill="1" applyBorder="1" applyAlignment="1">
      <alignment horizontal="right" vertical="center"/>
    </xf>
    <xf numFmtId="43" fontId="4" fillId="24" borderId="11" xfId="0" applyNumberFormat="1" applyFont="1" applyFill="1" applyBorder="1" applyAlignment="1">
      <alignment horizontal="right" vertical="center"/>
    </xf>
    <xf numFmtId="43" fontId="4" fillId="45" borderId="72" xfId="0" applyNumberFormat="1" applyFont="1" applyFill="1" applyBorder="1" applyAlignment="1">
      <alignment horizontal="right" vertical="center"/>
    </xf>
    <xf numFmtId="43" fontId="4" fillId="45" borderId="12" xfId="0" applyNumberFormat="1" applyFont="1" applyFill="1" applyBorder="1" applyAlignment="1">
      <alignment horizontal="right" vertical="center"/>
    </xf>
    <xf numFmtId="43" fontId="29" fillId="8" borderId="71" xfId="0" applyNumberFormat="1" applyFont="1" applyFill="1" applyBorder="1" applyAlignment="1">
      <alignment horizontal="center" vertical="center"/>
    </xf>
    <xf numFmtId="0" fontId="0" fillId="0" borderId="53" xfId="0" applyBorder="1"/>
    <xf numFmtId="0" fontId="0" fillId="0" borderId="15" xfId="0" applyBorder="1"/>
    <xf numFmtId="43" fontId="29" fillId="8" borderId="64" xfId="0" applyNumberFormat="1" applyFont="1" applyFill="1" applyBorder="1" applyAlignment="1">
      <alignment horizontal="center" vertical="center"/>
    </xf>
    <xf numFmtId="0" fontId="27" fillId="0" borderId="15" xfId="0" applyFont="1" applyBorder="1"/>
    <xf numFmtId="0" fontId="29" fillId="0" borderId="15" xfId="0" applyFont="1" applyBorder="1" applyAlignment="1">
      <alignment horizontal="center" vertical="center"/>
    </xf>
    <xf numFmtId="0" fontId="29" fillId="0" borderId="15" xfId="0" applyFont="1" applyBorder="1"/>
    <xf numFmtId="43" fontId="2" fillId="4" borderId="28" xfId="1" applyNumberFormat="1" applyFont="1" applyFill="1" applyBorder="1" applyAlignment="1">
      <alignment horizontal="center" vertical="center"/>
    </xf>
    <xf numFmtId="43" fontId="2" fillId="5" borderId="4" xfId="1" applyNumberFormat="1" applyFont="1" applyFill="1" applyBorder="1" applyAlignment="1">
      <alignment horizontal="center" vertical="center"/>
    </xf>
    <xf numFmtId="43" fontId="2" fillId="5" borderId="28" xfId="1" applyNumberFormat="1" applyFont="1" applyFill="1" applyBorder="1" applyAlignment="1">
      <alignment horizontal="center" vertical="center"/>
    </xf>
    <xf numFmtId="43" fontId="2" fillId="4" borderId="51" xfId="1" applyNumberFormat="1" applyFont="1" applyFill="1" applyBorder="1" applyAlignment="1">
      <alignment horizontal="center" vertical="center"/>
    </xf>
    <xf numFmtId="43" fontId="2" fillId="5" borderId="33" xfId="1" applyNumberFormat="1" applyFont="1" applyFill="1" applyBorder="1" applyAlignment="1">
      <alignment horizontal="center" vertical="center"/>
    </xf>
    <xf numFmtId="0" fontId="2" fillId="9" borderId="40" xfId="0" applyFont="1" applyFill="1" applyBorder="1" applyAlignment="1">
      <alignment horizontal="center" vertical="center"/>
    </xf>
    <xf numFmtId="0" fontId="2" fillId="9" borderId="9" xfId="0" applyFont="1" applyFill="1" applyBorder="1" applyAlignment="1">
      <alignment horizontal="center" vertical="center"/>
    </xf>
    <xf numFmtId="43" fontId="2" fillId="10" borderId="11" xfId="0" applyNumberFormat="1" applyFont="1" applyFill="1" applyBorder="1" applyAlignment="1">
      <alignment horizontal="center" vertical="center"/>
    </xf>
    <xf numFmtId="43" fontId="4" fillId="4" borderId="1" xfId="0" applyNumberFormat="1" applyFont="1" applyFill="1" applyBorder="1" applyAlignment="1">
      <alignment horizontal="right" vertical="center"/>
    </xf>
    <xf numFmtId="43" fontId="4" fillId="24" borderId="2" xfId="0" applyNumberFormat="1" applyFont="1" applyFill="1" applyBorder="1" applyAlignment="1">
      <alignment horizontal="right" vertical="center"/>
    </xf>
    <xf numFmtId="0" fontId="10" fillId="0" borderId="14" xfId="0" applyFont="1" applyBorder="1" applyAlignment="1">
      <alignment horizontal="center" vertical="center"/>
    </xf>
    <xf numFmtId="0" fontId="10" fillId="0" borderId="23" xfId="0" applyFont="1" applyBorder="1" applyAlignment="1">
      <alignment horizontal="center" vertical="center"/>
    </xf>
    <xf numFmtId="43" fontId="2" fillId="19" borderId="42" xfId="0" applyNumberFormat="1" applyFont="1" applyFill="1" applyBorder="1" applyAlignment="1">
      <alignment horizontal="center" vertical="center"/>
    </xf>
    <xf numFmtId="0" fontId="4" fillId="2" borderId="14" xfId="0" applyFont="1" applyFill="1" applyBorder="1" applyAlignment="1">
      <alignment horizontal="center" vertical="center" wrapText="1"/>
    </xf>
    <xf numFmtId="0" fontId="0" fillId="0" borderId="21" xfId="0" applyBorder="1" applyAlignment="1">
      <alignment horizontal="center"/>
    </xf>
    <xf numFmtId="0" fontId="29" fillId="15" borderId="61" xfId="0" applyFont="1" applyFill="1" applyBorder="1" applyAlignment="1">
      <alignment horizontal="center" vertical="center"/>
    </xf>
    <xf numFmtId="0" fontId="29" fillId="15" borderId="40" xfId="0" applyFont="1" applyFill="1" applyBorder="1" applyAlignment="1">
      <alignment horizontal="center" vertical="center"/>
    </xf>
    <xf numFmtId="43" fontId="29" fillId="15" borderId="1" xfId="0" applyNumberFormat="1" applyFont="1" applyFill="1" applyBorder="1" applyAlignment="1">
      <alignment horizontal="center" vertical="center"/>
    </xf>
    <xf numFmtId="43" fontId="29" fillId="15" borderId="9" xfId="0" applyNumberFormat="1" applyFont="1" applyFill="1" applyBorder="1" applyAlignment="1">
      <alignment horizontal="center" vertical="center"/>
    </xf>
    <xf numFmtId="43" fontId="29" fillId="15" borderId="9" xfId="1" applyNumberFormat="1" applyFont="1" applyFill="1" applyBorder="1" applyAlignment="1">
      <alignment horizontal="center" vertical="center"/>
    </xf>
    <xf numFmtId="0" fontId="29" fillId="15" borderId="1" xfId="0" applyFont="1" applyFill="1" applyBorder="1" applyAlignment="1">
      <alignment horizontal="center" vertical="center"/>
    </xf>
    <xf numFmtId="0" fontId="29" fillId="19" borderId="61" xfId="0" applyFont="1" applyFill="1" applyBorder="1" applyAlignment="1">
      <alignment horizontal="center" vertical="center"/>
    </xf>
    <xf numFmtId="0" fontId="2" fillId="0" borderId="62" xfId="0" applyFont="1" applyBorder="1" applyAlignment="1">
      <alignment horizontal="center" vertical="center" wrapText="1"/>
    </xf>
    <xf numFmtId="0" fontId="10" fillId="0" borderId="62" xfId="0" applyFont="1" applyBorder="1" applyAlignment="1">
      <alignment horizontal="center" vertical="center"/>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55" xfId="0" applyFont="1" applyFill="1" applyBorder="1" applyAlignment="1">
      <alignment horizontal="center" vertical="center" wrapText="1"/>
    </xf>
    <xf numFmtId="0" fontId="3" fillId="3" borderId="0" xfId="0" applyFont="1" applyFill="1" applyAlignment="1">
      <alignment horizontal="center" vertical="center" wrapText="1"/>
    </xf>
    <xf numFmtId="0" fontId="0" fillId="46" borderId="0" xfId="0" applyFill="1"/>
    <xf numFmtId="0" fontId="0" fillId="46" borderId="0" xfId="0" applyFill="1" applyAlignment="1">
      <alignment horizontal="center"/>
    </xf>
    <xf numFmtId="0" fontId="45" fillId="46" borderId="0" xfId="0" applyFont="1" applyFill="1" applyAlignment="1">
      <alignment horizontal="center"/>
    </xf>
    <xf numFmtId="0" fontId="5" fillId="26" borderId="65" xfId="0" applyFont="1" applyFill="1" applyBorder="1" applyAlignment="1">
      <alignment horizontal="center" vertical="center"/>
    </xf>
    <xf numFmtId="0" fontId="5" fillId="26" borderId="22" xfId="0" applyFont="1" applyFill="1" applyBorder="1" applyAlignment="1">
      <alignment horizontal="center" vertical="center"/>
    </xf>
    <xf numFmtId="0" fontId="5" fillId="26" borderId="26" xfId="0" applyFont="1" applyFill="1" applyBorder="1" applyAlignment="1">
      <alignment horizontal="center" vertical="center"/>
    </xf>
    <xf numFmtId="0" fontId="5" fillId="26" borderId="28" xfId="0" applyFont="1" applyFill="1" applyBorder="1" applyAlignment="1">
      <alignment horizontal="center" vertical="center"/>
    </xf>
    <xf numFmtId="0" fontId="5" fillId="26" borderId="27" xfId="0" applyFont="1" applyFill="1" applyBorder="1" applyAlignment="1">
      <alignment horizontal="center" vertical="center"/>
    </xf>
    <xf numFmtId="0" fontId="2" fillId="26" borderId="13" xfId="0" applyFont="1" applyFill="1" applyBorder="1" applyAlignment="1">
      <alignment horizontal="center" vertical="center"/>
    </xf>
    <xf numFmtId="0" fontId="2" fillId="26" borderId="27" xfId="0" applyFont="1" applyFill="1" applyBorder="1" applyAlignment="1">
      <alignment horizontal="center" vertical="center"/>
    </xf>
    <xf numFmtId="0" fontId="6" fillId="12" borderId="26" xfId="0" applyFont="1" applyFill="1" applyBorder="1" applyAlignment="1">
      <alignment horizontal="center" vertical="center"/>
    </xf>
    <xf numFmtId="0" fontId="6" fillId="12" borderId="27" xfId="0" applyFont="1" applyFill="1" applyBorder="1" applyAlignment="1">
      <alignment horizontal="center" vertical="center"/>
    </xf>
    <xf numFmtId="0" fontId="6" fillId="12" borderId="28" xfId="0" applyFont="1" applyFill="1" applyBorder="1" applyAlignment="1">
      <alignment horizontal="center" vertical="center"/>
    </xf>
    <xf numFmtId="0" fontId="6" fillId="12" borderId="26" xfId="0" applyFont="1" applyFill="1" applyBorder="1" applyAlignment="1">
      <alignment horizontal="center" vertical="center" wrapText="1"/>
    </xf>
    <xf numFmtId="0" fontId="6" fillId="12" borderId="27" xfId="0" applyFont="1" applyFill="1" applyBorder="1" applyAlignment="1">
      <alignment horizontal="center" vertical="center" wrapText="1"/>
    </xf>
    <xf numFmtId="0" fontId="6" fillId="12" borderId="28" xfId="0" applyFont="1" applyFill="1" applyBorder="1" applyAlignment="1">
      <alignment horizontal="center" vertical="center" wrapText="1"/>
    </xf>
    <xf numFmtId="0" fontId="6" fillId="12" borderId="13" xfId="0" applyFont="1" applyFill="1" applyBorder="1" applyAlignment="1">
      <alignment horizontal="center" vertical="center"/>
    </xf>
    <xf numFmtId="0" fontId="6" fillId="12" borderId="14" xfId="0" applyFont="1" applyFill="1" applyBorder="1" applyAlignment="1">
      <alignment horizontal="center" vertical="center"/>
    </xf>
    <xf numFmtId="0" fontId="6" fillId="12" borderId="15" xfId="0" applyFont="1" applyFill="1" applyBorder="1" applyAlignment="1">
      <alignment horizontal="center" vertical="center"/>
    </xf>
    <xf numFmtId="0" fontId="6" fillId="12" borderId="59" xfId="0" applyFont="1" applyFill="1" applyBorder="1" applyAlignment="1">
      <alignment horizontal="center" vertical="center"/>
    </xf>
    <xf numFmtId="0" fontId="6" fillId="12" borderId="0" xfId="0" applyFont="1" applyFill="1" applyAlignment="1">
      <alignment horizontal="center" vertical="center"/>
    </xf>
    <xf numFmtId="0" fontId="6" fillId="12" borderId="56" xfId="0" applyFont="1" applyFill="1" applyBorder="1" applyAlignment="1">
      <alignment horizontal="center" vertical="center"/>
    </xf>
    <xf numFmtId="0" fontId="6" fillId="12" borderId="53" xfId="0" applyFont="1" applyFill="1" applyBorder="1" applyAlignment="1">
      <alignment horizontal="center" vertical="center"/>
    </xf>
    <xf numFmtId="0" fontId="6" fillId="12" borderId="55" xfId="0" applyFont="1" applyFill="1" applyBorder="1" applyAlignment="1">
      <alignment horizontal="center" vertical="center"/>
    </xf>
    <xf numFmtId="0" fontId="6" fillId="12" borderId="51" xfId="0" applyFont="1" applyFill="1" applyBorder="1" applyAlignment="1">
      <alignment horizontal="center" vertical="center"/>
    </xf>
    <xf numFmtId="0" fontId="49" fillId="12" borderId="26" xfId="0" applyFont="1" applyFill="1" applyBorder="1" applyAlignment="1">
      <alignment horizontal="center" vertical="center" wrapText="1"/>
    </xf>
    <xf numFmtId="0" fontId="49" fillId="12" borderId="27" xfId="0" applyFont="1" applyFill="1" applyBorder="1" applyAlignment="1">
      <alignment horizontal="center" vertical="center" wrapText="1"/>
    </xf>
    <xf numFmtId="0" fontId="49" fillId="12" borderId="28" xfId="0" applyFont="1" applyFill="1" applyBorder="1" applyAlignment="1">
      <alignment horizontal="center" vertical="center" wrapText="1"/>
    </xf>
    <xf numFmtId="0" fontId="49" fillId="12" borderId="26" xfId="0" applyFont="1" applyFill="1" applyBorder="1" applyAlignment="1">
      <alignment horizontal="center" vertical="center"/>
    </xf>
    <xf numFmtId="0" fontId="49" fillId="12" borderId="27" xfId="0" applyFont="1" applyFill="1" applyBorder="1" applyAlignment="1">
      <alignment horizontal="center" vertical="center"/>
    </xf>
    <xf numFmtId="0" fontId="49" fillId="12" borderId="28" xfId="0" applyFont="1" applyFill="1" applyBorder="1" applyAlignment="1">
      <alignment horizontal="center" vertical="center"/>
    </xf>
    <xf numFmtId="0" fontId="49" fillId="12" borderId="53" xfId="0" applyFont="1" applyFill="1" applyBorder="1" applyAlignment="1">
      <alignment horizontal="center" vertical="center"/>
    </xf>
    <xf numFmtId="0" fontId="49" fillId="12" borderId="55" xfId="0" applyFont="1" applyFill="1" applyBorder="1" applyAlignment="1">
      <alignment horizontal="center" vertical="center"/>
    </xf>
    <xf numFmtId="0" fontId="49" fillId="12" borderId="51" xfId="0" applyFont="1" applyFill="1" applyBorder="1" applyAlignment="1">
      <alignment horizontal="center" vertical="center"/>
    </xf>
    <xf numFmtId="0" fontId="49" fillId="12" borderId="13" xfId="0" applyFont="1" applyFill="1" applyBorder="1" applyAlignment="1">
      <alignment horizontal="center" vertical="center"/>
    </xf>
    <xf numFmtId="0" fontId="49" fillId="12" borderId="14" xfId="0" applyFont="1" applyFill="1" applyBorder="1" applyAlignment="1">
      <alignment horizontal="center" vertical="center"/>
    </xf>
    <xf numFmtId="0" fontId="49" fillId="12" borderId="15" xfId="0" applyFont="1" applyFill="1" applyBorder="1" applyAlignment="1">
      <alignment horizontal="center" vertical="center"/>
    </xf>
    <xf numFmtId="0" fontId="49" fillId="12" borderId="53" xfId="0" applyFont="1" applyFill="1" applyBorder="1" applyAlignment="1">
      <alignment horizontal="center" vertical="center" wrapText="1"/>
    </xf>
    <xf numFmtId="0" fontId="49" fillId="12" borderId="55" xfId="0" applyFont="1" applyFill="1" applyBorder="1" applyAlignment="1">
      <alignment horizontal="center" vertical="center" wrapText="1"/>
    </xf>
    <xf numFmtId="0" fontId="49" fillId="12" borderId="51" xfId="0" applyFont="1" applyFill="1" applyBorder="1" applyAlignment="1">
      <alignment horizontal="center" vertical="center" wrapText="1"/>
    </xf>
    <xf numFmtId="0" fontId="49" fillId="12" borderId="59" xfId="0" applyFont="1" applyFill="1" applyBorder="1" applyAlignment="1">
      <alignment horizontal="center" vertical="center"/>
    </xf>
    <xf numFmtId="0" fontId="49" fillId="12" borderId="0" xfId="0" applyFont="1" applyFill="1" applyAlignment="1">
      <alignment horizontal="center" vertical="center"/>
    </xf>
    <xf numFmtId="0" fontId="49" fillId="12" borderId="56" xfId="0" applyFont="1" applyFill="1" applyBorder="1" applyAlignment="1">
      <alignment horizontal="center" vertical="center"/>
    </xf>
    <xf numFmtId="0" fontId="14" fillId="27" borderId="71" xfId="0" applyFont="1" applyFill="1" applyBorder="1" applyAlignment="1">
      <alignment horizontal="center" vertical="center"/>
    </xf>
    <xf numFmtId="0" fontId="14" fillId="27" borderId="74" xfId="0" applyFont="1" applyFill="1" applyBorder="1" applyAlignment="1">
      <alignment horizontal="center" vertical="center"/>
    </xf>
    <xf numFmtId="0" fontId="14" fillId="27" borderId="46" xfId="0" applyFont="1" applyFill="1" applyBorder="1" applyAlignment="1">
      <alignment horizontal="center" vertical="center"/>
    </xf>
    <xf numFmtId="0" fontId="14" fillId="27" borderId="45" xfId="0" applyFont="1" applyFill="1" applyBorder="1" applyAlignment="1">
      <alignment horizontal="center" vertical="center"/>
    </xf>
    <xf numFmtId="0" fontId="14" fillId="27" borderId="39" xfId="0" applyFont="1" applyFill="1" applyBorder="1" applyAlignment="1">
      <alignment horizontal="center" vertical="center"/>
    </xf>
    <xf numFmtId="0" fontId="14" fillId="27" borderId="61" xfId="0" applyFont="1" applyFill="1" applyBorder="1" applyAlignment="1">
      <alignment horizontal="center" vertical="center"/>
    </xf>
    <xf numFmtId="49" fontId="15" fillId="0" borderId="0" xfId="2" applyNumberFormat="1" applyFont="1" applyBorder="1" applyAlignment="1">
      <alignment horizontal="center" vertical="center"/>
    </xf>
    <xf numFmtId="0" fontId="14" fillId="27" borderId="18" xfId="0" applyFont="1" applyFill="1" applyBorder="1" applyAlignment="1">
      <alignment horizontal="center" vertical="center"/>
    </xf>
    <xf numFmtId="0" fontId="14" fillId="27" borderId="0" xfId="0" applyFont="1" applyFill="1" applyAlignment="1">
      <alignment horizontal="center" vertical="center"/>
    </xf>
    <xf numFmtId="0" fontId="14" fillId="27" borderId="76" xfId="0" applyFont="1" applyFill="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2" fillId="0" borderId="32" xfId="0" applyFont="1" applyBorder="1" applyAlignment="1">
      <alignment horizontal="center" vertical="center" wrapText="1"/>
    </xf>
    <xf numFmtId="0" fontId="2" fillId="0" borderId="38" xfId="0" applyFont="1" applyBorder="1" applyAlignment="1">
      <alignment horizontal="center" vertical="center" wrapText="1"/>
    </xf>
    <xf numFmtId="0" fontId="2" fillId="0" borderId="33" xfId="0" applyFont="1" applyBorder="1" applyAlignment="1">
      <alignment horizontal="center" vertical="center" wrapText="1"/>
    </xf>
    <xf numFmtId="0" fontId="2" fillId="0" borderId="38" xfId="0" applyFont="1" applyBorder="1" applyAlignment="1">
      <alignment horizontal="center" vertical="center"/>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28" xfId="0" applyFont="1" applyFill="1" applyBorder="1" applyAlignment="1">
      <alignment horizontal="center" vertical="center"/>
    </xf>
    <xf numFmtId="0" fontId="3" fillId="3" borderId="39" xfId="0" applyFont="1" applyFill="1" applyBorder="1" applyAlignment="1">
      <alignment horizontal="center" vertical="center" wrapText="1"/>
    </xf>
    <xf numFmtId="0" fontId="3" fillId="3" borderId="77" xfId="0" applyFont="1" applyFill="1" applyBorder="1" applyAlignment="1">
      <alignment horizontal="center" vertical="center" wrapText="1"/>
    </xf>
    <xf numFmtId="0" fontId="2" fillId="0" borderId="35" xfId="0" applyFont="1" applyBorder="1" applyAlignment="1">
      <alignment horizontal="center" vertical="center"/>
    </xf>
    <xf numFmtId="0" fontId="2" fillId="0" borderId="37" xfId="0" applyFont="1" applyBorder="1" applyAlignment="1">
      <alignment horizontal="center" vertical="center"/>
    </xf>
    <xf numFmtId="0" fontId="2" fillId="0" borderId="36" xfId="0" applyFont="1" applyBorder="1" applyAlignment="1">
      <alignment horizontal="center" vertical="center"/>
    </xf>
    <xf numFmtId="0" fontId="3" fillId="3" borderId="59" xfId="0" applyFont="1" applyFill="1" applyBorder="1" applyAlignment="1">
      <alignment horizontal="center" vertical="center"/>
    </xf>
    <xf numFmtId="0" fontId="3" fillId="3" borderId="0" xfId="0" applyFont="1" applyFill="1" applyAlignment="1">
      <alignment horizontal="center" vertical="center"/>
    </xf>
    <xf numFmtId="0" fontId="3" fillId="3" borderId="56" xfId="0" applyFont="1" applyFill="1" applyBorder="1" applyAlignment="1">
      <alignment horizontal="center" vertical="center"/>
    </xf>
    <xf numFmtId="0" fontId="3" fillId="3" borderId="53" xfId="0" applyFont="1" applyFill="1" applyBorder="1" applyAlignment="1">
      <alignment horizontal="center" vertical="center" wrapText="1"/>
    </xf>
    <xf numFmtId="0" fontId="3" fillId="3" borderId="55" xfId="0" applyFont="1" applyFill="1" applyBorder="1" applyAlignment="1">
      <alignment horizontal="center" vertical="center" wrapText="1"/>
    </xf>
    <xf numFmtId="0" fontId="3" fillId="3" borderId="51" xfId="0" applyFont="1" applyFill="1" applyBorder="1" applyAlignment="1">
      <alignment horizontal="center" vertical="center" wrapText="1"/>
    </xf>
    <xf numFmtId="0" fontId="3" fillId="3" borderId="53" xfId="0" applyFont="1" applyFill="1" applyBorder="1" applyAlignment="1">
      <alignment horizontal="center" vertical="center"/>
    </xf>
    <xf numFmtId="0" fontId="3" fillId="3" borderId="55" xfId="0" applyFont="1" applyFill="1" applyBorder="1" applyAlignment="1">
      <alignment horizontal="center" vertical="center"/>
    </xf>
    <xf numFmtId="0" fontId="3" fillId="3" borderId="51" xfId="0" applyFont="1" applyFill="1" applyBorder="1" applyAlignment="1">
      <alignment horizontal="center" vertical="center"/>
    </xf>
    <xf numFmtId="0" fontId="3" fillId="3" borderId="13" xfId="0" applyFont="1" applyFill="1" applyBorder="1" applyAlignment="1">
      <alignment horizontal="center"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39" xfId="0" applyFont="1" applyFill="1" applyBorder="1" applyAlignment="1">
      <alignment horizontal="center" vertical="center"/>
    </xf>
    <xf numFmtId="0" fontId="3" fillId="3" borderId="16" xfId="0" applyFont="1" applyFill="1" applyBorder="1" applyAlignment="1">
      <alignment horizontal="center" vertical="center"/>
    </xf>
    <xf numFmtId="0" fontId="3" fillId="3" borderId="17" xfId="0" applyFont="1" applyFill="1" applyBorder="1" applyAlignment="1">
      <alignment horizontal="center" vertical="center"/>
    </xf>
    <xf numFmtId="0" fontId="0" fillId="0" borderId="25" xfId="0" applyBorder="1" applyAlignment="1">
      <alignment horizontal="center" vertical="center"/>
    </xf>
    <xf numFmtId="0" fontId="0" fillId="0" borderId="64" xfId="0" applyBorder="1" applyAlignment="1">
      <alignment horizontal="center" vertical="center"/>
    </xf>
    <xf numFmtId="0" fontId="0" fillId="0" borderId="70" xfId="0"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3" fillId="3" borderId="52" xfId="0" applyFont="1" applyFill="1" applyBorder="1" applyAlignment="1">
      <alignment horizontal="center" vertical="center"/>
    </xf>
    <xf numFmtId="0" fontId="3" fillId="3" borderId="16" xfId="0" applyFont="1" applyFill="1" applyBorder="1" applyAlignment="1">
      <alignment horizontal="center" vertical="center" wrapText="1"/>
    </xf>
    <xf numFmtId="0" fontId="3" fillId="3" borderId="17" xfId="0" applyFont="1" applyFill="1" applyBorder="1" applyAlignment="1">
      <alignment horizontal="center" vertical="center" wrapText="1"/>
    </xf>
    <xf numFmtId="0" fontId="3" fillId="3" borderId="52" xfId="0" applyFont="1" applyFill="1" applyBorder="1" applyAlignment="1">
      <alignment horizontal="center" vertical="center" wrapText="1"/>
    </xf>
    <xf numFmtId="0" fontId="3" fillId="3" borderId="0" xfId="0" applyFont="1" applyFill="1" applyAlignment="1">
      <alignment horizontal="center" vertical="center" wrapText="1"/>
    </xf>
    <xf numFmtId="0" fontId="3" fillId="3" borderId="54" xfId="0" applyFont="1" applyFill="1" applyBorder="1" applyAlignment="1">
      <alignment horizontal="center" vertical="center"/>
    </xf>
    <xf numFmtId="0" fontId="3" fillId="3" borderId="59" xfId="0" applyFont="1" applyFill="1" applyBorder="1" applyAlignment="1">
      <alignment horizontal="center" vertical="center" wrapText="1"/>
    </xf>
    <xf numFmtId="0" fontId="2" fillId="0" borderId="13" xfId="0" applyFont="1" applyBorder="1" applyAlignment="1">
      <alignment horizontal="center" vertical="center"/>
    </xf>
    <xf numFmtId="0" fontId="2" fillId="0" borderId="53" xfId="0" applyFont="1" applyBorder="1" applyAlignment="1">
      <alignment horizontal="center" vertical="center"/>
    </xf>
    <xf numFmtId="0" fontId="7" fillId="3" borderId="16" xfId="0" applyFont="1" applyFill="1" applyBorder="1" applyAlignment="1">
      <alignment horizontal="center" vertical="center" wrapText="1"/>
    </xf>
    <xf numFmtId="0" fontId="7" fillId="3" borderId="52"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29" xfId="0" applyFont="1" applyBorder="1" applyAlignment="1">
      <alignment horizontal="center" vertical="center"/>
    </xf>
    <xf numFmtId="0" fontId="2" fillId="0" borderId="58" xfId="0" applyFont="1" applyBorder="1" applyAlignment="1">
      <alignment horizontal="center" vertical="center"/>
    </xf>
    <xf numFmtId="0" fontId="2" fillId="0" borderId="30" xfId="0" applyFont="1" applyBorder="1" applyAlignment="1">
      <alignment horizontal="center" vertical="center"/>
    </xf>
    <xf numFmtId="0" fontId="2" fillId="0" borderId="46" xfId="0" applyFont="1" applyBorder="1" applyAlignment="1">
      <alignment horizontal="center" vertical="center"/>
    </xf>
    <xf numFmtId="0" fontId="2" fillId="0" borderId="76" xfId="0" applyFont="1" applyBorder="1" applyAlignment="1">
      <alignment horizontal="center" vertical="center"/>
    </xf>
    <xf numFmtId="0" fontId="2" fillId="0" borderId="69" xfId="0" applyFont="1" applyBorder="1" applyAlignment="1">
      <alignment horizontal="center" vertical="center"/>
    </xf>
    <xf numFmtId="0" fontId="2" fillId="0" borderId="57" xfId="0" applyFont="1" applyBorder="1" applyAlignment="1">
      <alignment horizontal="center" vertical="center"/>
    </xf>
    <xf numFmtId="0" fontId="2" fillId="0" borderId="23" xfId="0" applyFont="1" applyBorder="1" applyAlignment="1">
      <alignment horizontal="center" vertical="center"/>
    </xf>
    <xf numFmtId="0" fontId="5" fillId="0" borderId="32" xfId="0" applyFont="1" applyBorder="1" applyAlignment="1">
      <alignment horizontal="center" vertical="center"/>
    </xf>
    <xf numFmtId="0" fontId="5" fillId="0" borderId="33" xfId="0" applyFont="1" applyBorder="1" applyAlignment="1">
      <alignment horizontal="center" vertical="center"/>
    </xf>
    <xf numFmtId="0" fontId="5" fillId="0" borderId="15" xfId="0" applyFont="1" applyBorder="1" applyAlignment="1">
      <alignment horizontal="center" vertical="center"/>
    </xf>
    <xf numFmtId="0" fontId="5" fillId="0" borderId="56" xfId="0" applyFont="1" applyBorder="1" applyAlignment="1">
      <alignment horizontal="center" vertical="center"/>
    </xf>
    <xf numFmtId="0" fontId="5" fillId="0" borderId="51" xfId="0" applyFont="1" applyBorder="1" applyAlignment="1">
      <alignment horizontal="center" vertical="center"/>
    </xf>
    <xf numFmtId="0" fontId="5" fillId="0" borderId="38" xfId="0" applyFont="1" applyBorder="1" applyAlignment="1">
      <alignment horizontal="center" vertical="center"/>
    </xf>
    <xf numFmtId="0" fontId="2" fillId="0" borderId="59" xfId="0" applyFont="1" applyBorder="1" applyAlignment="1">
      <alignment horizontal="center" vertical="center"/>
    </xf>
    <xf numFmtId="0" fontId="10" fillId="0" borderId="32" xfId="0" applyFont="1" applyBorder="1" applyAlignment="1">
      <alignment horizontal="center" vertical="center"/>
    </xf>
    <xf numFmtId="0" fontId="10" fillId="0" borderId="38" xfId="0" applyFont="1" applyBorder="1" applyAlignment="1">
      <alignment horizontal="center" vertical="center"/>
    </xf>
    <xf numFmtId="0" fontId="10" fillId="0" borderId="33" xfId="0" applyFont="1" applyBorder="1" applyAlignment="1">
      <alignment horizontal="center" vertical="center"/>
    </xf>
    <xf numFmtId="0" fontId="2" fillId="38" borderId="32" xfId="0" applyFont="1" applyFill="1" applyBorder="1" applyAlignment="1">
      <alignment horizontal="center" vertical="center"/>
    </xf>
    <xf numFmtId="0" fontId="2" fillId="38" borderId="33" xfId="0" applyFont="1" applyFill="1" applyBorder="1" applyAlignment="1">
      <alignment horizontal="center" vertical="center"/>
    </xf>
    <xf numFmtId="0" fontId="10" fillId="0" borderId="13" xfId="0" applyFont="1" applyBorder="1" applyAlignment="1">
      <alignment horizontal="center" vertical="center"/>
    </xf>
    <xf numFmtId="0" fontId="10" fillId="0" borderId="59" xfId="0" applyFont="1" applyBorder="1" applyAlignment="1">
      <alignment horizontal="center" vertical="center"/>
    </xf>
    <xf numFmtId="0" fontId="6" fillId="0" borderId="32" xfId="0" applyFont="1" applyBorder="1" applyAlignment="1">
      <alignment horizontal="center" vertical="center"/>
    </xf>
    <xf numFmtId="0" fontId="6" fillId="0" borderId="38" xfId="0" applyFont="1" applyBorder="1" applyAlignment="1">
      <alignment horizontal="center" vertical="center"/>
    </xf>
    <xf numFmtId="0" fontId="6" fillId="0" borderId="33" xfId="0" applyFont="1" applyBorder="1" applyAlignment="1">
      <alignment horizontal="center" vertical="center"/>
    </xf>
    <xf numFmtId="0" fontId="2" fillId="0" borderId="48" xfId="0" applyFont="1" applyBorder="1" applyAlignment="1">
      <alignment horizontal="center" vertical="center"/>
    </xf>
    <xf numFmtId="0" fontId="3" fillId="3" borderId="56" xfId="0" applyFont="1" applyFill="1" applyBorder="1" applyAlignment="1">
      <alignment horizontal="center" vertical="center" wrapText="1"/>
    </xf>
    <xf numFmtId="0" fontId="5" fillId="0" borderId="35" xfId="0" applyFont="1" applyBorder="1" applyAlignment="1">
      <alignment horizontal="center" vertical="center"/>
    </xf>
    <xf numFmtId="0" fontId="5" fillId="0" borderId="48" xfId="0" applyFont="1" applyBorder="1" applyAlignment="1">
      <alignment horizontal="center" vertical="center"/>
    </xf>
    <xf numFmtId="0" fontId="4" fillId="2" borderId="29" xfId="0" applyFont="1" applyFill="1" applyBorder="1" applyAlignment="1">
      <alignment horizontal="center" vertical="center" wrapText="1"/>
    </xf>
    <xf numFmtId="0" fontId="4" fillId="2" borderId="65" xfId="0" applyFont="1" applyFill="1" applyBorder="1" applyAlignment="1">
      <alignment horizontal="center" vertical="center" wrapText="1"/>
    </xf>
    <xf numFmtId="0" fontId="4" fillId="2" borderId="72" xfId="0" applyFont="1" applyFill="1" applyBorder="1" applyAlignment="1">
      <alignment horizontal="center" vertical="center" wrapText="1"/>
    </xf>
    <xf numFmtId="0" fontId="4" fillId="2" borderId="70" xfId="0" applyFont="1" applyFill="1" applyBorder="1" applyAlignment="1">
      <alignment horizontal="center" vertical="center" wrapText="1"/>
    </xf>
    <xf numFmtId="0" fontId="2" fillId="0" borderId="13" xfId="0" applyFont="1" applyBorder="1" applyAlignment="1">
      <alignment horizontal="center" vertical="center" wrapText="1"/>
    </xf>
    <xf numFmtId="0" fontId="4" fillId="2" borderId="78" xfId="0" applyFont="1" applyFill="1" applyBorder="1" applyAlignment="1">
      <alignment horizontal="center" vertical="center" wrapText="1"/>
    </xf>
    <xf numFmtId="0" fontId="4" fillId="2" borderId="53" xfId="0" applyFont="1" applyFill="1" applyBorder="1" applyAlignment="1">
      <alignment horizontal="center" vertical="center" wrapText="1"/>
    </xf>
    <xf numFmtId="0" fontId="2" fillId="19" borderId="15" xfId="0" applyFont="1" applyFill="1" applyBorder="1" applyAlignment="1">
      <alignment horizontal="center" vertical="center"/>
    </xf>
    <xf numFmtId="0" fontId="2" fillId="19" borderId="56" xfId="0" applyFont="1" applyFill="1" applyBorder="1" applyAlignment="1">
      <alignment horizontal="center" vertical="center"/>
    </xf>
    <xf numFmtId="0" fontId="2" fillId="19" borderId="51" xfId="0" applyFont="1" applyFill="1" applyBorder="1" applyAlignment="1">
      <alignment horizontal="center" vertical="center"/>
    </xf>
    <xf numFmtId="0" fontId="7" fillId="3" borderId="26" xfId="0"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2" fillId="2" borderId="24" xfId="0" applyFont="1" applyFill="1" applyBorder="1" applyAlignment="1">
      <alignment horizontal="center" vertical="center"/>
    </xf>
    <xf numFmtId="0" fontId="12" fillId="2" borderId="57" xfId="0" applyFont="1" applyFill="1" applyBorder="1" applyAlignment="1">
      <alignment horizontal="center" vertical="center"/>
    </xf>
    <xf numFmtId="43" fontId="12" fillId="2" borderId="1" xfId="1" applyNumberFormat="1" applyFont="1" applyFill="1" applyBorder="1" applyAlignment="1">
      <alignment horizontal="center" vertical="center"/>
    </xf>
    <xf numFmtId="0" fontId="12" fillId="2" borderId="23" xfId="0" applyFont="1" applyFill="1" applyBorder="1" applyAlignment="1">
      <alignment horizontal="center" vertical="center"/>
    </xf>
    <xf numFmtId="0" fontId="12" fillId="2" borderId="58" xfId="0" applyFont="1" applyFill="1" applyBorder="1" applyAlignment="1">
      <alignment horizontal="center" vertical="center"/>
    </xf>
    <xf numFmtId="0" fontId="12" fillId="2" borderId="24" xfId="0" applyFont="1" applyFill="1" applyBorder="1" applyAlignment="1">
      <alignment horizontal="center" vertical="center" wrapText="1"/>
    </xf>
    <xf numFmtId="0" fontId="12" fillId="2" borderId="57" xfId="0" applyFont="1" applyFill="1" applyBorder="1" applyAlignment="1">
      <alignment horizontal="center" vertical="center" wrapText="1"/>
    </xf>
    <xf numFmtId="0" fontId="7" fillId="3" borderId="63" xfId="0" applyFont="1" applyFill="1" applyBorder="1" applyAlignment="1">
      <alignment horizontal="center" vertical="center" wrapText="1"/>
    </xf>
    <xf numFmtId="0" fontId="7" fillId="3" borderId="55"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3" fillId="3" borderId="15" xfId="0" applyFont="1" applyFill="1" applyBorder="1" applyAlignment="1">
      <alignment horizontal="center" vertical="center" wrapText="1"/>
    </xf>
    <xf numFmtId="0" fontId="2" fillId="0" borderId="5" xfId="0" applyFont="1" applyBorder="1" applyAlignment="1">
      <alignment horizontal="center" vertical="center"/>
    </xf>
    <xf numFmtId="0" fontId="2" fillId="0" borderId="65" xfId="0" applyFont="1" applyBorder="1" applyAlignment="1">
      <alignment horizontal="center" vertical="center"/>
    </xf>
    <xf numFmtId="0" fontId="7" fillId="3" borderId="18" xfId="0" applyFont="1" applyFill="1" applyBorder="1" applyAlignment="1">
      <alignment horizontal="center" vertical="center"/>
    </xf>
    <xf numFmtId="0" fontId="7" fillId="3" borderId="0" xfId="0" applyFont="1" applyFill="1" applyAlignment="1">
      <alignment horizontal="center" vertical="center"/>
    </xf>
    <xf numFmtId="43" fontId="9" fillId="4" borderId="32" xfId="0" applyNumberFormat="1" applyFont="1" applyFill="1" applyBorder="1" applyAlignment="1">
      <alignment horizontal="center" vertical="center" wrapText="1"/>
    </xf>
    <xf numFmtId="43" fontId="9" fillId="4" borderId="38" xfId="0" applyNumberFormat="1" applyFont="1" applyFill="1" applyBorder="1" applyAlignment="1">
      <alignment horizontal="center" vertical="center" wrapText="1"/>
    </xf>
    <xf numFmtId="43" fontId="9" fillId="4" borderId="33" xfId="0" applyNumberFormat="1" applyFont="1" applyFill="1" applyBorder="1" applyAlignment="1">
      <alignment horizontal="center" vertical="center" wrapText="1"/>
    </xf>
    <xf numFmtId="0" fontId="2" fillId="21" borderId="32" xfId="0" applyFont="1" applyFill="1" applyBorder="1" applyAlignment="1">
      <alignment horizontal="center" vertical="center"/>
    </xf>
    <xf numFmtId="0" fontId="2" fillId="21" borderId="38" xfId="0" applyFont="1" applyFill="1" applyBorder="1" applyAlignment="1">
      <alignment horizontal="center" vertical="center"/>
    </xf>
    <xf numFmtId="0" fontId="2" fillId="21" borderId="33" xfId="0" applyFont="1" applyFill="1" applyBorder="1" applyAlignment="1">
      <alignment horizontal="center" vertical="center"/>
    </xf>
    <xf numFmtId="0" fontId="2" fillId="13" borderId="32" xfId="0" applyFont="1" applyFill="1" applyBorder="1" applyAlignment="1">
      <alignment horizontal="center" vertical="center"/>
    </xf>
    <xf numFmtId="0" fontId="2" fillId="13" borderId="38" xfId="0" applyFont="1" applyFill="1" applyBorder="1" applyAlignment="1">
      <alignment horizontal="center" vertical="center"/>
    </xf>
    <xf numFmtId="0" fontId="2" fillId="13" borderId="33" xfId="0" applyFont="1" applyFill="1" applyBorder="1" applyAlignment="1">
      <alignment horizontal="center" vertical="center"/>
    </xf>
    <xf numFmtId="0" fontId="2" fillId="22" borderId="32" xfId="0" applyFont="1" applyFill="1" applyBorder="1" applyAlignment="1">
      <alignment horizontal="center" vertical="center"/>
    </xf>
    <xf numFmtId="0" fontId="2" fillId="22" borderId="38" xfId="0" applyFont="1" applyFill="1" applyBorder="1" applyAlignment="1">
      <alignment horizontal="center" vertical="center"/>
    </xf>
    <xf numFmtId="0" fontId="2" fillId="22" borderId="33" xfId="0" applyFont="1" applyFill="1" applyBorder="1" applyAlignment="1">
      <alignment horizontal="center" vertical="center"/>
    </xf>
    <xf numFmtId="0" fontId="3" fillId="3" borderId="4" xfId="0" applyFont="1" applyFill="1" applyBorder="1" applyAlignment="1">
      <alignment horizontal="center"/>
    </xf>
    <xf numFmtId="0" fontId="2" fillId="0" borderId="24" xfId="0" applyFont="1" applyBorder="1" applyAlignment="1">
      <alignment horizontal="center" vertical="center" wrapText="1"/>
    </xf>
    <xf numFmtId="0" fontId="2" fillId="0" borderId="67" xfId="0" applyFont="1" applyBorder="1" applyAlignment="1">
      <alignment horizontal="center" vertical="center" wrapText="1"/>
    </xf>
    <xf numFmtId="0" fontId="3" fillId="3" borderId="54" xfId="0" applyFont="1" applyFill="1" applyBorder="1" applyAlignment="1">
      <alignment horizontal="center" vertical="center" wrapText="1"/>
    </xf>
    <xf numFmtId="168" fontId="40" fillId="28" borderId="25" xfId="1" applyNumberFormat="1" applyFont="1" applyFill="1" applyBorder="1" applyAlignment="1">
      <alignment horizontal="center" vertical="center"/>
    </xf>
    <xf numFmtId="168" fontId="40" fillId="28" borderId="70" xfId="1" applyNumberFormat="1" applyFont="1" applyFill="1" applyBorder="1" applyAlignment="1">
      <alignment horizontal="center" vertical="center"/>
    </xf>
    <xf numFmtId="0" fontId="44" fillId="0" borderId="13" xfId="0" applyFont="1" applyBorder="1" applyAlignment="1">
      <alignment horizontal="center" vertical="center" wrapText="1"/>
    </xf>
    <xf numFmtId="0" fontId="44" fillId="0" borderId="80" xfId="0" applyFont="1" applyBorder="1" applyAlignment="1">
      <alignment horizontal="center" vertical="center" wrapText="1"/>
    </xf>
    <xf numFmtId="0" fontId="44" fillId="0" borderId="53" xfId="0" applyFont="1" applyBorder="1" applyAlignment="1">
      <alignment horizontal="center" vertical="center" wrapText="1"/>
    </xf>
    <xf numFmtId="0" fontId="44" fillId="0" borderId="69" xfId="0" applyFont="1" applyBorder="1" applyAlignment="1">
      <alignment horizontal="center" vertical="center" wrapText="1"/>
    </xf>
    <xf numFmtId="0" fontId="43" fillId="0" borderId="13" xfId="0" applyFont="1" applyBorder="1" applyAlignment="1">
      <alignment horizontal="center" vertical="center"/>
    </xf>
    <xf numFmtId="0" fontId="43" fillId="0" borderId="80" xfId="0" applyFont="1" applyBorder="1" applyAlignment="1">
      <alignment horizontal="center" vertical="center"/>
    </xf>
    <xf numFmtId="0" fontId="3" fillId="3" borderId="19" xfId="0" applyFont="1" applyFill="1" applyBorder="1" applyAlignment="1">
      <alignment horizontal="center" vertical="center" wrapText="1"/>
    </xf>
    <xf numFmtId="0" fontId="3" fillId="3" borderId="44" xfId="0" applyFont="1" applyFill="1" applyBorder="1" applyAlignment="1">
      <alignment horizontal="center" vertical="center" wrapText="1"/>
    </xf>
    <xf numFmtId="0" fontId="3" fillId="3" borderId="40"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29"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46" xfId="0" applyFont="1" applyBorder="1" applyAlignment="1">
      <alignment horizontal="center" vertical="center" wrapText="1"/>
    </xf>
    <xf numFmtId="0" fontId="2" fillId="0" borderId="6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2" fillId="0" borderId="23" xfId="0" applyFont="1" applyBorder="1" applyAlignment="1">
      <alignment horizontal="center" vertical="center" wrapText="1"/>
    </xf>
    <xf numFmtId="0" fontId="2" fillId="0" borderId="58" xfId="0" applyFont="1" applyBorder="1" applyAlignment="1">
      <alignment horizontal="center" vertical="center" wrapText="1"/>
    </xf>
    <xf numFmtId="0" fontId="3" fillId="3" borderId="20"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2" fillId="0" borderId="61" xfId="0" applyFont="1" applyBorder="1" applyAlignment="1">
      <alignment horizontal="center" vertical="center"/>
    </xf>
    <xf numFmtId="0" fontId="4" fillId="30" borderId="26" xfId="0" applyFont="1" applyFill="1" applyBorder="1" applyAlignment="1">
      <alignment horizontal="center" vertical="center" wrapText="1"/>
    </xf>
    <xf numFmtId="0" fontId="4" fillId="30" borderId="27" xfId="0" applyFont="1" applyFill="1" applyBorder="1" applyAlignment="1">
      <alignment horizontal="center" vertical="center" wrapText="1"/>
    </xf>
    <xf numFmtId="0" fontId="4" fillId="30" borderId="28" xfId="0" applyFont="1" applyFill="1" applyBorder="1" applyAlignment="1">
      <alignment horizontal="center" vertical="center" wrapText="1"/>
    </xf>
    <xf numFmtId="0" fontId="2" fillId="31" borderId="13" xfId="0" applyFont="1" applyFill="1" applyBorder="1" applyAlignment="1">
      <alignment horizontal="center" vertical="center"/>
    </xf>
    <xf numFmtId="0" fontId="2" fillId="31" borderId="14" xfId="0" applyFont="1" applyFill="1" applyBorder="1" applyAlignment="1">
      <alignment horizontal="center" vertical="center"/>
    </xf>
    <xf numFmtId="0" fontId="2" fillId="31" borderId="15" xfId="0" applyFont="1" applyFill="1" applyBorder="1" applyAlignment="1">
      <alignment horizontal="center" vertical="center"/>
    </xf>
    <xf numFmtId="0" fontId="3" fillId="3" borderId="77" xfId="0" applyFont="1" applyFill="1" applyBorder="1" applyAlignment="1">
      <alignment horizontal="center" vertical="center"/>
    </xf>
    <xf numFmtId="0" fontId="2" fillId="15" borderId="13" xfId="0" applyFont="1" applyFill="1" applyBorder="1" applyAlignment="1">
      <alignment horizontal="center" vertical="center"/>
    </xf>
    <xf numFmtId="0" fontId="2" fillId="15" borderId="14" xfId="0" applyFont="1" applyFill="1" applyBorder="1" applyAlignment="1">
      <alignment horizontal="center" vertical="center"/>
    </xf>
    <xf numFmtId="0" fontId="2" fillId="15" borderId="15" xfId="0" applyFont="1" applyFill="1" applyBorder="1" applyAlignment="1">
      <alignment horizontal="center" vertical="center"/>
    </xf>
    <xf numFmtId="0" fontId="37" fillId="27" borderId="0" xfId="0" applyFont="1" applyFill="1" applyAlignment="1">
      <alignment horizontal="center"/>
    </xf>
    <xf numFmtId="0" fontId="2" fillId="15" borderId="26" xfId="0" applyFont="1" applyFill="1" applyBorder="1" applyAlignment="1">
      <alignment horizontal="center" vertical="center"/>
    </xf>
    <xf numFmtId="0" fontId="2" fillId="15" borderId="27" xfId="0" applyFont="1" applyFill="1" applyBorder="1" applyAlignment="1">
      <alignment horizontal="center" vertical="center"/>
    </xf>
    <xf numFmtId="0" fontId="2" fillId="15" borderId="28" xfId="0" applyFont="1" applyFill="1" applyBorder="1" applyAlignment="1">
      <alignment horizontal="center" vertical="center"/>
    </xf>
    <xf numFmtId="0" fontId="4" fillId="30" borderId="26" xfId="0" applyFont="1" applyFill="1" applyBorder="1" applyAlignment="1">
      <alignment horizontal="center" vertical="center"/>
    </xf>
    <xf numFmtId="0" fontId="4" fillId="30" borderId="27" xfId="0" applyFont="1" applyFill="1" applyBorder="1" applyAlignment="1">
      <alignment horizontal="center" vertical="center"/>
    </xf>
    <xf numFmtId="0" fontId="4" fillId="30" borderId="28" xfId="0" applyFont="1" applyFill="1" applyBorder="1" applyAlignment="1">
      <alignment horizontal="center" vertical="center"/>
    </xf>
    <xf numFmtId="0" fontId="36" fillId="27" borderId="0" xfId="0" applyFont="1" applyFill="1" applyAlignment="1">
      <alignment horizontal="center"/>
    </xf>
    <xf numFmtId="0" fontId="29" fillId="0" borderId="46" xfId="0" applyFont="1" applyBorder="1" applyAlignment="1">
      <alignment horizontal="center" vertical="center"/>
    </xf>
    <xf numFmtId="0" fontId="29" fillId="0" borderId="61" xfId="0" applyFont="1" applyBorder="1" applyAlignment="1">
      <alignment horizontal="center" vertical="center"/>
    </xf>
    <xf numFmtId="0" fontId="29" fillId="0" borderId="29" xfId="0" applyFont="1" applyBorder="1" applyAlignment="1">
      <alignment horizontal="center" vertical="center"/>
    </xf>
    <xf numFmtId="0" fontId="29" fillId="0" borderId="30" xfId="0" applyFont="1" applyBorder="1" applyAlignment="1">
      <alignment horizontal="center" vertical="center"/>
    </xf>
    <xf numFmtId="0" fontId="28" fillId="3" borderId="26" xfId="0" applyFont="1" applyFill="1" applyBorder="1" applyAlignment="1">
      <alignment horizontal="center" vertical="center" wrapText="1"/>
    </xf>
    <xf numFmtId="0" fontId="28" fillId="3" borderId="27" xfId="0" applyFont="1" applyFill="1" applyBorder="1" applyAlignment="1">
      <alignment horizontal="center" vertical="center" wrapText="1"/>
    </xf>
    <xf numFmtId="0" fontId="28" fillId="3" borderId="28" xfId="0" applyFont="1" applyFill="1" applyBorder="1" applyAlignment="1">
      <alignment horizontal="center" vertical="center" wrapText="1"/>
    </xf>
    <xf numFmtId="0" fontId="29" fillId="0" borderId="29" xfId="0" applyFont="1" applyBorder="1" applyAlignment="1">
      <alignment horizontal="center" vertical="center" wrapText="1"/>
    </xf>
    <xf numFmtId="0" fontId="29" fillId="0" borderId="30" xfId="0" applyFont="1" applyBorder="1" applyAlignment="1">
      <alignment horizontal="center" vertical="center" wrapText="1"/>
    </xf>
    <xf numFmtId="0" fontId="29" fillId="0" borderId="2" xfId="0" applyFont="1" applyBorder="1" applyAlignment="1">
      <alignment horizontal="center" vertical="center" wrapText="1"/>
    </xf>
    <xf numFmtId="0" fontId="29" fillId="0" borderId="57" xfId="0" applyFont="1" applyBorder="1" applyAlignment="1">
      <alignment horizontal="center" vertical="center" wrapText="1"/>
    </xf>
    <xf numFmtId="0" fontId="29" fillId="0" borderId="3" xfId="0" applyFont="1" applyBorder="1" applyAlignment="1">
      <alignment horizontal="center" vertical="center" wrapText="1"/>
    </xf>
    <xf numFmtId="0" fontId="28" fillId="3" borderId="13" xfId="0" applyFont="1" applyFill="1" applyBorder="1" applyAlignment="1">
      <alignment horizontal="center" vertical="center" wrapText="1"/>
    </xf>
    <xf numFmtId="0" fontId="28" fillId="3" borderId="14" xfId="0" applyFont="1" applyFill="1" applyBorder="1" applyAlignment="1">
      <alignment horizontal="center" vertical="center" wrapText="1"/>
    </xf>
    <xf numFmtId="0" fontId="28" fillId="3" borderId="15" xfId="0" applyFont="1" applyFill="1" applyBorder="1" applyAlignment="1">
      <alignment horizontal="center" vertical="center" wrapText="1"/>
    </xf>
    <xf numFmtId="0" fontId="29" fillId="0" borderId="46" xfId="0" applyFont="1" applyBorder="1" applyAlignment="1">
      <alignment horizontal="center" vertical="center" wrapText="1"/>
    </xf>
    <xf numFmtId="0" fontId="29" fillId="0" borderId="76" xfId="0" applyFont="1" applyBorder="1" applyAlignment="1">
      <alignment horizontal="center" vertical="center" wrapText="1"/>
    </xf>
    <xf numFmtId="0" fontId="29" fillId="0" borderId="61" xfId="0" applyFont="1" applyBorder="1" applyAlignment="1">
      <alignment horizontal="center" vertical="center" wrapText="1"/>
    </xf>
    <xf numFmtId="0" fontId="29" fillId="0" borderId="76" xfId="0" applyFont="1" applyBorder="1" applyAlignment="1">
      <alignment horizontal="center" vertical="center"/>
    </xf>
    <xf numFmtId="0" fontId="28" fillId="3" borderId="59" xfId="0" applyFont="1" applyFill="1" applyBorder="1" applyAlignment="1">
      <alignment horizontal="center" vertical="center" wrapText="1"/>
    </xf>
    <xf numFmtId="0" fontId="28" fillId="3" borderId="0" xfId="0" applyFont="1" applyFill="1" applyAlignment="1">
      <alignment horizontal="center" vertical="center" wrapText="1"/>
    </xf>
    <xf numFmtId="0" fontId="60" fillId="0" borderId="29" xfId="0" applyFont="1" applyBorder="1" applyAlignment="1">
      <alignment horizontal="center" vertical="center"/>
    </xf>
    <xf numFmtId="0" fontId="60" fillId="0" borderId="30" xfId="0" applyFont="1" applyBorder="1" applyAlignment="1">
      <alignment horizontal="center" vertical="center"/>
    </xf>
    <xf numFmtId="0" fontId="29" fillId="0" borderId="40" xfId="0" applyFont="1" applyBorder="1" applyAlignment="1">
      <alignment horizontal="center" vertical="center"/>
    </xf>
    <xf numFmtId="0" fontId="29" fillId="0" borderId="58" xfId="0" applyFont="1" applyBorder="1" applyAlignment="1">
      <alignment horizontal="center" vertical="center"/>
    </xf>
    <xf numFmtId="0" fontId="31" fillId="27" borderId="0" xfId="0" applyFont="1" applyFill="1" applyAlignment="1">
      <alignment horizontal="center"/>
    </xf>
    <xf numFmtId="0" fontId="28" fillId="3" borderId="59" xfId="0" applyFont="1" applyFill="1" applyBorder="1" applyAlignment="1">
      <alignment horizontal="center" vertical="center"/>
    </xf>
    <xf numFmtId="0" fontId="28" fillId="3" borderId="0" xfId="0" applyFont="1" applyFill="1" applyAlignment="1">
      <alignment horizontal="center" vertical="center"/>
    </xf>
    <xf numFmtId="0" fontId="29" fillId="0" borderId="2" xfId="0" applyFont="1" applyBorder="1" applyAlignment="1">
      <alignment horizontal="center" vertical="center"/>
    </xf>
    <xf numFmtId="0" fontId="29" fillId="0" borderId="3" xfId="0" applyFont="1" applyBorder="1" applyAlignment="1">
      <alignment horizontal="center" vertical="center"/>
    </xf>
    <xf numFmtId="0" fontId="28" fillId="3" borderId="54" xfId="0" applyFont="1" applyFill="1" applyBorder="1" applyAlignment="1">
      <alignment horizontal="center" vertical="center" wrapText="1"/>
    </xf>
    <xf numFmtId="0" fontId="28" fillId="3" borderId="39" xfId="0" applyFont="1" applyFill="1" applyBorder="1" applyAlignment="1">
      <alignment horizontal="center" vertical="center" wrapText="1"/>
    </xf>
    <xf numFmtId="0" fontId="28" fillId="3" borderId="16" xfId="0" applyFont="1" applyFill="1" applyBorder="1" applyAlignment="1">
      <alignment horizontal="center" vertical="center"/>
    </xf>
    <xf numFmtId="0" fontId="28" fillId="3" borderId="52" xfId="0" applyFont="1" applyFill="1" applyBorder="1" applyAlignment="1">
      <alignment horizontal="center" vertical="center"/>
    </xf>
    <xf numFmtId="0" fontId="28" fillId="3" borderId="17" xfId="0" applyFont="1" applyFill="1" applyBorder="1" applyAlignment="1">
      <alignment horizontal="center" vertical="center"/>
    </xf>
    <xf numFmtId="0" fontId="28" fillId="3" borderId="54" xfId="0" applyFont="1" applyFill="1" applyBorder="1" applyAlignment="1">
      <alignment horizontal="center" vertical="center"/>
    </xf>
    <xf numFmtId="0" fontId="28" fillId="3" borderId="39" xfId="0" applyFont="1" applyFill="1" applyBorder="1" applyAlignment="1">
      <alignment horizontal="center" vertical="center"/>
    </xf>
    <xf numFmtId="0" fontId="28" fillId="3" borderId="77" xfId="0" applyFont="1" applyFill="1" applyBorder="1" applyAlignment="1">
      <alignment horizontal="center" vertical="center"/>
    </xf>
    <xf numFmtId="0" fontId="28" fillId="34" borderId="16" xfId="0" applyFont="1" applyFill="1" applyBorder="1" applyAlignment="1">
      <alignment horizontal="center" vertical="center"/>
    </xf>
    <xf numFmtId="0" fontId="28" fillId="34" borderId="52" xfId="0" applyFont="1" applyFill="1" applyBorder="1" applyAlignment="1">
      <alignment horizontal="center" vertical="center"/>
    </xf>
    <xf numFmtId="0" fontId="28" fillId="34" borderId="17" xfId="0" applyFont="1" applyFill="1" applyBorder="1" applyAlignment="1">
      <alignment horizontal="center" vertical="center"/>
    </xf>
    <xf numFmtId="0" fontId="28" fillId="40" borderId="26" xfId="0" applyFont="1" applyFill="1" applyBorder="1" applyAlignment="1">
      <alignment horizontal="center" vertical="center"/>
    </xf>
    <xf numFmtId="0" fontId="28" fillId="40" borderId="27" xfId="0" applyFont="1" applyFill="1" applyBorder="1" applyAlignment="1">
      <alignment horizontal="center" vertical="center"/>
    </xf>
    <xf numFmtId="0" fontId="28" fillId="40" borderId="28" xfId="0" applyFont="1" applyFill="1" applyBorder="1" applyAlignment="1">
      <alignment horizontal="center" vertical="center"/>
    </xf>
    <xf numFmtId="0" fontId="28" fillId="9" borderId="26" xfId="0" applyFont="1" applyFill="1" applyBorder="1" applyAlignment="1">
      <alignment horizontal="center" vertical="center" wrapText="1"/>
    </xf>
    <xf numFmtId="0" fontId="28" fillId="9" borderId="27"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8" fillId="40" borderId="16" xfId="0" applyFont="1" applyFill="1" applyBorder="1" applyAlignment="1">
      <alignment horizontal="center" vertical="center"/>
    </xf>
    <xf numFmtId="0" fontId="28" fillId="40" borderId="52" xfId="0" applyFont="1" applyFill="1" applyBorder="1" applyAlignment="1">
      <alignment horizontal="center" vertical="center"/>
    </xf>
    <xf numFmtId="0" fontId="28" fillId="40" borderId="17" xfId="0" applyFont="1" applyFill="1" applyBorder="1" applyAlignment="1">
      <alignment horizontal="center" vertical="center"/>
    </xf>
    <xf numFmtId="0" fontId="28" fillId="39" borderId="16" xfId="0" applyFont="1" applyFill="1" applyBorder="1" applyAlignment="1">
      <alignment horizontal="center" vertical="center"/>
    </xf>
    <xf numFmtId="0" fontId="28" fillId="39" borderId="52" xfId="0" applyFont="1" applyFill="1" applyBorder="1" applyAlignment="1">
      <alignment horizontal="center" vertical="center"/>
    </xf>
    <xf numFmtId="0" fontId="28" fillId="39" borderId="17" xfId="0" applyFont="1" applyFill="1" applyBorder="1" applyAlignment="1">
      <alignment horizontal="center" vertical="center"/>
    </xf>
    <xf numFmtId="0" fontId="31" fillId="35" borderId="0" xfId="0" applyFont="1" applyFill="1" applyAlignment="1">
      <alignment horizontal="center"/>
    </xf>
    <xf numFmtId="0" fontId="28" fillId="37" borderId="26" xfId="0" applyFont="1" applyFill="1" applyBorder="1" applyAlignment="1">
      <alignment horizontal="center" vertical="center"/>
    </xf>
    <xf numFmtId="0" fontId="28" fillId="37" borderId="27" xfId="0" applyFont="1" applyFill="1" applyBorder="1" applyAlignment="1">
      <alignment horizontal="center" vertical="center"/>
    </xf>
    <xf numFmtId="0" fontId="28" fillId="37" borderId="28" xfId="0" applyFont="1" applyFill="1" applyBorder="1" applyAlignment="1">
      <alignment horizontal="center" vertical="center"/>
    </xf>
    <xf numFmtId="0" fontId="28" fillId="34" borderId="26" xfId="0" applyFont="1" applyFill="1" applyBorder="1" applyAlignment="1">
      <alignment horizontal="center" vertical="center" wrapText="1"/>
    </xf>
    <xf numFmtId="0" fontId="28" fillId="34" borderId="27" xfId="0" applyFont="1" applyFill="1" applyBorder="1" applyAlignment="1">
      <alignment horizontal="center" vertical="center" wrapText="1"/>
    </xf>
    <xf numFmtId="0" fontId="28" fillId="34" borderId="28" xfId="0" applyFont="1" applyFill="1" applyBorder="1" applyAlignment="1">
      <alignment horizontal="center" vertical="center" wrapText="1"/>
    </xf>
    <xf numFmtId="0" fontId="28" fillId="37" borderId="26" xfId="0" applyFont="1" applyFill="1" applyBorder="1" applyAlignment="1">
      <alignment horizontal="center" vertical="center" wrapText="1"/>
    </xf>
    <xf numFmtId="0" fontId="28" fillId="37" borderId="27" xfId="0" applyFont="1" applyFill="1" applyBorder="1" applyAlignment="1">
      <alignment horizontal="center" vertical="center" wrapText="1"/>
    </xf>
    <xf numFmtId="0" fontId="28" fillId="37" borderId="28" xfId="0" applyFont="1" applyFill="1" applyBorder="1" applyAlignment="1">
      <alignment horizontal="center" vertical="center" wrapText="1"/>
    </xf>
    <xf numFmtId="0" fontId="28" fillId="36" borderId="26" xfId="0" applyFont="1" applyFill="1" applyBorder="1" applyAlignment="1">
      <alignment horizontal="center" vertical="center"/>
    </xf>
    <xf numFmtId="0" fontId="28" fillId="36" borderId="27" xfId="0" applyFont="1" applyFill="1" applyBorder="1" applyAlignment="1">
      <alignment horizontal="center" vertical="center"/>
    </xf>
    <xf numFmtId="0" fontId="28" fillId="36" borderId="28" xfId="0" applyFont="1" applyFill="1" applyBorder="1" applyAlignment="1">
      <alignment horizontal="center" vertical="center"/>
    </xf>
    <xf numFmtId="0" fontId="28" fillId="37" borderId="16" xfId="0" applyFont="1" applyFill="1" applyBorder="1" applyAlignment="1">
      <alignment horizontal="center" vertical="center"/>
    </xf>
    <xf numFmtId="0" fontId="28" fillId="37" borderId="52" xfId="0" applyFont="1" applyFill="1" applyBorder="1" applyAlignment="1">
      <alignment horizontal="center" vertical="center"/>
    </xf>
    <xf numFmtId="0" fontId="28" fillId="37" borderId="17" xfId="0" applyFont="1" applyFill="1" applyBorder="1" applyAlignment="1">
      <alignment horizontal="center" vertical="center"/>
    </xf>
    <xf numFmtId="0" fontId="29" fillId="0" borderId="74" xfId="0" applyFont="1" applyBorder="1" applyAlignment="1">
      <alignment horizontal="center" vertical="center"/>
    </xf>
    <xf numFmtId="0" fontId="28" fillId="20" borderId="26" xfId="0" applyFont="1" applyFill="1" applyBorder="1" applyAlignment="1">
      <alignment horizontal="center" vertical="center" wrapText="1"/>
    </xf>
    <xf numFmtId="0" fontId="28" fillId="20" borderId="27" xfId="0" applyFont="1" applyFill="1" applyBorder="1" applyAlignment="1">
      <alignment horizontal="center" vertical="center" wrapText="1"/>
    </xf>
    <xf numFmtId="0" fontId="28" fillId="20" borderId="28" xfId="0" applyFont="1" applyFill="1" applyBorder="1" applyAlignment="1">
      <alignment horizontal="center" vertical="center" wrapText="1"/>
    </xf>
    <xf numFmtId="0" fontId="29" fillId="19" borderId="2" xfId="0" applyFont="1" applyFill="1" applyBorder="1" applyAlignment="1">
      <alignment horizontal="center" vertical="center"/>
    </xf>
    <xf numFmtId="0" fontId="29" fillId="19" borderId="3" xfId="0" applyFont="1" applyFill="1" applyBorder="1" applyAlignment="1">
      <alignment horizontal="center" vertical="center"/>
    </xf>
    <xf numFmtId="0" fontId="28" fillId="43" borderId="26" xfId="0" applyFont="1" applyFill="1" applyBorder="1" applyAlignment="1">
      <alignment horizontal="center" vertical="center" wrapText="1"/>
    </xf>
    <xf numFmtId="0" fontId="28" fillId="43" borderId="27" xfId="0" applyFont="1" applyFill="1" applyBorder="1" applyAlignment="1">
      <alignment horizontal="center" vertical="center" wrapText="1"/>
    </xf>
    <xf numFmtId="0" fontId="28" fillId="40" borderId="26" xfId="0" applyFont="1" applyFill="1" applyBorder="1" applyAlignment="1">
      <alignment horizontal="center" vertical="center" wrapText="1"/>
    </xf>
    <xf numFmtId="0" fontId="28" fillId="40" borderId="27" xfId="0" applyFont="1" applyFill="1" applyBorder="1" applyAlignment="1">
      <alignment horizontal="center" vertical="center" wrapText="1"/>
    </xf>
    <xf numFmtId="0" fontId="28" fillId="40" borderId="28" xfId="0" applyFont="1" applyFill="1" applyBorder="1" applyAlignment="1">
      <alignment horizontal="center" vertical="center" wrapText="1"/>
    </xf>
    <xf numFmtId="0" fontId="28" fillId="43" borderId="28" xfId="0" applyFont="1" applyFill="1" applyBorder="1" applyAlignment="1">
      <alignment horizontal="center" vertical="center" wrapText="1"/>
    </xf>
    <xf numFmtId="0" fontId="29" fillId="0" borderId="57" xfId="0" applyFont="1" applyBorder="1" applyAlignment="1">
      <alignment horizontal="center" vertical="center"/>
    </xf>
    <xf numFmtId="0" fontId="29" fillId="19" borderId="29" xfId="0" applyFont="1" applyFill="1" applyBorder="1" applyAlignment="1">
      <alignment horizontal="center" vertical="center" wrapText="1"/>
    </xf>
    <xf numFmtId="0" fontId="29" fillId="19" borderId="30" xfId="0" applyFont="1" applyFill="1" applyBorder="1" applyAlignment="1">
      <alignment horizontal="center" vertical="center" wrapText="1"/>
    </xf>
    <xf numFmtId="0" fontId="28" fillId="36" borderId="26" xfId="0" applyFont="1" applyFill="1" applyBorder="1" applyAlignment="1">
      <alignment horizontal="center" vertical="center" wrapText="1"/>
    </xf>
    <xf numFmtId="0" fontId="28" fillId="36" borderId="27" xfId="0" applyFont="1" applyFill="1" applyBorder="1" applyAlignment="1">
      <alignment horizontal="center" vertical="center" wrapText="1"/>
    </xf>
    <xf numFmtId="0" fontId="28" fillId="36" borderId="28" xfId="0" applyFont="1" applyFill="1" applyBorder="1" applyAlignment="1">
      <alignment horizontal="center" vertical="center" wrapText="1"/>
    </xf>
    <xf numFmtId="0" fontId="38" fillId="37" borderId="26" xfId="0" applyFont="1" applyFill="1" applyBorder="1" applyAlignment="1">
      <alignment horizontal="center" vertical="center" wrapText="1"/>
    </xf>
    <xf numFmtId="0" fontId="38" fillId="37" borderId="27" xfId="0" applyFont="1" applyFill="1" applyBorder="1" applyAlignment="1">
      <alignment horizontal="center" vertical="center" wrapText="1"/>
    </xf>
    <xf numFmtId="0" fontId="38" fillId="37" borderId="28" xfId="0" applyFont="1" applyFill="1" applyBorder="1" applyAlignment="1">
      <alignment horizontal="center" vertical="center" wrapText="1"/>
    </xf>
    <xf numFmtId="0" fontId="0" fillId="0" borderId="19" xfId="0" applyBorder="1" applyAlignment="1">
      <alignment horizontal="center"/>
    </xf>
    <xf numFmtId="0" fontId="0" fillId="0" borderId="44"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0" fontId="0" fillId="0" borderId="45" xfId="0" applyBorder="1" applyAlignment="1">
      <alignment horizontal="center"/>
    </xf>
    <xf numFmtId="0" fontId="0" fillId="0" borderId="39" xfId="0" applyBorder="1" applyAlignment="1">
      <alignment horizontal="center"/>
    </xf>
    <xf numFmtId="0" fontId="0" fillId="0" borderId="61" xfId="0" applyBorder="1" applyAlignment="1">
      <alignment horizontal="center"/>
    </xf>
    <xf numFmtId="0" fontId="0" fillId="0" borderId="71" xfId="0" applyBorder="1" applyAlignment="1">
      <alignment horizontal="center"/>
    </xf>
    <xf numFmtId="0" fontId="0" fillId="0" borderId="74" xfId="0" applyBorder="1" applyAlignment="1">
      <alignment horizontal="center"/>
    </xf>
    <xf numFmtId="0" fontId="0" fillId="0" borderId="46"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45" fillId="41" borderId="26" xfId="0" applyFont="1" applyFill="1" applyBorder="1" applyAlignment="1">
      <alignment horizontal="center"/>
    </xf>
    <xf numFmtId="0" fontId="45" fillId="41" borderId="27" xfId="0" applyFont="1" applyFill="1" applyBorder="1" applyAlignment="1">
      <alignment horizontal="center"/>
    </xf>
    <xf numFmtId="0" fontId="45" fillId="41" borderId="28" xfId="0" applyFont="1" applyFill="1" applyBorder="1" applyAlignment="1">
      <alignment horizontal="center"/>
    </xf>
  </cellXfs>
  <cellStyles count="3">
    <cellStyle name="Moneda" xfId="1" builtinId="4"/>
    <cellStyle name="Normal" xfId="0" builtinId="0"/>
    <cellStyle name="Porcentaje" xfId="2" builtinId="5"/>
  </cellStyles>
  <dxfs count="3">
    <dxf>
      <font>
        <strike val="0"/>
        <outline val="0"/>
        <shadow val="0"/>
        <u val="none"/>
        <vertAlign val="baseline"/>
        <sz val="12"/>
        <color theme="1"/>
        <name val="Times New Roman"/>
        <scheme val="none"/>
      </font>
      <alignment horizontal="center" vertical="center" textRotation="0" wrapText="0" indent="0" justifyLastLine="0" shrinkToFit="0" readingOrder="0"/>
    </dxf>
    <dxf>
      <font>
        <strike val="0"/>
        <outline val="0"/>
        <shadow val="0"/>
        <u val="none"/>
        <vertAlign val="baseline"/>
        <sz val="12"/>
        <color theme="1"/>
        <name val="Times New Roman"/>
        <scheme val="none"/>
      </font>
      <alignment horizontal="center" vertical="center" textRotation="0" wrapText="0" indent="0" justifyLastLine="0" shrinkToFit="0" readingOrder="0"/>
    </dxf>
    <dxf>
      <font>
        <strike val="0"/>
        <outline val="0"/>
        <shadow val="0"/>
        <u val="none"/>
        <vertAlign val="baseline"/>
        <sz val="12"/>
        <color theme="1"/>
        <name val="Times New Roman"/>
        <scheme val="none"/>
      </font>
      <alignment horizontal="center" vertical="center" textRotation="0" wrapText="0" indent="0" justifyLastLine="0" shrinkToFit="0" readingOrder="0"/>
    </dxf>
  </dxfs>
  <tableStyles count="0" defaultTableStyle="TableStyleMedium2" defaultPivotStyle="PivotStyleLight16"/>
  <colors>
    <mruColors>
      <color rgb="FFFF9966"/>
      <color rgb="FFC1D7D0"/>
      <color rgb="FFCC66FF"/>
      <color rgb="FFFF99CC"/>
      <color rgb="FFC9ECC6"/>
      <color rgb="FF33CC33"/>
      <color rgb="FF009900"/>
      <color rgb="FF66FF33"/>
      <color rgb="FF00CC00"/>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customXml" Target="../customXml/item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onnections" Target="connection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microsoft.com/office/2017/10/relationships/person" Target="persons/perso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00000000-0016-0000-0000-000000000000}" autoFormatId="0" applyNumberFormats="0" applyBorderFormats="0" applyFontFormats="1" applyPatternFormats="1" applyAlignmentFormats="0" applyWidthHeightFormats="0">
  <queryTableRefresh preserveSortFilterLayout="0" nextId="2">
    <queryTableFields count="1">
      <queryTableField id="1" name="Column1"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PRODUCTOS" displayName="PRODUCTOS" ref="A1:A84" tableType="queryTable" totalsRowShown="0" headerRowDxfId="2" dataDxfId="1">
  <autoFilter ref="A1:A84" xr:uid="{00000000-0009-0000-0100-000003000000}"/>
  <tableColumns count="1">
    <tableColumn id="4" xr3:uid="{00000000-0010-0000-0000-000004000000}" uniqueName="4" name="Column1" queryTableFieldId="1"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84"/>
  <sheetViews>
    <sheetView topLeftCell="A6" zoomScale="74" zoomScaleNormal="74" workbookViewId="0">
      <selection activeCell="C82" sqref="C82"/>
    </sheetView>
  </sheetViews>
  <sheetFormatPr baseColWidth="10" defaultColWidth="10.85546875" defaultRowHeight="15.75" x14ac:dyDescent="0.25"/>
  <cols>
    <col min="1" max="1" width="29.5703125" style="1" bestFit="1" customWidth="1"/>
    <col min="2" max="16384" width="10.85546875" style="1"/>
  </cols>
  <sheetData>
    <row r="1" spans="1:1" x14ac:dyDescent="0.25">
      <c r="A1" s="1" t="s">
        <v>0</v>
      </c>
    </row>
    <row r="2" spans="1:1" ht="16.5" thickBot="1" x14ac:dyDescent="0.3">
      <c r="A2" s="1" t="s">
        <v>1</v>
      </c>
    </row>
    <row r="3" spans="1:1" x14ac:dyDescent="0.25">
      <c r="A3" s="239" t="s">
        <v>2</v>
      </c>
    </row>
    <row r="4" spans="1:1" x14ac:dyDescent="0.25">
      <c r="A4" s="231" t="s">
        <v>3</v>
      </c>
    </row>
    <row r="5" spans="1:1" x14ac:dyDescent="0.25">
      <c r="A5" s="231" t="s">
        <v>4</v>
      </c>
    </row>
    <row r="6" spans="1:1" x14ac:dyDescent="0.25">
      <c r="A6" s="231" t="s">
        <v>5</v>
      </c>
    </row>
    <row r="7" spans="1:1" x14ac:dyDescent="0.25">
      <c r="A7" s="231" t="s">
        <v>6</v>
      </c>
    </row>
    <row r="8" spans="1:1" x14ac:dyDescent="0.25">
      <c r="A8" s="231" t="s">
        <v>7</v>
      </c>
    </row>
    <row r="9" spans="1:1" x14ac:dyDescent="0.25">
      <c r="A9" s="231" t="s">
        <v>8</v>
      </c>
    </row>
    <row r="10" spans="1:1" x14ac:dyDescent="0.25">
      <c r="A10" s="231" t="s">
        <v>9</v>
      </c>
    </row>
    <row r="11" spans="1:1" x14ac:dyDescent="0.25">
      <c r="A11" s="231" t="s">
        <v>10</v>
      </c>
    </row>
    <row r="12" spans="1:1" x14ac:dyDescent="0.25">
      <c r="A12" s="231" t="s">
        <v>11</v>
      </c>
    </row>
    <row r="13" spans="1:1" x14ac:dyDescent="0.25">
      <c r="A13" s="231" t="s">
        <v>12</v>
      </c>
    </row>
    <row r="14" spans="1:1" x14ac:dyDescent="0.25">
      <c r="A14" s="231" t="s">
        <v>13</v>
      </c>
    </row>
    <row r="15" spans="1:1" x14ac:dyDescent="0.25">
      <c r="A15" s="231" t="s">
        <v>14</v>
      </c>
    </row>
    <row r="16" spans="1:1" x14ac:dyDescent="0.25">
      <c r="A16" s="231" t="s">
        <v>15</v>
      </c>
    </row>
    <row r="17" spans="1:1" x14ac:dyDescent="0.25">
      <c r="A17" s="231" t="s">
        <v>16</v>
      </c>
    </row>
    <row r="18" spans="1:1" x14ac:dyDescent="0.25">
      <c r="A18" s="231" t="s">
        <v>17</v>
      </c>
    </row>
    <row r="19" spans="1:1" x14ac:dyDescent="0.25">
      <c r="A19" s="231" t="s">
        <v>18</v>
      </c>
    </row>
    <row r="20" spans="1:1" x14ac:dyDescent="0.25">
      <c r="A20" s="231" t="s">
        <v>19</v>
      </c>
    </row>
    <row r="21" spans="1:1" x14ac:dyDescent="0.25">
      <c r="A21" s="231" t="s">
        <v>20</v>
      </c>
    </row>
    <row r="22" spans="1:1" x14ac:dyDescent="0.25">
      <c r="A22" s="231" t="s">
        <v>21</v>
      </c>
    </row>
    <row r="23" spans="1:1" x14ac:dyDescent="0.25">
      <c r="A23" s="231" t="s">
        <v>22</v>
      </c>
    </row>
    <row r="24" spans="1:1" x14ac:dyDescent="0.25">
      <c r="A24" s="231" t="s">
        <v>23</v>
      </c>
    </row>
    <row r="25" spans="1:1" x14ac:dyDescent="0.25">
      <c r="A25" s="231" t="s">
        <v>24</v>
      </c>
    </row>
    <row r="26" spans="1:1" x14ac:dyDescent="0.25">
      <c r="A26" s="231" t="s">
        <v>25</v>
      </c>
    </row>
    <row r="27" spans="1:1" x14ac:dyDescent="0.25">
      <c r="A27" s="231" t="s">
        <v>26</v>
      </c>
    </row>
    <row r="28" spans="1:1" x14ac:dyDescent="0.25">
      <c r="A28" s="231" t="s">
        <v>27</v>
      </c>
    </row>
    <row r="29" spans="1:1" x14ac:dyDescent="0.25">
      <c r="A29" s="231" t="s">
        <v>28</v>
      </c>
    </row>
    <row r="30" spans="1:1" x14ac:dyDescent="0.25">
      <c r="A30" s="231" t="s">
        <v>29</v>
      </c>
    </row>
    <row r="31" spans="1:1" x14ac:dyDescent="0.25">
      <c r="A31" s="231" t="s">
        <v>30</v>
      </c>
    </row>
    <row r="32" spans="1:1" x14ac:dyDescent="0.25">
      <c r="A32" s="231" t="s">
        <v>31</v>
      </c>
    </row>
    <row r="33" spans="1:1" x14ac:dyDescent="0.25">
      <c r="A33" s="231" t="s">
        <v>32</v>
      </c>
    </row>
    <row r="34" spans="1:1" x14ac:dyDescent="0.25">
      <c r="A34" s="231" t="s">
        <v>33</v>
      </c>
    </row>
    <row r="35" spans="1:1" x14ac:dyDescent="0.25">
      <c r="A35" s="231" t="s">
        <v>34</v>
      </c>
    </row>
    <row r="36" spans="1:1" x14ac:dyDescent="0.25">
      <c r="A36" s="231" t="s">
        <v>35</v>
      </c>
    </row>
    <row r="37" spans="1:1" ht="16.5" thickBot="1" x14ac:dyDescent="0.3">
      <c r="A37" s="87" t="s">
        <v>36</v>
      </c>
    </row>
    <row r="38" spans="1:1" x14ac:dyDescent="0.25">
      <c r="A38" s="239" t="s">
        <v>37</v>
      </c>
    </row>
    <row r="39" spans="1:1" x14ac:dyDescent="0.25">
      <c r="A39" s="231" t="s">
        <v>38</v>
      </c>
    </row>
    <row r="40" spans="1:1" x14ac:dyDescent="0.25">
      <c r="A40" s="231" t="s">
        <v>39</v>
      </c>
    </row>
    <row r="41" spans="1:1" x14ac:dyDescent="0.25">
      <c r="A41" s="231" t="s">
        <v>40</v>
      </c>
    </row>
    <row r="42" spans="1:1" x14ac:dyDescent="0.25">
      <c r="A42" s="231" t="s">
        <v>41</v>
      </c>
    </row>
    <row r="43" spans="1:1" x14ac:dyDescent="0.25">
      <c r="A43" s="231" t="s">
        <v>42</v>
      </c>
    </row>
    <row r="44" spans="1:1" x14ac:dyDescent="0.25">
      <c r="A44" s="231" t="s">
        <v>43</v>
      </c>
    </row>
    <row r="45" spans="1:1" x14ac:dyDescent="0.25">
      <c r="A45" s="231" t="s">
        <v>44</v>
      </c>
    </row>
    <row r="46" spans="1:1" x14ac:dyDescent="0.25">
      <c r="A46" s="231" t="s">
        <v>45</v>
      </c>
    </row>
    <row r="47" spans="1:1" x14ac:dyDescent="0.25">
      <c r="A47" s="231" t="s">
        <v>46</v>
      </c>
    </row>
    <row r="48" spans="1:1" x14ac:dyDescent="0.25">
      <c r="A48" s="231" t="s">
        <v>47</v>
      </c>
    </row>
    <row r="49" spans="1:1" x14ac:dyDescent="0.25">
      <c r="A49" s="231" t="s">
        <v>48</v>
      </c>
    </row>
    <row r="50" spans="1:1" x14ac:dyDescent="0.25">
      <c r="A50" s="231" t="s">
        <v>49</v>
      </c>
    </row>
    <row r="51" spans="1:1" ht="16.5" thickBot="1" x14ac:dyDescent="0.3">
      <c r="A51" s="87" t="s">
        <v>50</v>
      </c>
    </row>
    <row r="52" spans="1:1" x14ac:dyDescent="0.25">
      <c r="A52" s="239" t="s">
        <v>51</v>
      </c>
    </row>
    <row r="53" spans="1:1" x14ac:dyDescent="0.25">
      <c r="A53" s="231" t="s">
        <v>52</v>
      </c>
    </row>
    <row r="54" spans="1:1" ht="16.5" thickBot="1" x14ac:dyDescent="0.3">
      <c r="A54" s="87" t="s">
        <v>53</v>
      </c>
    </row>
    <row r="55" spans="1:1" x14ac:dyDescent="0.25">
      <c r="A55" s="239" t="s">
        <v>54</v>
      </c>
    </row>
    <row r="56" spans="1:1" x14ac:dyDescent="0.25">
      <c r="A56" s="231" t="s">
        <v>55</v>
      </c>
    </row>
    <row r="57" spans="1:1" x14ac:dyDescent="0.25">
      <c r="A57" s="231" t="s">
        <v>56</v>
      </c>
    </row>
    <row r="58" spans="1:1" ht="16.5" thickBot="1" x14ac:dyDescent="0.3">
      <c r="A58" s="87" t="s">
        <v>57</v>
      </c>
    </row>
    <row r="59" spans="1:1" x14ac:dyDescent="0.25">
      <c r="A59" s="239" t="s">
        <v>27</v>
      </c>
    </row>
    <row r="60" spans="1:1" x14ac:dyDescent="0.25">
      <c r="A60" s="231" t="s">
        <v>58</v>
      </c>
    </row>
    <row r="61" spans="1:1" x14ac:dyDescent="0.25">
      <c r="A61" s="231" t="s">
        <v>59</v>
      </c>
    </row>
    <row r="62" spans="1:1" x14ac:dyDescent="0.25">
      <c r="A62" s="231" t="s">
        <v>60</v>
      </c>
    </row>
    <row r="63" spans="1:1" x14ac:dyDescent="0.25">
      <c r="A63" s="231" t="s">
        <v>61</v>
      </c>
    </row>
    <row r="64" spans="1:1" ht="16.5" thickBot="1" x14ac:dyDescent="0.3">
      <c r="A64" s="87" t="s">
        <v>62</v>
      </c>
    </row>
    <row r="65" spans="1:1" x14ac:dyDescent="0.25">
      <c r="A65" s="239" t="s">
        <v>63</v>
      </c>
    </row>
    <row r="66" spans="1:1" x14ac:dyDescent="0.25">
      <c r="A66" s="231" t="s">
        <v>64</v>
      </c>
    </row>
    <row r="67" spans="1:1" x14ac:dyDescent="0.25">
      <c r="A67" s="231" t="s">
        <v>65</v>
      </c>
    </row>
    <row r="68" spans="1:1" x14ac:dyDescent="0.25">
      <c r="A68" s="231" t="s">
        <v>66</v>
      </c>
    </row>
    <row r="69" spans="1:1" x14ac:dyDescent="0.25">
      <c r="A69" s="231" t="s">
        <v>67</v>
      </c>
    </row>
    <row r="70" spans="1:1" x14ac:dyDescent="0.25">
      <c r="A70" s="231" t="s">
        <v>68</v>
      </c>
    </row>
    <row r="71" spans="1:1" x14ac:dyDescent="0.25">
      <c r="A71" s="231" t="s">
        <v>69</v>
      </c>
    </row>
    <row r="72" spans="1:1" ht="16.5" thickBot="1" x14ac:dyDescent="0.3">
      <c r="A72" s="87" t="s">
        <v>70</v>
      </c>
    </row>
    <row r="73" spans="1:1" x14ac:dyDescent="0.25">
      <c r="A73" s="239" t="s">
        <v>71</v>
      </c>
    </row>
    <row r="74" spans="1:1" x14ac:dyDescent="0.25">
      <c r="A74" s="231" t="s">
        <v>72</v>
      </c>
    </row>
    <row r="75" spans="1:1" x14ac:dyDescent="0.25">
      <c r="A75" s="231" t="s">
        <v>73</v>
      </c>
    </row>
    <row r="76" spans="1:1" x14ac:dyDescent="0.25">
      <c r="A76" s="231" t="s">
        <v>74</v>
      </c>
    </row>
    <row r="77" spans="1:1" x14ac:dyDescent="0.25">
      <c r="A77" s="231" t="s">
        <v>75</v>
      </c>
    </row>
    <row r="78" spans="1:1" x14ac:dyDescent="0.25">
      <c r="A78" s="231" t="s">
        <v>76</v>
      </c>
    </row>
    <row r="79" spans="1:1" x14ac:dyDescent="0.25">
      <c r="A79" s="231" t="s">
        <v>77</v>
      </c>
    </row>
    <row r="80" spans="1:1" x14ac:dyDescent="0.25">
      <c r="A80" s="231" t="s">
        <v>78</v>
      </c>
    </row>
    <row r="81" spans="1:1" x14ac:dyDescent="0.25">
      <c r="A81" s="231" t="s">
        <v>79</v>
      </c>
    </row>
    <row r="82" spans="1:1" x14ac:dyDescent="0.25">
      <c r="A82" s="231" t="s">
        <v>80</v>
      </c>
    </row>
    <row r="83" spans="1:1" x14ac:dyDescent="0.25">
      <c r="A83" s="231" t="s">
        <v>81</v>
      </c>
    </row>
    <row r="84" spans="1:1" ht="16.5" thickBot="1" x14ac:dyDescent="0.3">
      <c r="A84" s="87" t="s">
        <v>82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Y82"/>
  <sheetViews>
    <sheetView topLeftCell="A43" zoomScale="70" zoomScaleNormal="70" workbookViewId="0">
      <selection activeCell="B9" sqref="B9"/>
    </sheetView>
  </sheetViews>
  <sheetFormatPr baseColWidth="10" defaultColWidth="10.85546875" defaultRowHeight="15.75" x14ac:dyDescent="0.25"/>
  <cols>
    <col min="1" max="1" width="25.28515625" style="1" bestFit="1" customWidth="1"/>
    <col min="2" max="3" width="16.85546875" style="1" bestFit="1" customWidth="1"/>
    <col min="4" max="4" width="16.7109375" style="1" bestFit="1" customWidth="1"/>
    <col min="5" max="5" width="9.7109375" style="1" bestFit="1" customWidth="1"/>
    <col min="6" max="6" width="22" style="1" bestFit="1" customWidth="1"/>
    <col min="7" max="7" width="18.140625" style="1" bestFit="1" customWidth="1"/>
    <col min="8" max="8" width="10.5703125" style="1" bestFit="1" customWidth="1"/>
    <col min="9" max="9" width="8.5703125" style="1" bestFit="1" customWidth="1"/>
    <col min="10" max="10" width="24.85546875" style="1" bestFit="1" customWidth="1"/>
    <col min="11" max="11" width="24" style="1" customWidth="1"/>
    <col min="12" max="12" width="17.7109375" style="1" customWidth="1"/>
    <col min="13" max="13" width="16.85546875" style="1" bestFit="1" customWidth="1"/>
    <col min="14" max="14" width="8.5703125" style="1" bestFit="1" customWidth="1"/>
    <col min="15" max="15" width="12.140625" style="1" bestFit="1" customWidth="1"/>
    <col min="16" max="16" width="13.140625" style="1" bestFit="1" customWidth="1"/>
    <col min="17" max="17" width="14" style="1" bestFit="1" customWidth="1"/>
    <col min="18" max="18" width="9.7109375" style="1" bestFit="1" customWidth="1"/>
    <col min="19" max="19" width="11.42578125" style="1" bestFit="1" customWidth="1"/>
    <col min="20" max="20" width="7.42578125" style="1" bestFit="1" customWidth="1"/>
    <col min="21" max="21" width="8.5703125" style="1" bestFit="1" customWidth="1"/>
    <col min="22" max="22" width="5.42578125" style="1" bestFit="1" customWidth="1"/>
    <col min="23" max="23" width="3.85546875" style="1" bestFit="1" customWidth="1"/>
    <col min="24" max="24" width="9.7109375" style="1" bestFit="1" customWidth="1"/>
    <col min="25" max="25" width="7.28515625" style="1" bestFit="1" customWidth="1"/>
    <col min="26" max="16384" width="10.85546875" style="1"/>
  </cols>
  <sheetData>
    <row r="1" spans="1:16" x14ac:dyDescent="0.25">
      <c r="D1" s="8"/>
    </row>
    <row r="3" spans="1:16" ht="18.600000000000001" customHeight="1" x14ac:dyDescent="0.25"/>
    <row r="7" spans="1:16" ht="15.95" customHeight="1" x14ac:dyDescent="0.25"/>
    <row r="9" spans="1:16" ht="16.5" thickBot="1" x14ac:dyDescent="0.3">
      <c r="A9" s="22" t="s">
        <v>1145</v>
      </c>
      <c r="B9" s="38"/>
      <c r="C9" s="95">
        <v>237</v>
      </c>
    </row>
    <row r="10" spans="1:16" ht="17.45" customHeight="1" thickBot="1" x14ac:dyDescent="0.3">
      <c r="A10" s="15" t="s">
        <v>1146</v>
      </c>
      <c r="B10" s="15"/>
      <c r="C10" s="16">
        <f>1300/6</f>
        <v>216.66666666666666</v>
      </c>
    </row>
    <row r="12" spans="1:16" x14ac:dyDescent="0.25">
      <c r="C12" s="60"/>
    </row>
    <row r="13" spans="1:16" x14ac:dyDescent="0.25">
      <c r="C13" s="60"/>
    </row>
    <row r="14" spans="1:16" ht="15.6" customHeight="1" x14ac:dyDescent="0.25">
      <c r="B14" s="60"/>
      <c r="C14" s="60"/>
    </row>
    <row r="15" spans="1:16" ht="15.6" customHeight="1" thickBot="1" x14ac:dyDescent="0.3">
      <c r="A15" s="1600" t="s">
        <v>1147</v>
      </c>
      <c r="B15" s="1600"/>
      <c r="C15" s="1600"/>
      <c r="D15" s="1600"/>
      <c r="N15" s="60"/>
      <c r="O15" s="60"/>
      <c r="P15" s="173"/>
    </row>
    <row r="16" spans="1:16" x14ac:dyDescent="0.25">
      <c r="A16" s="112" t="s">
        <v>743</v>
      </c>
      <c r="B16" s="143" t="s">
        <v>1074</v>
      </c>
      <c r="C16" s="143" t="s">
        <v>1112</v>
      </c>
      <c r="D16" s="112" t="s">
        <v>747</v>
      </c>
      <c r="K16" s="1589" t="s">
        <v>1148</v>
      </c>
      <c r="L16" s="1596"/>
      <c r="M16" s="1590"/>
      <c r="P16" s="174"/>
    </row>
    <row r="17" spans="1:25" ht="15.95" customHeight="1" thickBot="1" x14ac:dyDescent="0.3">
      <c r="A17" s="2" t="s">
        <v>789</v>
      </c>
      <c r="B17" s="2">
        <v>10</v>
      </c>
      <c r="C17" s="106">
        <v>175</v>
      </c>
      <c r="D17" s="106">
        <f>C17/B17</f>
        <v>17.5</v>
      </c>
      <c r="K17" s="177" t="s">
        <v>916</v>
      </c>
      <c r="L17" s="177" t="s">
        <v>1149</v>
      </c>
      <c r="M17" s="178" t="s">
        <v>747</v>
      </c>
      <c r="P17" s="175"/>
    </row>
    <row r="18" spans="1:25" ht="16.5" thickBot="1" x14ac:dyDescent="0.3">
      <c r="K18" s="168"/>
      <c r="L18" s="168">
        <v>1</v>
      </c>
      <c r="M18" s="16">
        <v>143</v>
      </c>
    </row>
    <row r="19" spans="1:25" ht="16.5" thickBot="1" x14ac:dyDescent="0.3">
      <c r="G19" s="1597" t="s">
        <v>1150</v>
      </c>
      <c r="H19" s="1599"/>
      <c r="I19" s="1598"/>
      <c r="K19" s="168" t="s">
        <v>1151</v>
      </c>
      <c r="L19" s="168">
        <v>1</v>
      </c>
      <c r="M19" s="16">
        <v>42</v>
      </c>
    </row>
    <row r="20" spans="1:25" ht="15.6" customHeight="1" thickBot="1" x14ac:dyDescent="0.3">
      <c r="G20" s="177" t="s">
        <v>742</v>
      </c>
      <c r="H20" s="112" t="s">
        <v>743</v>
      </c>
      <c r="I20" s="199" t="s">
        <v>747</v>
      </c>
      <c r="K20" s="168" t="s">
        <v>1152</v>
      </c>
      <c r="L20" s="168"/>
      <c r="M20" s="16">
        <v>30</v>
      </c>
    </row>
    <row r="21" spans="1:25" ht="15.95" customHeight="1" thickBot="1" x14ac:dyDescent="0.3">
      <c r="G21" s="3" t="s">
        <v>1154</v>
      </c>
      <c r="H21" s="2" t="s">
        <v>777</v>
      </c>
      <c r="I21" s="89">
        <v>0.15</v>
      </c>
      <c r="K21" s="168" t="s">
        <v>1155</v>
      </c>
      <c r="L21" s="168"/>
      <c r="M21" s="16">
        <v>22</v>
      </c>
    </row>
    <row r="22" spans="1:25" ht="15.95" customHeight="1" thickBot="1" x14ac:dyDescent="0.3">
      <c r="G22" s="168" t="s">
        <v>1157</v>
      </c>
      <c r="H22" s="4"/>
      <c r="I22" s="90">
        <v>3</v>
      </c>
    </row>
    <row r="23" spans="1:25" ht="16.5" thickBot="1" x14ac:dyDescent="0.3">
      <c r="K23" s="1571" t="s">
        <v>1159</v>
      </c>
      <c r="L23" s="1571"/>
      <c r="M23" s="1571"/>
      <c r="N23" s="1571"/>
    </row>
    <row r="24" spans="1:25" x14ac:dyDescent="0.25">
      <c r="G24" s="1597" t="s">
        <v>1161</v>
      </c>
      <c r="H24" s="1599"/>
      <c r="I24" s="1598"/>
      <c r="K24" s="113" t="s">
        <v>1162</v>
      </c>
      <c r="L24" s="147" t="s">
        <v>1074</v>
      </c>
      <c r="M24" s="113" t="s">
        <v>747</v>
      </c>
      <c r="N24" s="113" t="s">
        <v>747</v>
      </c>
      <c r="Q24" s="1597" t="s">
        <v>1163</v>
      </c>
      <c r="R24" s="1599"/>
      <c r="S24" s="1599"/>
      <c r="T24" s="1598"/>
    </row>
    <row r="25" spans="1:25" ht="16.5" thickBot="1" x14ac:dyDescent="0.3">
      <c r="G25" s="177" t="s">
        <v>742</v>
      </c>
      <c r="H25" s="112" t="s">
        <v>743</v>
      </c>
      <c r="I25" s="199" t="s">
        <v>747</v>
      </c>
      <c r="K25" s="20" t="s">
        <v>1165</v>
      </c>
      <c r="L25" s="2">
        <v>200</v>
      </c>
      <c r="M25" s="106">
        <v>700</v>
      </c>
      <c r="N25" s="106">
        <f>M25/L25</f>
        <v>3.5</v>
      </c>
      <c r="Q25" s="177" t="s">
        <v>743</v>
      </c>
      <c r="R25" s="143" t="s">
        <v>1166</v>
      </c>
      <c r="S25" s="143" t="s">
        <v>1167</v>
      </c>
      <c r="T25" s="199" t="s">
        <v>747</v>
      </c>
      <c r="V25" s="168" t="s">
        <v>761</v>
      </c>
      <c r="W25" s="4">
        <v>50</v>
      </c>
      <c r="X25" s="167">
        <v>143</v>
      </c>
      <c r="Y25" s="90">
        <f>X25/W25</f>
        <v>2.86</v>
      </c>
    </row>
    <row r="26" spans="1:25" ht="16.5" thickBot="1" x14ac:dyDescent="0.3">
      <c r="G26" s="13" t="s">
        <v>1170</v>
      </c>
      <c r="H26" s="9"/>
      <c r="I26" s="67">
        <v>16</v>
      </c>
      <c r="K26" s="63"/>
      <c r="M26" s="139"/>
      <c r="N26" s="139"/>
      <c r="Q26" s="159" t="s">
        <v>1163</v>
      </c>
      <c r="R26" s="160">
        <v>180</v>
      </c>
      <c r="S26" s="161">
        <v>530</v>
      </c>
      <c r="T26" s="161">
        <f>S26/R26</f>
        <v>2.9444444444444446</v>
      </c>
      <c r="X26" s="139"/>
      <c r="Y26" s="139"/>
    </row>
    <row r="27" spans="1:25" ht="16.5" thickBot="1" x14ac:dyDescent="0.3">
      <c r="G27" s="168" t="s">
        <v>1171</v>
      </c>
      <c r="H27" s="9"/>
      <c r="I27" s="90">
        <v>8</v>
      </c>
      <c r="S27" s="139"/>
      <c r="T27" s="139"/>
    </row>
    <row r="28" spans="1:25" ht="15.95" customHeight="1" thickBot="1" x14ac:dyDescent="0.3"/>
    <row r="29" spans="1:25" x14ac:dyDescent="0.25">
      <c r="G29" s="1589" t="s">
        <v>1174</v>
      </c>
      <c r="H29" s="1596"/>
      <c r="I29" s="1590"/>
      <c r="Q29" s="1589" t="s">
        <v>1175</v>
      </c>
      <c r="R29" s="1590"/>
    </row>
    <row r="30" spans="1:25" x14ac:dyDescent="0.25">
      <c r="G30" s="177" t="s">
        <v>742</v>
      </c>
      <c r="H30" s="112" t="s">
        <v>743</v>
      </c>
      <c r="I30" s="199" t="s">
        <v>747</v>
      </c>
      <c r="K30" s="20" t="s">
        <v>1177</v>
      </c>
      <c r="L30" s="2">
        <v>72</v>
      </c>
      <c r="M30" s="106">
        <v>754</v>
      </c>
      <c r="N30" s="106">
        <f>M30/L30</f>
        <v>10.472222222222221</v>
      </c>
      <c r="Q30" s="177" t="s">
        <v>743</v>
      </c>
      <c r="R30" s="178" t="s">
        <v>747</v>
      </c>
    </row>
    <row r="31" spans="1:25" ht="16.5" thickBot="1" x14ac:dyDescent="0.3">
      <c r="G31" s="3" t="s">
        <v>1179</v>
      </c>
      <c r="H31" s="2" t="s">
        <v>1180</v>
      </c>
      <c r="I31" s="89">
        <v>83</v>
      </c>
      <c r="Q31" s="168" t="s">
        <v>1181</v>
      </c>
      <c r="R31" s="90">
        <v>29</v>
      </c>
    </row>
    <row r="37" spans="1:8" ht="16.5" thickBot="1" x14ac:dyDescent="0.3"/>
    <row r="38" spans="1:8" x14ac:dyDescent="0.25">
      <c r="G38" s="1589" t="s">
        <v>1193</v>
      </c>
      <c r="H38" s="1590"/>
    </row>
    <row r="39" spans="1:8" x14ac:dyDescent="0.25">
      <c r="D39" s="60"/>
      <c r="E39" s="390"/>
      <c r="G39" s="177" t="s">
        <v>1066</v>
      </c>
      <c r="H39" s="178" t="s">
        <v>747</v>
      </c>
    </row>
    <row r="40" spans="1:8" ht="16.5" thickBot="1" x14ac:dyDescent="0.3">
      <c r="D40" s="60"/>
      <c r="E40" s="390"/>
      <c r="G40" s="168" t="s">
        <v>1194</v>
      </c>
      <c r="H40" s="90">
        <v>77</v>
      </c>
    </row>
    <row r="41" spans="1:8" ht="16.5" thickBot="1" x14ac:dyDescent="0.3">
      <c r="A41" s="1571" t="s">
        <v>960</v>
      </c>
      <c r="B41" s="1571"/>
      <c r="C41" s="1571"/>
      <c r="D41" s="60"/>
      <c r="E41" s="60"/>
      <c r="G41" s="168" t="s">
        <v>1195</v>
      </c>
      <c r="H41" s="90">
        <v>77</v>
      </c>
    </row>
    <row r="42" spans="1:8" ht="16.5" thickBot="1" x14ac:dyDescent="0.3">
      <c r="A42" s="112" t="s">
        <v>742</v>
      </c>
      <c r="B42" s="112" t="s">
        <v>743</v>
      </c>
      <c r="C42" s="112" t="s">
        <v>747</v>
      </c>
      <c r="D42" s="60"/>
      <c r="E42" s="60"/>
      <c r="G42" s="168" t="s">
        <v>914</v>
      </c>
      <c r="H42" s="90">
        <v>110</v>
      </c>
    </row>
    <row r="43" spans="1:8" ht="16.5" thickBot="1" x14ac:dyDescent="0.3">
      <c r="A43" s="13" t="s">
        <v>1196</v>
      </c>
      <c r="B43" s="9" t="s">
        <v>759</v>
      </c>
      <c r="C43" s="67">
        <v>29</v>
      </c>
      <c r="D43" s="60"/>
      <c r="E43" s="60"/>
    </row>
    <row r="45" spans="1:8" x14ac:dyDescent="0.25">
      <c r="A45" s="1571" t="s">
        <v>1197</v>
      </c>
      <c r="B45" s="1571"/>
      <c r="C45" s="1571"/>
    </row>
    <row r="46" spans="1:8" ht="16.5" thickBot="1" x14ac:dyDescent="0.3">
      <c r="A46" s="112" t="s">
        <v>742</v>
      </c>
      <c r="B46" s="112" t="s">
        <v>743</v>
      </c>
      <c r="C46" s="112" t="s">
        <v>747</v>
      </c>
    </row>
    <row r="47" spans="1:8" ht="16.5" thickBot="1" x14ac:dyDescent="0.3">
      <c r="A47" s="13" t="s">
        <v>1198</v>
      </c>
      <c r="B47" s="9" t="s">
        <v>777</v>
      </c>
      <c r="C47" s="67">
        <v>0.5</v>
      </c>
    </row>
    <row r="48" spans="1:8" ht="16.5" thickBot="1" x14ac:dyDescent="0.3"/>
    <row r="49" spans="1:9" x14ac:dyDescent="0.25">
      <c r="A49" s="1589" t="s">
        <v>1199</v>
      </c>
      <c r="B49" s="1590"/>
    </row>
    <row r="50" spans="1:9" ht="16.5" thickBot="1" x14ac:dyDescent="0.3">
      <c r="A50" s="177" t="s">
        <v>1066</v>
      </c>
      <c r="B50" s="178" t="s">
        <v>747</v>
      </c>
    </row>
    <row r="51" spans="1:9" ht="16.5" thickBot="1" x14ac:dyDescent="0.3">
      <c r="A51" s="168" t="s">
        <v>1200</v>
      </c>
      <c r="B51" s="90">
        <v>96</v>
      </c>
      <c r="G51" s="1589" t="s">
        <v>1201</v>
      </c>
      <c r="H51" s="1590"/>
      <c r="I51" s="8"/>
    </row>
    <row r="52" spans="1:9" x14ac:dyDescent="0.25">
      <c r="G52" s="177" t="s">
        <v>1066</v>
      </c>
      <c r="H52" s="178" t="s">
        <v>747</v>
      </c>
    </row>
    <row r="53" spans="1:9" ht="16.5" thickBot="1" x14ac:dyDescent="0.3">
      <c r="G53" s="168" t="s">
        <v>1202</v>
      </c>
      <c r="H53" s="90">
        <v>20</v>
      </c>
    </row>
    <row r="54" spans="1:9" ht="16.5" thickBot="1" x14ac:dyDescent="0.3">
      <c r="G54" s="168" t="s">
        <v>1203</v>
      </c>
      <c r="H54" s="90">
        <v>100</v>
      </c>
    </row>
    <row r="55" spans="1:9" ht="16.5" thickBot="1" x14ac:dyDescent="0.3">
      <c r="G55" s="168" t="s">
        <v>1204</v>
      </c>
      <c r="H55" s="90">
        <v>170</v>
      </c>
    </row>
    <row r="56" spans="1:9" ht="16.5" thickBot="1" x14ac:dyDescent="0.3">
      <c r="G56" s="168" t="s">
        <v>1206</v>
      </c>
      <c r="H56" s="90">
        <v>20</v>
      </c>
    </row>
    <row r="57" spans="1:9" ht="16.5" thickBot="1" x14ac:dyDescent="0.3">
      <c r="A57" s="1589" t="s">
        <v>1207</v>
      </c>
      <c r="B57" s="1590"/>
      <c r="D57" s="1589" t="s">
        <v>1208</v>
      </c>
      <c r="E57" s="1590"/>
      <c r="G57" s="168" t="s">
        <v>1209</v>
      </c>
      <c r="H57" s="90">
        <v>150</v>
      </c>
    </row>
    <row r="58" spans="1:9" x14ac:dyDescent="0.25">
      <c r="A58" s="177" t="s">
        <v>1066</v>
      </c>
      <c r="B58" s="178" t="s">
        <v>747</v>
      </c>
      <c r="D58" s="177" t="s">
        <v>1066</v>
      </c>
      <c r="E58" s="178" t="s">
        <v>747</v>
      </c>
    </row>
    <row r="59" spans="1:9" ht="16.5" thickBot="1" x14ac:dyDescent="0.3">
      <c r="A59" s="168" t="s">
        <v>1210</v>
      </c>
      <c r="B59" s="90">
        <v>108</v>
      </c>
      <c r="D59" s="168" t="s">
        <v>1211</v>
      </c>
      <c r="E59" s="90">
        <v>10</v>
      </c>
    </row>
    <row r="61" spans="1:9" ht="16.5" thickBot="1" x14ac:dyDescent="0.3"/>
    <row r="62" spans="1:9" x14ac:dyDescent="0.25">
      <c r="A62" s="1597" t="s">
        <v>1215</v>
      </c>
      <c r="B62" s="1598"/>
    </row>
    <row r="63" spans="1:9" x14ac:dyDescent="0.25">
      <c r="A63" s="177" t="s">
        <v>742</v>
      </c>
      <c r="B63" s="199" t="s">
        <v>747</v>
      </c>
    </row>
    <row r="64" spans="1:9" ht="16.5" thickBot="1" x14ac:dyDescent="0.3">
      <c r="A64" s="168" t="s">
        <v>1218</v>
      </c>
      <c r="B64" s="90">
        <v>880</v>
      </c>
    </row>
    <row r="65" spans="1:2" ht="16.5" thickBot="1" x14ac:dyDescent="0.3">
      <c r="A65" s="168" t="s">
        <v>1219</v>
      </c>
      <c r="B65" s="90">
        <v>880</v>
      </c>
    </row>
    <row r="82" spans="1:4" x14ac:dyDescent="0.25">
      <c r="A82" s="20"/>
      <c r="B82" s="2">
        <v>10</v>
      </c>
      <c r="C82" s="106">
        <f>445+45</f>
        <v>490</v>
      </c>
      <c r="D82" s="106">
        <f>C82/B82</f>
        <v>49</v>
      </c>
    </row>
  </sheetData>
  <mergeCells count="16">
    <mergeCell ref="A15:D15"/>
    <mergeCell ref="G19:I19"/>
    <mergeCell ref="G24:I24"/>
    <mergeCell ref="K16:M16"/>
    <mergeCell ref="K23:N23"/>
    <mergeCell ref="A49:B49"/>
    <mergeCell ref="A62:B62"/>
    <mergeCell ref="A57:B57"/>
    <mergeCell ref="Q24:T24"/>
    <mergeCell ref="Q29:R29"/>
    <mergeCell ref="G29:I29"/>
    <mergeCell ref="A45:C45"/>
    <mergeCell ref="A41:C41"/>
    <mergeCell ref="G38:H38"/>
    <mergeCell ref="D57:E57"/>
    <mergeCell ref="G51:H5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DA51C-3958-4737-8003-B7B8976E8329}">
  <dimension ref="A1:M67"/>
  <sheetViews>
    <sheetView topLeftCell="A31" workbookViewId="0">
      <selection activeCell="E46" sqref="E46"/>
    </sheetView>
  </sheetViews>
  <sheetFormatPr baseColWidth="10" defaultRowHeight="15" x14ac:dyDescent="0.25"/>
  <cols>
    <col min="1" max="1" width="36.28515625" bestFit="1" customWidth="1"/>
    <col min="2" max="3" width="14.28515625" bestFit="1" customWidth="1"/>
    <col min="4" max="4" width="15.140625" bestFit="1" customWidth="1"/>
    <col min="5" max="5" width="16.28515625" bestFit="1" customWidth="1"/>
    <col min="6" max="6" width="16.7109375" bestFit="1" customWidth="1"/>
    <col min="8" max="8" width="29.5703125" bestFit="1" customWidth="1"/>
    <col min="9" max="9" width="11.42578125" customWidth="1"/>
    <col min="10" max="10" width="24.42578125" bestFit="1" customWidth="1"/>
    <col min="11" max="11" width="16.42578125" bestFit="1" customWidth="1"/>
    <col min="12" max="12" width="13.7109375" bestFit="1" customWidth="1"/>
    <col min="13" max="13" width="11.85546875" bestFit="1" customWidth="1"/>
    <col min="14" max="14" width="13.7109375" bestFit="1" customWidth="1"/>
  </cols>
  <sheetData>
    <row r="1" spans="1:13" ht="16.5" thickBot="1" x14ac:dyDescent="0.3">
      <c r="A1" s="1602" t="s">
        <v>1031</v>
      </c>
      <c r="B1" s="1600"/>
      <c r="C1" s="1600"/>
      <c r="D1" s="1600"/>
      <c r="E1" s="1600"/>
      <c r="F1" s="1600"/>
      <c r="H1" s="1602" t="s">
        <v>3427</v>
      </c>
      <c r="I1" s="1600"/>
      <c r="J1" s="1600"/>
      <c r="K1" s="1600"/>
      <c r="L1" s="1600"/>
    </row>
    <row r="2" spans="1:13" ht="16.5" thickBot="1" x14ac:dyDescent="0.3">
      <c r="A2" s="14" t="s">
        <v>746</v>
      </c>
      <c r="B2" s="14" t="s">
        <v>1034</v>
      </c>
      <c r="C2" s="19" t="s">
        <v>747</v>
      </c>
      <c r="D2" s="14" t="s">
        <v>1035</v>
      </c>
      <c r="E2" s="944" t="s">
        <v>2245</v>
      </c>
      <c r="F2" s="945" t="s">
        <v>1052</v>
      </c>
      <c r="H2" s="10" t="s">
        <v>742</v>
      </c>
      <c r="I2" s="165" t="s">
        <v>932</v>
      </c>
      <c r="J2" s="11" t="s">
        <v>1051</v>
      </c>
      <c r="K2" s="11" t="s">
        <v>1052</v>
      </c>
      <c r="L2" s="11" t="s">
        <v>1053</v>
      </c>
    </row>
    <row r="3" spans="1:13" ht="16.5" thickBot="1" x14ac:dyDescent="0.3">
      <c r="A3" s="1209" t="s">
        <v>3420</v>
      </c>
      <c r="B3" s="1209">
        <v>8</v>
      </c>
      <c r="C3" s="1221">
        <v>1580</v>
      </c>
      <c r="D3" s="232">
        <f t="shared" ref="D3:D9" si="0">C3/B3</f>
        <v>197.5</v>
      </c>
      <c r="E3" s="946">
        <v>605</v>
      </c>
      <c r="F3" s="947">
        <f>E3+D3</f>
        <v>802.5</v>
      </c>
      <c r="H3" s="15" t="s">
        <v>1054</v>
      </c>
      <c r="I3" s="15" t="s">
        <v>1055</v>
      </c>
      <c r="J3" s="163">
        <v>5</v>
      </c>
      <c r="K3" s="142">
        <v>11599</v>
      </c>
      <c r="L3" s="338">
        <f>K3/J3</f>
        <v>2319.8000000000002</v>
      </c>
    </row>
    <row r="4" spans="1:13" ht="16.5" thickBot="1" x14ac:dyDescent="0.3">
      <c r="A4" s="1209" t="s">
        <v>3699</v>
      </c>
      <c r="B4" s="1209">
        <v>100</v>
      </c>
      <c r="C4" s="1221">
        <v>800</v>
      </c>
      <c r="D4" s="232">
        <f t="shared" si="0"/>
        <v>8</v>
      </c>
      <c r="E4" s="946">
        <v>73</v>
      </c>
      <c r="F4" s="947">
        <f>E4+D4</f>
        <v>81</v>
      </c>
      <c r="H4" s="15" t="s">
        <v>1056</v>
      </c>
      <c r="I4" s="15" t="s">
        <v>1057</v>
      </c>
      <c r="J4" s="163">
        <v>11.2</v>
      </c>
      <c r="K4" s="142">
        <v>15899</v>
      </c>
      <c r="L4" s="338">
        <f>K4/J4</f>
        <v>1419.5535714285716</v>
      </c>
    </row>
    <row r="5" spans="1:13" ht="16.5" thickBot="1" x14ac:dyDescent="0.3">
      <c r="A5" s="1209" t="s">
        <v>3700</v>
      </c>
      <c r="B5" s="1209">
        <v>100</v>
      </c>
      <c r="C5" s="1221">
        <v>1000</v>
      </c>
      <c r="D5" s="232">
        <f t="shared" si="0"/>
        <v>10</v>
      </c>
      <c r="E5" s="946">
        <v>73</v>
      </c>
      <c r="F5" s="947">
        <f>E5+D5</f>
        <v>83</v>
      </c>
      <c r="H5" s="15" t="s">
        <v>1059</v>
      </c>
      <c r="I5" s="15" t="s">
        <v>1060</v>
      </c>
      <c r="J5" s="163">
        <v>14</v>
      </c>
      <c r="K5" s="142">
        <v>12799</v>
      </c>
      <c r="L5" s="338">
        <f>K5/J5</f>
        <v>914.21428571428567</v>
      </c>
    </row>
    <row r="6" spans="1:13" ht="16.5" thickBot="1" x14ac:dyDescent="0.3">
      <c r="A6" s="1209" t="s">
        <v>3896</v>
      </c>
      <c r="B6" s="1209">
        <v>100</v>
      </c>
      <c r="C6" s="1221">
        <v>1698</v>
      </c>
      <c r="D6" s="232">
        <f t="shared" si="0"/>
        <v>16.98</v>
      </c>
      <c r="E6" s="946">
        <v>545</v>
      </c>
      <c r="F6" s="947">
        <f>E6+D6</f>
        <v>561.98</v>
      </c>
      <c r="H6" s="15" t="s">
        <v>1062</v>
      </c>
      <c r="I6" s="15" t="s">
        <v>1063</v>
      </c>
      <c r="J6" s="163">
        <v>26.5</v>
      </c>
      <c r="K6" s="142">
        <v>14395</v>
      </c>
      <c r="L6" s="338">
        <f>K6/J6</f>
        <v>543.20754716981128</v>
      </c>
    </row>
    <row r="7" spans="1:13" ht="16.5" thickBot="1" x14ac:dyDescent="0.3">
      <c r="A7" s="239" t="s">
        <v>3465</v>
      </c>
      <c r="B7" s="1222">
        <v>100</v>
      </c>
      <c r="C7" s="1223">
        <v>3754</v>
      </c>
      <c r="D7" s="1224">
        <f t="shared" si="0"/>
        <v>37.54</v>
      </c>
      <c r="E7" s="946">
        <v>787</v>
      </c>
      <c r="F7" s="947">
        <f>E7+D7</f>
        <v>824.54</v>
      </c>
    </row>
    <row r="8" spans="1:13" ht="16.5" thickBot="1" x14ac:dyDescent="0.3">
      <c r="A8" s="239" t="s">
        <v>4635</v>
      </c>
      <c r="B8" s="1222">
        <v>30</v>
      </c>
      <c r="C8" s="1223">
        <v>364</v>
      </c>
      <c r="D8" s="1224">
        <f t="shared" si="0"/>
        <v>12.133333333333333</v>
      </c>
      <c r="E8" s="946"/>
      <c r="F8" s="947"/>
      <c r="H8" s="1602" t="s">
        <v>2228</v>
      </c>
      <c r="I8" s="1600"/>
      <c r="J8" s="1600"/>
      <c r="K8" s="1600"/>
      <c r="L8" s="1600"/>
      <c r="M8" s="1600"/>
    </row>
    <row r="9" spans="1:13" ht="16.5" thickBot="1" x14ac:dyDescent="0.3">
      <c r="A9" s="15" t="s">
        <v>3482</v>
      </c>
      <c r="B9" s="163">
        <v>52</v>
      </c>
      <c r="C9" s="232">
        <v>675</v>
      </c>
      <c r="D9" s="1217">
        <f t="shared" si="0"/>
        <v>12.98076923076923</v>
      </c>
      <c r="E9" s="946"/>
      <c r="F9" s="947"/>
      <c r="H9" s="1247" t="s">
        <v>746</v>
      </c>
      <c r="I9" s="479" t="s">
        <v>743</v>
      </c>
      <c r="J9" s="19" t="s">
        <v>1566</v>
      </c>
      <c r="K9" s="14" t="s">
        <v>3897</v>
      </c>
      <c r="L9" s="944" t="s">
        <v>2245</v>
      </c>
      <c r="M9" s="945" t="s">
        <v>1052</v>
      </c>
    </row>
    <row r="10" spans="1:13" ht="16.5" thickBot="1" x14ac:dyDescent="0.3">
      <c r="A10" s="194"/>
      <c r="B10" s="91"/>
      <c r="C10" s="1"/>
      <c r="H10" s="1248" t="s">
        <v>3591</v>
      </c>
      <c r="I10" s="1249" t="s">
        <v>781</v>
      </c>
      <c r="J10" s="1211">
        <v>50</v>
      </c>
      <c r="K10" s="232">
        <v>5190</v>
      </c>
      <c r="L10" s="946">
        <v>787</v>
      </c>
      <c r="M10" s="947">
        <f>K10/J10+L10</f>
        <v>890.8</v>
      </c>
    </row>
    <row r="11" spans="1:13" ht="16.5" thickBot="1" x14ac:dyDescent="0.3">
      <c r="A11" s="1602" t="s">
        <v>992</v>
      </c>
      <c r="B11" s="1600"/>
      <c r="C11" s="1600"/>
      <c r="D11" s="1600"/>
      <c r="E11" s="1600"/>
      <c r="F11" s="1600"/>
      <c r="H11" s="1248" t="s">
        <v>3592</v>
      </c>
      <c r="I11" s="1249" t="s">
        <v>937</v>
      </c>
      <c r="J11" s="1211">
        <v>10</v>
      </c>
      <c r="K11" s="232">
        <v>2507</v>
      </c>
      <c r="L11" s="946">
        <v>787</v>
      </c>
      <c r="M11" s="947">
        <f>K11/J11+L11</f>
        <v>1037.7</v>
      </c>
    </row>
    <row r="12" spans="1:13" ht="16.5" thickBot="1" x14ac:dyDescent="0.3">
      <c r="A12" s="68" t="s">
        <v>746</v>
      </c>
      <c r="B12" s="19" t="s">
        <v>3466</v>
      </c>
      <c r="C12" s="14" t="s">
        <v>1566</v>
      </c>
      <c r="D12" s="1216" t="s">
        <v>747</v>
      </c>
      <c r="E12" s="944" t="s">
        <v>2245</v>
      </c>
      <c r="F12" s="945" t="s">
        <v>1052</v>
      </c>
      <c r="H12" s="1248" t="s">
        <v>3670</v>
      </c>
      <c r="I12" s="1249"/>
      <c r="J12" s="1211">
        <v>10</v>
      </c>
      <c r="K12" s="232">
        <v>5004</v>
      </c>
      <c r="L12" s="946"/>
      <c r="M12" s="947">
        <f t="shared" ref="M12:M13" si="1">L12+K12</f>
        <v>5004</v>
      </c>
    </row>
    <row r="13" spans="1:13" ht="16.5" thickBot="1" x14ac:dyDescent="0.3">
      <c r="A13" s="15" t="s">
        <v>3593</v>
      </c>
      <c r="B13" s="142">
        <v>1790</v>
      </c>
      <c r="C13" s="15">
        <v>100</v>
      </c>
      <c r="D13" s="1217">
        <f>B13/C13</f>
        <v>17.899999999999999</v>
      </c>
      <c r="E13" s="946">
        <v>73</v>
      </c>
      <c r="F13" s="947">
        <f>E13+D13</f>
        <v>90.9</v>
      </c>
      <c r="H13" s="1248" t="s">
        <v>3200</v>
      </c>
      <c r="I13" s="1249"/>
      <c r="J13" s="1211"/>
      <c r="K13" s="232">
        <v>1029</v>
      </c>
      <c r="L13" s="946">
        <v>605</v>
      </c>
      <c r="M13" s="947">
        <f t="shared" si="1"/>
        <v>1634</v>
      </c>
    </row>
    <row r="14" spans="1:13" ht="16.5" thickBot="1" x14ac:dyDescent="0.3">
      <c r="A14" s="15" t="s">
        <v>3594</v>
      </c>
      <c r="B14" s="142">
        <v>2100</v>
      </c>
      <c r="C14" s="15">
        <v>100</v>
      </c>
      <c r="D14" s="1217">
        <f>B14/C14</f>
        <v>21</v>
      </c>
      <c r="E14" s="946">
        <v>73</v>
      </c>
      <c r="F14" s="947">
        <f>E14+D14</f>
        <v>94</v>
      </c>
      <c r="H14" s="1603" t="s">
        <v>3421</v>
      </c>
      <c r="I14" s="1249" t="s">
        <v>759</v>
      </c>
      <c r="J14" s="1211"/>
      <c r="K14" s="232">
        <v>1210</v>
      </c>
      <c r="L14" s="946">
        <v>847</v>
      </c>
      <c r="M14" s="947">
        <f>L14+K14</f>
        <v>2057</v>
      </c>
    </row>
    <row r="15" spans="1:13" ht="16.5" thickBot="1" x14ac:dyDescent="0.3">
      <c r="A15" s="15" t="s">
        <v>3589</v>
      </c>
      <c r="B15" s="142">
        <v>239</v>
      </c>
      <c r="C15" s="15">
        <v>6</v>
      </c>
      <c r="D15" s="1217">
        <f>B15/C15</f>
        <v>39.833333333333336</v>
      </c>
      <c r="E15" s="946">
        <v>312</v>
      </c>
      <c r="F15" s="947">
        <f>E15+D15</f>
        <v>351.83333333333331</v>
      </c>
      <c r="H15" s="1604"/>
      <c r="I15" s="15" t="s">
        <v>3422</v>
      </c>
      <c r="J15" s="15"/>
      <c r="K15" s="16">
        <v>1428</v>
      </c>
      <c r="L15" s="946"/>
      <c r="M15" s="947">
        <f t="shared" ref="M15" si="2">L15+K15</f>
        <v>1428</v>
      </c>
    </row>
    <row r="16" spans="1:13" ht="16.5" thickBot="1" x14ac:dyDescent="0.3">
      <c r="A16" s="15" t="s">
        <v>3461</v>
      </c>
      <c r="B16" s="142">
        <v>389</v>
      </c>
      <c r="C16" s="15">
        <v>6</v>
      </c>
      <c r="D16" s="1217">
        <f t="shared" ref="D16:D17" si="3">B16/C16</f>
        <v>64.833333333333329</v>
      </c>
      <c r="E16" s="946">
        <v>312</v>
      </c>
      <c r="F16" s="947">
        <f>E16+D16</f>
        <v>376.83333333333331</v>
      </c>
    </row>
    <row r="17" spans="1:12" ht="16.5" thickBot="1" x14ac:dyDescent="0.3">
      <c r="A17" s="15" t="s">
        <v>3462</v>
      </c>
      <c r="B17" s="142">
        <v>636</v>
      </c>
      <c r="C17" s="15">
        <v>6</v>
      </c>
      <c r="D17" s="1217">
        <f t="shared" si="3"/>
        <v>106</v>
      </c>
      <c r="E17" s="946">
        <v>412</v>
      </c>
      <c r="F17" s="947">
        <f>E17+D17</f>
        <v>518</v>
      </c>
      <c r="H17" s="1602" t="s">
        <v>3460</v>
      </c>
      <c r="I17" s="1600"/>
      <c r="J17" s="1600"/>
      <c r="K17" s="1600"/>
      <c r="L17" s="1600"/>
    </row>
    <row r="18" spans="1:12" ht="16.5" thickBot="1" x14ac:dyDescent="0.3">
      <c r="A18" s="1"/>
      <c r="B18" s="91"/>
      <c r="C18" s="1"/>
      <c r="H18" s="68" t="s">
        <v>746</v>
      </c>
      <c r="I18" s="19" t="s">
        <v>743</v>
      </c>
      <c r="J18" s="14" t="s">
        <v>747</v>
      </c>
      <c r="K18" s="944" t="s">
        <v>2245</v>
      </c>
      <c r="L18" s="945" t="s">
        <v>1052</v>
      </c>
    </row>
    <row r="19" spans="1:12" ht="16.5" thickBot="1" x14ac:dyDescent="0.3">
      <c r="A19" s="1579" t="s">
        <v>4072</v>
      </c>
      <c r="B19" s="1580"/>
      <c r="C19" s="1580"/>
      <c r="D19" s="1580"/>
      <c r="H19" s="1215" t="s">
        <v>3457</v>
      </c>
      <c r="I19" s="1211">
        <v>1.5</v>
      </c>
      <c r="J19" s="232">
        <v>700</v>
      </c>
      <c r="K19" s="946">
        <v>412</v>
      </c>
      <c r="L19" s="947">
        <f>K19+J19</f>
        <v>1112</v>
      </c>
    </row>
    <row r="20" spans="1:12" ht="16.5" thickBot="1" x14ac:dyDescent="0.3">
      <c r="A20" s="10" t="s">
        <v>742</v>
      </c>
      <c r="B20" s="11" t="s">
        <v>747</v>
      </c>
      <c r="C20" s="11" t="s">
        <v>995</v>
      </c>
      <c r="D20" s="11" t="s">
        <v>4071</v>
      </c>
      <c r="H20" s="1210" t="s">
        <v>3459</v>
      </c>
      <c r="I20" s="1211" t="s">
        <v>3458</v>
      </c>
      <c r="J20" s="232">
        <v>720</v>
      </c>
      <c r="K20" s="946"/>
      <c r="L20" s="947">
        <f t="shared" ref="L20:L21" si="4">K20+J20</f>
        <v>720</v>
      </c>
    </row>
    <row r="21" spans="1:12" ht="16.5" thickBot="1" x14ac:dyDescent="0.3">
      <c r="A21" s="13" t="s">
        <v>997</v>
      </c>
      <c r="B21" s="141">
        <v>963</v>
      </c>
      <c r="C21" s="15">
        <v>50</v>
      </c>
      <c r="D21" s="1440">
        <f t="shared" ref="D21:D27" si="5">B21/C21</f>
        <v>19.260000000000002</v>
      </c>
      <c r="H21" s="1210" t="s">
        <v>4052</v>
      </c>
      <c r="I21" s="1211"/>
      <c r="J21" s="232">
        <v>980</v>
      </c>
      <c r="K21" s="946"/>
      <c r="L21" s="947">
        <f t="shared" si="4"/>
        <v>980</v>
      </c>
    </row>
    <row r="22" spans="1:12" ht="16.5" thickBot="1" x14ac:dyDescent="0.3">
      <c r="A22" s="13" t="s">
        <v>998</v>
      </c>
      <c r="B22" s="141">
        <v>2435</v>
      </c>
      <c r="C22" s="15">
        <v>50</v>
      </c>
      <c r="D22" s="1440">
        <f t="shared" si="5"/>
        <v>48.7</v>
      </c>
      <c r="H22" s="1210" t="s">
        <v>4009</v>
      </c>
      <c r="I22" s="1211" t="s">
        <v>937</v>
      </c>
      <c r="J22" s="232">
        <v>158</v>
      </c>
      <c r="K22" s="946">
        <v>134</v>
      </c>
      <c r="L22" s="947">
        <f>J22+K22</f>
        <v>292</v>
      </c>
    </row>
    <row r="23" spans="1:12" ht="16.5" thickBot="1" x14ac:dyDescent="0.3">
      <c r="A23" s="13" t="s">
        <v>1001</v>
      </c>
      <c r="B23" s="141">
        <v>2340</v>
      </c>
      <c r="C23" s="15">
        <v>50</v>
      </c>
      <c r="D23" s="1440">
        <f t="shared" si="5"/>
        <v>46.8</v>
      </c>
      <c r="H23" s="1207" t="s">
        <v>3474</v>
      </c>
      <c r="I23" s="1207" t="s">
        <v>930</v>
      </c>
      <c r="J23" s="1219">
        <v>275</v>
      </c>
      <c r="K23" s="946">
        <v>134</v>
      </c>
      <c r="L23" s="947">
        <f>K23+J23</f>
        <v>409</v>
      </c>
    </row>
    <row r="24" spans="1:12" ht="16.5" thickBot="1" x14ac:dyDescent="0.3">
      <c r="A24" s="13" t="s">
        <v>3565</v>
      </c>
      <c r="B24" s="141">
        <v>1450</v>
      </c>
      <c r="C24" s="15">
        <v>11</v>
      </c>
      <c r="D24" s="1440">
        <f t="shared" si="5"/>
        <v>131.81818181818181</v>
      </c>
      <c r="H24" s="1207" t="s">
        <v>3475</v>
      </c>
      <c r="I24" s="1207" t="s">
        <v>944</v>
      </c>
      <c r="J24" s="1219">
        <v>400</v>
      </c>
      <c r="K24" s="946">
        <v>134</v>
      </c>
      <c r="L24" s="947">
        <f>K24+J24</f>
        <v>534</v>
      </c>
    </row>
    <row r="25" spans="1:12" ht="16.5" thickBot="1" x14ac:dyDescent="0.3">
      <c r="A25" s="13" t="s">
        <v>1002</v>
      </c>
      <c r="B25" s="141">
        <v>1585</v>
      </c>
      <c r="C25" s="15">
        <v>30</v>
      </c>
      <c r="D25" s="1440">
        <f t="shared" si="5"/>
        <v>52.833333333333336</v>
      </c>
    </row>
    <row r="26" spans="1:12" ht="16.5" thickBot="1" x14ac:dyDescent="0.3">
      <c r="A26" s="13" t="s">
        <v>1003</v>
      </c>
      <c r="B26" s="141">
        <v>1735</v>
      </c>
      <c r="C26" s="15">
        <v>9</v>
      </c>
      <c r="D26" s="1440">
        <f t="shared" si="5"/>
        <v>192.77777777777777</v>
      </c>
    </row>
    <row r="27" spans="1:12" ht="16.5" thickBot="1" x14ac:dyDescent="0.3">
      <c r="A27" s="15" t="s">
        <v>1012</v>
      </c>
      <c r="B27" s="141">
        <v>2703</v>
      </c>
      <c r="C27" s="15">
        <v>60</v>
      </c>
      <c r="D27" s="1217">
        <f t="shared" si="5"/>
        <v>45.05</v>
      </c>
    </row>
    <row r="29" spans="1:12" ht="16.5" thickBot="1" x14ac:dyDescent="0.3">
      <c r="A29" s="1576" t="s">
        <v>3434</v>
      </c>
      <c r="B29" s="1577"/>
      <c r="C29" s="1577"/>
      <c r="D29" s="1577"/>
      <c r="E29" s="1577"/>
      <c r="F29" s="1577"/>
    </row>
    <row r="30" spans="1:12" ht="16.5" thickBot="1" x14ac:dyDescent="0.3">
      <c r="A30" s="68" t="s">
        <v>916</v>
      </c>
      <c r="B30" s="944" t="s">
        <v>744</v>
      </c>
      <c r="C30" s="944" t="s">
        <v>1399</v>
      </c>
      <c r="D30" s="945" t="s">
        <v>2245</v>
      </c>
      <c r="E30" s="945" t="s">
        <v>1052</v>
      </c>
      <c r="F30" s="945" t="s">
        <v>3737</v>
      </c>
    </row>
    <row r="31" spans="1:12" ht="16.5" thickBot="1" x14ac:dyDescent="0.3">
      <c r="A31" s="1212" t="s">
        <v>3671</v>
      </c>
      <c r="B31" s="1213">
        <v>1225</v>
      </c>
      <c r="C31" s="1213">
        <f>B31/2</f>
        <v>612.5</v>
      </c>
      <c r="D31" s="947"/>
      <c r="E31" s="947"/>
      <c r="F31" s="947"/>
    </row>
    <row r="32" spans="1:12" ht="16.5" thickBot="1" x14ac:dyDescent="0.3">
      <c r="A32" s="1212" t="s">
        <v>3437</v>
      </c>
      <c r="B32" s="1213">
        <v>1225</v>
      </c>
      <c r="C32" s="1213">
        <f t="shared" ref="C32:C36" si="6">B32/2</f>
        <v>612.5</v>
      </c>
      <c r="D32" s="947">
        <v>1573</v>
      </c>
      <c r="E32" s="947">
        <f>D32+B32</f>
        <v>2798</v>
      </c>
      <c r="F32" s="947">
        <f>E32/2</f>
        <v>1399</v>
      </c>
    </row>
    <row r="33" spans="1:6" ht="16.5" thickBot="1" x14ac:dyDescent="0.3">
      <c r="A33" s="1212" t="s">
        <v>3438</v>
      </c>
      <c r="B33" s="1213">
        <v>1225</v>
      </c>
      <c r="C33" s="1213">
        <f t="shared" si="6"/>
        <v>612.5</v>
      </c>
      <c r="D33" s="947"/>
      <c r="E33" s="947"/>
      <c r="F33" s="947"/>
    </row>
    <row r="34" spans="1:6" ht="16.5" thickBot="1" x14ac:dyDescent="0.3">
      <c r="A34" s="1212" t="s">
        <v>3439</v>
      </c>
      <c r="B34" s="1213">
        <v>1225</v>
      </c>
      <c r="C34" s="1213">
        <f t="shared" si="6"/>
        <v>612.5</v>
      </c>
      <c r="D34" s="947">
        <v>1815</v>
      </c>
      <c r="E34" s="947">
        <f>D34+B34</f>
        <v>3040</v>
      </c>
      <c r="F34" s="947">
        <f>E34/2</f>
        <v>1520</v>
      </c>
    </row>
    <row r="35" spans="1:6" ht="16.5" thickBot="1" x14ac:dyDescent="0.3">
      <c r="A35" s="1212" t="s">
        <v>3440</v>
      </c>
      <c r="B35" s="1213">
        <v>2486</v>
      </c>
      <c r="C35" s="1213">
        <f t="shared" si="6"/>
        <v>1243</v>
      </c>
      <c r="D35" s="947">
        <v>1936</v>
      </c>
      <c r="E35" s="947">
        <f>D35+B35</f>
        <v>4422</v>
      </c>
      <c r="F35" s="947">
        <f>E35/2</f>
        <v>2211</v>
      </c>
    </row>
    <row r="36" spans="1:6" ht="16.5" thickBot="1" x14ac:dyDescent="0.3">
      <c r="A36" s="1212" t="s">
        <v>3441</v>
      </c>
      <c r="B36" s="1213">
        <v>2486</v>
      </c>
      <c r="C36" s="1213">
        <f t="shared" si="6"/>
        <v>1243</v>
      </c>
      <c r="D36" s="947"/>
      <c r="E36" s="947"/>
      <c r="F36" s="947"/>
    </row>
    <row r="38" spans="1:6" ht="15.75" x14ac:dyDescent="0.25">
      <c r="A38" s="1601" t="s">
        <v>551</v>
      </c>
      <c r="B38" s="1588"/>
      <c r="C38" s="1588"/>
      <c r="D38" s="1588"/>
      <c r="E38" s="1588"/>
      <c r="F38" s="1588"/>
    </row>
    <row r="39" spans="1:6" ht="16.5" thickBot="1" x14ac:dyDescent="0.3">
      <c r="A39" s="1293" t="s">
        <v>916</v>
      </c>
      <c r="B39" s="1292" t="s">
        <v>932</v>
      </c>
      <c r="C39" s="40" t="s">
        <v>1194</v>
      </c>
      <c r="D39" s="1292" t="s">
        <v>3554</v>
      </c>
      <c r="E39" s="944" t="s">
        <v>2245</v>
      </c>
      <c r="F39" s="945" t="s">
        <v>1052</v>
      </c>
    </row>
    <row r="40" spans="1:6" ht="16.5" thickBot="1" x14ac:dyDescent="0.3">
      <c r="A40" s="1427" t="s">
        <v>4061</v>
      </c>
      <c r="B40" s="1431" t="s">
        <v>3590</v>
      </c>
      <c r="C40" s="1431" t="s">
        <v>3721</v>
      </c>
      <c r="D40" s="1432">
        <v>390</v>
      </c>
      <c r="E40" s="1432"/>
      <c r="F40" s="1433">
        <f>E40+D40</f>
        <v>390</v>
      </c>
    </row>
    <row r="41" spans="1:6" ht="16.5" thickBot="1" x14ac:dyDescent="0.3">
      <c r="A41" s="1434" t="s">
        <v>3463</v>
      </c>
      <c r="B41" s="1431" t="s">
        <v>781</v>
      </c>
      <c r="C41" s="1431" t="s">
        <v>3721</v>
      </c>
      <c r="D41" s="1432">
        <v>2154</v>
      </c>
      <c r="E41" s="1432"/>
      <c r="F41" s="1433">
        <f>E41+D41</f>
        <v>2154</v>
      </c>
    </row>
    <row r="42" spans="1:6" ht="16.5" thickBot="1" x14ac:dyDescent="0.3">
      <c r="A42" s="13" t="s">
        <v>1046</v>
      </c>
      <c r="B42" s="9"/>
      <c r="C42" s="9"/>
      <c r="D42" s="946">
        <v>2800</v>
      </c>
      <c r="E42" s="946">
        <v>3993</v>
      </c>
      <c r="F42" s="947">
        <f>E42+D42</f>
        <v>6793</v>
      </c>
    </row>
    <row r="43" spans="1:6" ht="16.5" thickBot="1" x14ac:dyDescent="0.3">
      <c r="A43" s="1427" t="s">
        <v>4534</v>
      </c>
      <c r="B43" s="1431" t="s">
        <v>803</v>
      </c>
      <c r="C43" s="1431" t="s">
        <v>3721</v>
      </c>
      <c r="D43" s="1432">
        <v>783</v>
      </c>
      <c r="E43" s="1432">
        <v>2783</v>
      </c>
      <c r="F43" s="1433">
        <f>D43+E43</f>
        <v>3566</v>
      </c>
    </row>
    <row r="44" spans="1:6" ht="16.5" thickBot="1" x14ac:dyDescent="0.3">
      <c r="A44" s="1428" t="s">
        <v>4535</v>
      </c>
      <c r="B44" s="1431" t="s">
        <v>805</v>
      </c>
      <c r="C44" s="1431" t="s">
        <v>3721</v>
      </c>
      <c r="D44" s="1432">
        <v>1500</v>
      </c>
      <c r="E44" s="1432">
        <v>3388</v>
      </c>
      <c r="F44" s="1433">
        <f>E44+D44</f>
        <v>4888</v>
      </c>
    </row>
    <row r="45" spans="1:6" ht="16.5" thickBot="1" x14ac:dyDescent="0.3">
      <c r="A45" s="1428" t="s">
        <v>4528</v>
      </c>
      <c r="B45" s="1435" t="s">
        <v>4062</v>
      </c>
      <c r="C45" s="1431" t="s">
        <v>3721</v>
      </c>
      <c r="D45" s="1432">
        <v>1040</v>
      </c>
      <c r="E45" s="1432">
        <v>3388</v>
      </c>
      <c r="F45" s="1433">
        <f>E45+D45</f>
        <v>4428</v>
      </c>
    </row>
    <row r="46" spans="1:6" ht="16.5" thickBot="1" x14ac:dyDescent="0.3">
      <c r="A46" s="13" t="s">
        <v>3464</v>
      </c>
      <c r="B46" s="9" t="s">
        <v>3469</v>
      </c>
      <c r="C46" s="9" t="s">
        <v>950</v>
      </c>
      <c r="D46" s="946">
        <v>1959</v>
      </c>
      <c r="E46" s="946"/>
      <c r="F46" s="947">
        <f>E46+D46</f>
        <v>1959</v>
      </c>
    </row>
    <row r="47" spans="1:6" ht="16.5" thickBot="1" x14ac:dyDescent="0.3">
      <c r="A47" s="13" t="s">
        <v>3293</v>
      </c>
      <c r="B47" s="9" t="s">
        <v>4025</v>
      </c>
      <c r="C47" s="9" t="s">
        <v>3721</v>
      </c>
      <c r="D47" s="946">
        <v>2400</v>
      </c>
      <c r="E47" s="946"/>
      <c r="F47" s="947">
        <f>E47+D47</f>
        <v>2400</v>
      </c>
    </row>
    <row r="49" spans="1:6" ht="16.5" thickBot="1" x14ac:dyDescent="0.3">
      <c r="A49" s="1576" t="s">
        <v>4489</v>
      </c>
      <c r="B49" s="1577"/>
      <c r="C49" s="1577"/>
      <c r="D49" s="1577"/>
      <c r="E49" s="1577"/>
      <c r="F49" s="1578"/>
    </row>
    <row r="50" spans="1:6" ht="16.5" thickBot="1" x14ac:dyDescent="0.3">
      <c r="A50" s="14" t="s">
        <v>916</v>
      </c>
      <c r="B50" s="10" t="s">
        <v>931</v>
      </c>
      <c r="C50" s="10" t="s">
        <v>932</v>
      </c>
      <c r="D50" s="10" t="s">
        <v>2032</v>
      </c>
      <c r="E50" s="10" t="s">
        <v>4098</v>
      </c>
      <c r="F50" s="10" t="s">
        <v>1052</v>
      </c>
    </row>
    <row r="51" spans="1:6" ht="16.5" thickBot="1" x14ac:dyDescent="0.3">
      <c r="A51" s="13" t="s">
        <v>4531</v>
      </c>
      <c r="B51" s="13">
        <v>0.45</v>
      </c>
      <c r="C51" s="13" t="s">
        <v>3590</v>
      </c>
      <c r="D51" s="13">
        <v>176</v>
      </c>
      <c r="E51" s="1436">
        <v>2227</v>
      </c>
      <c r="F51" s="1436">
        <f>E51+D51</f>
        <v>2403</v>
      </c>
    </row>
    <row r="52" spans="1:6" ht="16.5" thickBot="1" x14ac:dyDescent="0.3">
      <c r="A52" s="13" t="s">
        <v>4530</v>
      </c>
      <c r="B52" s="13">
        <v>0.45</v>
      </c>
      <c r="C52" s="13" t="s">
        <v>781</v>
      </c>
      <c r="D52" s="13">
        <v>970</v>
      </c>
      <c r="E52" s="1436">
        <v>4961</v>
      </c>
      <c r="F52" s="1436">
        <f t="shared" ref="F52" si="7">E52+D52</f>
        <v>5931</v>
      </c>
    </row>
    <row r="53" spans="1:6" ht="16.5" thickBot="1" x14ac:dyDescent="0.3">
      <c r="A53" s="13" t="s">
        <v>4532</v>
      </c>
      <c r="B53" s="13">
        <v>0.6</v>
      </c>
      <c r="C53" s="87" t="s">
        <v>4062</v>
      </c>
      <c r="D53" s="13">
        <v>624</v>
      </c>
      <c r="E53" s="1436">
        <v>2203</v>
      </c>
      <c r="F53" s="1436">
        <f>E53+D53</f>
        <v>2827</v>
      </c>
    </row>
    <row r="54" spans="1:6" ht="16.5" thickBot="1" x14ac:dyDescent="0.3">
      <c r="A54" s="87"/>
      <c r="B54" s="13"/>
      <c r="C54" s="87"/>
      <c r="D54" s="13"/>
      <c r="E54" s="13"/>
      <c r="F54" s="13"/>
    </row>
    <row r="55" spans="1:6" ht="15.75" thickBot="1" x14ac:dyDescent="0.3"/>
    <row r="56" spans="1:6" ht="16.5" thickBot="1" x14ac:dyDescent="0.3">
      <c r="A56" s="1568" t="s">
        <v>2228</v>
      </c>
      <c r="B56" s="1569"/>
      <c r="C56" s="1569"/>
      <c r="D56" s="1569"/>
      <c r="E56" s="1569"/>
      <c r="F56" s="1570"/>
    </row>
    <row r="57" spans="1:6" ht="16.5" thickBot="1" x14ac:dyDescent="0.3">
      <c r="A57" s="1293" t="s">
        <v>916</v>
      </c>
      <c r="B57" s="1292" t="s">
        <v>932</v>
      </c>
      <c r="C57" s="40" t="s">
        <v>1194</v>
      </c>
      <c r="D57" s="1292" t="s">
        <v>3554</v>
      </c>
      <c r="E57" s="944" t="s">
        <v>2245</v>
      </c>
      <c r="F57" s="945" t="s">
        <v>1052</v>
      </c>
    </row>
    <row r="58" spans="1:6" ht="16.5" thickBot="1" x14ac:dyDescent="0.3">
      <c r="A58" s="13" t="s">
        <v>4180</v>
      </c>
      <c r="B58" s="9"/>
      <c r="C58" s="9"/>
      <c r="D58" s="946"/>
      <c r="E58" s="946"/>
      <c r="F58" s="947"/>
    </row>
    <row r="59" spans="1:6" ht="16.5" thickBot="1" x14ac:dyDescent="0.3">
      <c r="A59" s="13" t="s">
        <v>4106</v>
      </c>
      <c r="B59" s="9"/>
      <c r="C59" s="9"/>
      <c r="D59" s="946"/>
      <c r="E59" s="946"/>
      <c r="F59" s="947"/>
    </row>
    <row r="60" spans="1:6" ht="16.5" thickBot="1" x14ac:dyDescent="0.3">
      <c r="A60" s="13" t="s">
        <v>4181</v>
      </c>
      <c r="B60" s="9"/>
      <c r="C60" s="9"/>
      <c r="D60" s="946"/>
      <c r="E60" s="946"/>
      <c r="F60" s="947"/>
    </row>
    <row r="61" spans="1:6" ht="16.5" thickBot="1" x14ac:dyDescent="0.3">
      <c r="A61" s="13" t="s">
        <v>3588</v>
      </c>
      <c r="B61" s="9"/>
      <c r="C61" s="9"/>
      <c r="D61" s="946">
        <v>276</v>
      </c>
      <c r="E61" s="946">
        <v>605</v>
      </c>
      <c r="F61" s="947">
        <f>E61+D61</f>
        <v>881</v>
      </c>
    </row>
    <row r="63" spans="1:6" ht="15.75" thickBot="1" x14ac:dyDescent="0.3"/>
    <row r="64" spans="1:6" ht="16.5" thickBot="1" x14ac:dyDescent="0.3">
      <c r="A64" s="1585" t="s">
        <v>387</v>
      </c>
      <c r="B64" s="1586"/>
      <c r="C64" s="1586"/>
      <c r="D64" s="1586"/>
      <c r="E64" s="1586"/>
      <c r="F64" s="1586"/>
    </row>
    <row r="65" spans="1:6" ht="16.5" thickBot="1" x14ac:dyDescent="0.3">
      <c r="A65" s="154" t="s">
        <v>4289</v>
      </c>
      <c r="B65" s="1245" t="s">
        <v>4179</v>
      </c>
      <c r="C65" s="1246" t="s">
        <v>1022</v>
      </c>
      <c r="D65" s="946">
        <v>1450</v>
      </c>
      <c r="E65" s="946">
        <v>1350</v>
      </c>
      <c r="F65" s="947">
        <f>E65+D65</f>
        <v>2800</v>
      </c>
    </row>
    <row r="66" spans="1:6" ht="15.75" thickBot="1" x14ac:dyDescent="0.3"/>
    <row r="67" spans="1:6" ht="16.5" thickBot="1" x14ac:dyDescent="0.3">
      <c r="A67" s="151" t="s">
        <v>4290</v>
      </c>
      <c r="B67" s="180"/>
      <c r="C67" s="1393">
        <v>38</v>
      </c>
      <c r="D67" s="946">
        <v>2690</v>
      </c>
      <c r="E67" s="946"/>
      <c r="F67" s="947">
        <f>D67/C67</f>
        <v>70.78947368421052</v>
      </c>
    </row>
  </sheetData>
  <mergeCells count="12">
    <mergeCell ref="A64:F64"/>
    <mergeCell ref="A29:F29"/>
    <mergeCell ref="A38:F38"/>
    <mergeCell ref="H1:L1"/>
    <mergeCell ref="H14:H15"/>
    <mergeCell ref="A1:F1"/>
    <mergeCell ref="A11:F11"/>
    <mergeCell ref="H8:M8"/>
    <mergeCell ref="H17:L17"/>
    <mergeCell ref="A49:F49"/>
    <mergeCell ref="A56:F56"/>
    <mergeCell ref="A19:D19"/>
  </mergeCells>
  <pageMargins left="0.7" right="0.7" top="0.75" bottom="0.75" header="0.3" footer="0.3"/>
  <ignoredErrors>
    <ignoredError sqref="F4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88BD7-AD69-4606-AEA7-5059798EEACA}">
  <sheetPr codeName="Hoja33"/>
  <dimension ref="A1:N66"/>
  <sheetViews>
    <sheetView topLeftCell="C1" zoomScaleNormal="100" workbookViewId="0">
      <selection activeCell="E63" sqref="E63"/>
    </sheetView>
  </sheetViews>
  <sheetFormatPr baseColWidth="10" defaultColWidth="11.42578125" defaultRowHeight="15" x14ac:dyDescent="0.25"/>
  <cols>
    <col min="1" max="1" width="25.5703125" bestFit="1" customWidth="1"/>
    <col min="2" max="2" width="23.140625" bestFit="1" customWidth="1"/>
    <col min="3" max="3" width="14.7109375" bestFit="1" customWidth="1"/>
    <col min="4" max="4" width="16.5703125" bestFit="1" customWidth="1"/>
    <col min="5" max="5" width="22" bestFit="1" customWidth="1"/>
    <col min="6" max="6" width="11.5703125" bestFit="1" customWidth="1"/>
    <col min="7" max="7" width="25" bestFit="1" customWidth="1"/>
    <col min="8" max="8" width="12.5703125" customWidth="1"/>
    <col min="9" max="9" width="19.5703125" customWidth="1"/>
    <col min="10" max="10" width="15.7109375" bestFit="1" customWidth="1"/>
    <col min="11" max="11" width="14.7109375" bestFit="1" customWidth="1"/>
    <col min="12" max="13" width="13.42578125" bestFit="1" customWidth="1"/>
  </cols>
  <sheetData>
    <row r="1" spans="1:14" ht="19.5" thickBot="1" x14ac:dyDescent="0.3">
      <c r="A1" s="1605" t="s">
        <v>1220</v>
      </c>
      <c r="B1" s="1606"/>
      <c r="C1" s="1606"/>
      <c r="D1" s="1608"/>
      <c r="E1" s="1607"/>
      <c r="I1" s="1605" t="s">
        <v>1221</v>
      </c>
      <c r="J1" s="1606"/>
      <c r="K1" s="1606"/>
      <c r="L1" s="1607"/>
    </row>
    <row r="2" spans="1:14" ht="16.5" thickBot="1" x14ac:dyDescent="0.3">
      <c r="A2" s="865" t="s">
        <v>916</v>
      </c>
      <c r="B2" s="866" t="s">
        <v>2136</v>
      </c>
      <c r="C2" s="1290" t="s">
        <v>1222</v>
      </c>
      <c r="D2" s="12" t="s">
        <v>1065</v>
      </c>
      <c r="E2" s="1291" t="s">
        <v>1223</v>
      </c>
      <c r="I2" s="865" t="s">
        <v>916</v>
      </c>
      <c r="J2" s="867" t="s">
        <v>1222</v>
      </c>
      <c r="K2" s="867" t="s">
        <v>1065</v>
      </c>
      <c r="L2" s="868" t="s">
        <v>1223</v>
      </c>
    </row>
    <row r="3" spans="1:14" ht="16.5" thickBot="1" x14ac:dyDescent="0.3">
      <c r="A3" s="1620" t="s">
        <v>4066</v>
      </c>
      <c r="B3" s="169" t="s">
        <v>1225</v>
      </c>
      <c r="C3" s="5">
        <v>100</v>
      </c>
      <c r="D3" s="120">
        <v>5035</v>
      </c>
      <c r="E3" s="870">
        <f t="shared" ref="E3:E8" si="0">D3/C3</f>
        <v>50.35</v>
      </c>
      <c r="I3" s="13" t="s">
        <v>2140</v>
      </c>
      <c r="J3" s="9">
        <v>20</v>
      </c>
      <c r="K3" s="881">
        <v>136</v>
      </c>
      <c r="L3" s="872">
        <f>K3/J3</f>
        <v>6.8</v>
      </c>
    </row>
    <row r="4" spans="1:14" ht="16.5" thickBot="1" x14ac:dyDescent="0.3">
      <c r="A4" s="1614"/>
      <c r="B4" s="98" t="s">
        <v>28</v>
      </c>
      <c r="C4" s="2">
        <v>100</v>
      </c>
      <c r="D4" s="102">
        <v>5035</v>
      </c>
      <c r="E4" s="196">
        <f t="shared" si="0"/>
        <v>50.35</v>
      </c>
      <c r="I4" s="882"/>
      <c r="J4" s="883"/>
      <c r="K4" s="884"/>
      <c r="L4" s="885"/>
    </row>
    <row r="5" spans="1:14" ht="15.75" x14ac:dyDescent="0.25">
      <c r="A5" s="1614"/>
      <c r="B5" s="98" t="s">
        <v>1227</v>
      </c>
      <c r="C5" s="2">
        <v>100</v>
      </c>
      <c r="D5" s="102">
        <v>5035</v>
      </c>
      <c r="E5" s="196">
        <f t="shared" si="0"/>
        <v>50.35</v>
      </c>
      <c r="I5" s="355" t="s">
        <v>1226</v>
      </c>
      <c r="J5" s="5">
        <v>100</v>
      </c>
      <c r="K5" s="869">
        <v>734</v>
      </c>
      <c r="L5" s="870">
        <f>K5/J5</f>
        <v>7.34</v>
      </c>
    </row>
    <row r="6" spans="1:14" ht="15.75" x14ac:dyDescent="0.25">
      <c r="A6" s="1614"/>
      <c r="B6" s="98" t="s">
        <v>3471</v>
      </c>
      <c r="C6" s="230">
        <v>100</v>
      </c>
      <c r="D6" s="102">
        <v>5035</v>
      </c>
      <c r="E6" s="196">
        <f t="shared" si="0"/>
        <v>50.35</v>
      </c>
      <c r="I6" s="3" t="s">
        <v>1228</v>
      </c>
      <c r="J6" s="2">
        <v>100</v>
      </c>
      <c r="K6" s="102">
        <v>800</v>
      </c>
      <c r="L6" s="196">
        <f>K6/J6</f>
        <v>8</v>
      </c>
    </row>
    <row r="7" spans="1:14" ht="16.5" thickBot="1" x14ac:dyDescent="0.3">
      <c r="A7" s="1615"/>
      <c r="B7" s="2" t="s">
        <v>2139</v>
      </c>
      <c r="C7" s="230">
        <v>100</v>
      </c>
      <c r="D7" s="102">
        <v>5035</v>
      </c>
      <c r="E7" s="196">
        <f t="shared" si="0"/>
        <v>50.35</v>
      </c>
      <c r="I7" s="168" t="s">
        <v>1229</v>
      </c>
      <c r="J7" s="4">
        <v>100</v>
      </c>
      <c r="K7" s="197">
        <v>900</v>
      </c>
      <c r="L7" s="198">
        <f>K7/J7</f>
        <v>9</v>
      </c>
    </row>
    <row r="8" spans="1:14" ht="16.5" thickBot="1" x14ac:dyDescent="0.3">
      <c r="A8" s="2" t="s">
        <v>4065</v>
      </c>
      <c r="B8" s="190" t="s">
        <v>4067</v>
      </c>
      <c r="C8" s="2">
        <v>300</v>
      </c>
      <c r="D8" s="102">
        <v>14100</v>
      </c>
      <c r="E8" s="196">
        <f t="shared" si="0"/>
        <v>47</v>
      </c>
      <c r="I8" s="13"/>
      <c r="J8" s="9"/>
      <c r="K8" s="871"/>
      <c r="L8" s="872"/>
    </row>
    <row r="9" spans="1:14" ht="16.5" thickBot="1" x14ac:dyDescent="0.3">
      <c r="A9" s="331" t="s">
        <v>1230</v>
      </c>
      <c r="B9" s="2" t="s">
        <v>1231</v>
      </c>
      <c r="C9" s="230">
        <v>1</v>
      </c>
      <c r="D9" s="102">
        <v>109</v>
      </c>
      <c r="E9" s="1076">
        <f t="shared" ref="E9" si="1">D9/C9</f>
        <v>109</v>
      </c>
      <c r="I9" s="159" t="s">
        <v>1232</v>
      </c>
      <c r="J9" s="149">
        <v>100</v>
      </c>
      <c r="K9" s="886">
        <v>3000</v>
      </c>
      <c r="L9" s="1075">
        <f>K9/J9</f>
        <v>30</v>
      </c>
    </row>
    <row r="10" spans="1:14" ht="15.75" x14ac:dyDescent="0.25">
      <c r="A10" s="184" t="s">
        <v>2137</v>
      </c>
      <c r="B10" s="190" t="s">
        <v>2138</v>
      </c>
      <c r="C10" s="2">
        <v>80</v>
      </c>
      <c r="D10" s="102">
        <v>16820</v>
      </c>
      <c r="E10" s="196">
        <f t="shared" ref="E10:E30" si="2">D10/C10</f>
        <v>210.25</v>
      </c>
      <c r="I10" s="1"/>
      <c r="J10" s="1"/>
      <c r="L10" s="1253"/>
    </row>
    <row r="11" spans="1:14" ht="16.5" thickBot="1" x14ac:dyDescent="0.3">
      <c r="A11" s="3" t="s">
        <v>2137</v>
      </c>
      <c r="B11" s="448" t="s">
        <v>3032</v>
      </c>
      <c r="C11" s="2">
        <v>80</v>
      </c>
      <c r="D11" s="102">
        <v>16820</v>
      </c>
      <c r="E11" s="196">
        <f t="shared" si="2"/>
        <v>210.25</v>
      </c>
      <c r="I11" s="1"/>
      <c r="J11" s="1"/>
      <c r="K11" s="1"/>
      <c r="L11" s="1"/>
      <c r="M11" s="1"/>
      <c r="N11" s="1"/>
    </row>
    <row r="12" spans="1:14" ht="19.5" thickBot="1" x14ac:dyDescent="0.3">
      <c r="A12" s="2" t="s">
        <v>2137</v>
      </c>
      <c r="B12" s="2" t="s">
        <v>3106</v>
      </c>
      <c r="C12" s="2">
        <v>80</v>
      </c>
      <c r="D12" s="102">
        <v>16820</v>
      </c>
      <c r="E12" s="1076">
        <f t="shared" si="2"/>
        <v>210.25</v>
      </c>
      <c r="I12" s="1605" t="s">
        <v>3991</v>
      </c>
      <c r="J12" s="1606"/>
      <c r="K12" s="1606"/>
      <c r="L12" s="1608"/>
      <c r="M12" s="1607"/>
      <c r="N12" s="1"/>
    </row>
    <row r="13" spans="1:14" ht="15.75" x14ac:dyDescent="0.25">
      <c r="A13" s="2" t="s">
        <v>2137</v>
      </c>
      <c r="B13" s="2" t="s">
        <v>3403</v>
      </c>
      <c r="C13" s="2">
        <v>80</v>
      </c>
      <c r="D13" s="102">
        <v>16820</v>
      </c>
      <c r="E13" s="1076">
        <f t="shared" si="2"/>
        <v>210.25</v>
      </c>
      <c r="I13" s="865" t="s">
        <v>916</v>
      </c>
      <c r="J13" s="41" t="s">
        <v>2136</v>
      </c>
      <c r="K13" s="1290" t="s">
        <v>1222</v>
      </c>
      <c r="L13" s="218" t="s">
        <v>1065</v>
      </c>
      <c r="M13" s="1304" t="s">
        <v>1223</v>
      </c>
      <c r="N13" s="1"/>
    </row>
    <row r="14" spans="1:14" ht="15.75" x14ac:dyDescent="0.25">
      <c r="A14" s="2" t="s">
        <v>2137</v>
      </c>
      <c r="B14" s="2" t="s">
        <v>3105</v>
      </c>
      <c r="C14" s="2">
        <v>80</v>
      </c>
      <c r="D14" s="102">
        <v>16820</v>
      </c>
      <c r="E14" s="196">
        <f t="shared" si="2"/>
        <v>210.25</v>
      </c>
      <c r="H14" s="1236"/>
      <c r="I14" s="1613" t="s">
        <v>3992</v>
      </c>
      <c r="J14" s="148" t="s">
        <v>3993</v>
      </c>
      <c r="K14" s="2">
        <v>5</v>
      </c>
      <c r="L14" s="102">
        <v>13152</v>
      </c>
      <c r="M14" s="472">
        <f>L14/K14</f>
        <v>2630.4</v>
      </c>
      <c r="N14" s="1"/>
    </row>
    <row r="15" spans="1:14" ht="15.75" x14ac:dyDescent="0.25">
      <c r="A15" s="2" t="s">
        <v>4859</v>
      </c>
      <c r="B15" s="2" t="s">
        <v>4860</v>
      </c>
      <c r="C15" s="2">
        <v>80</v>
      </c>
      <c r="D15" s="66">
        <v>16820</v>
      </c>
      <c r="E15" s="196">
        <f t="shared" si="2"/>
        <v>210.25</v>
      </c>
      <c r="H15" s="1236"/>
      <c r="I15" s="1614"/>
      <c r="J15" s="98" t="s">
        <v>3994</v>
      </c>
      <c r="K15" s="2">
        <v>5</v>
      </c>
      <c r="L15" s="102">
        <v>13152</v>
      </c>
      <c r="M15" s="196">
        <f>L15/K15</f>
        <v>2630.4</v>
      </c>
      <c r="N15" s="1"/>
    </row>
    <row r="16" spans="1:14" ht="15.75" x14ac:dyDescent="0.25">
      <c r="A16" s="2" t="s">
        <v>4975</v>
      </c>
      <c r="B16" s="2" t="s">
        <v>1225</v>
      </c>
      <c r="C16" s="2">
        <v>80</v>
      </c>
      <c r="D16" s="66">
        <v>16820</v>
      </c>
      <c r="E16" s="196">
        <f t="shared" si="2"/>
        <v>210.25</v>
      </c>
      <c r="H16" s="1236"/>
      <c r="I16" s="1614"/>
      <c r="J16" s="98" t="s">
        <v>3995</v>
      </c>
      <c r="K16" s="2">
        <v>5</v>
      </c>
      <c r="L16" s="102">
        <v>13152</v>
      </c>
      <c r="M16" s="196">
        <f>L16/K16</f>
        <v>2630.4</v>
      </c>
      <c r="N16" s="1"/>
    </row>
    <row r="17" spans="1:14" ht="15.75" x14ac:dyDescent="0.25">
      <c r="A17" s="2" t="s">
        <v>4496</v>
      </c>
      <c r="B17" s="2" t="s">
        <v>3471</v>
      </c>
      <c r="C17" s="2">
        <v>40</v>
      </c>
      <c r="D17" s="66">
        <v>12687</v>
      </c>
      <c r="E17" s="196">
        <f t="shared" si="2"/>
        <v>317.17500000000001</v>
      </c>
      <c r="H17" s="1236"/>
      <c r="I17" s="1615"/>
      <c r="J17" s="2" t="s">
        <v>3996</v>
      </c>
      <c r="K17" s="2">
        <v>5</v>
      </c>
      <c r="L17" s="102">
        <v>13152</v>
      </c>
      <c r="M17" s="1074">
        <f>L17/K17</f>
        <v>2630.4</v>
      </c>
      <c r="N17" s="1"/>
    </row>
    <row r="18" spans="1:14" ht="15.75" x14ac:dyDescent="0.25">
      <c r="A18" s="2" t="s">
        <v>3353</v>
      </c>
      <c r="B18" s="2" t="s">
        <v>3354</v>
      </c>
      <c r="C18" s="2">
        <v>4.5</v>
      </c>
      <c r="D18" s="66">
        <v>1350</v>
      </c>
      <c r="E18" s="196">
        <f t="shared" si="2"/>
        <v>300</v>
      </c>
      <c r="H18" s="1236"/>
      <c r="I18" s="1616" t="s">
        <v>3997</v>
      </c>
      <c r="J18" s="2" t="s">
        <v>3998</v>
      </c>
      <c r="K18" s="2">
        <v>5</v>
      </c>
      <c r="L18" s="102">
        <v>11151</v>
      </c>
      <c r="M18" s="1076">
        <f t="shared" ref="M18:M22" si="3">L18/K18</f>
        <v>2230.1999999999998</v>
      </c>
      <c r="N18" s="1"/>
    </row>
    <row r="19" spans="1:14" ht="15.75" x14ac:dyDescent="0.25">
      <c r="A19" s="2" t="s">
        <v>3353</v>
      </c>
      <c r="B19" s="2" t="s">
        <v>3355</v>
      </c>
      <c r="C19" s="2">
        <v>4.5</v>
      </c>
      <c r="D19" s="66">
        <v>1350</v>
      </c>
      <c r="E19" s="196">
        <f t="shared" si="2"/>
        <v>300</v>
      </c>
      <c r="H19" s="1236"/>
      <c r="I19" s="1617"/>
      <c r="J19" s="190" t="s">
        <v>1241</v>
      </c>
      <c r="K19" s="2">
        <v>5</v>
      </c>
      <c r="L19" s="102">
        <v>11151</v>
      </c>
      <c r="M19" s="196">
        <f t="shared" si="3"/>
        <v>2230.1999999999998</v>
      </c>
      <c r="N19" s="1"/>
    </row>
    <row r="20" spans="1:14" ht="15.75" x14ac:dyDescent="0.25">
      <c r="A20" s="2" t="s">
        <v>4068</v>
      </c>
      <c r="B20" s="2" t="s">
        <v>3135</v>
      </c>
      <c r="C20" s="2">
        <v>80</v>
      </c>
      <c r="D20" s="66">
        <v>4050</v>
      </c>
      <c r="E20" s="196">
        <f t="shared" si="2"/>
        <v>50.625</v>
      </c>
      <c r="H20" s="1236"/>
      <c r="I20" s="1617"/>
      <c r="J20" s="190" t="s">
        <v>1225</v>
      </c>
      <c r="K20" s="2">
        <v>5</v>
      </c>
      <c r="L20" s="102">
        <v>11151</v>
      </c>
      <c r="M20" s="196">
        <f t="shared" si="3"/>
        <v>2230.1999999999998</v>
      </c>
    </row>
    <row r="21" spans="1:14" ht="15.75" x14ac:dyDescent="0.25">
      <c r="A21" s="2" t="s">
        <v>4629</v>
      </c>
      <c r="B21" s="2" t="s">
        <v>3135</v>
      </c>
      <c r="C21" s="2">
        <v>10</v>
      </c>
      <c r="D21" s="66">
        <v>1538</v>
      </c>
      <c r="E21" s="196">
        <f t="shared" si="2"/>
        <v>153.80000000000001</v>
      </c>
      <c r="H21" s="1236"/>
      <c r="I21" s="1617"/>
      <c r="J21" s="190" t="s">
        <v>1439</v>
      </c>
      <c r="K21" s="2">
        <v>5</v>
      </c>
      <c r="L21" s="102">
        <v>11151</v>
      </c>
      <c r="M21" s="196">
        <f t="shared" si="3"/>
        <v>2230.1999999999998</v>
      </c>
    </row>
    <row r="22" spans="1:14" ht="16.5" thickBot="1" x14ac:dyDescent="0.3">
      <c r="A22" s="2" t="s">
        <v>4368</v>
      </c>
      <c r="B22" s="2" t="s">
        <v>1241</v>
      </c>
      <c r="C22" s="2">
        <v>30</v>
      </c>
      <c r="D22" s="66">
        <v>2719</v>
      </c>
      <c r="E22" s="196">
        <f t="shared" si="2"/>
        <v>90.63333333333334</v>
      </c>
      <c r="H22" s="1236"/>
      <c r="I22" s="1618"/>
      <c r="J22" s="230" t="s">
        <v>3996</v>
      </c>
      <c r="K22" s="4">
        <v>5</v>
      </c>
      <c r="L22" s="102">
        <v>11151</v>
      </c>
      <c r="M22" s="198">
        <f t="shared" si="3"/>
        <v>2230.1999999999998</v>
      </c>
    </row>
    <row r="23" spans="1:14" ht="15.75" x14ac:dyDescent="0.25">
      <c r="A23" s="2" t="s">
        <v>3134</v>
      </c>
      <c r="B23" s="2" t="s">
        <v>3135</v>
      </c>
      <c r="C23" s="2">
        <v>10</v>
      </c>
      <c r="D23" s="66">
        <v>816</v>
      </c>
      <c r="E23" s="196">
        <f t="shared" si="2"/>
        <v>81.599999999999994</v>
      </c>
      <c r="H23" s="1236"/>
      <c r="J23" s="1253"/>
    </row>
    <row r="24" spans="1:14" ht="15.75" x14ac:dyDescent="0.25">
      <c r="A24" s="230" t="s">
        <v>4022</v>
      </c>
      <c r="B24" s="2" t="s">
        <v>3135</v>
      </c>
      <c r="C24" s="2">
        <v>50</v>
      </c>
      <c r="D24" s="66">
        <v>2800</v>
      </c>
      <c r="E24" s="196">
        <f t="shared" si="2"/>
        <v>56</v>
      </c>
    </row>
    <row r="25" spans="1:14" ht="15.75" x14ac:dyDescent="0.25">
      <c r="A25" s="1611" t="s">
        <v>3515</v>
      </c>
      <c r="B25" s="2" t="s">
        <v>1260</v>
      </c>
      <c r="C25" s="2">
        <v>40</v>
      </c>
      <c r="D25" s="66">
        <v>1000</v>
      </c>
      <c r="E25" s="196">
        <f t="shared" si="2"/>
        <v>25</v>
      </c>
    </row>
    <row r="26" spans="1:14" ht="15.75" x14ac:dyDescent="0.25">
      <c r="A26" s="1619"/>
      <c r="B26" s="2" t="s">
        <v>3517</v>
      </c>
      <c r="C26" s="2">
        <v>30</v>
      </c>
      <c r="D26" s="66">
        <v>1000</v>
      </c>
      <c r="E26" s="196">
        <f t="shared" si="2"/>
        <v>33.333333333333336</v>
      </c>
    </row>
    <row r="27" spans="1:14" ht="15.75" x14ac:dyDescent="0.25">
      <c r="A27" s="1612"/>
      <c r="B27" s="2" t="s">
        <v>3516</v>
      </c>
      <c r="C27" s="2">
        <v>40</v>
      </c>
      <c r="D27" s="66">
        <v>1000</v>
      </c>
      <c r="E27" s="196">
        <f t="shared" si="2"/>
        <v>25</v>
      </c>
    </row>
    <row r="28" spans="1:14" ht="15.75" x14ac:dyDescent="0.25">
      <c r="A28" s="1611" t="s">
        <v>3515</v>
      </c>
      <c r="B28" s="2" t="s">
        <v>3518</v>
      </c>
      <c r="C28" s="2">
        <v>100</v>
      </c>
      <c r="D28" s="66">
        <v>1900</v>
      </c>
      <c r="E28" s="196">
        <f t="shared" si="2"/>
        <v>19</v>
      </c>
    </row>
    <row r="29" spans="1:14" ht="15.75" x14ac:dyDescent="0.25">
      <c r="A29" s="1612"/>
      <c r="B29" s="2" t="s">
        <v>3519</v>
      </c>
      <c r="C29" s="2">
        <v>100</v>
      </c>
      <c r="D29" s="66">
        <v>1900</v>
      </c>
      <c r="E29" s="196">
        <f t="shared" si="2"/>
        <v>19</v>
      </c>
    </row>
    <row r="30" spans="1:14" ht="15.75" x14ac:dyDescent="0.25">
      <c r="A30" s="2" t="s">
        <v>3470</v>
      </c>
      <c r="B30" s="2" t="s">
        <v>3471</v>
      </c>
      <c r="C30" s="2">
        <v>60</v>
      </c>
      <c r="D30" s="102">
        <v>1800</v>
      </c>
      <c r="E30" s="196">
        <f t="shared" si="2"/>
        <v>30</v>
      </c>
    </row>
    <row r="31" spans="1:14" ht="15.75" x14ac:dyDescent="0.25">
      <c r="A31" s="2" t="s">
        <v>3472</v>
      </c>
      <c r="B31" s="2" t="s">
        <v>3473</v>
      </c>
      <c r="C31" s="2"/>
      <c r="D31" s="102">
        <v>290</v>
      </c>
      <c r="E31" s="196">
        <f>D31</f>
        <v>290</v>
      </c>
    </row>
    <row r="32" spans="1:14" ht="16.5" thickBot="1" x14ac:dyDescent="0.3">
      <c r="A32" s="194"/>
      <c r="B32" s="1"/>
      <c r="C32" s="1"/>
      <c r="D32" s="60"/>
      <c r="E32" s="959"/>
    </row>
    <row r="33" spans="1:7" ht="18.75" x14ac:dyDescent="0.25">
      <c r="A33" s="1609" t="s">
        <v>1233</v>
      </c>
      <c r="B33" s="1608"/>
      <c r="C33" s="1608"/>
      <c r="D33" s="1608"/>
      <c r="E33" s="1610"/>
    </row>
    <row r="34" spans="1:7" ht="18.75" x14ac:dyDescent="0.25">
      <c r="A34" s="290" t="s">
        <v>916</v>
      </c>
      <c r="B34" s="1110" t="s">
        <v>758</v>
      </c>
      <c r="C34" s="41" t="s">
        <v>1222</v>
      </c>
      <c r="D34" s="41" t="s">
        <v>1065</v>
      </c>
      <c r="E34" s="943" t="s">
        <v>1223</v>
      </c>
      <c r="G34" s="879"/>
    </row>
    <row r="35" spans="1:7" ht="15.75" x14ac:dyDescent="0.25">
      <c r="A35" s="1611" t="s">
        <v>1234</v>
      </c>
      <c r="B35" s="98" t="s">
        <v>3136</v>
      </c>
      <c r="C35" s="2"/>
      <c r="D35" s="102"/>
      <c r="E35" s="196">
        <v>329</v>
      </c>
    </row>
    <row r="36" spans="1:7" ht="15.75" x14ac:dyDescent="0.25">
      <c r="A36" s="1619"/>
      <c r="B36" s="2" t="s">
        <v>3137</v>
      </c>
      <c r="C36" s="641"/>
      <c r="D36" s="641"/>
      <c r="E36" s="196">
        <v>329</v>
      </c>
      <c r="G36" s="8"/>
    </row>
    <row r="37" spans="1:7" ht="15.75" x14ac:dyDescent="0.25">
      <c r="A37" s="1619"/>
      <c r="B37" s="920" t="s">
        <v>1241</v>
      </c>
      <c r="C37" s="641"/>
      <c r="D37" s="641"/>
      <c r="E37" s="196">
        <v>329</v>
      </c>
      <c r="G37" s="325"/>
    </row>
    <row r="38" spans="1:7" ht="15.75" x14ac:dyDescent="0.25">
      <c r="A38" s="1619"/>
      <c r="B38" s="920" t="s">
        <v>3403</v>
      </c>
      <c r="C38" s="641"/>
      <c r="D38" s="641"/>
      <c r="E38" s="196">
        <v>329</v>
      </c>
      <c r="G38" s="325"/>
    </row>
    <row r="39" spans="1:7" ht="15.75" x14ac:dyDescent="0.25">
      <c r="A39" s="1619"/>
      <c r="B39" s="920" t="s">
        <v>1439</v>
      </c>
      <c r="C39" s="641"/>
      <c r="D39" s="641"/>
      <c r="E39" s="196">
        <v>329</v>
      </c>
      <c r="G39" s="325"/>
    </row>
    <row r="40" spans="1:7" ht="15.75" x14ac:dyDescent="0.25">
      <c r="A40" s="1619"/>
      <c r="B40" s="920" t="s">
        <v>3754</v>
      </c>
      <c r="C40" s="641"/>
      <c r="D40" s="641"/>
      <c r="E40" s="196">
        <v>329</v>
      </c>
      <c r="G40" s="325"/>
    </row>
    <row r="41" spans="1:7" ht="15.75" x14ac:dyDescent="0.25">
      <c r="A41" s="1612"/>
      <c r="B41" s="920" t="s">
        <v>1240</v>
      </c>
      <c r="C41" s="641"/>
      <c r="D41" s="641"/>
      <c r="E41" s="196">
        <v>329</v>
      </c>
      <c r="G41" s="325"/>
    </row>
    <row r="42" spans="1:7" ht="15.75" x14ac:dyDescent="0.25">
      <c r="A42" s="1611" t="s">
        <v>4012</v>
      </c>
      <c r="B42" s="1408" t="s">
        <v>1240</v>
      </c>
      <c r="C42" s="2">
        <v>10</v>
      </c>
      <c r="D42" s="102">
        <v>3300</v>
      </c>
      <c r="E42" s="196">
        <f>D42/C42</f>
        <v>330</v>
      </c>
      <c r="G42" s="325"/>
    </row>
    <row r="43" spans="1:7" ht="15.75" x14ac:dyDescent="0.25">
      <c r="A43" s="1612"/>
      <c r="B43" s="98" t="s">
        <v>2233</v>
      </c>
      <c r="C43" s="2">
        <v>10</v>
      </c>
      <c r="D43" s="102">
        <v>4000</v>
      </c>
      <c r="E43" s="196">
        <f>D43/C43</f>
        <v>400</v>
      </c>
      <c r="G43" s="880"/>
    </row>
    <row r="44" spans="1:7" ht="15.75" x14ac:dyDescent="0.25">
      <c r="A44" s="1611" t="s">
        <v>4013</v>
      </c>
      <c r="B44" s="2" t="s">
        <v>1241</v>
      </c>
      <c r="C44" s="2">
        <v>10</v>
      </c>
      <c r="D44" s="102">
        <v>5632</v>
      </c>
      <c r="E44" s="196">
        <f>D44/C44</f>
        <v>563.20000000000005</v>
      </c>
      <c r="G44" s="880"/>
    </row>
    <row r="45" spans="1:7" ht="15.75" x14ac:dyDescent="0.25">
      <c r="A45" s="1612"/>
      <c r="B45" s="2" t="s">
        <v>2233</v>
      </c>
      <c r="C45" s="2">
        <v>4.5</v>
      </c>
      <c r="D45" s="102">
        <v>3500</v>
      </c>
      <c r="E45" s="196">
        <f>D45/C45</f>
        <v>777.77777777777783</v>
      </c>
      <c r="G45" s="1"/>
    </row>
    <row r="46" spans="1:7" ht="15.75" x14ac:dyDescent="0.25">
      <c r="G46" s="8"/>
    </row>
    <row r="47" spans="1:7" ht="16.5" thickBot="1" x14ac:dyDescent="0.3">
      <c r="G47" s="325"/>
    </row>
    <row r="48" spans="1:7" ht="18.75" x14ac:dyDescent="0.25">
      <c r="A48" s="1198" t="s">
        <v>1235</v>
      </c>
      <c r="B48" s="1199"/>
      <c r="C48" s="1199"/>
      <c r="D48" s="1199"/>
      <c r="E48" s="1199"/>
      <c r="F48" s="1200"/>
      <c r="G48" s="880"/>
    </row>
    <row r="49" spans="1:8" ht="15.75" x14ac:dyDescent="0.25">
      <c r="A49" s="1192" t="s">
        <v>1236</v>
      </c>
      <c r="B49" s="1193"/>
      <c r="C49" s="1193"/>
      <c r="D49" s="1193"/>
      <c r="E49" s="1193"/>
      <c r="F49" s="1197"/>
      <c r="G49" s="1"/>
    </row>
    <row r="50" spans="1:8" ht="19.5" thickBot="1" x14ac:dyDescent="0.3">
      <c r="A50" s="874" t="s">
        <v>742</v>
      </c>
      <c r="B50" s="647" t="s">
        <v>1237</v>
      </c>
      <c r="C50" s="647" t="s">
        <v>1238</v>
      </c>
      <c r="D50" s="647" t="s">
        <v>3447</v>
      </c>
      <c r="E50" s="648" t="s">
        <v>3448</v>
      </c>
      <c r="F50" s="266" t="s">
        <v>1239</v>
      </c>
      <c r="G50" s="1"/>
    </row>
    <row r="51" spans="1:8" ht="16.5" thickBot="1" x14ac:dyDescent="0.3">
      <c r="A51" s="15" t="s">
        <v>1240</v>
      </c>
      <c r="B51" s="15">
        <v>1.4</v>
      </c>
      <c r="C51" s="15">
        <v>77</v>
      </c>
      <c r="D51" s="16">
        <v>28000</v>
      </c>
      <c r="E51" s="646">
        <f>B51*D51</f>
        <v>39200</v>
      </c>
      <c r="F51" s="649">
        <f>E51/C51</f>
        <v>509.09090909090907</v>
      </c>
      <c r="G51" s="1"/>
    </row>
    <row r="52" spans="1:8" ht="16.5" thickBot="1" x14ac:dyDescent="0.3">
      <c r="A52" s="15" t="s">
        <v>3450</v>
      </c>
      <c r="B52" s="15">
        <v>0.3</v>
      </c>
      <c r="C52" s="15">
        <v>36</v>
      </c>
      <c r="D52" s="16">
        <v>40800</v>
      </c>
      <c r="E52" s="646">
        <f>B52*D52</f>
        <v>12240</v>
      </c>
      <c r="F52" s="649">
        <f>E52/C52</f>
        <v>340</v>
      </c>
    </row>
    <row r="53" spans="1:8" ht="16.5" thickBot="1" x14ac:dyDescent="0.3">
      <c r="A53" s="15" t="s">
        <v>1241</v>
      </c>
      <c r="B53" s="15">
        <v>1</v>
      </c>
      <c r="C53" s="15">
        <v>64</v>
      </c>
      <c r="D53" s="16">
        <v>26600</v>
      </c>
      <c r="E53" s="646">
        <f>B53*D53</f>
        <v>26600</v>
      </c>
      <c r="F53" s="649">
        <f>E53/C53</f>
        <v>415.625</v>
      </c>
    </row>
    <row r="54" spans="1:8" ht="16.5" thickBot="1" x14ac:dyDescent="0.3">
      <c r="A54" s="194"/>
      <c r="B54" s="1"/>
      <c r="C54" s="1"/>
      <c r="D54" s="1"/>
      <c r="E54" s="1"/>
      <c r="F54" s="103"/>
    </row>
    <row r="55" spans="1:8" ht="16.5" thickBot="1" x14ac:dyDescent="0.3">
      <c r="A55" s="1194" t="s">
        <v>1242</v>
      </c>
      <c r="B55" s="1195"/>
      <c r="C55" s="1195"/>
      <c r="D55" s="1195"/>
      <c r="E55" s="1195"/>
      <c r="F55" s="1196"/>
      <c r="G55" s="1235"/>
      <c r="H55" s="1238"/>
    </row>
    <row r="56" spans="1:8" ht="16.5" thickBot="1" x14ac:dyDescent="0.3">
      <c r="A56" s="874" t="s">
        <v>1243</v>
      </c>
      <c r="B56" s="648" t="s">
        <v>1244</v>
      </c>
      <c r="C56" s="647" t="s">
        <v>3449</v>
      </c>
      <c r="D56" s="647" t="s">
        <v>1245</v>
      </c>
      <c r="E56" s="648" t="s">
        <v>1246</v>
      </c>
      <c r="F56" s="1239" t="s">
        <v>1239</v>
      </c>
      <c r="G56" s="1320" t="s">
        <v>3547</v>
      </c>
      <c r="H56" s="1321"/>
    </row>
    <row r="57" spans="1:8" ht="16.5" thickBot="1" x14ac:dyDescent="0.3">
      <c r="A57" s="650">
        <v>45638</v>
      </c>
      <c r="B57" s="15">
        <v>55</v>
      </c>
      <c r="C57" s="16">
        <v>28875</v>
      </c>
      <c r="D57" s="16">
        <v>20000</v>
      </c>
      <c r="E57" s="16">
        <f>C57+D57</f>
        <v>48875</v>
      </c>
      <c r="F57" s="649">
        <f>E57/B57</f>
        <v>888.63636363636363</v>
      </c>
      <c r="G57" s="1322">
        <v>890</v>
      </c>
      <c r="H57" s="1323"/>
    </row>
    <row r="58" spans="1:8" ht="16.5" thickBot="1" x14ac:dyDescent="0.3">
      <c r="A58" s="194"/>
      <c r="B58" s="1"/>
      <c r="C58" s="1"/>
      <c r="D58" s="1"/>
      <c r="E58" s="1"/>
      <c r="H58" s="1236"/>
    </row>
    <row r="59" spans="1:8" ht="15.75" x14ac:dyDescent="0.25">
      <c r="A59" s="1589" t="s">
        <v>1247</v>
      </c>
      <c r="B59" s="1590"/>
      <c r="E59" s="1"/>
      <c r="H59" s="1236"/>
    </row>
    <row r="60" spans="1:8" ht="16.5" thickBot="1" x14ac:dyDescent="0.3">
      <c r="A60" s="177" t="s">
        <v>1066</v>
      </c>
      <c r="B60" s="178" t="s">
        <v>747</v>
      </c>
      <c r="E60" s="1"/>
      <c r="H60" s="1236"/>
    </row>
    <row r="61" spans="1:8" ht="16.5" thickBot="1" x14ac:dyDescent="0.3">
      <c r="A61" s="650">
        <v>45638</v>
      </c>
      <c r="B61" s="651">
        <f>F51+G57</f>
        <v>1399.090909090909</v>
      </c>
      <c r="C61" s="876"/>
      <c r="D61" s="876"/>
      <c r="E61" s="134"/>
      <c r="F61" s="876"/>
      <c r="G61" s="876"/>
      <c r="H61" s="1237"/>
    </row>
    <row r="62" spans="1:8" ht="15.75" thickBot="1" x14ac:dyDescent="0.3"/>
    <row r="63" spans="1:8" ht="16.5" thickBot="1" x14ac:dyDescent="0.3">
      <c r="A63" s="1585" t="s">
        <v>5002</v>
      </c>
      <c r="B63" s="1586"/>
      <c r="C63" s="1586"/>
    </row>
    <row r="64" spans="1:8" ht="16.5" thickBot="1" x14ac:dyDescent="0.3">
      <c r="A64" s="901" t="s">
        <v>742</v>
      </c>
      <c r="B64" s="1490" t="s">
        <v>1089</v>
      </c>
      <c r="C64" s="132" t="s">
        <v>747</v>
      </c>
    </row>
    <row r="65" spans="1:3" ht="16.5" thickBot="1" x14ac:dyDescent="0.3">
      <c r="A65" s="1491" t="s">
        <v>1240</v>
      </c>
      <c r="B65" s="1491">
        <v>1</v>
      </c>
      <c r="C65" s="646">
        <v>1899</v>
      </c>
    </row>
    <row r="66" spans="1:3" x14ac:dyDescent="0.25">
      <c r="A66" s="1253"/>
    </row>
  </sheetData>
  <mergeCells count="14">
    <mergeCell ref="A63:C63"/>
    <mergeCell ref="I1:L1"/>
    <mergeCell ref="A59:B59"/>
    <mergeCell ref="A1:E1"/>
    <mergeCell ref="A33:E33"/>
    <mergeCell ref="A28:A29"/>
    <mergeCell ref="I12:M12"/>
    <mergeCell ref="I14:I17"/>
    <mergeCell ref="I18:I22"/>
    <mergeCell ref="A25:A27"/>
    <mergeCell ref="A3:A7"/>
    <mergeCell ref="A35:A41"/>
    <mergeCell ref="A42:A43"/>
    <mergeCell ref="A44:A45"/>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S158"/>
  <sheetViews>
    <sheetView topLeftCell="A21" zoomScale="85" zoomScaleNormal="85" workbookViewId="0">
      <selection activeCell="H103" sqref="H103"/>
    </sheetView>
  </sheetViews>
  <sheetFormatPr baseColWidth="10" defaultColWidth="10.85546875" defaultRowHeight="18.75" x14ac:dyDescent="0.25"/>
  <cols>
    <col min="1" max="1" width="39.28515625" style="287" bestFit="1" customWidth="1"/>
    <col min="2" max="2" width="35.7109375" style="287" bestFit="1" customWidth="1"/>
    <col min="3" max="3" width="23.5703125" style="287" bestFit="1" customWidth="1"/>
    <col min="4" max="4" width="16.140625" style="287" bestFit="1" customWidth="1"/>
    <col min="5" max="5" width="16.7109375" style="287" bestFit="1" customWidth="1"/>
    <col min="6" max="6" width="10.85546875" style="287" bestFit="1" customWidth="1"/>
    <col min="7" max="7" width="29.42578125" style="287" bestFit="1" customWidth="1"/>
    <col min="8" max="9" width="31.42578125" style="287" bestFit="1" customWidth="1"/>
    <col min="10" max="10" width="24" style="287" bestFit="1" customWidth="1"/>
    <col min="11" max="11" width="16.140625" style="287" bestFit="1" customWidth="1"/>
    <col min="12" max="13" width="16" style="287" bestFit="1" customWidth="1"/>
    <col min="14" max="15" width="10.85546875" style="287"/>
    <col min="16" max="16" width="12" style="287" bestFit="1" customWidth="1"/>
    <col min="17" max="16384" width="10.85546875" style="287"/>
  </cols>
  <sheetData>
    <row r="1" spans="1:19" ht="19.5" thickBot="1" x14ac:dyDescent="0.3">
      <c r="A1" s="1600" t="s">
        <v>2146</v>
      </c>
      <c r="B1" s="1600"/>
      <c r="C1" s="1600"/>
      <c r="D1" s="1600"/>
      <c r="E1" s="1600"/>
      <c r="F1" s="1639"/>
      <c r="H1" s="1259"/>
      <c r="I1" s="1597" t="s">
        <v>3672</v>
      </c>
      <c r="J1" s="1599"/>
      <c r="K1" s="1598"/>
      <c r="Q1" s="1"/>
      <c r="R1" s="1"/>
      <c r="S1" s="1"/>
    </row>
    <row r="2" spans="1:19" ht="19.5" thickBot="1" x14ac:dyDescent="0.3">
      <c r="A2" s="901" t="s">
        <v>742</v>
      </c>
      <c r="B2" s="131" t="s">
        <v>742</v>
      </c>
      <c r="C2" s="470" t="s">
        <v>743</v>
      </c>
      <c r="D2" s="471" t="s">
        <v>1093</v>
      </c>
      <c r="E2" s="470" t="s">
        <v>1167</v>
      </c>
      <c r="F2" s="132" t="s">
        <v>747</v>
      </c>
      <c r="H2" s="1259"/>
      <c r="I2" s="1307" t="s">
        <v>742</v>
      </c>
      <c r="J2" s="1306"/>
      <c r="K2" s="200" t="s">
        <v>747</v>
      </c>
      <c r="Q2" s="1"/>
      <c r="R2" s="1"/>
      <c r="S2" s="1"/>
    </row>
    <row r="3" spans="1:19" ht="19.5" thickBot="1" x14ac:dyDescent="0.3">
      <c r="A3" s="1649" t="s">
        <v>1268</v>
      </c>
      <c r="B3" s="373" t="s">
        <v>1335</v>
      </c>
      <c r="C3" s="160">
        <v>0.4</v>
      </c>
      <c r="D3" s="233"/>
      <c r="E3" s="161">
        <v>650</v>
      </c>
      <c r="F3" s="161"/>
      <c r="H3" s="1259"/>
      <c r="I3" s="205" t="s">
        <v>3404</v>
      </c>
      <c r="J3" s="205"/>
      <c r="K3" s="1260">
        <v>300</v>
      </c>
      <c r="Q3" s="1"/>
      <c r="R3" s="1"/>
      <c r="S3" s="1"/>
    </row>
    <row r="4" spans="1:19" ht="19.5" thickBot="1" x14ac:dyDescent="0.3">
      <c r="A4" s="1650"/>
      <c r="B4" s="373" t="s">
        <v>3249</v>
      </c>
      <c r="C4" s="160">
        <v>0.6</v>
      </c>
      <c r="D4" s="233"/>
      <c r="E4" s="161">
        <v>4000</v>
      </c>
      <c r="F4" s="161"/>
      <c r="H4" s="1259"/>
      <c r="I4" s="205" t="s">
        <v>1263</v>
      </c>
      <c r="J4" s="205"/>
      <c r="K4" s="1260">
        <v>300</v>
      </c>
      <c r="Q4" s="1"/>
      <c r="R4" s="1"/>
      <c r="S4" s="1"/>
    </row>
    <row r="5" spans="1:19" ht="19.5" thickBot="1" x14ac:dyDescent="0.3">
      <c r="A5" s="1650"/>
      <c r="B5" s="373" t="s">
        <v>4086</v>
      </c>
      <c r="C5" s="160">
        <v>0.39</v>
      </c>
      <c r="D5" s="233"/>
      <c r="E5" s="161">
        <v>4000</v>
      </c>
      <c r="F5" s="161"/>
      <c r="H5" s="1259"/>
      <c r="I5" s="205" t="s">
        <v>1283</v>
      </c>
      <c r="J5" s="205"/>
      <c r="K5" s="1260">
        <v>300</v>
      </c>
      <c r="S5" s="1"/>
    </row>
    <row r="6" spans="1:19" ht="19.5" thickBot="1" x14ac:dyDescent="0.3">
      <c r="A6" s="1650"/>
      <c r="B6" s="373" t="s">
        <v>1299</v>
      </c>
      <c r="C6" s="160" t="s">
        <v>940</v>
      </c>
      <c r="D6" s="233"/>
      <c r="E6" s="161"/>
      <c r="F6" s="161">
        <v>200</v>
      </c>
      <c r="H6" s="1259"/>
      <c r="I6" s="205" t="s">
        <v>1260</v>
      </c>
      <c r="J6" s="205"/>
      <c r="K6" s="1260">
        <v>300</v>
      </c>
      <c r="S6" s="1"/>
    </row>
    <row r="7" spans="1:19" ht="19.5" thickBot="1" x14ac:dyDescent="0.3">
      <c r="A7" s="1650"/>
      <c r="B7" s="373" t="s">
        <v>2187</v>
      </c>
      <c r="C7" s="15"/>
      <c r="D7" s="9"/>
      <c r="E7" s="16"/>
      <c r="F7" s="358">
        <v>440</v>
      </c>
      <c r="H7" s="1259"/>
      <c r="I7" s="205" t="s">
        <v>1439</v>
      </c>
      <c r="J7" s="205"/>
      <c r="K7" s="1260">
        <v>300</v>
      </c>
      <c r="S7" s="1"/>
    </row>
    <row r="8" spans="1:19" ht="19.5" thickBot="1" x14ac:dyDescent="0.3">
      <c r="A8" s="1650"/>
      <c r="B8" s="373" t="s">
        <v>4021</v>
      </c>
      <c r="C8" s="15">
        <v>0.16500000000000001</v>
      </c>
      <c r="D8" s="205">
        <v>5</v>
      </c>
      <c r="E8" s="93">
        <v>5000</v>
      </c>
      <c r="F8" s="358">
        <f>E8/D8</f>
        <v>1000</v>
      </c>
      <c r="H8" s="1259"/>
      <c r="I8" s="205" t="s">
        <v>1241</v>
      </c>
      <c r="J8" s="205"/>
      <c r="K8" s="1260">
        <v>300</v>
      </c>
    </row>
    <row r="9" spans="1:19" ht="19.5" thickBot="1" x14ac:dyDescent="0.3">
      <c r="A9" s="1650"/>
      <c r="B9" s="1410" t="s">
        <v>4374</v>
      </c>
      <c r="C9" s="15">
        <v>0.375</v>
      </c>
      <c r="D9" s="205">
        <v>44</v>
      </c>
      <c r="E9" s="93">
        <v>2800</v>
      </c>
      <c r="F9" s="358">
        <f t="shared" ref="F9:F10" si="0">E9/D9</f>
        <v>63.636363636363633</v>
      </c>
      <c r="H9" s="1259"/>
      <c r="I9" s="205" t="s">
        <v>3674</v>
      </c>
      <c r="J9" s="205"/>
      <c r="K9" s="1260">
        <v>300</v>
      </c>
    </row>
    <row r="10" spans="1:19" ht="19.5" thickBot="1" x14ac:dyDescent="0.3">
      <c r="A10" s="1650"/>
      <c r="B10" s="1410" t="s">
        <v>4375</v>
      </c>
      <c r="C10" s="15">
        <v>0.4</v>
      </c>
      <c r="D10" s="205">
        <v>104</v>
      </c>
      <c r="E10" s="93">
        <v>2800</v>
      </c>
      <c r="F10" s="358">
        <f t="shared" si="0"/>
        <v>26.923076923076923</v>
      </c>
      <c r="H10" s="1259"/>
    </row>
    <row r="11" spans="1:19" ht="19.5" thickBot="1" x14ac:dyDescent="0.3">
      <c r="A11" s="1651"/>
      <c r="B11" s="1410" t="s">
        <v>4376</v>
      </c>
      <c r="C11" s="15">
        <v>0.60499999999999998</v>
      </c>
      <c r="D11" s="205"/>
      <c r="E11" s="93">
        <v>4200</v>
      </c>
      <c r="F11" s="358"/>
      <c r="H11" s="1259"/>
      <c r="I11" s="1597" t="s">
        <v>2145</v>
      </c>
      <c r="J11" s="1599"/>
      <c r="K11" s="1598"/>
    </row>
    <row r="12" spans="1:19" ht="19.5" thickBot="1" x14ac:dyDescent="0.3">
      <c r="A12" s="1623" t="s">
        <v>2184</v>
      </c>
      <c r="B12" s="1410" t="s">
        <v>4377</v>
      </c>
      <c r="C12" s="15">
        <v>0.39</v>
      </c>
      <c r="D12" s="205"/>
      <c r="E12" s="93">
        <v>4320</v>
      </c>
      <c r="F12" s="358"/>
      <c r="H12" s="1259"/>
      <c r="I12" s="1647" t="s">
        <v>742</v>
      </c>
      <c r="J12" s="1642" t="s">
        <v>742</v>
      </c>
      <c r="K12" s="1644" t="s">
        <v>747</v>
      </c>
    </row>
    <row r="13" spans="1:19" ht="19.5" thickBot="1" x14ac:dyDescent="0.3">
      <c r="A13" s="1624"/>
      <c r="B13" s="373" t="s">
        <v>2189</v>
      </c>
      <c r="C13" s="205">
        <v>0.35</v>
      </c>
      <c r="D13" s="891">
        <v>110</v>
      </c>
      <c r="E13" s="161">
        <v>4275</v>
      </c>
      <c r="F13" s="67">
        <f t="shared" ref="F13:F24" si="1">E13/D13</f>
        <v>38.863636363636367</v>
      </c>
      <c r="H13" s="1259"/>
      <c r="I13" s="1648"/>
      <c r="J13" s="1643"/>
      <c r="K13" s="1645"/>
    </row>
    <row r="14" spans="1:19" ht="19.5" thickBot="1" x14ac:dyDescent="0.3">
      <c r="A14" s="1624"/>
      <c r="B14" s="373" t="s">
        <v>2190</v>
      </c>
      <c r="C14" s="160">
        <v>0.35</v>
      </c>
      <c r="D14" s="233">
        <v>110</v>
      </c>
      <c r="E14" s="161">
        <v>4275</v>
      </c>
      <c r="F14" s="161">
        <f t="shared" si="1"/>
        <v>38.863636363636367</v>
      </c>
      <c r="I14" s="1646" t="s">
        <v>2144</v>
      </c>
      <c r="J14" s="355" t="s">
        <v>1283</v>
      </c>
      <c r="K14" s="1313">
        <v>2110</v>
      </c>
    </row>
    <row r="15" spans="1:19" ht="19.5" thickBot="1" x14ac:dyDescent="0.3">
      <c r="A15" s="1624"/>
      <c r="B15" s="373" t="s">
        <v>3247</v>
      </c>
      <c r="C15" s="160">
        <v>0.35</v>
      </c>
      <c r="D15" s="233">
        <v>100</v>
      </c>
      <c r="E15" s="161">
        <v>4275</v>
      </c>
      <c r="F15" s="161">
        <f t="shared" si="1"/>
        <v>42.75</v>
      </c>
      <c r="I15" s="1562"/>
      <c r="J15" s="448" t="s">
        <v>1286</v>
      </c>
      <c r="K15" s="195">
        <v>1930</v>
      </c>
    </row>
    <row r="16" spans="1:19" ht="19.5" thickBot="1" x14ac:dyDescent="0.3">
      <c r="A16" s="1624"/>
      <c r="B16" s="373" t="s">
        <v>2188</v>
      </c>
      <c r="C16" s="160">
        <v>0.38</v>
      </c>
      <c r="D16" s="233">
        <v>76</v>
      </c>
      <c r="E16" s="161">
        <v>5930</v>
      </c>
      <c r="F16" s="161">
        <f t="shared" si="1"/>
        <v>78.026315789473685</v>
      </c>
      <c r="G16" s="1"/>
      <c r="I16" s="1562"/>
      <c r="J16" s="3" t="s">
        <v>1231</v>
      </c>
      <c r="K16" s="195">
        <v>1930</v>
      </c>
    </row>
    <row r="17" spans="1:11" ht="19.5" thickBot="1" x14ac:dyDescent="0.3">
      <c r="A17" s="1624"/>
      <c r="B17" s="373" t="s">
        <v>3478</v>
      </c>
      <c r="C17" s="160">
        <v>0.33</v>
      </c>
      <c r="D17" s="233">
        <v>70</v>
      </c>
      <c r="E17" s="161">
        <v>5148</v>
      </c>
      <c r="F17" s="16">
        <f t="shared" si="1"/>
        <v>73.542857142857144</v>
      </c>
      <c r="G17" s="1"/>
      <c r="I17" s="1563"/>
      <c r="J17" s="168" t="s">
        <v>1293</v>
      </c>
      <c r="K17" s="90">
        <v>1930</v>
      </c>
    </row>
    <row r="18" spans="1:11" ht="19.5" thickBot="1" x14ac:dyDescent="0.3">
      <c r="A18" s="1624"/>
      <c r="B18" s="373" t="s">
        <v>3793</v>
      </c>
      <c r="C18" s="160">
        <v>0.37</v>
      </c>
      <c r="D18" s="233">
        <v>70</v>
      </c>
      <c r="E18" s="161">
        <v>5930</v>
      </c>
      <c r="F18" s="16">
        <f t="shared" si="1"/>
        <v>84.714285714285708</v>
      </c>
      <c r="G18" s="1"/>
      <c r="I18" s="1561" t="s">
        <v>59</v>
      </c>
      <c r="J18" s="355" t="s">
        <v>1139</v>
      </c>
      <c r="K18" s="1312">
        <v>2490</v>
      </c>
    </row>
    <row r="19" spans="1:11" ht="19.5" thickBot="1" x14ac:dyDescent="0.3">
      <c r="A19" s="1624"/>
      <c r="B19" s="373" t="s">
        <v>2191</v>
      </c>
      <c r="C19" s="160">
        <v>0.37</v>
      </c>
      <c r="D19" s="233">
        <v>68</v>
      </c>
      <c r="E19" s="161">
        <v>6940</v>
      </c>
      <c r="F19" s="161">
        <f t="shared" si="1"/>
        <v>102.05882352941177</v>
      </c>
      <c r="I19" s="1562"/>
      <c r="J19" s="3" t="s">
        <v>3250</v>
      </c>
      <c r="K19" s="1312">
        <v>1910</v>
      </c>
    </row>
    <row r="20" spans="1:11" ht="19.5" thickBot="1" x14ac:dyDescent="0.3">
      <c r="A20" s="1624"/>
      <c r="B20" s="373" t="s">
        <v>2192</v>
      </c>
      <c r="C20" s="160">
        <v>0.37</v>
      </c>
      <c r="D20" s="233">
        <v>68</v>
      </c>
      <c r="E20" s="161">
        <v>6940</v>
      </c>
      <c r="F20" s="161">
        <f t="shared" si="1"/>
        <v>102.05882352941177</v>
      </c>
      <c r="I20" s="1562"/>
      <c r="J20" s="3" t="s">
        <v>1140</v>
      </c>
      <c r="K20" s="1312">
        <v>1910</v>
      </c>
    </row>
    <row r="21" spans="1:11" ht="19.5" thickBot="1" x14ac:dyDescent="0.3">
      <c r="A21" s="1624"/>
      <c r="B21" s="373" t="s">
        <v>4357</v>
      </c>
      <c r="C21" s="160">
        <v>0.37</v>
      </c>
      <c r="D21" s="233">
        <v>68</v>
      </c>
      <c r="E21" s="161">
        <v>6940</v>
      </c>
      <c r="F21" s="161">
        <f t="shared" si="1"/>
        <v>102.05882352941177</v>
      </c>
      <c r="I21" s="1562"/>
      <c r="J21" s="3" t="s">
        <v>1141</v>
      </c>
      <c r="K21" s="1312">
        <v>1910</v>
      </c>
    </row>
    <row r="22" spans="1:11" ht="19.5" thickBot="1" x14ac:dyDescent="0.3">
      <c r="A22" s="1624"/>
      <c r="B22" s="373" t="s">
        <v>4356</v>
      </c>
      <c r="C22" s="160">
        <v>0.37</v>
      </c>
      <c r="D22" s="233">
        <v>68</v>
      </c>
      <c r="E22" s="161">
        <v>6940</v>
      </c>
      <c r="F22" s="161">
        <f t="shared" si="1"/>
        <v>102.05882352941177</v>
      </c>
      <c r="I22" s="1562"/>
      <c r="J22" s="3" t="s">
        <v>3404</v>
      </c>
      <c r="K22" s="1312">
        <v>1910</v>
      </c>
    </row>
    <row r="23" spans="1:11" ht="19.5" thickBot="1" x14ac:dyDescent="0.3">
      <c r="A23" s="1624"/>
      <c r="B23" s="373" t="s">
        <v>4186</v>
      </c>
      <c r="C23" s="160">
        <v>0.39</v>
      </c>
      <c r="D23" s="233">
        <v>68</v>
      </c>
      <c r="E23" s="161">
        <v>6940</v>
      </c>
      <c r="F23" s="93">
        <f t="shared" si="1"/>
        <v>102.05882352941177</v>
      </c>
      <c r="I23" s="1562"/>
      <c r="J23" s="3" t="s">
        <v>1142</v>
      </c>
      <c r="K23" s="1312">
        <v>1910</v>
      </c>
    </row>
    <row r="24" spans="1:11" ht="19.5" thickBot="1" x14ac:dyDescent="0.3">
      <c r="A24" s="1624"/>
      <c r="B24" s="15" t="s">
        <v>4185</v>
      </c>
      <c r="C24" s="160">
        <v>0.37</v>
      </c>
      <c r="D24" s="233">
        <v>68</v>
      </c>
      <c r="E24" s="161">
        <v>6940</v>
      </c>
      <c r="F24" s="232">
        <f t="shared" si="1"/>
        <v>102.05882352941177</v>
      </c>
      <c r="I24" s="1562"/>
      <c r="J24" s="3" t="s">
        <v>1143</v>
      </c>
      <c r="K24" s="1312">
        <v>300</v>
      </c>
    </row>
    <row r="25" spans="1:11" ht="19.5" thickBot="1" x14ac:dyDescent="0.3">
      <c r="A25" s="1625"/>
      <c r="B25" s="373" t="s">
        <v>2193</v>
      </c>
      <c r="C25" s="205">
        <v>0.37</v>
      </c>
      <c r="D25" s="233">
        <v>68</v>
      </c>
      <c r="E25" s="161">
        <v>6940</v>
      </c>
      <c r="F25" s="67">
        <f t="shared" ref="F25:F35" si="2">E25/D25</f>
        <v>102.05882352941177</v>
      </c>
      <c r="I25" s="1562"/>
      <c r="J25" s="184" t="s">
        <v>1144</v>
      </c>
      <c r="K25" s="1312">
        <v>300</v>
      </c>
    </row>
    <row r="26" spans="1:11" ht="19.5" thickBot="1" x14ac:dyDescent="0.3">
      <c r="A26" s="1623" t="s">
        <v>2184</v>
      </c>
      <c r="B26" s="373" t="s">
        <v>4861</v>
      </c>
      <c r="C26" s="160">
        <v>0.35</v>
      </c>
      <c r="D26" s="233">
        <v>140</v>
      </c>
      <c r="E26" s="161">
        <v>5930</v>
      </c>
      <c r="F26" s="161">
        <f t="shared" si="2"/>
        <v>42.357142857142854</v>
      </c>
      <c r="I26" s="1562"/>
      <c r="J26" s="184" t="s">
        <v>1240</v>
      </c>
      <c r="K26" s="1311">
        <v>2490</v>
      </c>
    </row>
    <row r="27" spans="1:11" ht="19.5" thickBot="1" x14ac:dyDescent="0.3">
      <c r="A27" s="1624"/>
      <c r="B27" s="373" t="s">
        <v>4371</v>
      </c>
      <c r="C27" s="160">
        <v>0.35</v>
      </c>
      <c r="D27" s="233">
        <v>106</v>
      </c>
      <c r="E27" s="161">
        <v>4275</v>
      </c>
      <c r="F27" s="161">
        <f t="shared" si="2"/>
        <v>40.330188679245282</v>
      </c>
      <c r="I27" s="1562"/>
      <c r="J27" s="184" t="s">
        <v>1241</v>
      </c>
      <c r="K27" s="195">
        <v>2490</v>
      </c>
    </row>
    <row r="28" spans="1:11" ht="19.5" thickBot="1" x14ac:dyDescent="0.3">
      <c r="A28" s="1624"/>
      <c r="B28" s="373" t="s">
        <v>3385</v>
      </c>
      <c r="C28" s="160">
        <v>0.35</v>
      </c>
      <c r="D28" s="233"/>
      <c r="E28" s="161">
        <v>5930</v>
      </c>
      <c r="F28" s="161"/>
      <c r="I28" s="1563"/>
      <c r="J28" s="168" t="s">
        <v>5078</v>
      </c>
      <c r="K28" s="90">
        <v>2540</v>
      </c>
    </row>
    <row r="29" spans="1:11" ht="19.5" thickBot="1" x14ac:dyDescent="0.3">
      <c r="A29" s="1625"/>
      <c r="B29" s="373" t="s">
        <v>3521</v>
      </c>
      <c r="C29" s="160"/>
      <c r="D29" s="233">
        <v>62</v>
      </c>
      <c r="E29" s="161">
        <v>6740</v>
      </c>
      <c r="F29" s="161"/>
      <c r="I29" s="1561" t="s">
        <v>1749</v>
      </c>
      <c r="J29" s="882" t="s">
        <v>1257</v>
      </c>
      <c r="K29" s="88">
        <v>1910</v>
      </c>
    </row>
    <row r="30" spans="1:11" ht="19.5" thickBot="1" x14ac:dyDescent="0.3">
      <c r="A30" s="1621" t="s">
        <v>3500</v>
      </c>
      <c r="B30" s="373" t="s">
        <v>3480</v>
      </c>
      <c r="C30" s="160">
        <v>0.375</v>
      </c>
      <c r="D30" s="233">
        <v>82</v>
      </c>
      <c r="E30" s="161">
        <v>4212</v>
      </c>
      <c r="F30" s="161">
        <f t="shared" si="2"/>
        <v>51.365853658536587</v>
      </c>
      <c r="I30" s="1562"/>
      <c r="J30" s="3" t="s">
        <v>3404</v>
      </c>
      <c r="K30" s="1311">
        <v>1910</v>
      </c>
    </row>
    <row r="31" spans="1:11" ht="19.5" thickBot="1" x14ac:dyDescent="0.3">
      <c r="A31" s="1626"/>
      <c r="B31" s="373" t="s">
        <v>3898</v>
      </c>
      <c r="C31" s="160">
        <v>0.38</v>
      </c>
      <c r="D31" s="233">
        <v>95</v>
      </c>
      <c r="E31" s="161">
        <v>5244</v>
      </c>
      <c r="F31" s="161">
        <f t="shared" si="2"/>
        <v>55.2</v>
      </c>
      <c r="I31" s="1562"/>
      <c r="J31" s="449" t="s">
        <v>3361</v>
      </c>
      <c r="K31" s="89">
        <v>1910</v>
      </c>
    </row>
    <row r="32" spans="1:11" ht="19.5" thickBot="1" x14ac:dyDescent="0.3">
      <c r="A32" s="1626"/>
      <c r="B32" s="373" t="s">
        <v>4420</v>
      </c>
      <c r="C32" s="160">
        <v>0.36</v>
      </c>
      <c r="D32" s="233">
        <v>85</v>
      </c>
      <c r="E32" s="161">
        <v>4212</v>
      </c>
      <c r="F32" s="161">
        <f t="shared" si="2"/>
        <v>49.55294117647059</v>
      </c>
      <c r="I32" s="1563"/>
      <c r="J32" s="154" t="s">
        <v>3251</v>
      </c>
      <c r="K32" s="90">
        <v>1585</v>
      </c>
    </row>
    <row r="33" spans="1:12" ht="19.5" thickBot="1" x14ac:dyDescent="0.3">
      <c r="A33" s="1626"/>
      <c r="B33" s="373" t="s">
        <v>3759</v>
      </c>
      <c r="C33" s="160">
        <v>0.37</v>
      </c>
      <c r="D33" s="233">
        <v>105</v>
      </c>
      <c r="E33" s="161">
        <v>4212</v>
      </c>
      <c r="F33" s="161">
        <f t="shared" si="2"/>
        <v>40.114285714285714</v>
      </c>
      <c r="I33" s="1561" t="s">
        <v>1311</v>
      </c>
      <c r="J33" s="169" t="s">
        <v>1312</v>
      </c>
      <c r="K33" s="88">
        <v>325</v>
      </c>
    </row>
    <row r="34" spans="1:12" ht="19.5" thickBot="1" x14ac:dyDescent="0.3">
      <c r="A34" s="1626"/>
      <c r="B34" s="373" t="s">
        <v>4992</v>
      </c>
      <c r="C34" s="160">
        <v>0.37</v>
      </c>
      <c r="D34" s="233">
        <v>63</v>
      </c>
      <c r="E34" s="161">
        <v>3900</v>
      </c>
      <c r="F34" s="161">
        <f t="shared" si="2"/>
        <v>61.904761904761905</v>
      </c>
      <c r="I34" s="1562"/>
      <c r="J34" s="24" t="s">
        <v>1257</v>
      </c>
      <c r="K34" s="89">
        <v>325</v>
      </c>
    </row>
    <row r="35" spans="1:12" ht="19.5" thickBot="1" x14ac:dyDescent="0.3">
      <c r="A35" s="1622"/>
      <c r="B35" s="373" t="s">
        <v>4191</v>
      </c>
      <c r="C35" s="160">
        <v>0.39</v>
      </c>
      <c r="D35" s="233">
        <v>58</v>
      </c>
      <c r="E35" s="161">
        <v>3900</v>
      </c>
      <c r="F35" s="161">
        <f t="shared" si="2"/>
        <v>67.241379310344826</v>
      </c>
      <c r="I35" s="1562"/>
      <c r="J35" s="184" t="s">
        <v>1315</v>
      </c>
      <c r="K35" s="136">
        <v>325</v>
      </c>
    </row>
    <row r="36" spans="1:12" ht="19.5" thickBot="1" x14ac:dyDescent="0.3">
      <c r="A36" s="1621" t="s">
        <v>3499</v>
      </c>
      <c r="B36" s="15" t="s">
        <v>4057</v>
      </c>
      <c r="C36" s="160">
        <v>0.39</v>
      </c>
      <c r="D36" s="233">
        <v>130</v>
      </c>
      <c r="E36" s="161">
        <v>5000</v>
      </c>
      <c r="F36" s="161">
        <f t="shared" ref="F36" si="3">E36/D36</f>
        <v>38.46153846153846</v>
      </c>
      <c r="I36" s="1563"/>
      <c r="J36" s="168" t="s">
        <v>1317</v>
      </c>
      <c r="K36" s="90">
        <v>325</v>
      </c>
    </row>
    <row r="37" spans="1:12" ht="19.5" thickBot="1" x14ac:dyDescent="0.3">
      <c r="A37" s="1626"/>
      <c r="B37" s="373" t="s">
        <v>3485</v>
      </c>
      <c r="C37" s="160">
        <v>0.375</v>
      </c>
      <c r="D37" s="233">
        <v>85</v>
      </c>
      <c r="E37" s="161">
        <v>5000</v>
      </c>
      <c r="F37" s="161">
        <f t="shared" ref="F37:F49" si="4">E37/D37</f>
        <v>58.823529411764703</v>
      </c>
      <c r="I37" s="1561" t="s">
        <v>1304</v>
      </c>
      <c r="J37" s="148" t="s">
        <v>1305</v>
      </c>
      <c r="K37" s="94">
        <v>128</v>
      </c>
      <c r="L37" s="62"/>
    </row>
    <row r="38" spans="1:12" ht="19.5" thickBot="1" x14ac:dyDescent="0.3">
      <c r="A38" s="1626"/>
      <c r="B38" s="373" t="s">
        <v>3498</v>
      </c>
      <c r="C38" s="160">
        <v>0.38</v>
      </c>
      <c r="D38" s="233">
        <v>60</v>
      </c>
      <c r="E38" s="161">
        <v>4000</v>
      </c>
      <c r="F38" s="161">
        <f t="shared" si="4"/>
        <v>66.666666666666671</v>
      </c>
      <c r="I38" s="1562"/>
      <c r="J38" s="98" t="s">
        <v>1307</v>
      </c>
      <c r="K38" s="89">
        <v>128</v>
      </c>
      <c r="L38" s="1"/>
    </row>
    <row r="39" spans="1:12" ht="19.5" thickBot="1" x14ac:dyDescent="0.3">
      <c r="A39" s="1626"/>
      <c r="B39" s="373" t="s">
        <v>3569</v>
      </c>
      <c r="C39" s="160">
        <v>0.38</v>
      </c>
      <c r="D39" s="233">
        <v>60</v>
      </c>
      <c r="E39" s="161">
        <v>4000</v>
      </c>
      <c r="F39" s="161">
        <f t="shared" si="4"/>
        <v>66.666666666666671</v>
      </c>
      <c r="I39" s="1563"/>
      <c r="J39" s="170" t="s">
        <v>1309</v>
      </c>
      <c r="K39" s="90">
        <v>128</v>
      </c>
    </row>
    <row r="40" spans="1:12" ht="19.5" thickBot="1" x14ac:dyDescent="0.3">
      <c r="A40" s="1626"/>
      <c r="B40" s="373" t="s">
        <v>3479</v>
      </c>
      <c r="C40" s="160">
        <v>0.375</v>
      </c>
      <c r="D40" s="233">
        <v>43</v>
      </c>
      <c r="E40" s="161">
        <v>5148</v>
      </c>
      <c r="F40" s="161">
        <f t="shared" si="4"/>
        <v>119.72093023255815</v>
      </c>
      <c r="I40" s="1573" t="s">
        <v>1272</v>
      </c>
      <c r="J40" s="148" t="s">
        <v>1202</v>
      </c>
      <c r="K40" s="94">
        <v>60</v>
      </c>
    </row>
    <row r="41" spans="1:12" ht="19.5" thickBot="1" x14ac:dyDescent="0.3">
      <c r="A41" s="1626"/>
      <c r="B41" s="103" t="s">
        <v>2196</v>
      </c>
      <c r="C41" s="160">
        <v>0.38500000000000001</v>
      </c>
      <c r="D41" s="233">
        <v>28</v>
      </c>
      <c r="E41" s="161">
        <v>6000</v>
      </c>
      <c r="F41" s="161">
        <f t="shared" si="4"/>
        <v>214.28571428571428</v>
      </c>
      <c r="I41" s="1638"/>
      <c r="J41" s="24" t="s">
        <v>1204</v>
      </c>
      <c r="K41" s="195">
        <v>81</v>
      </c>
    </row>
    <row r="42" spans="1:12" ht="19.5" thickBot="1" x14ac:dyDescent="0.3">
      <c r="A42" s="1626"/>
      <c r="B42" s="15" t="s">
        <v>2194</v>
      </c>
      <c r="C42" s="160">
        <v>0.375</v>
      </c>
      <c r="D42" s="233">
        <v>28</v>
      </c>
      <c r="E42" s="161">
        <v>4800</v>
      </c>
      <c r="F42" s="161">
        <f t="shared" si="4"/>
        <v>171.42857142857142</v>
      </c>
      <c r="I42" s="1561" t="s">
        <v>1253</v>
      </c>
      <c r="J42" s="355" t="s">
        <v>1254</v>
      </c>
      <c r="K42" s="1313">
        <v>20</v>
      </c>
    </row>
    <row r="43" spans="1:12" ht="19.5" thickBot="1" x14ac:dyDescent="0.3">
      <c r="A43" s="1626"/>
      <c r="B43" s="103" t="s">
        <v>2195</v>
      </c>
      <c r="C43" s="13">
        <v>0.39</v>
      </c>
      <c r="D43" s="891">
        <v>28</v>
      </c>
      <c r="E43" s="67">
        <v>2400</v>
      </c>
      <c r="F43" s="67">
        <f t="shared" si="4"/>
        <v>85.714285714285708</v>
      </c>
      <c r="I43" s="1562"/>
      <c r="J43" s="3" t="s">
        <v>1257</v>
      </c>
      <c r="K43" s="89">
        <v>75</v>
      </c>
    </row>
    <row r="44" spans="1:12" ht="19.5" thickBot="1" x14ac:dyDescent="0.3">
      <c r="A44" s="1376" t="s">
        <v>4862</v>
      </c>
      <c r="B44" s="15" t="s">
        <v>1437</v>
      </c>
      <c r="C44" s="160">
        <v>0.39500000000000002</v>
      </c>
      <c r="D44" s="233">
        <v>120</v>
      </c>
      <c r="E44" s="161">
        <v>7600</v>
      </c>
      <c r="F44" s="161">
        <f t="shared" si="4"/>
        <v>63.333333333333336</v>
      </c>
      <c r="I44" s="1562"/>
      <c r="J44" s="3" t="s">
        <v>1260</v>
      </c>
      <c r="K44" s="136">
        <v>75</v>
      </c>
    </row>
    <row r="45" spans="1:12" ht="19.5" thickBot="1" x14ac:dyDescent="0.3">
      <c r="A45" s="910" t="s">
        <v>1570</v>
      </c>
      <c r="B45" s="373" t="s">
        <v>3900</v>
      </c>
      <c r="C45" s="160">
        <v>0.375</v>
      </c>
      <c r="D45" s="233">
        <v>85</v>
      </c>
      <c r="E45" s="161">
        <v>9780</v>
      </c>
      <c r="F45" s="161">
        <f>E45/D45</f>
        <v>115.05882352941177</v>
      </c>
      <c r="I45" s="1562"/>
      <c r="J45" s="3" t="s">
        <v>1263</v>
      </c>
      <c r="K45" s="195">
        <v>75</v>
      </c>
    </row>
    <row r="46" spans="1:12" ht="19.5" thickBot="1" x14ac:dyDescent="0.3">
      <c r="A46" s="1376" t="s">
        <v>4249</v>
      </c>
      <c r="B46" s="15" t="s">
        <v>3901</v>
      </c>
      <c r="C46" s="160">
        <v>0.38</v>
      </c>
      <c r="D46" s="160">
        <v>80</v>
      </c>
      <c r="E46" s="1377">
        <v>9780</v>
      </c>
      <c r="F46" s="232">
        <f>E46/D46</f>
        <v>122.25</v>
      </c>
      <c r="I46" s="1562"/>
      <c r="J46" s="3" t="s">
        <v>3356</v>
      </c>
      <c r="K46" s="90">
        <v>3795</v>
      </c>
    </row>
    <row r="47" spans="1:12" ht="19.5" thickBot="1" x14ac:dyDescent="0.3">
      <c r="A47" s="1621" t="s">
        <v>4916</v>
      </c>
      <c r="B47" s="15" t="s">
        <v>910</v>
      </c>
      <c r="C47" s="160">
        <v>0.39</v>
      </c>
      <c r="D47" s="160">
        <v>55</v>
      </c>
      <c r="E47" s="1107">
        <v>8470</v>
      </c>
      <c r="F47" s="232">
        <f>E47/D47</f>
        <v>154</v>
      </c>
      <c r="I47" s="1562"/>
      <c r="J47" s="3" t="s">
        <v>3361</v>
      </c>
      <c r="K47" s="90">
        <v>3795</v>
      </c>
    </row>
    <row r="48" spans="1:12" ht="19.5" thickBot="1" x14ac:dyDescent="0.3">
      <c r="A48" s="1622"/>
      <c r="B48" s="15" t="s">
        <v>4997</v>
      </c>
      <c r="C48" s="160">
        <v>0.39</v>
      </c>
      <c r="D48" s="160">
        <v>40</v>
      </c>
      <c r="E48" s="1107">
        <v>11750</v>
      </c>
      <c r="F48" s="232">
        <f>E48/D48</f>
        <v>293.75</v>
      </c>
      <c r="I48" s="1563"/>
      <c r="J48" s="160" t="s">
        <v>1283</v>
      </c>
      <c r="K48" s="90">
        <v>3795</v>
      </c>
    </row>
    <row r="49" spans="1:11" ht="19.5" thickBot="1" x14ac:dyDescent="0.3">
      <c r="A49" s="910" t="s">
        <v>3141</v>
      </c>
      <c r="B49" s="15" t="s">
        <v>3143</v>
      </c>
      <c r="C49" s="160">
        <v>0.39</v>
      </c>
      <c r="D49" s="160">
        <v>28</v>
      </c>
      <c r="E49" s="1107">
        <v>3635</v>
      </c>
      <c r="F49" s="232">
        <f t="shared" si="4"/>
        <v>129.82142857142858</v>
      </c>
      <c r="G49" s="1"/>
      <c r="I49" s="1559" t="s">
        <v>1342</v>
      </c>
      <c r="J49" s="355" t="s">
        <v>3454</v>
      </c>
      <c r="K49" s="136">
        <v>2500</v>
      </c>
    </row>
    <row r="50" spans="1:11" ht="19.5" thickBot="1" x14ac:dyDescent="0.3">
      <c r="A50" s="1621" t="s">
        <v>3140</v>
      </c>
      <c r="B50" s="900" t="s">
        <v>3142</v>
      </c>
      <c r="C50" s="13">
        <v>0.4</v>
      </c>
      <c r="D50" s="904">
        <v>33</v>
      </c>
      <c r="E50" s="67">
        <v>3905</v>
      </c>
      <c r="F50" s="232">
        <f>E50/D50</f>
        <v>118.33333333333333</v>
      </c>
      <c r="G50" s="1"/>
      <c r="I50" s="1564"/>
      <c r="J50" s="1314" t="s">
        <v>3047</v>
      </c>
      <c r="K50" s="195">
        <v>700</v>
      </c>
    </row>
    <row r="51" spans="1:11" ht="19.5" thickBot="1" x14ac:dyDescent="0.3">
      <c r="A51" s="1622"/>
      <c r="B51" s="900" t="s">
        <v>4999</v>
      </c>
      <c r="C51" s="13">
        <v>0.36</v>
      </c>
      <c r="D51" s="908">
        <v>26</v>
      </c>
      <c r="E51" s="136">
        <v>7155</v>
      </c>
      <c r="F51" s="232">
        <f>E51/D51</f>
        <v>275.19230769230768</v>
      </c>
      <c r="I51" s="1564"/>
      <c r="J51" s="1315" t="s">
        <v>910</v>
      </c>
      <c r="K51" s="195">
        <v>600</v>
      </c>
    </row>
    <row r="52" spans="1:11" x14ac:dyDescent="0.25">
      <c r="A52" s="1640" t="s">
        <v>2200</v>
      </c>
      <c r="B52" s="169" t="s">
        <v>965</v>
      </c>
      <c r="C52" s="5">
        <v>0.39500000000000002</v>
      </c>
      <c r="D52" s="905">
        <v>18</v>
      </c>
      <c r="E52" s="1378">
        <v>4180</v>
      </c>
      <c r="F52" s="1379">
        <f t="shared" ref="F52:F53" si="5">E52/D52</f>
        <v>232.22222222222223</v>
      </c>
      <c r="I52" s="1564"/>
      <c r="J52" s="3" t="s">
        <v>3455</v>
      </c>
      <c r="K52" s="195">
        <v>1500</v>
      </c>
    </row>
    <row r="53" spans="1:11" ht="19.5" thickBot="1" x14ac:dyDescent="0.3">
      <c r="A53" s="1641"/>
      <c r="B53" s="24" t="s">
        <v>2201</v>
      </c>
      <c r="C53" s="230">
        <v>0.41</v>
      </c>
      <c r="D53" s="334">
        <v>21</v>
      </c>
      <c r="E53" s="1380">
        <v>4180</v>
      </c>
      <c r="F53" s="1381">
        <f t="shared" si="5"/>
        <v>199.04761904761904</v>
      </c>
      <c r="I53" s="1564"/>
      <c r="J53" s="448" t="s">
        <v>1347</v>
      </c>
      <c r="K53" s="89">
        <v>1500</v>
      </c>
    </row>
    <row r="54" spans="1:11" x14ac:dyDescent="0.25">
      <c r="A54" s="1573"/>
      <c r="B54" s="169" t="s">
        <v>2202</v>
      </c>
      <c r="C54" s="5"/>
      <c r="D54" s="905">
        <v>22</v>
      </c>
      <c r="E54" s="166">
        <v>1000</v>
      </c>
      <c r="F54" s="88">
        <f>E54/D54</f>
        <v>45.454545454545453</v>
      </c>
      <c r="I54" s="1564"/>
      <c r="J54" s="3" t="s">
        <v>1350</v>
      </c>
      <c r="K54" s="89">
        <v>2100</v>
      </c>
    </row>
    <row r="55" spans="1:11" x14ac:dyDescent="0.25">
      <c r="A55" s="1574"/>
      <c r="B55" s="98" t="s">
        <v>1337</v>
      </c>
      <c r="C55" s="2"/>
      <c r="D55" s="20">
        <v>17</v>
      </c>
      <c r="E55" s="106">
        <v>1620</v>
      </c>
      <c r="F55" s="89">
        <f>E55/D55</f>
        <v>95.294117647058826</v>
      </c>
      <c r="I55" s="1564"/>
      <c r="J55" s="1316" t="s">
        <v>3453</v>
      </c>
      <c r="K55" s="89">
        <v>1680</v>
      </c>
    </row>
    <row r="56" spans="1:11" x14ac:dyDescent="0.25">
      <c r="A56" s="1574"/>
      <c r="B56" s="98" t="s">
        <v>1361</v>
      </c>
      <c r="C56" s="2"/>
      <c r="D56" s="20">
        <v>18</v>
      </c>
      <c r="E56" s="106">
        <v>1620</v>
      </c>
      <c r="F56" s="89">
        <f>E56/D56</f>
        <v>90</v>
      </c>
      <c r="I56" s="1564"/>
      <c r="J56" s="3" t="s">
        <v>3452</v>
      </c>
      <c r="K56" s="89">
        <v>2500</v>
      </c>
    </row>
    <row r="57" spans="1:11" ht="19.5" thickBot="1" x14ac:dyDescent="0.3">
      <c r="A57" s="1638"/>
      <c r="B57" s="24" t="s">
        <v>1362</v>
      </c>
      <c r="C57" s="230"/>
      <c r="D57" s="334">
        <v>16</v>
      </c>
      <c r="E57" s="907">
        <v>1295</v>
      </c>
      <c r="F57" s="195">
        <f>E57/D57</f>
        <v>80.9375</v>
      </c>
      <c r="I57" s="1560"/>
      <c r="J57" s="1214" t="s">
        <v>1355</v>
      </c>
      <c r="K57" s="195">
        <v>1400</v>
      </c>
    </row>
    <row r="58" spans="1:11" ht="19.5" thickBot="1" x14ac:dyDescent="0.3">
      <c r="A58" s="910" t="s">
        <v>2204</v>
      </c>
      <c r="B58" s="1109" t="s">
        <v>2203</v>
      </c>
      <c r="C58" s="9">
        <v>0.185</v>
      </c>
      <c r="D58" s="908">
        <v>6</v>
      </c>
      <c r="E58" s="909">
        <v>1100</v>
      </c>
      <c r="F58" s="67">
        <f t="shared" ref="F58:F59" si="6">E58/D58</f>
        <v>183.33333333333334</v>
      </c>
      <c r="I58" s="1559" t="s">
        <v>3359</v>
      </c>
      <c r="J58" s="1" t="s">
        <v>3404</v>
      </c>
      <c r="K58" s="88">
        <v>895</v>
      </c>
    </row>
    <row r="59" spans="1:11" ht="19.5" thickBot="1" x14ac:dyDescent="0.3">
      <c r="A59" s="1108" t="s">
        <v>3126</v>
      </c>
      <c r="B59" s="15" t="s">
        <v>1389</v>
      </c>
      <c r="C59" s="160">
        <v>0.41</v>
      </c>
      <c r="D59" s="233">
        <v>140</v>
      </c>
      <c r="E59" s="1107">
        <v>3300</v>
      </c>
      <c r="F59" s="161">
        <f t="shared" si="6"/>
        <v>23.571428571428573</v>
      </c>
      <c r="I59" s="1564"/>
      <c r="J59" s="184" t="s">
        <v>3356</v>
      </c>
      <c r="K59" s="88">
        <v>895</v>
      </c>
    </row>
    <row r="60" spans="1:11" ht="19.5" thickBot="1" x14ac:dyDescent="0.3">
      <c r="A60" s="911"/>
      <c r="B60" s="875" t="s">
        <v>1324</v>
      </c>
      <c r="C60" s="160">
        <v>0.4</v>
      </c>
      <c r="D60" s="233">
        <v>20</v>
      </c>
      <c r="E60" s="161">
        <f>480+48</f>
        <v>528</v>
      </c>
      <c r="F60" s="161">
        <f>E60/D60</f>
        <v>26.4</v>
      </c>
      <c r="I60" s="1564"/>
      <c r="J60" s="184" t="s">
        <v>4872</v>
      </c>
      <c r="K60" s="88">
        <v>895</v>
      </c>
    </row>
    <row r="61" spans="1:11" ht="19.5" thickBot="1" x14ac:dyDescent="0.3">
      <c r="A61" s="1206" t="s">
        <v>2083</v>
      </c>
      <c r="B61" s="875" t="s">
        <v>3468</v>
      </c>
      <c r="C61" s="1218">
        <v>0.375</v>
      </c>
      <c r="D61" s="1500">
        <v>44</v>
      </c>
      <c r="E61" s="67">
        <v>5100</v>
      </c>
      <c r="F61" s="161"/>
      <c r="I61" s="1560"/>
      <c r="J61" s="168" t="s">
        <v>3357</v>
      </c>
      <c r="K61" s="88">
        <v>895</v>
      </c>
    </row>
    <row r="62" spans="1:11" ht="19.5" thickBot="1" x14ac:dyDescent="0.3">
      <c r="A62" s="910" t="s">
        <v>3192</v>
      </c>
      <c r="B62" s="373" t="s">
        <v>3467</v>
      </c>
      <c r="C62" s="134">
        <v>0.39</v>
      </c>
      <c r="D62" s="1499">
        <v>98</v>
      </c>
      <c r="E62" s="67">
        <v>1320</v>
      </c>
      <c r="F62" s="161">
        <f t="shared" ref="F62:F72" si="7">E62/D62</f>
        <v>13.469387755102041</v>
      </c>
      <c r="I62" s="15" t="s">
        <v>1363</v>
      </c>
      <c r="J62" s="1317"/>
      <c r="K62" s="16">
        <v>400</v>
      </c>
    </row>
    <row r="63" spans="1:11" ht="19.5" thickBot="1" x14ac:dyDescent="0.3">
      <c r="A63" s="1623" t="s">
        <v>1286</v>
      </c>
      <c r="B63" s="373" t="s">
        <v>3899</v>
      </c>
      <c r="C63" s="160">
        <v>0.375</v>
      </c>
      <c r="D63" s="233">
        <v>83</v>
      </c>
      <c r="E63" s="161">
        <v>3950</v>
      </c>
      <c r="F63" s="161">
        <f t="shared" si="7"/>
        <v>47.590361445783131</v>
      </c>
      <c r="I63" s="1559" t="s">
        <v>3406</v>
      </c>
      <c r="J63" s="1318" t="s">
        <v>1139</v>
      </c>
      <c r="K63" s="258">
        <v>1955</v>
      </c>
    </row>
    <row r="64" spans="1:11" ht="19.5" thickBot="1" x14ac:dyDescent="0.3">
      <c r="A64" s="1624"/>
      <c r="B64" s="373" t="s">
        <v>5000</v>
      </c>
      <c r="C64" s="160">
        <v>0.39</v>
      </c>
      <c r="D64" s="233">
        <v>44</v>
      </c>
      <c r="E64" s="161">
        <v>6075</v>
      </c>
      <c r="F64" s="161">
        <f t="shared" si="7"/>
        <v>138.06818181818181</v>
      </c>
      <c r="I64" s="1564"/>
      <c r="J64" s="3" t="s">
        <v>3361</v>
      </c>
      <c r="K64" s="1311">
        <v>1955</v>
      </c>
    </row>
    <row r="65" spans="1:11" ht="19.5" thickBot="1" x14ac:dyDescent="0.3">
      <c r="A65" s="1624"/>
      <c r="B65" s="373" t="s">
        <v>5001</v>
      </c>
      <c r="C65" s="160">
        <v>0.38</v>
      </c>
      <c r="D65" s="233">
        <v>36</v>
      </c>
      <c r="E65" s="161">
        <v>7155</v>
      </c>
      <c r="F65" s="161">
        <f t="shared" si="7"/>
        <v>198.75</v>
      </c>
      <c r="I65" s="1560"/>
      <c r="J65" s="1319" t="s">
        <v>3405</v>
      </c>
      <c r="K65" s="17">
        <v>1955</v>
      </c>
    </row>
    <row r="66" spans="1:11" ht="19.5" thickBot="1" x14ac:dyDescent="0.3">
      <c r="A66" s="1624"/>
      <c r="B66" s="373" t="s">
        <v>5085</v>
      </c>
      <c r="C66" s="160"/>
      <c r="D66" s="233">
        <v>13</v>
      </c>
      <c r="E66" s="161">
        <v>8000</v>
      </c>
      <c r="F66" s="161">
        <f t="shared" si="7"/>
        <v>615.38461538461536</v>
      </c>
      <c r="I66" s="87" t="s">
        <v>3408</v>
      </c>
      <c r="J66" s="1317" t="s">
        <v>3409</v>
      </c>
      <c r="K66" s="16">
        <v>1780</v>
      </c>
    </row>
    <row r="67" spans="1:11" ht="19.5" thickBot="1" x14ac:dyDescent="0.3">
      <c r="A67" s="1624"/>
      <c r="B67" s="373" t="s">
        <v>5087</v>
      </c>
      <c r="C67" s="160"/>
      <c r="D67" s="233">
        <v>20</v>
      </c>
      <c r="E67" s="161">
        <v>8000</v>
      </c>
      <c r="F67" s="161">
        <f t="shared" si="7"/>
        <v>400</v>
      </c>
      <c r="I67" s="15" t="s">
        <v>3407</v>
      </c>
      <c r="J67" s="1317" t="s">
        <v>1241</v>
      </c>
      <c r="K67" s="16">
        <v>1780</v>
      </c>
    </row>
    <row r="68" spans="1:11" ht="19.5" thickBot="1" x14ac:dyDescent="0.3">
      <c r="A68" s="1624"/>
      <c r="B68" s="373" t="s">
        <v>5084</v>
      </c>
      <c r="C68" s="160"/>
      <c r="D68" s="233">
        <v>22</v>
      </c>
      <c r="E68" s="161">
        <v>8000</v>
      </c>
      <c r="F68" s="161">
        <f t="shared" si="7"/>
        <v>363.63636363636363</v>
      </c>
      <c r="I68" s="15" t="s">
        <v>3748</v>
      </c>
      <c r="J68" s="1317"/>
      <c r="K68" s="16">
        <v>1150</v>
      </c>
    </row>
    <row r="69" spans="1:11" ht="19.5" thickBot="1" x14ac:dyDescent="0.3">
      <c r="A69" s="1624"/>
      <c r="B69" s="373" t="s">
        <v>5086</v>
      </c>
      <c r="C69" s="160"/>
      <c r="D69" s="233">
        <v>20</v>
      </c>
      <c r="E69" s="161">
        <v>4000</v>
      </c>
      <c r="F69" s="161">
        <f t="shared" si="7"/>
        <v>200</v>
      </c>
      <c r="I69" s="15" t="s">
        <v>3753</v>
      </c>
      <c r="J69" s="1317" t="s">
        <v>3754</v>
      </c>
      <c r="K69" s="16">
        <v>1560</v>
      </c>
    </row>
    <row r="70" spans="1:11" ht="19.5" thickBot="1" x14ac:dyDescent="0.3">
      <c r="A70" s="1624"/>
      <c r="B70" s="373" t="s">
        <v>5076</v>
      </c>
      <c r="C70" s="160">
        <v>0.38</v>
      </c>
      <c r="D70" s="233">
        <v>43</v>
      </c>
      <c r="E70" s="161">
        <v>7000</v>
      </c>
      <c r="F70" s="161">
        <f t="shared" si="7"/>
        <v>162.7906976744186</v>
      </c>
      <c r="I70" s="15" t="s">
        <v>3138</v>
      </c>
      <c r="J70" s="1317" t="s">
        <v>3139</v>
      </c>
      <c r="K70" s="16">
        <v>500</v>
      </c>
    </row>
    <row r="71" spans="1:11" ht="19.5" thickBot="1" x14ac:dyDescent="0.3">
      <c r="A71" s="1624"/>
      <c r="B71" s="373" t="s">
        <v>5077</v>
      </c>
      <c r="C71" s="160">
        <v>0.38</v>
      </c>
      <c r="D71" s="233">
        <v>34</v>
      </c>
      <c r="E71" s="161">
        <v>11205</v>
      </c>
      <c r="F71" s="161">
        <f t="shared" si="7"/>
        <v>329.55882352941177</v>
      </c>
      <c r="I71" s="15" t="s">
        <v>4027</v>
      </c>
      <c r="J71" s="1317" t="s">
        <v>3135</v>
      </c>
      <c r="K71" s="16">
        <v>4860</v>
      </c>
    </row>
    <row r="72" spans="1:11" ht="19.5" thickBot="1" x14ac:dyDescent="0.3">
      <c r="A72" s="1625"/>
      <c r="B72" s="373" t="s">
        <v>5083</v>
      </c>
      <c r="C72" s="134"/>
      <c r="D72" s="908">
        <v>13</v>
      </c>
      <c r="E72" s="93">
        <v>8000</v>
      </c>
      <c r="F72" s="93">
        <f t="shared" si="7"/>
        <v>615.38461538461536</v>
      </c>
      <c r="I72" s="15" t="s">
        <v>4037</v>
      </c>
      <c r="J72" s="1317" t="s">
        <v>4038</v>
      </c>
      <c r="K72" s="16">
        <v>1150</v>
      </c>
    </row>
    <row r="73" spans="1:11" ht="19.5" thickBot="1" x14ac:dyDescent="0.3">
      <c r="A73" s="1206" t="s">
        <v>3412</v>
      </c>
      <c r="B73" s="15" t="s">
        <v>805</v>
      </c>
      <c r="C73" s="13">
        <v>0.37</v>
      </c>
      <c r="D73" s="9">
        <v>35</v>
      </c>
      <c r="E73" s="16">
        <v>5350</v>
      </c>
      <c r="F73" s="232">
        <f t="shared" ref="F73:F104" si="8">E73/D73</f>
        <v>152.85714285714286</v>
      </c>
      <c r="I73" s="15" t="s">
        <v>4058</v>
      </c>
      <c r="J73" s="1317" t="s">
        <v>3456</v>
      </c>
      <c r="K73" s="16">
        <v>3850</v>
      </c>
    </row>
    <row r="74" spans="1:11" ht="19.5" thickBot="1" x14ac:dyDescent="0.3">
      <c r="A74" s="1635" t="s">
        <v>3456</v>
      </c>
      <c r="B74" s="15" t="s">
        <v>1022</v>
      </c>
      <c r="C74" s="13">
        <v>0.39</v>
      </c>
      <c r="D74" s="9">
        <v>58</v>
      </c>
      <c r="E74" s="16">
        <v>6000</v>
      </c>
      <c r="F74" s="232">
        <f t="shared" si="8"/>
        <v>103.44827586206897</v>
      </c>
      <c r="I74" s="15" t="s">
        <v>4059</v>
      </c>
      <c r="J74" s="1317" t="s">
        <v>1260</v>
      </c>
      <c r="K74" s="16">
        <v>3850</v>
      </c>
    </row>
    <row r="75" spans="1:11" ht="19.5" thickBot="1" x14ac:dyDescent="0.3">
      <c r="A75" s="1636"/>
      <c r="B75" s="15" t="s">
        <v>805</v>
      </c>
      <c r="C75" s="13">
        <v>0.39</v>
      </c>
      <c r="D75" s="9">
        <v>35</v>
      </c>
      <c r="E75" s="16">
        <v>8760</v>
      </c>
      <c r="F75" s="232">
        <f>E75/D75</f>
        <v>250.28571428571428</v>
      </c>
      <c r="I75" s="15" t="s">
        <v>4095</v>
      </c>
      <c r="J75" s="1317" t="s">
        <v>1315</v>
      </c>
      <c r="K75" s="16"/>
    </row>
    <row r="76" spans="1:11" ht="19.5" thickBot="1" x14ac:dyDescent="0.3">
      <c r="A76" s="1637"/>
      <c r="B76" s="15" t="s">
        <v>989</v>
      </c>
      <c r="C76" s="13">
        <v>0.4</v>
      </c>
      <c r="D76" s="9">
        <v>25</v>
      </c>
      <c r="E76" s="16">
        <v>19100</v>
      </c>
      <c r="F76" s="232">
        <f>E76/D76</f>
        <v>764</v>
      </c>
      <c r="I76" s="15" t="s">
        <v>4358</v>
      </c>
      <c r="J76" s="1317" t="s">
        <v>1240</v>
      </c>
      <c r="K76" s="16">
        <v>1910</v>
      </c>
    </row>
    <row r="77" spans="1:11" ht="19.5" thickBot="1" x14ac:dyDescent="0.3">
      <c r="A77" s="1635" t="s">
        <v>3404</v>
      </c>
      <c r="B77" s="15" t="s">
        <v>846</v>
      </c>
      <c r="C77" s="13">
        <v>0.38</v>
      </c>
      <c r="D77" s="9">
        <v>80</v>
      </c>
      <c r="E77" s="16">
        <v>4600</v>
      </c>
      <c r="F77" s="232">
        <f>E77/D77</f>
        <v>57.5</v>
      </c>
      <c r="I77" s="1559" t="s">
        <v>2100</v>
      </c>
      <c r="J77" s="1317" t="s">
        <v>1240</v>
      </c>
      <c r="K77" s="16">
        <v>850</v>
      </c>
    </row>
    <row r="78" spans="1:11" ht="19.5" thickBot="1" x14ac:dyDescent="0.3">
      <c r="A78" s="1636"/>
      <c r="B78" s="15" t="s">
        <v>1022</v>
      </c>
      <c r="C78" s="13">
        <v>0.38</v>
      </c>
      <c r="D78" s="9">
        <v>58</v>
      </c>
      <c r="E78" s="16">
        <v>5440</v>
      </c>
      <c r="F78" s="232">
        <f>E78/D78</f>
        <v>93.793103448275858</v>
      </c>
      <c r="I78" s="1564"/>
      <c r="J78" s="1317" t="s">
        <v>1260</v>
      </c>
      <c r="K78" s="16">
        <v>850</v>
      </c>
    </row>
    <row r="79" spans="1:11" ht="19.5" thickBot="1" x14ac:dyDescent="0.3">
      <c r="A79" s="1637"/>
      <c r="B79" s="15" t="s">
        <v>805</v>
      </c>
      <c r="C79" s="13">
        <v>0.38</v>
      </c>
      <c r="D79" s="9">
        <v>35</v>
      </c>
      <c r="E79" s="16">
        <v>9000</v>
      </c>
      <c r="F79" s="232">
        <f>E79/D79</f>
        <v>257.14285714285717</v>
      </c>
      <c r="I79" s="1564"/>
      <c r="J79" s="1317" t="s">
        <v>4142</v>
      </c>
      <c r="K79" s="16">
        <v>850</v>
      </c>
    </row>
    <row r="80" spans="1:11" ht="19.5" thickBot="1" x14ac:dyDescent="0.3">
      <c r="A80" s="1206" t="s">
        <v>3414</v>
      </c>
      <c r="B80" s="15" t="s">
        <v>805</v>
      </c>
      <c r="C80" s="13">
        <v>0.37</v>
      </c>
      <c r="D80" s="9">
        <v>33</v>
      </c>
      <c r="E80" s="16">
        <v>5350</v>
      </c>
      <c r="F80" s="232">
        <f t="shared" si="8"/>
        <v>162.12121212121212</v>
      </c>
      <c r="I80" s="1564"/>
      <c r="J80" s="1317" t="s">
        <v>4872</v>
      </c>
      <c r="K80" s="16">
        <v>850</v>
      </c>
    </row>
    <row r="81" spans="1:11" ht="19.5" thickBot="1" x14ac:dyDescent="0.3">
      <c r="A81" s="1206" t="s">
        <v>4023</v>
      </c>
      <c r="B81" s="15"/>
      <c r="C81" s="13">
        <v>0.9</v>
      </c>
      <c r="D81" s="9">
        <v>60</v>
      </c>
      <c r="E81" s="16">
        <v>10900</v>
      </c>
      <c r="F81" s="232">
        <f t="shared" si="8"/>
        <v>181.66666666666666</v>
      </c>
      <c r="I81" s="1560"/>
      <c r="J81" s="1317" t="s">
        <v>3504</v>
      </c>
      <c r="K81" s="16">
        <v>850</v>
      </c>
    </row>
    <row r="82" spans="1:11" ht="19.5" thickBot="1" x14ac:dyDescent="0.3">
      <c r="A82" s="1206" t="s">
        <v>4024</v>
      </c>
      <c r="B82" s="15"/>
      <c r="C82" s="13">
        <v>0.42</v>
      </c>
      <c r="D82" s="9">
        <v>16</v>
      </c>
      <c r="E82" s="16">
        <v>12000</v>
      </c>
      <c r="F82" s="232">
        <f t="shared" si="8"/>
        <v>750</v>
      </c>
      <c r="I82" s="1631" t="s">
        <v>4400</v>
      </c>
      <c r="J82" s="1317" t="s">
        <v>4357</v>
      </c>
      <c r="K82" s="16">
        <v>1400</v>
      </c>
    </row>
    <row r="83" spans="1:11" ht="19.5" thickBot="1" x14ac:dyDescent="0.3">
      <c r="A83" s="1206" t="s">
        <v>3753</v>
      </c>
      <c r="B83" s="15" t="s">
        <v>781</v>
      </c>
      <c r="C83" s="13">
        <v>0.4</v>
      </c>
      <c r="D83" s="152">
        <v>45</v>
      </c>
      <c r="E83" s="67">
        <v>11390</v>
      </c>
      <c r="F83" s="232">
        <f t="shared" si="8"/>
        <v>253.11111111111111</v>
      </c>
      <c r="I83" s="1632"/>
      <c r="J83" s="1317" t="s">
        <v>1260</v>
      </c>
      <c r="K83" s="16">
        <v>1400</v>
      </c>
    </row>
    <row r="84" spans="1:11" ht="19.5" thickBot="1" x14ac:dyDescent="0.3">
      <c r="A84" s="1206" t="s">
        <v>4993</v>
      </c>
      <c r="B84" s="15" t="s">
        <v>4994</v>
      </c>
      <c r="C84" s="13">
        <v>0.4</v>
      </c>
      <c r="D84" s="152">
        <v>96</v>
      </c>
      <c r="E84" s="67">
        <v>8800</v>
      </c>
      <c r="F84" s="232">
        <f t="shared" si="8"/>
        <v>91.666666666666671</v>
      </c>
      <c r="I84" s="1416" t="s">
        <v>4401</v>
      </c>
      <c r="J84" s="1317"/>
      <c r="K84" s="16">
        <v>3750</v>
      </c>
    </row>
    <row r="85" spans="1:11" ht="19.5" thickBot="1" x14ac:dyDescent="0.3">
      <c r="A85" s="1206" t="s">
        <v>4998</v>
      </c>
      <c r="B85" s="15"/>
      <c r="C85" s="13">
        <v>0.42</v>
      </c>
      <c r="D85" s="9">
        <v>36</v>
      </c>
      <c r="E85" s="16">
        <v>8370</v>
      </c>
      <c r="F85" s="232">
        <f t="shared" si="8"/>
        <v>232.5</v>
      </c>
      <c r="I85" s="15" t="s">
        <v>4865</v>
      </c>
      <c r="J85" s="1317" t="s">
        <v>3481</v>
      </c>
      <c r="K85" s="16">
        <v>1990</v>
      </c>
    </row>
    <row r="86" spans="1:11" ht="19.5" thickBot="1" x14ac:dyDescent="0.3">
      <c r="A86" s="1206" t="s">
        <v>4230</v>
      </c>
      <c r="B86" s="15" t="s">
        <v>4416</v>
      </c>
      <c r="C86" s="13">
        <v>0.41</v>
      </c>
      <c r="D86" s="9"/>
      <c r="E86" s="16">
        <v>15807</v>
      </c>
      <c r="F86" s="232">
        <v>400</v>
      </c>
      <c r="I86" s="1633" t="s">
        <v>4959</v>
      </c>
      <c r="J86" s="1488" t="s">
        <v>3361</v>
      </c>
      <c r="K86" s="16">
        <v>3678</v>
      </c>
    </row>
    <row r="87" spans="1:11" ht="19.5" thickBot="1" x14ac:dyDescent="0.3">
      <c r="A87" s="1206" t="s">
        <v>4031</v>
      </c>
      <c r="B87" s="15" t="s">
        <v>805</v>
      </c>
      <c r="C87" s="13">
        <v>0.36499999999999999</v>
      </c>
      <c r="D87" s="9">
        <v>34</v>
      </c>
      <c r="E87" s="16">
        <v>24300</v>
      </c>
      <c r="F87" s="232">
        <f t="shared" si="8"/>
        <v>714.70588235294122</v>
      </c>
      <c r="I87" s="1634"/>
      <c r="J87" s="416" t="s">
        <v>4871</v>
      </c>
      <c r="K87" s="16">
        <v>3678</v>
      </c>
    </row>
    <row r="88" spans="1:11" ht="19.5" thickBot="1" x14ac:dyDescent="0.3">
      <c r="A88" s="1411" t="s">
        <v>4415</v>
      </c>
      <c r="B88" s="15" t="s">
        <v>930</v>
      </c>
      <c r="C88" s="13">
        <v>0.36499999999999999</v>
      </c>
      <c r="D88" s="9">
        <v>20</v>
      </c>
      <c r="E88" s="16">
        <v>11250</v>
      </c>
      <c r="F88" s="232">
        <f t="shared" si="8"/>
        <v>562.5</v>
      </c>
      <c r="I88" s="1634"/>
      <c r="J88" s="416" t="s">
        <v>4960</v>
      </c>
      <c r="K88" s="16">
        <v>3678</v>
      </c>
    </row>
    <row r="89" spans="1:11" ht="19.5" thickBot="1" x14ac:dyDescent="0.3">
      <c r="A89" s="1411" t="s">
        <v>4384</v>
      </c>
      <c r="B89" s="15"/>
      <c r="C89" s="13"/>
      <c r="D89" s="9">
        <v>23</v>
      </c>
      <c r="E89" s="16">
        <v>8400</v>
      </c>
      <c r="F89" s="232">
        <f t="shared" si="8"/>
        <v>365.21739130434781</v>
      </c>
      <c r="I89" s="1487"/>
    </row>
    <row r="90" spans="1:11" ht="19.5" thickBot="1" x14ac:dyDescent="0.3">
      <c r="A90" s="1411" t="s">
        <v>4389</v>
      </c>
      <c r="B90" s="15" t="s">
        <v>846</v>
      </c>
      <c r="C90" s="13">
        <v>0.42</v>
      </c>
      <c r="D90" s="9">
        <v>55</v>
      </c>
      <c r="E90" s="16">
        <v>6000</v>
      </c>
      <c r="F90" s="232">
        <f t="shared" si="8"/>
        <v>109.09090909090909</v>
      </c>
    </row>
    <row r="91" spans="1:11" ht="19.5" thickBot="1" x14ac:dyDescent="0.3">
      <c r="A91" s="1411" t="s">
        <v>4403</v>
      </c>
      <c r="B91" s="15" t="s">
        <v>4404</v>
      </c>
      <c r="C91" s="13">
        <v>37.5</v>
      </c>
      <c r="D91" s="9">
        <v>29</v>
      </c>
      <c r="E91" s="16">
        <v>4375</v>
      </c>
      <c r="F91" s="232">
        <f t="shared" si="8"/>
        <v>150.86206896551724</v>
      </c>
    </row>
    <row r="92" spans="1:11" ht="19.5" thickBot="1" x14ac:dyDescent="0.3">
      <c r="A92" s="1411" t="s">
        <v>4410</v>
      </c>
      <c r="B92" s="15" t="s">
        <v>846</v>
      </c>
      <c r="C92" s="13">
        <v>0.41</v>
      </c>
      <c r="D92" s="9">
        <v>92</v>
      </c>
      <c r="E92" s="16">
        <v>2763</v>
      </c>
      <c r="F92" s="232">
        <f t="shared" si="8"/>
        <v>30.032608695652176</v>
      </c>
    </row>
    <row r="93" spans="1:11" ht="19.5" thickBot="1" x14ac:dyDescent="0.3">
      <c r="A93" s="1411" t="s">
        <v>4411</v>
      </c>
      <c r="B93" s="15" t="s">
        <v>846</v>
      </c>
      <c r="C93" s="13">
        <v>0.39</v>
      </c>
      <c r="D93" s="9">
        <v>88</v>
      </c>
      <c r="E93" s="16">
        <v>3750</v>
      </c>
      <c r="F93" s="232">
        <f t="shared" si="8"/>
        <v>42.613636363636367</v>
      </c>
    </row>
    <row r="94" spans="1:11" ht="19.5" thickBot="1" x14ac:dyDescent="0.3">
      <c r="A94" s="1411" t="s">
        <v>4409</v>
      </c>
      <c r="B94" s="15" t="s">
        <v>777</v>
      </c>
      <c r="C94" s="13">
        <v>0.39</v>
      </c>
      <c r="D94" s="9">
        <v>148</v>
      </c>
      <c r="E94" s="16">
        <v>2000</v>
      </c>
      <c r="F94" s="232">
        <f t="shared" si="8"/>
        <v>13.513513513513514</v>
      </c>
    </row>
    <row r="95" spans="1:11" ht="19.5" thickBot="1" x14ac:dyDescent="0.3">
      <c r="A95" s="1559" t="s">
        <v>4867</v>
      </c>
      <c r="B95" s="15" t="s">
        <v>1556</v>
      </c>
      <c r="C95" s="13">
        <v>0.375</v>
      </c>
      <c r="D95" s="9">
        <v>80</v>
      </c>
      <c r="E95" s="16">
        <v>4365</v>
      </c>
      <c r="F95" s="232">
        <f t="shared" si="8"/>
        <v>54.5625</v>
      </c>
    </row>
    <row r="96" spans="1:11" ht="19.5" thickBot="1" x14ac:dyDescent="0.3">
      <c r="A96" s="1560"/>
      <c r="B96" s="15" t="s">
        <v>1573</v>
      </c>
      <c r="C96" s="13">
        <v>0.38</v>
      </c>
      <c r="D96" s="9">
        <v>55</v>
      </c>
      <c r="E96" s="16">
        <v>4500</v>
      </c>
      <c r="F96" s="232">
        <f t="shared" si="8"/>
        <v>81.818181818181813</v>
      </c>
    </row>
    <row r="97" spans="1:6" ht="19.5" thickBot="1" x14ac:dyDescent="0.3">
      <c r="A97" s="15" t="s">
        <v>4868</v>
      </c>
      <c r="B97" s="15" t="s">
        <v>1573</v>
      </c>
      <c r="C97" s="13">
        <v>0.39500000000000002</v>
      </c>
      <c r="D97" s="9">
        <v>60</v>
      </c>
      <c r="E97" s="16">
        <v>10800</v>
      </c>
      <c r="F97" s="232">
        <f t="shared" si="8"/>
        <v>180</v>
      </c>
    </row>
    <row r="98" spans="1:6" ht="19.5" thickBot="1" x14ac:dyDescent="0.3">
      <c r="A98" s="15" t="s">
        <v>4869</v>
      </c>
      <c r="B98" s="15" t="s">
        <v>1556</v>
      </c>
      <c r="C98" s="13">
        <v>0.38</v>
      </c>
      <c r="D98" s="9">
        <v>80</v>
      </c>
      <c r="E98" s="16">
        <v>3900</v>
      </c>
      <c r="F98" s="232">
        <f t="shared" si="8"/>
        <v>48.75</v>
      </c>
    </row>
    <row r="99" spans="1:6" ht="19.5" thickBot="1" x14ac:dyDescent="0.3">
      <c r="A99" s="15" t="s">
        <v>4873</v>
      </c>
      <c r="B99" s="15"/>
      <c r="C99" s="13">
        <v>0.4</v>
      </c>
      <c r="D99" s="9">
        <v>28</v>
      </c>
      <c r="E99" s="16">
        <v>4180</v>
      </c>
      <c r="F99" s="232">
        <f t="shared" si="8"/>
        <v>149.28571428571428</v>
      </c>
    </row>
    <row r="100" spans="1:6" ht="19.5" thickBot="1" x14ac:dyDescent="0.3">
      <c r="A100" s="15" t="s">
        <v>4989</v>
      </c>
      <c r="B100" s="15" t="s">
        <v>1022</v>
      </c>
      <c r="C100" s="13">
        <v>0.38</v>
      </c>
      <c r="D100" s="9">
        <v>58</v>
      </c>
      <c r="E100" s="16">
        <v>4300</v>
      </c>
      <c r="F100" s="232">
        <f t="shared" si="8"/>
        <v>74.137931034482762</v>
      </c>
    </row>
    <row r="101" spans="1:6" ht="19.5" thickBot="1" x14ac:dyDescent="0.3">
      <c r="A101" s="15" t="s">
        <v>4960</v>
      </c>
      <c r="B101" s="15" t="s">
        <v>1022</v>
      </c>
      <c r="C101" s="13">
        <v>0.38</v>
      </c>
      <c r="D101" s="9">
        <v>56</v>
      </c>
      <c r="E101" s="16">
        <v>8500</v>
      </c>
      <c r="F101" s="232">
        <f t="shared" si="8"/>
        <v>151.78571428571428</v>
      </c>
    </row>
    <row r="102" spans="1:6" ht="19.5" thickBot="1" x14ac:dyDescent="0.3">
      <c r="A102" s="15" t="s">
        <v>5082</v>
      </c>
      <c r="B102" s="15"/>
      <c r="C102" s="13">
        <v>0.41</v>
      </c>
      <c r="D102" s="9">
        <v>30</v>
      </c>
      <c r="E102" s="16">
        <v>4180</v>
      </c>
      <c r="F102" s="232">
        <f t="shared" si="8"/>
        <v>139.33333333333334</v>
      </c>
    </row>
    <row r="103" spans="1:6" ht="19.5" thickBot="1" x14ac:dyDescent="0.3">
      <c r="A103" s="1559" t="s">
        <v>5088</v>
      </c>
      <c r="B103" s="15" t="s">
        <v>781</v>
      </c>
      <c r="C103" s="13"/>
      <c r="D103" s="9">
        <v>22</v>
      </c>
      <c r="E103" s="16">
        <v>4000</v>
      </c>
      <c r="F103" s="232">
        <f t="shared" si="8"/>
        <v>181.81818181818181</v>
      </c>
    </row>
    <row r="104" spans="1:6" ht="19.5" thickBot="1" x14ac:dyDescent="0.3">
      <c r="A104" s="1560"/>
      <c r="B104" s="15" t="s">
        <v>937</v>
      </c>
      <c r="C104" s="13">
        <v>0.39</v>
      </c>
      <c r="D104" s="9">
        <v>28</v>
      </c>
      <c r="E104" s="16">
        <v>12695</v>
      </c>
      <c r="F104" s="232">
        <f t="shared" si="8"/>
        <v>453.39285714285717</v>
      </c>
    </row>
    <row r="106" spans="1:6" x14ac:dyDescent="0.25">
      <c r="A106" s="1588" t="s">
        <v>1249</v>
      </c>
      <c r="B106" s="1588"/>
      <c r="C106" s="1588"/>
      <c r="D106" s="1588"/>
      <c r="E106" s="1588"/>
      <c r="F106" s="1588"/>
    </row>
    <row r="107" spans="1:6" ht="19.5" thickBot="1" x14ac:dyDescent="0.3">
      <c r="A107" s="113" t="s">
        <v>742</v>
      </c>
      <c r="B107" s="113" t="s">
        <v>2181</v>
      </c>
      <c r="C107" s="113" t="s">
        <v>1092</v>
      </c>
      <c r="D107" s="147" t="s">
        <v>1093</v>
      </c>
      <c r="E107" s="147" t="s">
        <v>1094</v>
      </c>
      <c r="F107" s="113" t="s">
        <v>747</v>
      </c>
    </row>
    <row r="108" spans="1:6" x14ac:dyDescent="0.25">
      <c r="A108" s="1559" t="s">
        <v>2186</v>
      </c>
      <c r="B108" s="355" t="s">
        <v>1530</v>
      </c>
      <c r="C108" s="5">
        <v>0.38</v>
      </c>
      <c r="D108" s="5">
        <v>100</v>
      </c>
      <c r="E108" s="166">
        <v>50</v>
      </c>
      <c r="F108" s="88">
        <f t="shared" ref="F108:F112" si="9">E108/D108</f>
        <v>0.5</v>
      </c>
    </row>
    <row r="109" spans="1:6" x14ac:dyDescent="0.25">
      <c r="A109" s="1564"/>
      <c r="B109" s="3" t="s">
        <v>4160</v>
      </c>
      <c r="C109" s="2">
        <v>0.39</v>
      </c>
      <c r="D109" s="2">
        <v>71</v>
      </c>
      <c r="E109" s="106">
        <v>120</v>
      </c>
      <c r="F109" s="89">
        <f t="shared" si="9"/>
        <v>1.6901408450704225</v>
      </c>
    </row>
    <row r="110" spans="1:6" ht="19.5" thickBot="1" x14ac:dyDescent="0.3">
      <c r="A110" s="1560"/>
      <c r="B110" s="168" t="s">
        <v>1681</v>
      </c>
      <c r="C110" s="4">
        <v>0.34</v>
      </c>
      <c r="D110" s="4">
        <v>65</v>
      </c>
      <c r="E110" s="167">
        <v>450</v>
      </c>
      <c r="F110" s="90">
        <f t="shared" si="9"/>
        <v>6.9230769230769234</v>
      </c>
    </row>
    <row r="111" spans="1:6" x14ac:dyDescent="0.25">
      <c r="A111" s="1559" t="s">
        <v>2185</v>
      </c>
      <c r="B111" s="355" t="s">
        <v>1265</v>
      </c>
      <c r="C111" s="902"/>
      <c r="D111" s="5">
        <v>27</v>
      </c>
      <c r="E111" s="166">
        <v>440</v>
      </c>
      <c r="F111" s="88">
        <f t="shared" si="9"/>
        <v>16.296296296296298</v>
      </c>
    </row>
    <row r="112" spans="1:6" x14ac:dyDescent="0.25">
      <c r="A112" s="1564"/>
      <c r="B112" s="3" t="s">
        <v>1269</v>
      </c>
      <c r="C112" s="282"/>
      <c r="D112" s="2">
        <v>13</v>
      </c>
      <c r="E112" s="106">
        <v>4000</v>
      </c>
      <c r="F112" s="89">
        <f t="shared" si="9"/>
        <v>307.69230769230768</v>
      </c>
    </row>
    <row r="113" spans="1:6" ht="19.5" thickBot="1" x14ac:dyDescent="0.3">
      <c r="A113" s="1560"/>
      <c r="B113" s="168" t="s">
        <v>1275</v>
      </c>
      <c r="C113" s="903"/>
      <c r="D113" s="4">
        <v>20</v>
      </c>
      <c r="E113" s="167">
        <v>2200</v>
      </c>
      <c r="F113" s="90">
        <f t="shared" ref="F113:F118" si="10">E113/D113</f>
        <v>110</v>
      </c>
    </row>
    <row r="114" spans="1:6" x14ac:dyDescent="0.25">
      <c r="A114" s="1603" t="s">
        <v>2183</v>
      </c>
      <c r="B114" s="355" t="s">
        <v>1480</v>
      </c>
      <c r="C114" s="5">
        <v>0.41</v>
      </c>
      <c r="D114" s="905">
        <v>140</v>
      </c>
      <c r="E114" s="106">
        <v>1200</v>
      </c>
      <c r="F114" s="88">
        <f t="shared" si="10"/>
        <v>8.5714285714285712</v>
      </c>
    </row>
    <row r="115" spans="1:6" ht="19.5" thickBot="1" x14ac:dyDescent="0.3">
      <c r="A115" s="1627"/>
      <c r="B115" s="168" t="s">
        <v>2182</v>
      </c>
      <c r="C115" s="4">
        <v>0.41</v>
      </c>
      <c r="D115" s="906">
        <v>140</v>
      </c>
      <c r="E115" s="167">
        <v>1200</v>
      </c>
      <c r="F115" s="90">
        <f t="shared" si="10"/>
        <v>8.5714285714285712</v>
      </c>
    </row>
    <row r="116" spans="1:6" x14ac:dyDescent="0.25">
      <c r="A116" s="1628" t="s">
        <v>2197</v>
      </c>
      <c r="B116" s="104" t="s">
        <v>2198</v>
      </c>
      <c r="C116" s="190">
        <v>0.4</v>
      </c>
      <c r="D116" s="375">
        <v>109</v>
      </c>
      <c r="E116" s="1308">
        <v>1400</v>
      </c>
      <c r="F116" s="94">
        <f t="shared" si="10"/>
        <v>12.844036697247706</v>
      </c>
    </row>
    <row r="117" spans="1:6" x14ac:dyDescent="0.25">
      <c r="A117" s="1629"/>
      <c r="B117" s="331" t="s">
        <v>4360</v>
      </c>
      <c r="C117" s="2">
        <v>0.37</v>
      </c>
      <c r="D117" s="20">
        <v>45</v>
      </c>
      <c r="E117" s="1308">
        <v>2430</v>
      </c>
      <c r="F117" s="94">
        <f t="shared" si="10"/>
        <v>54</v>
      </c>
    </row>
    <row r="118" spans="1:6" x14ac:dyDescent="0.25">
      <c r="A118" s="1629"/>
      <c r="B118" s="3" t="s">
        <v>4188</v>
      </c>
      <c r="C118" s="1342">
        <v>0.375</v>
      </c>
      <c r="D118" s="1352">
        <v>48</v>
      </c>
      <c r="E118" s="1308">
        <v>3375</v>
      </c>
      <c r="F118" s="94">
        <f t="shared" si="10"/>
        <v>70.3125</v>
      </c>
    </row>
    <row r="119" spans="1:6" x14ac:dyDescent="0.25">
      <c r="A119" s="1629"/>
      <c r="B119" s="184" t="s">
        <v>2199</v>
      </c>
      <c r="C119" s="230">
        <v>0.37</v>
      </c>
      <c r="D119" s="334">
        <v>42</v>
      </c>
      <c r="E119" s="106">
        <v>4000</v>
      </c>
      <c r="F119" s="94">
        <f t="shared" ref="F119:F129" si="11">E119/D119</f>
        <v>95.238095238095241</v>
      </c>
    </row>
    <row r="120" spans="1:6" x14ac:dyDescent="0.25">
      <c r="A120" s="1629"/>
      <c r="B120" s="230" t="s">
        <v>4049</v>
      </c>
      <c r="C120" s="230"/>
      <c r="D120" s="230">
        <v>100</v>
      </c>
      <c r="E120" s="1308">
        <v>8500</v>
      </c>
      <c r="F120" s="94">
        <f t="shared" ref="F120" si="12">E120/D120</f>
        <v>85</v>
      </c>
    </row>
    <row r="121" spans="1:6" x14ac:dyDescent="0.25">
      <c r="A121" s="1629"/>
      <c r="B121" s="340" t="s">
        <v>3127</v>
      </c>
      <c r="C121" s="2">
        <v>0.41</v>
      </c>
      <c r="D121" s="2">
        <v>74</v>
      </c>
      <c r="E121" s="1308">
        <v>1709</v>
      </c>
      <c r="F121" s="94">
        <f>E121/D121</f>
        <v>23.094594594594593</v>
      </c>
    </row>
    <row r="122" spans="1:6" x14ac:dyDescent="0.25">
      <c r="A122" s="1629"/>
      <c r="B122" s="230" t="s">
        <v>3128</v>
      </c>
      <c r="C122" s="230">
        <v>0.4</v>
      </c>
      <c r="D122" s="230">
        <v>53</v>
      </c>
      <c r="E122" s="1308">
        <v>1709</v>
      </c>
      <c r="F122" s="94">
        <f t="shared" si="11"/>
        <v>32.245283018867923</v>
      </c>
    </row>
    <row r="123" spans="1:6" x14ac:dyDescent="0.25">
      <c r="A123" s="1629"/>
      <c r="B123" s="230" t="s">
        <v>4159</v>
      </c>
      <c r="C123" s="230">
        <v>0.39</v>
      </c>
      <c r="D123" s="230">
        <v>110</v>
      </c>
      <c r="E123" s="1308">
        <v>4500</v>
      </c>
      <c r="F123" s="94">
        <f t="shared" si="11"/>
        <v>40.909090909090907</v>
      </c>
    </row>
    <row r="124" spans="1:6" x14ac:dyDescent="0.25">
      <c r="A124" s="1629"/>
      <c r="B124" s="230" t="s">
        <v>4359</v>
      </c>
      <c r="C124" s="230">
        <v>0.38</v>
      </c>
      <c r="D124" s="230">
        <v>102</v>
      </c>
      <c r="E124" s="1308">
        <v>4500</v>
      </c>
      <c r="F124" s="94">
        <f t="shared" si="11"/>
        <v>44.117647058823529</v>
      </c>
    </row>
    <row r="125" spans="1:6" x14ac:dyDescent="0.25">
      <c r="A125" s="1629"/>
      <c r="B125" s="230" t="s">
        <v>4026</v>
      </c>
      <c r="C125" s="230">
        <v>0.36</v>
      </c>
      <c r="D125" s="230">
        <v>48</v>
      </c>
      <c r="E125" s="1308">
        <v>6750</v>
      </c>
      <c r="F125" s="94">
        <f t="shared" si="11"/>
        <v>140.625</v>
      </c>
    </row>
    <row r="126" spans="1:6" x14ac:dyDescent="0.25">
      <c r="A126" s="1629"/>
      <c r="B126" s="230" t="s">
        <v>4115</v>
      </c>
      <c r="C126" s="230"/>
      <c r="D126" s="230">
        <v>24</v>
      </c>
      <c r="E126" s="1308">
        <v>7000</v>
      </c>
      <c r="F126" s="94">
        <f t="shared" si="11"/>
        <v>291.66666666666669</v>
      </c>
    </row>
    <row r="127" spans="1:6" x14ac:dyDescent="0.25">
      <c r="A127" s="1629"/>
      <c r="B127" s="230" t="s">
        <v>4114</v>
      </c>
      <c r="C127" s="230">
        <v>0.39</v>
      </c>
      <c r="D127" s="230">
        <v>9</v>
      </c>
      <c r="E127" s="1308">
        <v>4552</v>
      </c>
      <c r="F127" s="94">
        <f t="shared" si="11"/>
        <v>505.77777777777777</v>
      </c>
    </row>
    <row r="128" spans="1:6" x14ac:dyDescent="0.25">
      <c r="A128" s="1629"/>
      <c r="B128" s="230" t="s">
        <v>4587</v>
      </c>
      <c r="C128" s="230"/>
      <c r="D128" s="230">
        <v>100</v>
      </c>
      <c r="E128" s="1308">
        <v>8500</v>
      </c>
      <c r="F128" s="94">
        <f t="shared" si="11"/>
        <v>85</v>
      </c>
    </row>
    <row r="129" spans="1:6" x14ac:dyDescent="0.25">
      <c r="A129" s="1629"/>
      <c r="B129" s="230" t="s">
        <v>4588</v>
      </c>
      <c r="C129" s="230">
        <v>0.41</v>
      </c>
      <c r="D129" s="230">
        <v>33</v>
      </c>
      <c r="E129" s="1308">
        <v>8500</v>
      </c>
      <c r="F129" s="94">
        <f t="shared" si="11"/>
        <v>257.57575757575756</v>
      </c>
    </row>
    <row r="130" spans="1:6" x14ac:dyDescent="0.25">
      <c r="A130" s="1629"/>
      <c r="B130" s="230" t="s">
        <v>4361</v>
      </c>
      <c r="C130" s="230">
        <v>0.39</v>
      </c>
      <c r="D130" s="230">
        <v>26</v>
      </c>
      <c r="E130" s="1308">
        <v>2500</v>
      </c>
      <c r="F130" s="94">
        <f>E130/D130</f>
        <v>96.15384615384616</v>
      </c>
    </row>
    <row r="131" spans="1:6" ht="19.5" thickBot="1" x14ac:dyDescent="0.3">
      <c r="A131" s="1630"/>
      <c r="B131" s="230" t="s">
        <v>4050</v>
      </c>
      <c r="C131" s="230">
        <v>0.42</v>
      </c>
      <c r="D131" s="230">
        <v>22</v>
      </c>
      <c r="E131" s="1308">
        <v>2500</v>
      </c>
      <c r="F131" s="94">
        <f>E131/D131</f>
        <v>113.63636363636364</v>
      </c>
    </row>
    <row r="132" spans="1:6" x14ac:dyDescent="0.25">
      <c r="A132" s="1628" t="s">
        <v>3191</v>
      </c>
      <c r="B132" s="169" t="s">
        <v>3147</v>
      </c>
      <c r="C132" s="5">
        <v>0.4</v>
      </c>
      <c r="D132" s="905">
        <v>65</v>
      </c>
      <c r="E132" s="166">
        <v>3900</v>
      </c>
      <c r="F132" s="88">
        <f>E132/D132</f>
        <v>60</v>
      </c>
    </row>
    <row r="133" spans="1:6" x14ac:dyDescent="0.25">
      <c r="A133" s="1629"/>
      <c r="B133" s="24" t="s">
        <v>3146</v>
      </c>
      <c r="C133" s="230">
        <v>0.38</v>
      </c>
      <c r="D133" s="334">
        <v>30</v>
      </c>
      <c r="E133" s="106">
        <v>5100</v>
      </c>
      <c r="F133" s="195">
        <f t="shared" ref="F133" si="13">E133/D133</f>
        <v>170</v>
      </c>
    </row>
    <row r="134" spans="1:6" ht="19.5" thickBot="1" x14ac:dyDescent="0.3">
      <c r="A134" s="1630"/>
      <c r="B134" s="153" t="s">
        <v>3706</v>
      </c>
      <c r="C134" s="4">
        <v>0.39</v>
      </c>
      <c r="D134" s="4">
        <v>23</v>
      </c>
      <c r="E134" s="167">
        <v>6450</v>
      </c>
      <c r="F134" s="90">
        <f t="shared" ref="F134:F143" si="14">E134/D134</f>
        <v>280.43478260869563</v>
      </c>
    </row>
    <row r="135" spans="1:6" ht="19.5" thickBot="1" x14ac:dyDescent="0.3">
      <c r="A135" s="1415" t="s">
        <v>4387</v>
      </c>
      <c r="B135" s="134" t="s">
        <v>4388</v>
      </c>
      <c r="C135" s="9">
        <v>0.39</v>
      </c>
      <c r="D135" s="149">
        <v>158</v>
      </c>
      <c r="E135" s="1414">
        <v>6000</v>
      </c>
      <c r="F135" s="161">
        <f t="shared" si="14"/>
        <v>37.974683544303801</v>
      </c>
    </row>
    <row r="136" spans="1:6" ht="19.5" thickBot="1" x14ac:dyDescent="0.3">
      <c r="A136" s="15" t="s">
        <v>3411</v>
      </c>
      <c r="B136" s="151" t="s">
        <v>1022</v>
      </c>
      <c r="C136" s="13">
        <v>0.38</v>
      </c>
      <c r="D136" s="9">
        <v>60</v>
      </c>
      <c r="E136" s="909">
        <v>3380</v>
      </c>
      <c r="F136" s="67">
        <f t="shared" si="14"/>
        <v>56.333333333333336</v>
      </c>
    </row>
    <row r="137" spans="1:6" ht="19.5" thickBot="1" x14ac:dyDescent="0.3">
      <c r="A137" s="15" t="s">
        <v>4863</v>
      </c>
      <c r="B137" s="151" t="s">
        <v>3521</v>
      </c>
      <c r="C137" s="13">
        <v>0.38</v>
      </c>
      <c r="D137" s="9">
        <v>70</v>
      </c>
      <c r="E137" s="909">
        <v>5355</v>
      </c>
      <c r="F137" s="67">
        <f t="shared" si="14"/>
        <v>76.5</v>
      </c>
    </row>
    <row r="138" spans="1:6" ht="19.5" thickBot="1" x14ac:dyDescent="0.3">
      <c r="A138" s="15" t="s">
        <v>5075</v>
      </c>
      <c r="B138" s="151"/>
      <c r="C138" s="13">
        <v>0.39</v>
      </c>
      <c r="D138" s="9">
        <v>21</v>
      </c>
      <c r="E138" s="909">
        <v>6000</v>
      </c>
      <c r="F138" s="67">
        <f t="shared" si="14"/>
        <v>285.71428571428572</v>
      </c>
    </row>
    <row r="139" spans="1:6" ht="19.5" thickBot="1" x14ac:dyDescent="0.3">
      <c r="A139" s="15" t="s">
        <v>3747</v>
      </c>
      <c r="B139" s="151" t="s">
        <v>781</v>
      </c>
      <c r="C139" s="13">
        <v>0.37</v>
      </c>
      <c r="D139" s="9">
        <v>43</v>
      </c>
      <c r="E139" s="909">
        <v>3900</v>
      </c>
      <c r="F139" s="67">
        <f t="shared" si="14"/>
        <v>90.697674418604649</v>
      </c>
    </row>
    <row r="140" spans="1:6" ht="19.5" thickBot="1" x14ac:dyDescent="0.3">
      <c r="A140" s="15" t="s">
        <v>3741</v>
      </c>
      <c r="B140" s="151" t="s">
        <v>1022</v>
      </c>
      <c r="C140" s="13">
        <v>0.4</v>
      </c>
      <c r="D140" s="9">
        <v>65</v>
      </c>
      <c r="E140" s="909">
        <v>3900</v>
      </c>
      <c r="F140" s="67">
        <f t="shared" si="14"/>
        <v>60</v>
      </c>
    </row>
    <row r="141" spans="1:6" ht="19.5" thickBot="1" x14ac:dyDescent="0.3">
      <c r="A141" s="911" t="s">
        <v>3413</v>
      </c>
      <c r="B141" s="15" t="s">
        <v>1022</v>
      </c>
      <c r="C141" s="15">
        <v>0.37</v>
      </c>
      <c r="D141" s="15">
        <v>60</v>
      </c>
      <c r="E141" s="232">
        <v>4275</v>
      </c>
      <c r="F141" s="232">
        <f t="shared" si="14"/>
        <v>71.25</v>
      </c>
    </row>
    <row r="142" spans="1:6" ht="19.5" thickBot="1" x14ac:dyDescent="0.3">
      <c r="A142" s="911" t="s">
        <v>4866</v>
      </c>
      <c r="B142" s="15" t="s">
        <v>3521</v>
      </c>
      <c r="C142" s="15">
        <v>0.38</v>
      </c>
      <c r="D142" s="15">
        <v>70</v>
      </c>
      <c r="E142" s="232">
        <v>5355</v>
      </c>
      <c r="F142" s="232">
        <f t="shared" si="14"/>
        <v>76.5</v>
      </c>
    </row>
    <row r="143" spans="1:6" ht="19.5" thickBot="1" x14ac:dyDescent="0.3">
      <c r="A143" s="911" t="s">
        <v>5079</v>
      </c>
      <c r="B143" s="15" t="s">
        <v>1022</v>
      </c>
      <c r="C143" s="15">
        <v>0.38</v>
      </c>
      <c r="D143" s="15">
        <v>58</v>
      </c>
      <c r="E143" s="232">
        <v>6000</v>
      </c>
      <c r="F143" s="232">
        <f t="shared" si="14"/>
        <v>103.44827586206897</v>
      </c>
    </row>
    <row r="145" spans="1:6" x14ac:dyDescent="0.25">
      <c r="A145" s="1588" t="s">
        <v>3410</v>
      </c>
      <c r="B145" s="1588"/>
      <c r="C145" s="1588"/>
      <c r="D145" s="1588"/>
      <c r="E145" s="1588"/>
      <c r="F145" s="1588"/>
    </row>
    <row r="146" spans="1:6" ht="19.5" thickBot="1" x14ac:dyDescent="0.3">
      <c r="A146" s="1201" t="s">
        <v>742</v>
      </c>
      <c r="B146" s="1203" t="s">
        <v>2231</v>
      </c>
      <c r="C146" s="1204" t="s">
        <v>1092</v>
      </c>
      <c r="D146" s="1205" t="s">
        <v>1093</v>
      </c>
      <c r="E146" s="1205" t="s">
        <v>1094</v>
      </c>
      <c r="F146" s="1202" t="s">
        <v>747</v>
      </c>
    </row>
    <row r="147" spans="1:6" ht="19.5" thickBot="1" x14ac:dyDescent="0.3">
      <c r="A147" s="180" t="s">
        <v>3451</v>
      </c>
      <c r="B147" s="15" t="s">
        <v>3481</v>
      </c>
      <c r="C147" s="15">
        <v>0.9</v>
      </c>
      <c r="D147" s="15">
        <v>299</v>
      </c>
      <c r="E147" s="232">
        <v>3600</v>
      </c>
      <c r="F147" s="232">
        <f>E147/D147</f>
        <v>12.040133779264215</v>
      </c>
    </row>
    <row r="148" spans="1:6" ht="19.5" thickBot="1" x14ac:dyDescent="0.3">
      <c r="A148" s="180" t="s">
        <v>3361</v>
      </c>
      <c r="B148" s="15" t="s">
        <v>1241</v>
      </c>
      <c r="C148" s="15">
        <v>0.8</v>
      </c>
      <c r="D148" s="15">
        <v>242</v>
      </c>
      <c r="E148" s="232">
        <v>3600</v>
      </c>
      <c r="F148" s="232">
        <f t="shared" ref="F148:F157" si="15">E148/D148</f>
        <v>14.87603305785124</v>
      </c>
    </row>
    <row r="149" spans="1:6" ht="19.5" thickBot="1" x14ac:dyDescent="0.3">
      <c r="A149" s="144" t="s">
        <v>3137</v>
      </c>
      <c r="B149" s="152" t="s">
        <v>3137</v>
      </c>
      <c r="C149" s="15">
        <v>0.93</v>
      </c>
      <c r="D149" s="15">
        <v>240</v>
      </c>
      <c r="E149" s="232">
        <v>3600</v>
      </c>
      <c r="F149" s="232">
        <f t="shared" si="15"/>
        <v>15</v>
      </c>
    </row>
    <row r="150" spans="1:6" ht="19.5" thickBot="1" x14ac:dyDescent="0.3">
      <c r="A150" s="144" t="s">
        <v>3793</v>
      </c>
      <c r="B150" s="152" t="s">
        <v>3793</v>
      </c>
      <c r="C150" s="15">
        <v>0.94</v>
      </c>
      <c r="D150" s="15">
        <v>420</v>
      </c>
      <c r="E150" s="232">
        <v>3600</v>
      </c>
      <c r="F150" s="232">
        <f t="shared" si="15"/>
        <v>8.5714285714285712</v>
      </c>
    </row>
    <row r="151" spans="1:6" ht="19.5" thickBot="1" x14ac:dyDescent="0.3">
      <c r="A151" s="144" t="s">
        <v>1389</v>
      </c>
      <c r="B151" s="152" t="s">
        <v>1389</v>
      </c>
      <c r="C151" s="15">
        <v>0.8</v>
      </c>
      <c r="D151" s="15">
        <v>268</v>
      </c>
      <c r="E151" s="232">
        <v>4600</v>
      </c>
      <c r="F151" s="232">
        <f t="shared" si="15"/>
        <v>17.164179104477611</v>
      </c>
    </row>
    <row r="152" spans="1:6" ht="19.5" thickBot="1" x14ac:dyDescent="0.3">
      <c r="A152" s="144" t="s">
        <v>4167</v>
      </c>
      <c r="B152" s="373" t="s">
        <v>1268</v>
      </c>
      <c r="C152" s="15">
        <v>0.8</v>
      </c>
      <c r="D152" s="15">
        <v>280</v>
      </c>
      <c r="E152" s="232">
        <v>3600</v>
      </c>
      <c r="F152" s="232">
        <f t="shared" si="15"/>
        <v>12.857142857142858</v>
      </c>
    </row>
    <row r="153" spans="1:6" ht="19.5" thickBot="1" x14ac:dyDescent="0.3">
      <c r="A153" s="180" t="s">
        <v>28</v>
      </c>
      <c r="B153" s="15" t="s">
        <v>3781</v>
      </c>
      <c r="C153" s="15">
        <v>0.8</v>
      </c>
      <c r="D153" s="15">
        <v>213</v>
      </c>
      <c r="E153" s="232">
        <v>6000</v>
      </c>
      <c r="F153" s="232">
        <f t="shared" si="15"/>
        <v>28.169014084507044</v>
      </c>
    </row>
    <row r="154" spans="1:6" ht="19.5" thickBot="1" x14ac:dyDescent="0.3">
      <c r="A154" s="180" t="s">
        <v>3675</v>
      </c>
      <c r="B154" s="15" t="s">
        <v>3676</v>
      </c>
      <c r="C154" s="15">
        <v>0.9</v>
      </c>
      <c r="D154" s="15">
        <v>198</v>
      </c>
      <c r="E154" s="232">
        <v>5940</v>
      </c>
      <c r="F154" s="232">
        <f t="shared" si="15"/>
        <v>30</v>
      </c>
    </row>
    <row r="155" spans="1:6" ht="19.5" thickBot="1" x14ac:dyDescent="0.3">
      <c r="A155" s="180" t="s">
        <v>4142</v>
      </c>
      <c r="B155" s="15" t="s">
        <v>2233</v>
      </c>
      <c r="C155" s="15">
        <v>0.22</v>
      </c>
      <c r="D155" s="15">
        <v>233</v>
      </c>
      <c r="E155" s="232">
        <v>2400</v>
      </c>
      <c r="F155" s="232">
        <f t="shared" si="15"/>
        <v>10.300429184549357</v>
      </c>
    </row>
    <row r="156" spans="1:6" ht="19.5" thickBot="1" x14ac:dyDescent="0.3">
      <c r="A156" s="180" t="s">
        <v>4870</v>
      </c>
      <c r="B156" s="15"/>
      <c r="C156" s="15">
        <v>0.9</v>
      </c>
      <c r="D156" s="15">
        <v>282</v>
      </c>
      <c r="E156" s="232">
        <v>11500</v>
      </c>
      <c r="F156" s="232">
        <f t="shared" si="15"/>
        <v>40.780141843971634</v>
      </c>
    </row>
    <row r="157" spans="1:6" ht="19.5" thickBot="1" x14ac:dyDescent="0.3">
      <c r="A157" s="180" t="s">
        <v>4990</v>
      </c>
      <c r="B157" s="15"/>
      <c r="C157" s="15">
        <v>0.94</v>
      </c>
      <c r="D157" s="15">
        <v>420</v>
      </c>
      <c r="E157" s="232">
        <v>4900</v>
      </c>
      <c r="F157" s="232">
        <f t="shared" si="15"/>
        <v>11.666666666666666</v>
      </c>
    </row>
    <row r="158" spans="1:6" ht="19.5" thickBot="1" x14ac:dyDescent="0.3">
      <c r="A158" s="180" t="s">
        <v>4871</v>
      </c>
      <c r="B158" s="15"/>
      <c r="C158" s="15">
        <v>0.8</v>
      </c>
      <c r="D158" s="15"/>
      <c r="E158" s="232">
        <v>9800</v>
      </c>
      <c r="F158" s="232"/>
    </row>
  </sheetData>
  <mergeCells count="40">
    <mergeCell ref="I1:K1"/>
    <mergeCell ref="A74:A76"/>
    <mergeCell ref="A77:A79"/>
    <mergeCell ref="I37:I39"/>
    <mergeCell ref="I40:I41"/>
    <mergeCell ref="I11:K11"/>
    <mergeCell ref="I33:I36"/>
    <mergeCell ref="A1:F1"/>
    <mergeCell ref="A54:A57"/>
    <mergeCell ref="A52:A53"/>
    <mergeCell ref="J12:J13"/>
    <mergeCell ref="K12:K13"/>
    <mergeCell ref="I14:I17"/>
    <mergeCell ref="I12:I13"/>
    <mergeCell ref="I49:I57"/>
    <mergeCell ref="A3:A11"/>
    <mergeCell ref="A145:F145"/>
    <mergeCell ref="A114:A115"/>
    <mergeCell ref="A106:F106"/>
    <mergeCell ref="A108:A110"/>
    <mergeCell ref="I63:I65"/>
    <mergeCell ref="A132:A134"/>
    <mergeCell ref="A111:A113"/>
    <mergeCell ref="A116:A131"/>
    <mergeCell ref="A95:A96"/>
    <mergeCell ref="I77:I81"/>
    <mergeCell ref="I82:I83"/>
    <mergeCell ref="I86:I88"/>
    <mergeCell ref="A63:A72"/>
    <mergeCell ref="A103:A104"/>
    <mergeCell ref="I58:I61"/>
    <mergeCell ref="A47:A48"/>
    <mergeCell ref="A50:A51"/>
    <mergeCell ref="A12:A25"/>
    <mergeCell ref="I42:I48"/>
    <mergeCell ref="A36:A43"/>
    <mergeCell ref="A26:A29"/>
    <mergeCell ref="A30:A35"/>
    <mergeCell ref="I29:I32"/>
    <mergeCell ref="I18:I28"/>
  </mergeCells>
  <phoneticPr fontId="21"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D4-A2AD-428B-AF7C-3D1B9411AC19}">
  <dimension ref="A1:P41"/>
  <sheetViews>
    <sheetView topLeftCell="D1" zoomScale="85" zoomScaleNormal="85" workbookViewId="0">
      <selection activeCell="I26" sqref="I26"/>
    </sheetView>
  </sheetViews>
  <sheetFormatPr baseColWidth="10" defaultRowHeight="18.75" x14ac:dyDescent="0.25"/>
  <cols>
    <col min="1" max="1" width="30.5703125" bestFit="1" customWidth="1"/>
    <col min="2" max="2" width="35.42578125" bestFit="1" customWidth="1"/>
    <col min="3" max="3" width="19.5703125" bestFit="1" customWidth="1"/>
    <col min="4" max="4" width="20.140625" bestFit="1" customWidth="1"/>
    <col min="5" max="5" width="13.85546875" bestFit="1" customWidth="1"/>
    <col min="6" max="6" width="13.5703125" bestFit="1" customWidth="1"/>
    <col min="8" max="8" width="33.140625" style="287" bestFit="1" customWidth="1"/>
    <col min="9" max="9" width="12.85546875" style="287" bestFit="1" customWidth="1"/>
    <col min="10" max="10" width="22.7109375" style="287" bestFit="1" customWidth="1"/>
    <col min="11" max="11" width="20.140625" style="287" bestFit="1" customWidth="1"/>
    <col min="12" max="12" width="16.7109375" style="287" customWidth="1"/>
    <col min="13" max="13" width="10.28515625" style="895" bestFit="1" customWidth="1"/>
    <col min="14" max="14" width="23" style="287" bestFit="1" customWidth="1"/>
    <col min="15" max="15" width="12.5703125" style="897" bestFit="1" customWidth="1"/>
  </cols>
  <sheetData>
    <row r="1" spans="1:16" ht="19.5" thickBot="1" x14ac:dyDescent="0.3">
      <c r="A1" s="1652" t="s">
        <v>2164</v>
      </c>
      <c r="B1" s="1653"/>
      <c r="C1" s="1653"/>
      <c r="D1" s="1653"/>
      <c r="E1" s="1653"/>
      <c r="F1" s="1654"/>
      <c r="H1" s="1652" t="s">
        <v>2165</v>
      </c>
      <c r="I1" s="1653"/>
      <c r="J1" s="1653"/>
      <c r="K1" s="1653"/>
      <c r="L1" s="1653"/>
      <c r="M1" s="1653"/>
      <c r="N1" s="1653"/>
      <c r="O1" s="1654"/>
    </row>
    <row r="2" spans="1:16" ht="37.5" x14ac:dyDescent="0.25">
      <c r="A2" s="892" t="s">
        <v>742</v>
      </c>
      <c r="B2" s="892" t="s">
        <v>1250</v>
      </c>
      <c r="C2" s="892" t="s">
        <v>1251</v>
      </c>
      <c r="D2" s="892" t="s">
        <v>1252</v>
      </c>
      <c r="E2" s="892" t="s">
        <v>747</v>
      </c>
      <c r="F2" s="892" t="s">
        <v>3119</v>
      </c>
      <c r="H2" s="892" t="s">
        <v>742</v>
      </c>
      <c r="I2" s="892" t="s">
        <v>1343</v>
      </c>
      <c r="J2" s="892" t="s">
        <v>2175</v>
      </c>
      <c r="K2" s="892" t="s">
        <v>1252</v>
      </c>
      <c r="L2" s="892" t="s">
        <v>2174</v>
      </c>
      <c r="M2" s="893" t="s">
        <v>2172</v>
      </c>
      <c r="N2" s="892" t="s">
        <v>2173</v>
      </c>
      <c r="O2" s="896" t="s">
        <v>3110</v>
      </c>
    </row>
    <row r="3" spans="1:16" x14ac:dyDescent="0.25">
      <c r="A3" s="1111" t="s">
        <v>3149</v>
      </c>
      <c r="B3" s="1230" t="s">
        <v>3150</v>
      </c>
      <c r="C3" s="1111">
        <v>0.36</v>
      </c>
      <c r="D3" s="1111">
        <v>95</v>
      </c>
      <c r="E3" s="327">
        <v>5350</v>
      </c>
      <c r="F3" s="327">
        <f t="shared" ref="F3" si="0">E3/D3</f>
        <v>56.315789473684212</v>
      </c>
      <c r="H3" s="892"/>
      <c r="I3" s="892"/>
      <c r="J3" s="892"/>
      <c r="K3" s="892"/>
      <c r="L3" s="892"/>
      <c r="M3" s="893"/>
      <c r="N3" s="892"/>
      <c r="O3" s="896"/>
    </row>
    <row r="4" spans="1:16" x14ac:dyDescent="0.25">
      <c r="A4" s="282" t="s">
        <v>1319</v>
      </c>
      <c r="B4" s="1230" t="s">
        <v>2150</v>
      </c>
      <c r="C4" s="326">
        <v>0.35</v>
      </c>
      <c r="D4" s="282">
        <v>80</v>
      </c>
      <c r="E4" s="327">
        <v>6480</v>
      </c>
      <c r="F4" s="327">
        <f>E4/D4</f>
        <v>81</v>
      </c>
      <c r="H4" s="282" t="s">
        <v>2166</v>
      </c>
      <c r="I4" s="1230" t="s">
        <v>1322</v>
      </c>
      <c r="J4" s="282"/>
      <c r="K4" s="282">
        <v>21</v>
      </c>
      <c r="L4" s="282">
        <v>52</v>
      </c>
      <c r="M4" s="894">
        <v>560</v>
      </c>
      <c r="N4" s="327">
        <f t="shared" ref="N4:N18" si="1">M4*L4</f>
        <v>29120</v>
      </c>
      <c r="O4" s="645">
        <f t="shared" ref="O4:O27" si="2">N4/K4</f>
        <v>1386.6666666666667</v>
      </c>
    </row>
    <row r="5" spans="1:16" x14ac:dyDescent="0.25">
      <c r="A5" s="592" t="s">
        <v>3148</v>
      </c>
      <c r="B5" s="1231" t="s">
        <v>3151</v>
      </c>
      <c r="C5" s="326">
        <v>0.35</v>
      </c>
      <c r="D5" s="282">
        <v>80</v>
      </c>
      <c r="E5" s="327">
        <v>8660</v>
      </c>
      <c r="F5" s="327">
        <f>E5/D5</f>
        <v>108.25</v>
      </c>
      <c r="H5" s="282" t="s">
        <v>2157</v>
      </c>
      <c r="I5" s="282" t="s">
        <v>1323</v>
      </c>
      <c r="J5" s="282">
        <v>0.39</v>
      </c>
      <c r="K5" s="282">
        <v>55</v>
      </c>
      <c r="L5" s="282">
        <v>31</v>
      </c>
      <c r="M5" s="894">
        <v>560</v>
      </c>
      <c r="N5" s="327">
        <f t="shared" si="1"/>
        <v>17360</v>
      </c>
      <c r="O5" s="645">
        <f t="shared" si="2"/>
        <v>315.63636363636363</v>
      </c>
    </row>
    <row r="6" spans="1:16" x14ac:dyDescent="0.25">
      <c r="A6" s="592" t="s">
        <v>1255</v>
      </c>
      <c r="B6" s="592" t="s">
        <v>1256</v>
      </c>
      <c r="C6" s="282">
        <v>0.42</v>
      </c>
      <c r="D6" s="282">
        <v>70</v>
      </c>
      <c r="E6" s="327">
        <v>6360</v>
      </c>
      <c r="F6" s="327">
        <f t="shared" ref="F6:F25" si="3">E6/D6</f>
        <v>90.857142857142861</v>
      </c>
      <c r="H6" s="282" t="s">
        <v>2159</v>
      </c>
      <c r="I6" s="1230" t="s">
        <v>2158</v>
      </c>
      <c r="J6" s="282">
        <v>0.38</v>
      </c>
      <c r="K6" s="282">
        <v>56</v>
      </c>
      <c r="L6" s="282">
        <v>54</v>
      </c>
      <c r="M6" s="894">
        <v>560</v>
      </c>
      <c r="N6" s="327">
        <f t="shared" si="1"/>
        <v>30240</v>
      </c>
      <c r="O6" s="645">
        <f t="shared" si="2"/>
        <v>540</v>
      </c>
    </row>
    <row r="7" spans="1:16" x14ac:dyDescent="0.25">
      <c r="A7" s="282" t="s">
        <v>1258</v>
      </c>
      <c r="B7" s="1230" t="s">
        <v>1259</v>
      </c>
      <c r="C7" s="282">
        <v>0.42</v>
      </c>
      <c r="D7" s="282">
        <v>70</v>
      </c>
      <c r="E7" s="327">
        <v>6360</v>
      </c>
      <c r="F7" s="327">
        <f t="shared" si="3"/>
        <v>90.857142857142861</v>
      </c>
      <c r="H7" s="282" t="s">
        <v>1325</v>
      </c>
      <c r="I7" s="282" t="s">
        <v>1326</v>
      </c>
      <c r="J7" s="282"/>
      <c r="K7" s="282">
        <v>17</v>
      </c>
      <c r="L7" s="282">
        <v>53</v>
      </c>
      <c r="M7" s="894">
        <v>560</v>
      </c>
      <c r="N7" s="327">
        <f t="shared" si="1"/>
        <v>29680</v>
      </c>
      <c r="O7" s="645">
        <f t="shared" si="2"/>
        <v>1745.8823529411766</v>
      </c>
    </row>
    <row r="8" spans="1:16" x14ac:dyDescent="0.25">
      <c r="A8" s="593" t="s">
        <v>1261</v>
      </c>
      <c r="B8" s="1244" t="s">
        <v>1262</v>
      </c>
      <c r="C8" s="282">
        <v>0.42</v>
      </c>
      <c r="D8" s="282">
        <v>80</v>
      </c>
      <c r="E8" s="327">
        <v>6360</v>
      </c>
      <c r="F8" s="327">
        <f t="shared" si="3"/>
        <v>79.5</v>
      </c>
      <c r="H8" s="282" t="s">
        <v>1327</v>
      </c>
      <c r="I8" s="1230" t="s">
        <v>1328</v>
      </c>
      <c r="J8" s="282"/>
      <c r="K8" s="282">
        <v>8</v>
      </c>
      <c r="L8" s="282">
        <v>24</v>
      </c>
      <c r="M8" s="894">
        <v>560</v>
      </c>
      <c r="N8" s="327">
        <f t="shared" si="1"/>
        <v>13440</v>
      </c>
      <c r="O8" s="645">
        <f t="shared" si="2"/>
        <v>1680</v>
      </c>
    </row>
    <row r="9" spans="1:16" x14ac:dyDescent="0.25">
      <c r="A9" s="593" t="s">
        <v>1266</v>
      </c>
      <c r="B9" s="1244" t="s">
        <v>1267</v>
      </c>
      <c r="C9" s="282">
        <v>0.4</v>
      </c>
      <c r="D9" s="282">
        <v>69</v>
      </c>
      <c r="E9" s="327">
        <v>6360</v>
      </c>
      <c r="F9" s="327">
        <f t="shared" si="3"/>
        <v>92.173913043478265</v>
      </c>
      <c r="H9" s="282" t="s">
        <v>1329</v>
      </c>
      <c r="I9" s="1230" t="s">
        <v>1330</v>
      </c>
      <c r="J9" s="282">
        <v>0.41</v>
      </c>
      <c r="K9" s="282">
        <v>23</v>
      </c>
      <c r="L9" s="282">
        <v>64</v>
      </c>
      <c r="M9" s="894">
        <v>560</v>
      </c>
      <c r="N9" s="327">
        <f t="shared" si="1"/>
        <v>35840</v>
      </c>
      <c r="O9" s="645">
        <f t="shared" si="2"/>
        <v>1558.2608695652175</v>
      </c>
    </row>
    <row r="10" spans="1:16" x14ac:dyDescent="0.25">
      <c r="A10" s="593" t="s">
        <v>1270</v>
      </c>
      <c r="B10" s="1244" t="s">
        <v>1271</v>
      </c>
      <c r="C10" s="282">
        <v>0.42</v>
      </c>
      <c r="D10" s="282">
        <v>75</v>
      </c>
      <c r="E10" s="327">
        <v>6360</v>
      </c>
      <c r="F10" s="327">
        <f t="shared" si="3"/>
        <v>84.8</v>
      </c>
      <c r="H10" s="592" t="s">
        <v>1284</v>
      </c>
      <c r="I10" s="592" t="s">
        <v>1285</v>
      </c>
      <c r="J10" s="282">
        <v>0.32500000000000001</v>
      </c>
      <c r="K10" s="282">
        <v>50</v>
      </c>
      <c r="L10" s="282">
        <v>124</v>
      </c>
      <c r="M10" s="894">
        <v>560</v>
      </c>
      <c r="N10" s="327">
        <f t="shared" si="1"/>
        <v>69440</v>
      </c>
      <c r="O10" s="645">
        <f t="shared" si="2"/>
        <v>1388.8</v>
      </c>
      <c r="P10">
        <v>5776</v>
      </c>
    </row>
    <row r="11" spans="1:16" x14ac:dyDescent="0.25">
      <c r="A11" s="1244" t="s">
        <v>3268</v>
      </c>
      <c r="B11" s="593"/>
      <c r="C11" s="282">
        <v>0.42</v>
      </c>
      <c r="D11" s="282">
        <v>95</v>
      </c>
      <c r="E11" s="327">
        <v>6415</v>
      </c>
      <c r="F11" s="327">
        <f t="shared" si="3"/>
        <v>67.526315789473685</v>
      </c>
      <c r="H11" s="592" t="s">
        <v>1287</v>
      </c>
      <c r="I11" s="592" t="s">
        <v>1288</v>
      </c>
      <c r="J11" s="282">
        <v>0.39</v>
      </c>
      <c r="K11" s="282">
        <v>17</v>
      </c>
      <c r="L11" s="282">
        <v>47</v>
      </c>
      <c r="M11" s="894">
        <v>560</v>
      </c>
      <c r="N11" s="327">
        <f t="shared" si="1"/>
        <v>26320</v>
      </c>
      <c r="O11" s="645">
        <f t="shared" si="2"/>
        <v>1548.2352941176471</v>
      </c>
    </row>
    <row r="12" spans="1:16" x14ac:dyDescent="0.25">
      <c r="A12" s="282" t="s">
        <v>1274</v>
      </c>
      <c r="B12" s="282"/>
      <c r="C12" s="282">
        <v>0.35</v>
      </c>
      <c r="D12" s="282">
        <v>45</v>
      </c>
      <c r="E12" s="327">
        <v>6415</v>
      </c>
      <c r="F12" s="327">
        <f t="shared" si="3"/>
        <v>142.55555555555554</v>
      </c>
      <c r="H12" s="592" t="s">
        <v>2177</v>
      </c>
      <c r="I12" s="592"/>
      <c r="J12" s="282"/>
      <c r="K12" s="282">
        <v>13</v>
      </c>
      <c r="L12" s="592">
        <v>26</v>
      </c>
      <c r="M12" s="894">
        <v>560</v>
      </c>
      <c r="N12" s="327">
        <f t="shared" si="1"/>
        <v>14560</v>
      </c>
      <c r="O12" s="645">
        <f t="shared" si="2"/>
        <v>1120</v>
      </c>
    </row>
    <row r="13" spans="1:16" x14ac:dyDescent="0.25">
      <c r="A13" s="282" t="s">
        <v>2163</v>
      </c>
      <c r="B13" s="282" t="s">
        <v>2162</v>
      </c>
      <c r="C13" s="282">
        <v>0.38</v>
      </c>
      <c r="D13" s="282">
        <v>57</v>
      </c>
      <c r="E13" s="327">
        <v>3000</v>
      </c>
      <c r="F13" s="327">
        <f t="shared" si="3"/>
        <v>52.631578947368418</v>
      </c>
      <c r="H13" s="592" t="s">
        <v>1295</v>
      </c>
      <c r="I13" s="592" t="s">
        <v>1294</v>
      </c>
      <c r="J13" s="282">
        <v>0.39</v>
      </c>
      <c r="K13" s="282">
        <v>35</v>
      </c>
      <c r="L13" s="592">
        <v>71</v>
      </c>
      <c r="M13" s="894">
        <v>560</v>
      </c>
      <c r="N13" s="327">
        <f t="shared" si="1"/>
        <v>39760</v>
      </c>
      <c r="O13" s="645">
        <f t="shared" si="2"/>
        <v>1136</v>
      </c>
    </row>
    <row r="14" spans="1:16" x14ac:dyDescent="0.25">
      <c r="A14" s="282" t="s">
        <v>1332</v>
      </c>
      <c r="B14" s="282" t="s">
        <v>1333</v>
      </c>
      <c r="C14" s="282">
        <v>0.35</v>
      </c>
      <c r="D14" s="282">
        <v>64</v>
      </c>
      <c r="E14" s="327">
        <v>6600</v>
      </c>
      <c r="F14" s="327">
        <f t="shared" si="3"/>
        <v>103.125</v>
      </c>
      <c r="H14" s="282" t="s">
        <v>1276</v>
      </c>
      <c r="I14" s="282" t="s">
        <v>680</v>
      </c>
      <c r="J14" s="282"/>
      <c r="K14" s="282">
        <v>21</v>
      </c>
      <c r="L14" s="282">
        <v>90</v>
      </c>
      <c r="M14" s="894">
        <v>560</v>
      </c>
      <c r="N14" s="327">
        <f t="shared" si="1"/>
        <v>50400</v>
      </c>
      <c r="O14" s="645">
        <f t="shared" si="2"/>
        <v>2400</v>
      </c>
    </row>
    <row r="15" spans="1:16" x14ac:dyDescent="0.25">
      <c r="A15" s="282" t="s">
        <v>1303</v>
      </c>
      <c r="B15" s="282"/>
      <c r="C15" s="282">
        <v>0.34</v>
      </c>
      <c r="D15" s="282">
        <v>53</v>
      </c>
      <c r="E15" s="327">
        <v>6600</v>
      </c>
      <c r="F15" s="327">
        <f t="shared" si="3"/>
        <v>124.52830188679245</v>
      </c>
      <c r="H15" s="592" t="s">
        <v>2153</v>
      </c>
      <c r="I15" s="592" t="s">
        <v>2155</v>
      </c>
      <c r="J15" s="282"/>
      <c r="K15" s="282">
        <v>7</v>
      </c>
      <c r="L15" s="592">
        <v>16</v>
      </c>
      <c r="M15" s="894">
        <v>560</v>
      </c>
      <c r="N15" s="327">
        <f t="shared" si="1"/>
        <v>8960</v>
      </c>
      <c r="O15" s="645">
        <f t="shared" si="2"/>
        <v>1280</v>
      </c>
    </row>
    <row r="16" spans="1:16" x14ac:dyDescent="0.25">
      <c r="A16" s="282" t="s">
        <v>1306</v>
      </c>
      <c r="B16" s="282"/>
      <c r="C16" s="282">
        <v>0.32</v>
      </c>
      <c r="D16" s="282">
        <v>52</v>
      </c>
      <c r="E16" s="327">
        <v>6600</v>
      </c>
      <c r="F16" s="327">
        <f t="shared" si="3"/>
        <v>126.92307692307692</v>
      </c>
      <c r="H16" s="592" t="s">
        <v>2153</v>
      </c>
      <c r="I16" s="592" t="s">
        <v>2154</v>
      </c>
      <c r="J16" s="282"/>
      <c r="K16" s="282">
        <v>29</v>
      </c>
      <c r="L16" s="592">
        <v>64</v>
      </c>
      <c r="M16" s="894">
        <v>560</v>
      </c>
      <c r="N16" s="327">
        <f t="shared" si="1"/>
        <v>35840</v>
      </c>
      <c r="O16" s="645">
        <f t="shared" si="2"/>
        <v>1235.8620689655172</v>
      </c>
    </row>
    <row r="17" spans="1:15" x14ac:dyDescent="0.25">
      <c r="A17" s="282" t="s">
        <v>1308</v>
      </c>
      <c r="B17" s="282"/>
      <c r="C17" s="282">
        <v>0.35</v>
      </c>
      <c r="D17" s="282">
        <v>48</v>
      </c>
      <c r="E17" s="327">
        <v>6600</v>
      </c>
      <c r="F17" s="327">
        <f t="shared" si="3"/>
        <v>137.5</v>
      </c>
      <c r="H17" s="592" t="s">
        <v>1280</v>
      </c>
      <c r="I17" s="592" t="s">
        <v>682</v>
      </c>
      <c r="J17" s="282"/>
      <c r="K17" s="282">
        <v>35</v>
      </c>
      <c r="L17" s="592">
        <v>54</v>
      </c>
      <c r="M17" s="894">
        <v>560</v>
      </c>
      <c r="N17" s="327">
        <f t="shared" si="1"/>
        <v>30240</v>
      </c>
      <c r="O17" s="645">
        <f t="shared" si="2"/>
        <v>864</v>
      </c>
    </row>
    <row r="18" spans="1:15" x14ac:dyDescent="0.25">
      <c r="A18" s="282" t="s">
        <v>1310</v>
      </c>
      <c r="B18" s="282"/>
      <c r="C18" s="282">
        <v>0.35</v>
      </c>
      <c r="D18" s="282">
        <v>45</v>
      </c>
      <c r="E18" s="327">
        <v>6600</v>
      </c>
      <c r="F18" s="327">
        <f t="shared" si="3"/>
        <v>146.66666666666666</v>
      </c>
      <c r="H18" s="282" t="s">
        <v>2178</v>
      </c>
      <c r="I18" s="282" t="s">
        <v>2152</v>
      </c>
      <c r="J18" s="282"/>
      <c r="K18" s="282">
        <v>29</v>
      </c>
      <c r="L18" s="592">
        <v>70</v>
      </c>
      <c r="M18" s="894">
        <v>560</v>
      </c>
      <c r="N18" s="327">
        <f t="shared" si="1"/>
        <v>39200</v>
      </c>
      <c r="O18" s="645">
        <f t="shared" si="2"/>
        <v>1351.7241379310344</v>
      </c>
    </row>
    <row r="19" spans="1:15" x14ac:dyDescent="0.25">
      <c r="A19" s="282" t="s">
        <v>1313</v>
      </c>
      <c r="B19" s="282"/>
      <c r="C19" s="282">
        <v>0.34</v>
      </c>
      <c r="D19" s="282">
        <v>47</v>
      </c>
      <c r="E19" s="327">
        <v>6600</v>
      </c>
      <c r="F19" s="327">
        <f t="shared" si="3"/>
        <v>140.42553191489361</v>
      </c>
      <c r="H19" s="282" t="s">
        <v>1338</v>
      </c>
      <c r="I19" s="282" t="s">
        <v>2148</v>
      </c>
      <c r="J19" s="282">
        <v>0.33</v>
      </c>
      <c r="K19" s="898">
        <v>29</v>
      </c>
      <c r="L19" s="282"/>
      <c r="M19" s="894">
        <v>560</v>
      </c>
      <c r="N19" s="327">
        <v>7980</v>
      </c>
      <c r="O19" s="327">
        <f t="shared" si="2"/>
        <v>275.17241379310343</v>
      </c>
    </row>
    <row r="20" spans="1:15" x14ac:dyDescent="0.25">
      <c r="A20" s="282" t="s">
        <v>1314</v>
      </c>
      <c r="B20" s="282"/>
      <c r="C20" s="282">
        <v>0.33500000000000002</v>
      </c>
      <c r="D20" s="282">
        <v>65</v>
      </c>
      <c r="E20" s="327">
        <v>6600</v>
      </c>
      <c r="F20" s="327">
        <f t="shared" si="3"/>
        <v>101.53846153846153</v>
      </c>
      <c r="H20" s="282" t="s">
        <v>1339</v>
      </c>
      <c r="I20" s="282" t="s">
        <v>683</v>
      </c>
      <c r="J20" s="282">
        <v>0.38</v>
      </c>
      <c r="K20" s="282">
        <v>18</v>
      </c>
      <c r="L20" s="593">
        <v>49</v>
      </c>
      <c r="M20" s="894">
        <v>560</v>
      </c>
      <c r="N20" s="327">
        <f>M20*L20</f>
        <v>27440</v>
      </c>
      <c r="O20" s="645">
        <f t="shared" si="2"/>
        <v>1524.4444444444443</v>
      </c>
    </row>
    <row r="21" spans="1:15" x14ac:dyDescent="0.25">
      <c r="A21" s="282" t="s">
        <v>1316</v>
      </c>
      <c r="B21" s="282"/>
      <c r="C21" s="282">
        <v>0.34</v>
      </c>
      <c r="D21" s="282">
        <v>38</v>
      </c>
      <c r="E21" s="327">
        <v>6600</v>
      </c>
      <c r="F21" s="327">
        <f t="shared" si="3"/>
        <v>173.68421052631578</v>
      </c>
      <c r="H21" s="282" t="s">
        <v>1340</v>
      </c>
      <c r="I21" s="282" t="s">
        <v>685</v>
      </c>
      <c r="J21" s="282">
        <v>0.41499999999999998</v>
      </c>
      <c r="K21" s="282">
        <v>49</v>
      </c>
      <c r="L21" s="282"/>
      <c r="M21" s="894">
        <v>560</v>
      </c>
      <c r="N21" s="327">
        <v>4674</v>
      </c>
      <c r="O21" s="327">
        <f t="shared" si="2"/>
        <v>95.387755102040813</v>
      </c>
    </row>
    <row r="22" spans="1:15" x14ac:dyDescent="0.25">
      <c r="A22" s="1133" t="s">
        <v>2203</v>
      </c>
      <c r="B22" s="282" t="s">
        <v>3152</v>
      </c>
      <c r="C22" s="282">
        <v>0.34</v>
      </c>
      <c r="D22" s="282">
        <v>35</v>
      </c>
      <c r="E22" s="327">
        <v>6600</v>
      </c>
      <c r="F22" s="327">
        <f t="shared" si="3"/>
        <v>188.57142857142858</v>
      </c>
      <c r="H22" s="592" t="s">
        <v>2149</v>
      </c>
      <c r="I22" s="592" t="s">
        <v>2161</v>
      </c>
      <c r="J22" s="282" t="s">
        <v>1296</v>
      </c>
      <c r="K22" s="282">
        <v>15</v>
      </c>
      <c r="L22" s="282">
        <v>56</v>
      </c>
      <c r="M22" s="894">
        <v>560</v>
      </c>
      <c r="N22" s="327">
        <f>M22*L22</f>
        <v>31360</v>
      </c>
      <c r="O22" s="645">
        <f t="shared" si="2"/>
        <v>2090.6666666666665</v>
      </c>
    </row>
    <row r="23" spans="1:15" x14ac:dyDescent="0.25">
      <c r="A23" s="282" t="s">
        <v>1318</v>
      </c>
      <c r="B23" s="282"/>
      <c r="C23" s="282">
        <v>0.34</v>
      </c>
      <c r="D23" s="282">
        <v>67</v>
      </c>
      <c r="E23" s="327">
        <v>6600</v>
      </c>
      <c r="F23" s="327">
        <f t="shared" si="3"/>
        <v>98.507462686567166</v>
      </c>
      <c r="H23" s="282" t="s">
        <v>1331</v>
      </c>
      <c r="I23" s="1230" t="s">
        <v>2160</v>
      </c>
      <c r="J23" s="282">
        <v>0.39</v>
      </c>
      <c r="K23" s="282">
        <v>18</v>
      </c>
      <c r="L23" s="282">
        <v>49</v>
      </c>
      <c r="M23" s="894">
        <v>560</v>
      </c>
      <c r="N23" s="327">
        <f>M23*L23</f>
        <v>27440</v>
      </c>
      <c r="O23" s="645">
        <f t="shared" si="2"/>
        <v>1524.4444444444443</v>
      </c>
    </row>
    <row r="24" spans="1:15" x14ac:dyDescent="0.25">
      <c r="A24" s="1230" t="s">
        <v>1320</v>
      </c>
      <c r="B24" s="282"/>
      <c r="C24" s="282">
        <v>0.36</v>
      </c>
      <c r="D24" s="282">
        <v>43</v>
      </c>
      <c r="E24" s="327">
        <v>6600</v>
      </c>
      <c r="F24" s="327">
        <f t="shared" si="3"/>
        <v>153.48837209302326</v>
      </c>
      <c r="H24" s="282" t="s">
        <v>2167</v>
      </c>
      <c r="I24" s="282" t="s">
        <v>1341</v>
      </c>
      <c r="J24" s="282">
        <v>0.4</v>
      </c>
      <c r="K24" s="282">
        <v>67</v>
      </c>
      <c r="L24" s="282">
        <v>125</v>
      </c>
      <c r="M24" s="894">
        <v>560</v>
      </c>
      <c r="N24" s="327">
        <f>M24*L24</f>
        <v>70000</v>
      </c>
      <c r="O24" s="645">
        <f t="shared" si="2"/>
        <v>1044.7761194029852</v>
      </c>
    </row>
    <row r="25" spans="1:15" x14ac:dyDescent="0.25">
      <c r="A25" s="282" t="s">
        <v>1321</v>
      </c>
      <c r="B25" s="282"/>
      <c r="C25" s="282">
        <v>0.33</v>
      </c>
      <c r="D25" s="282">
        <v>62</v>
      </c>
      <c r="E25" s="327">
        <v>6600</v>
      </c>
      <c r="F25" s="327">
        <f t="shared" si="3"/>
        <v>106.45161290322581</v>
      </c>
      <c r="H25" s="282" t="s">
        <v>2270</v>
      </c>
      <c r="I25" s="1230" t="s">
        <v>1334</v>
      </c>
      <c r="J25" s="282">
        <v>0.36</v>
      </c>
      <c r="K25" s="282">
        <v>48</v>
      </c>
      <c r="L25" s="282">
        <v>30</v>
      </c>
      <c r="M25" s="894">
        <v>560</v>
      </c>
      <c r="N25" s="327">
        <f>M25*L25</f>
        <v>16800</v>
      </c>
      <c r="O25" s="645">
        <f t="shared" si="2"/>
        <v>350</v>
      </c>
    </row>
    <row r="26" spans="1:15" x14ac:dyDescent="0.25">
      <c r="A26" s="1655" t="s">
        <v>1297</v>
      </c>
      <c r="B26" s="282" t="s">
        <v>1298</v>
      </c>
      <c r="C26" s="282">
        <v>0.46</v>
      </c>
      <c r="D26" s="282">
        <v>52</v>
      </c>
      <c r="E26" s="327">
        <v>3000</v>
      </c>
      <c r="F26" s="327">
        <f>E26/D26</f>
        <v>57.692307692307693</v>
      </c>
      <c r="H26" s="282" t="s">
        <v>3446</v>
      </c>
      <c r="I26" s="282" t="s">
        <v>2170</v>
      </c>
      <c r="J26" s="282">
        <v>0.39</v>
      </c>
      <c r="K26" s="282">
        <v>55</v>
      </c>
      <c r="L26" s="282">
        <v>27</v>
      </c>
      <c r="M26" s="894">
        <v>560</v>
      </c>
      <c r="N26" s="327">
        <f>M26*L26</f>
        <v>15120</v>
      </c>
      <c r="O26" s="645">
        <f t="shared" si="2"/>
        <v>274.90909090909093</v>
      </c>
    </row>
    <row r="27" spans="1:15" x14ac:dyDescent="0.25">
      <c r="A27" s="1656"/>
      <c r="B27" s="282"/>
      <c r="C27" s="282">
        <v>0.48</v>
      </c>
      <c r="D27" s="282">
        <v>52</v>
      </c>
      <c r="E27" s="327">
        <v>3000</v>
      </c>
      <c r="F27" s="327">
        <f>E27/D27</f>
        <v>57.692307692307693</v>
      </c>
      <c r="H27" s="282" t="s">
        <v>1336</v>
      </c>
      <c r="I27" s="282"/>
      <c r="J27" s="282">
        <v>0.36</v>
      </c>
      <c r="K27" s="282">
        <v>37</v>
      </c>
      <c r="L27" s="282"/>
      <c r="M27" s="894">
        <v>560</v>
      </c>
      <c r="N27" s="327">
        <v>2380</v>
      </c>
      <c r="O27" s="645">
        <f t="shared" si="2"/>
        <v>64.324324324324323</v>
      </c>
    </row>
    <row r="28" spans="1:15" x14ac:dyDescent="0.25">
      <c r="A28" s="282" t="s">
        <v>1300</v>
      </c>
      <c r="B28" s="282"/>
      <c r="C28" s="282">
        <v>0.41</v>
      </c>
      <c r="D28" s="282">
        <v>35</v>
      </c>
      <c r="E28" s="327">
        <v>6600</v>
      </c>
      <c r="F28" s="327">
        <f t="shared" ref="F28:F40" si="4">E28/D28</f>
        <v>188.57142857142858</v>
      </c>
    </row>
    <row r="29" spans="1:15" x14ac:dyDescent="0.25">
      <c r="A29" s="282" t="s">
        <v>1301</v>
      </c>
      <c r="B29" s="282"/>
      <c r="C29" s="282">
        <v>0.42</v>
      </c>
      <c r="D29" s="282">
        <v>45</v>
      </c>
      <c r="E29" s="327">
        <v>6600</v>
      </c>
      <c r="F29" s="327">
        <f t="shared" si="4"/>
        <v>146.66666666666666</v>
      </c>
    </row>
    <row r="30" spans="1:15" x14ac:dyDescent="0.25">
      <c r="A30" s="282" t="s">
        <v>1302</v>
      </c>
      <c r="B30" s="282"/>
      <c r="C30" s="282">
        <v>0.41</v>
      </c>
      <c r="D30" s="282">
        <v>60</v>
      </c>
      <c r="E30" s="327">
        <v>6600</v>
      </c>
      <c r="F30" s="327">
        <f t="shared" si="4"/>
        <v>110</v>
      </c>
    </row>
    <row r="31" spans="1:15" x14ac:dyDescent="0.25">
      <c r="A31" s="282" t="s">
        <v>3198</v>
      </c>
      <c r="B31" s="282"/>
      <c r="C31" s="282">
        <v>0.41</v>
      </c>
      <c r="D31" s="282">
        <v>42</v>
      </c>
      <c r="E31" s="327">
        <v>5360</v>
      </c>
      <c r="F31" s="327">
        <f>E31/D31</f>
        <v>127.61904761904762</v>
      </c>
    </row>
    <row r="32" spans="1:15" x14ac:dyDescent="0.25">
      <c r="A32" s="282" t="s">
        <v>1348</v>
      </c>
      <c r="B32" s="282" t="s">
        <v>1349</v>
      </c>
      <c r="C32" s="326">
        <v>0.41</v>
      </c>
      <c r="D32" s="282">
        <v>50</v>
      </c>
      <c r="E32" s="327">
        <v>3000</v>
      </c>
      <c r="F32" s="327">
        <f t="shared" si="4"/>
        <v>60</v>
      </c>
    </row>
    <row r="33" spans="1:6" x14ac:dyDescent="0.25">
      <c r="A33" s="592" t="s">
        <v>1344</v>
      </c>
      <c r="B33" s="1231" t="s">
        <v>1345</v>
      </c>
      <c r="C33" s="326">
        <v>0.41</v>
      </c>
      <c r="D33" s="282">
        <v>60</v>
      </c>
      <c r="E33" s="327">
        <v>6600</v>
      </c>
      <c r="F33" s="327">
        <f t="shared" si="4"/>
        <v>110</v>
      </c>
    </row>
    <row r="34" spans="1:6" x14ac:dyDescent="0.25">
      <c r="A34" s="282" t="s">
        <v>1356</v>
      </c>
      <c r="B34" s="1230" t="s">
        <v>1357</v>
      </c>
      <c r="C34" s="326">
        <v>0.41</v>
      </c>
      <c r="D34" s="282">
        <v>53</v>
      </c>
      <c r="E34" s="327">
        <v>7000</v>
      </c>
      <c r="F34" s="327">
        <f t="shared" si="4"/>
        <v>132.0754716981132</v>
      </c>
    </row>
    <row r="35" spans="1:6" x14ac:dyDescent="0.25">
      <c r="A35" s="282" t="s">
        <v>1353</v>
      </c>
      <c r="B35" s="282" t="s">
        <v>1354</v>
      </c>
      <c r="C35" s="326">
        <v>0.41</v>
      </c>
      <c r="D35" s="282">
        <v>70</v>
      </c>
      <c r="E35" s="327">
        <v>5350</v>
      </c>
      <c r="F35" s="327">
        <f t="shared" si="4"/>
        <v>76.428571428571431</v>
      </c>
    </row>
    <row r="36" spans="1:6" x14ac:dyDescent="0.25">
      <c r="A36" s="282" t="s">
        <v>1346</v>
      </c>
      <c r="B36" s="1230" t="s">
        <v>2161</v>
      </c>
      <c r="C36" s="326">
        <v>0.4</v>
      </c>
      <c r="D36" s="282">
        <v>59</v>
      </c>
      <c r="E36" s="327">
        <v>6600</v>
      </c>
      <c r="F36" s="327">
        <f t="shared" si="4"/>
        <v>111.86440677966101</v>
      </c>
    </row>
    <row r="37" spans="1:6" x14ac:dyDescent="0.25">
      <c r="A37" s="282" t="s">
        <v>1351</v>
      </c>
      <c r="B37" s="282" t="s">
        <v>2160</v>
      </c>
      <c r="C37" s="326">
        <v>0.4</v>
      </c>
      <c r="D37" s="282">
        <v>49</v>
      </c>
      <c r="E37" s="645">
        <v>6600</v>
      </c>
      <c r="F37" s="327">
        <f t="shared" si="4"/>
        <v>134.69387755102042</v>
      </c>
    </row>
    <row r="38" spans="1:6" x14ac:dyDescent="0.25">
      <c r="A38" s="282" t="s">
        <v>1358</v>
      </c>
      <c r="B38" s="282" t="s">
        <v>2169</v>
      </c>
      <c r="C38" s="326">
        <v>0.42</v>
      </c>
      <c r="D38" s="282">
        <v>42</v>
      </c>
      <c r="E38" s="327">
        <v>6600</v>
      </c>
      <c r="F38" s="327">
        <f t="shared" si="4"/>
        <v>157.14285714285714</v>
      </c>
    </row>
    <row r="39" spans="1:6" x14ac:dyDescent="0.25">
      <c r="A39" s="282" t="s">
        <v>1359</v>
      </c>
      <c r="B39" s="1230" t="s">
        <v>2170</v>
      </c>
      <c r="C39" s="326">
        <v>0.41</v>
      </c>
      <c r="D39" s="282">
        <v>81</v>
      </c>
      <c r="E39" s="327">
        <v>6600</v>
      </c>
      <c r="F39" s="327">
        <f t="shared" si="4"/>
        <v>81.481481481481481</v>
      </c>
    </row>
    <row r="40" spans="1:6" x14ac:dyDescent="0.25">
      <c r="A40" s="282" t="s">
        <v>1360</v>
      </c>
      <c r="B40" s="1230" t="s">
        <v>2171</v>
      </c>
      <c r="C40" s="326">
        <v>0.41</v>
      </c>
      <c r="D40" s="282">
        <v>65</v>
      </c>
      <c r="E40" s="327">
        <v>5360</v>
      </c>
      <c r="F40" s="327">
        <f t="shared" si="4"/>
        <v>82.461538461538467</v>
      </c>
    </row>
    <row r="41" spans="1:6" x14ac:dyDescent="0.25">
      <c r="A41" s="282" t="s">
        <v>3226</v>
      </c>
      <c r="B41" s="282"/>
      <c r="C41" s="326">
        <v>0.31</v>
      </c>
      <c r="D41" s="282">
        <v>35</v>
      </c>
      <c r="E41" s="327">
        <v>29606</v>
      </c>
      <c r="F41" s="327">
        <f t="shared" ref="F41" si="5">E41/D41</f>
        <v>845.88571428571424</v>
      </c>
    </row>
  </sheetData>
  <mergeCells count="3">
    <mergeCell ref="H1:O1"/>
    <mergeCell ref="A26:A27"/>
    <mergeCell ref="A1:F1"/>
  </mergeCells>
  <phoneticPr fontId="2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12EB1-7FCC-41E9-9A1C-33BD62D18F7E}">
  <dimension ref="A1:O37"/>
  <sheetViews>
    <sheetView topLeftCell="G1" workbookViewId="0">
      <selection activeCell="D26" sqref="D26"/>
    </sheetView>
  </sheetViews>
  <sheetFormatPr baseColWidth="10" defaultRowHeight="15" x14ac:dyDescent="0.25"/>
  <cols>
    <col min="1" max="1" width="36.5703125" bestFit="1" customWidth="1"/>
    <col min="2" max="2" width="11.85546875" bestFit="1" customWidth="1"/>
    <col min="3" max="3" width="23.5703125" bestFit="1" customWidth="1"/>
    <col min="4" max="4" width="20.85546875" bestFit="1" customWidth="1"/>
    <col min="5" max="5" width="16.7109375" bestFit="1" customWidth="1"/>
    <col min="6" max="6" width="11.85546875" bestFit="1" customWidth="1"/>
    <col min="7" max="7" width="24.28515625" bestFit="1" customWidth="1"/>
    <col min="8" max="8" width="12.140625" bestFit="1" customWidth="1"/>
    <col min="10" max="10" width="39.28515625" bestFit="1" customWidth="1"/>
    <col min="11" max="11" width="38.140625" bestFit="1" customWidth="1"/>
    <col min="12" max="12" width="23.5703125" bestFit="1" customWidth="1"/>
    <col min="13" max="13" width="20.85546875" bestFit="1" customWidth="1"/>
    <col min="14" max="14" width="16.7109375" bestFit="1" customWidth="1"/>
    <col min="15" max="15" width="13.140625" bestFit="1" customWidth="1"/>
    <col min="16" max="16" width="24.28515625" bestFit="1" customWidth="1"/>
  </cols>
  <sheetData>
    <row r="1" spans="1:15" ht="19.5" customHeight="1" thickBot="1" x14ac:dyDescent="0.3">
      <c r="A1" s="1652" t="s">
        <v>3529</v>
      </c>
      <c r="B1" s="1653"/>
      <c r="C1" s="1653"/>
      <c r="D1" s="1653"/>
      <c r="E1" s="1653"/>
      <c r="F1" s="1653"/>
      <c r="G1" s="1653"/>
      <c r="H1" s="1610"/>
      <c r="J1" s="1652" t="s">
        <v>2164</v>
      </c>
      <c r="K1" s="1653"/>
      <c r="L1" s="1653"/>
      <c r="M1" s="1653"/>
      <c r="N1" s="1653"/>
      <c r="O1" s="1654"/>
    </row>
    <row r="2" spans="1:15" ht="18.75" x14ac:dyDescent="0.25">
      <c r="A2" s="1660" t="s">
        <v>742</v>
      </c>
      <c r="B2" s="1657" t="s">
        <v>1343</v>
      </c>
      <c r="C2" s="1657" t="s">
        <v>2175</v>
      </c>
      <c r="D2" s="1657" t="s">
        <v>1252</v>
      </c>
      <c r="E2" s="1657" t="s">
        <v>2174</v>
      </c>
      <c r="F2" s="1662" t="s">
        <v>3531</v>
      </c>
      <c r="G2" s="1657" t="s">
        <v>2173</v>
      </c>
      <c r="H2" s="1659" t="s">
        <v>3110</v>
      </c>
      <c r="J2" s="892" t="s">
        <v>742</v>
      </c>
      <c r="K2" s="892" t="s">
        <v>1250</v>
      </c>
      <c r="L2" s="892" t="s">
        <v>1251</v>
      </c>
      <c r="M2" s="892" t="s">
        <v>1252</v>
      </c>
      <c r="N2" s="892" t="s">
        <v>747</v>
      </c>
      <c r="O2" s="892" t="s">
        <v>3119</v>
      </c>
    </row>
    <row r="3" spans="1:15" ht="18.75" x14ac:dyDescent="0.25">
      <c r="A3" s="1661"/>
      <c r="B3" s="1658"/>
      <c r="C3" s="1658"/>
      <c r="D3" s="1658"/>
      <c r="E3" s="1658"/>
      <c r="F3" s="1663"/>
      <c r="G3" s="1658"/>
      <c r="H3" s="1659"/>
      <c r="J3" s="1232" t="s">
        <v>4995</v>
      </c>
      <c r="K3" s="1232" t="s">
        <v>4996</v>
      </c>
      <c r="L3" s="1232">
        <v>0.35</v>
      </c>
      <c r="M3" s="1232">
        <v>82</v>
      </c>
      <c r="N3" s="327">
        <v>13000</v>
      </c>
      <c r="O3" s="645">
        <f>N3/M3</f>
        <v>158.53658536585365</v>
      </c>
    </row>
    <row r="4" spans="1:15" ht="18.75" x14ac:dyDescent="0.25">
      <c r="A4" s="1232" t="s">
        <v>3604</v>
      </c>
      <c r="B4" s="1232" t="s">
        <v>1322</v>
      </c>
      <c r="C4" s="1232"/>
      <c r="D4" s="1232">
        <v>11</v>
      </c>
      <c r="E4" s="1232">
        <v>32</v>
      </c>
      <c r="F4" s="1233">
        <v>616</v>
      </c>
      <c r="G4" s="327">
        <f t="shared" ref="G4:G13" si="0">F4*E4</f>
        <v>19712</v>
      </c>
      <c r="H4" s="1229">
        <f t="shared" ref="H4:H13" si="1">G4/D4</f>
        <v>1792</v>
      </c>
      <c r="J4" s="1111" t="s">
        <v>3621</v>
      </c>
      <c r="K4" s="1111" t="s">
        <v>3534</v>
      </c>
      <c r="L4" s="1111">
        <v>0.35</v>
      </c>
      <c r="M4" s="1111">
        <v>76</v>
      </c>
      <c r="N4" s="327">
        <v>13000</v>
      </c>
      <c r="O4" s="327">
        <f>N4/M4</f>
        <v>171.05263157894737</v>
      </c>
    </row>
    <row r="5" spans="1:15" ht="18.75" x14ac:dyDescent="0.25">
      <c r="A5" s="1232" t="s">
        <v>3605</v>
      </c>
      <c r="B5" s="1232" t="s">
        <v>1323</v>
      </c>
      <c r="C5" s="1232"/>
      <c r="D5" s="1232">
        <v>44</v>
      </c>
      <c r="E5" s="1232">
        <v>31</v>
      </c>
      <c r="F5" s="1233">
        <v>616</v>
      </c>
      <c r="G5" s="327">
        <f t="shared" si="0"/>
        <v>19096</v>
      </c>
      <c r="H5" s="645">
        <f t="shared" si="1"/>
        <v>434</v>
      </c>
      <c r="J5" s="1111" t="s">
        <v>3535</v>
      </c>
      <c r="K5" s="1111" t="s">
        <v>3151</v>
      </c>
      <c r="L5" s="1111">
        <v>0.36</v>
      </c>
      <c r="M5" s="1111">
        <v>80</v>
      </c>
      <c r="N5" s="327">
        <v>8660</v>
      </c>
      <c r="O5" s="327">
        <f t="shared" ref="O5:O6" si="2">N5/M5</f>
        <v>108.25</v>
      </c>
    </row>
    <row r="6" spans="1:15" ht="18.75" x14ac:dyDescent="0.25">
      <c r="A6" s="1232" t="s">
        <v>3595</v>
      </c>
      <c r="B6" s="1232" t="s">
        <v>2158</v>
      </c>
      <c r="C6" s="1232"/>
      <c r="D6" s="1232">
        <v>8</v>
      </c>
      <c r="E6" s="1232">
        <v>15</v>
      </c>
      <c r="F6" s="1233">
        <v>616</v>
      </c>
      <c r="G6" s="327">
        <f t="shared" si="0"/>
        <v>9240</v>
      </c>
      <c r="H6" s="645">
        <f t="shared" si="1"/>
        <v>1155</v>
      </c>
      <c r="J6" s="1111" t="s">
        <v>3536</v>
      </c>
      <c r="K6" s="1111" t="s">
        <v>3150</v>
      </c>
      <c r="L6" s="1111">
        <v>0.36</v>
      </c>
      <c r="M6" s="1111">
        <v>90</v>
      </c>
      <c r="N6" s="327">
        <v>8660</v>
      </c>
      <c r="O6" s="327">
        <f t="shared" si="2"/>
        <v>96.222222222222229</v>
      </c>
    </row>
    <row r="7" spans="1:15" ht="18.75" x14ac:dyDescent="0.25">
      <c r="A7" s="1232" t="s">
        <v>3680</v>
      </c>
      <c r="B7" s="1232" t="s">
        <v>1328</v>
      </c>
      <c r="C7" s="1232"/>
      <c r="D7" s="1232">
        <v>10</v>
      </c>
      <c r="E7" s="1232">
        <v>30</v>
      </c>
      <c r="F7" s="1233">
        <v>616</v>
      </c>
      <c r="G7" s="327">
        <v>17120</v>
      </c>
      <c r="H7" s="645">
        <f>G7/D7</f>
        <v>1712</v>
      </c>
      <c r="J7" s="282" t="s">
        <v>1346</v>
      </c>
      <c r="K7" s="282" t="s">
        <v>2161</v>
      </c>
      <c r="L7" s="326">
        <v>0.4</v>
      </c>
      <c r="M7" s="282">
        <v>59</v>
      </c>
      <c r="N7" s="327">
        <v>8660</v>
      </c>
      <c r="O7" s="327">
        <f t="shared" ref="O7:O18" si="3">N7/M7</f>
        <v>146.77966101694915</v>
      </c>
    </row>
    <row r="8" spans="1:15" ht="19.5" customHeight="1" x14ac:dyDescent="0.25">
      <c r="A8" s="282" t="s">
        <v>2211</v>
      </c>
      <c r="B8" s="1111" t="s">
        <v>1330</v>
      </c>
      <c r="C8" s="282"/>
      <c r="D8" s="282">
        <v>21</v>
      </c>
      <c r="E8" s="282">
        <v>52</v>
      </c>
      <c r="F8" s="1233">
        <v>616</v>
      </c>
      <c r="G8" s="327">
        <f t="shared" si="0"/>
        <v>32032</v>
      </c>
      <c r="H8" s="645">
        <f t="shared" si="1"/>
        <v>1525.3333333333333</v>
      </c>
      <c r="J8" s="1232" t="s">
        <v>4117</v>
      </c>
      <c r="K8" s="1232" t="s">
        <v>4116</v>
      </c>
      <c r="L8" s="1232">
        <v>0.41</v>
      </c>
      <c r="M8" s="1232">
        <v>44</v>
      </c>
      <c r="N8" s="327">
        <v>23030</v>
      </c>
      <c r="O8" s="645">
        <f t="shared" si="3"/>
        <v>523.40909090909088</v>
      </c>
    </row>
    <row r="9" spans="1:15" ht="18.75" x14ac:dyDescent="0.25">
      <c r="A9" s="592" t="s">
        <v>3615</v>
      </c>
      <c r="B9" s="592" t="s">
        <v>1285</v>
      </c>
      <c r="C9" s="282"/>
      <c r="D9" s="282">
        <v>10</v>
      </c>
      <c r="E9" s="282">
        <v>26</v>
      </c>
      <c r="F9" s="1233">
        <v>616</v>
      </c>
      <c r="G9" s="327">
        <f t="shared" si="0"/>
        <v>16016</v>
      </c>
      <c r="H9" s="645">
        <f t="shared" si="1"/>
        <v>1601.6</v>
      </c>
      <c r="J9" s="1232" t="s">
        <v>4118</v>
      </c>
      <c r="K9" s="1232" t="s">
        <v>4119</v>
      </c>
      <c r="L9" s="1232">
        <v>0.41</v>
      </c>
      <c r="M9" s="1232">
        <v>44</v>
      </c>
      <c r="N9" s="327">
        <v>29606</v>
      </c>
      <c r="O9" s="645">
        <f t="shared" si="3"/>
        <v>672.86363636363637</v>
      </c>
    </row>
    <row r="10" spans="1:15" ht="18.75" x14ac:dyDescent="0.25">
      <c r="A10" s="592" t="s">
        <v>3615</v>
      </c>
      <c r="B10" s="592" t="s">
        <v>1288</v>
      </c>
      <c r="C10" s="282"/>
      <c r="D10" s="282">
        <v>10</v>
      </c>
      <c r="E10" s="282">
        <v>26</v>
      </c>
      <c r="F10" s="1233">
        <v>616</v>
      </c>
      <c r="G10" s="327">
        <v>16740</v>
      </c>
      <c r="H10" s="645">
        <f t="shared" si="1"/>
        <v>1674</v>
      </c>
      <c r="J10" s="1409" t="s">
        <v>4392</v>
      </c>
      <c r="K10" s="1232" t="s">
        <v>4380</v>
      </c>
      <c r="L10" s="1232">
        <v>0.34</v>
      </c>
      <c r="M10" s="1232">
        <v>68</v>
      </c>
      <c r="N10" s="327">
        <v>16500</v>
      </c>
      <c r="O10" s="645">
        <f t="shared" si="3"/>
        <v>242.64705882352942</v>
      </c>
    </row>
    <row r="11" spans="1:15" ht="18.75" x14ac:dyDescent="0.25">
      <c r="A11" s="282" t="s">
        <v>3603</v>
      </c>
      <c r="B11" s="1111" t="s">
        <v>1294</v>
      </c>
      <c r="C11" s="282"/>
      <c r="D11" s="282">
        <v>10</v>
      </c>
      <c r="E11" s="282">
        <v>23</v>
      </c>
      <c r="F11" s="1233">
        <v>616</v>
      </c>
      <c r="G11" s="327">
        <f t="shared" si="0"/>
        <v>14168</v>
      </c>
      <c r="H11" s="645">
        <f t="shared" si="1"/>
        <v>1416.8</v>
      </c>
      <c r="J11" s="1409" t="s">
        <v>4393</v>
      </c>
      <c r="K11" s="1232" t="s">
        <v>4381</v>
      </c>
      <c r="L11" s="1232">
        <v>0.34</v>
      </c>
      <c r="M11" s="1232">
        <v>54</v>
      </c>
      <c r="N11" s="327">
        <v>10025</v>
      </c>
      <c r="O11" s="645">
        <f t="shared" si="3"/>
        <v>185.64814814814815</v>
      </c>
    </row>
    <row r="12" spans="1:15" ht="18.75" x14ac:dyDescent="0.25">
      <c r="A12" s="282" t="s">
        <v>3600</v>
      </c>
      <c r="B12" s="1111" t="s">
        <v>680</v>
      </c>
      <c r="C12" s="282"/>
      <c r="D12" s="282">
        <v>10</v>
      </c>
      <c r="E12" s="282">
        <v>51</v>
      </c>
      <c r="F12" s="1233">
        <v>616</v>
      </c>
      <c r="G12" s="327">
        <f t="shared" si="0"/>
        <v>31416</v>
      </c>
      <c r="H12" s="645">
        <f t="shared" si="1"/>
        <v>3141.6</v>
      </c>
      <c r="J12" s="1409" t="s">
        <v>4378</v>
      </c>
      <c r="K12" s="1232" t="s">
        <v>4382</v>
      </c>
      <c r="L12" s="1232">
        <v>0.34</v>
      </c>
      <c r="M12" s="1232">
        <v>110</v>
      </c>
      <c r="N12" s="327">
        <v>13750</v>
      </c>
      <c r="O12" s="645">
        <f t="shared" si="3"/>
        <v>125</v>
      </c>
    </row>
    <row r="13" spans="1:15" ht="18.75" x14ac:dyDescent="0.25">
      <c r="A13" s="282" t="s">
        <v>3608</v>
      </c>
      <c r="B13" s="1111" t="s">
        <v>682</v>
      </c>
      <c r="C13" s="282"/>
      <c r="D13" s="282">
        <v>40</v>
      </c>
      <c r="E13" s="282">
        <v>51</v>
      </c>
      <c r="F13" s="1233">
        <v>616</v>
      </c>
      <c r="G13" s="327">
        <f t="shared" si="0"/>
        <v>31416</v>
      </c>
      <c r="H13" s="645">
        <f t="shared" si="1"/>
        <v>785.4</v>
      </c>
      <c r="J13" s="1409" t="s">
        <v>4399</v>
      </c>
      <c r="K13" s="1232" t="s">
        <v>4383</v>
      </c>
      <c r="L13" s="1232">
        <v>0.34</v>
      </c>
      <c r="M13" s="1232">
        <v>110</v>
      </c>
      <c r="N13" s="327">
        <v>16800</v>
      </c>
      <c r="O13" s="645">
        <f t="shared" si="3"/>
        <v>152.72727272727272</v>
      </c>
    </row>
    <row r="14" spans="1:15" ht="18.75" x14ac:dyDescent="0.25">
      <c r="A14" s="1227" t="s">
        <v>3530</v>
      </c>
      <c r="B14" s="1227" t="s">
        <v>1345</v>
      </c>
      <c r="C14" s="1227">
        <v>0.41</v>
      </c>
      <c r="D14" s="1227">
        <v>55</v>
      </c>
      <c r="E14" s="1227">
        <v>29</v>
      </c>
      <c r="F14" s="1233">
        <v>616</v>
      </c>
      <c r="G14" s="1228">
        <f t="shared" ref="G14" si="4">F14*E14</f>
        <v>17864</v>
      </c>
      <c r="H14" s="1229">
        <f t="shared" ref="H14" si="5">G14/D14</f>
        <v>324.8</v>
      </c>
      <c r="J14" s="1409" t="s">
        <v>4379</v>
      </c>
      <c r="K14" s="1232" t="s">
        <v>4394</v>
      </c>
      <c r="L14" s="1232">
        <v>0.34</v>
      </c>
      <c r="M14" s="1232">
        <v>60</v>
      </c>
      <c r="N14" s="327">
        <v>11200</v>
      </c>
      <c r="O14" s="645">
        <f t="shared" si="3"/>
        <v>186.66666666666666</v>
      </c>
    </row>
    <row r="15" spans="1:15" ht="18.75" x14ac:dyDescent="0.25">
      <c r="A15" s="282" t="s">
        <v>2009</v>
      </c>
      <c r="B15" s="1111" t="s">
        <v>1357</v>
      </c>
      <c r="C15" s="282">
        <v>0.42</v>
      </c>
      <c r="D15" s="282">
        <v>48</v>
      </c>
      <c r="E15" s="282">
        <v>53</v>
      </c>
      <c r="F15" s="1233">
        <v>616</v>
      </c>
      <c r="G15" s="327">
        <f t="shared" ref="G15:G22" si="6">F15*E15</f>
        <v>32648</v>
      </c>
      <c r="H15" s="645">
        <f t="shared" ref="H15:H22" si="7">G15/D15</f>
        <v>680.16666666666663</v>
      </c>
      <c r="J15" s="1409" t="s">
        <v>4390</v>
      </c>
      <c r="K15" s="1232" t="s">
        <v>4395</v>
      </c>
      <c r="L15" s="1232">
        <v>0.41</v>
      </c>
      <c r="M15" s="1232">
        <v>20</v>
      </c>
      <c r="N15" s="327">
        <v>21000</v>
      </c>
      <c r="O15" s="645">
        <f t="shared" si="3"/>
        <v>1050</v>
      </c>
    </row>
    <row r="16" spans="1:15" ht="18.75" x14ac:dyDescent="0.25">
      <c r="A16" s="282" t="s">
        <v>1274</v>
      </c>
      <c r="B16" s="1111" t="s">
        <v>3630</v>
      </c>
      <c r="C16" s="282">
        <v>0.42</v>
      </c>
      <c r="D16" s="282">
        <v>25</v>
      </c>
      <c r="E16" s="282">
        <v>53</v>
      </c>
      <c r="F16" s="1233">
        <v>616</v>
      </c>
      <c r="G16" s="327">
        <f t="shared" si="6"/>
        <v>32648</v>
      </c>
      <c r="H16" s="645">
        <f t="shared" si="7"/>
        <v>1305.92</v>
      </c>
      <c r="J16" s="1409" t="s">
        <v>4391</v>
      </c>
      <c r="K16" s="1232" t="s">
        <v>4396</v>
      </c>
      <c r="L16" s="1232">
        <v>0.38500000000000001</v>
      </c>
      <c r="M16" s="1232">
        <v>18</v>
      </c>
      <c r="N16" s="327">
        <v>21000</v>
      </c>
      <c r="O16" s="645">
        <f t="shared" si="3"/>
        <v>1166.6666666666667</v>
      </c>
    </row>
    <row r="17" spans="1:15" ht="18.75" x14ac:dyDescent="0.25">
      <c r="A17" s="282" t="s">
        <v>1331</v>
      </c>
      <c r="B17" s="1111" t="s">
        <v>2160</v>
      </c>
      <c r="C17" s="282">
        <v>0.4</v>
      </c>
      <c r="D17" s="282">
        <v>16</v>
      </c>
      <c r="E17" s="282">
        <v>47</v>
      </c>
      <c r="F17" s="1233">
        <v>616</v>
      </c>
      <c r="G17" s="327">
        <f t="shared" si="6"/>
        <v>28952</v>
      </c>
      <c r="H17" s="645">
        <f t="shared" si="7"/>
        <v>1809.5</v>
      </c>
      <c r="J17" s="1409" t="s">
        <v>4397</v>
      </c>
      <c r="K17" s="1232" t="s">
        <v>4398</v>
      </c>
      <c r="L17" s="1232">
        <v>0.39</v>
      </c>
      <c r="M17" s="1232">
        <v>16</v>
      </c>
      <c r="N17" s="327">
        <v>17900</v>
      </c>
      <c r="O17" s="645">
        <f t="shared" si="3"/>
        <v>1118.75</v>
      </c>
    </row>
    <row r="18" spans="1:15" ht="18.75" x14ac:dyDescent="0.25">
      <c r="A18" s="282" t="s">
        <v>3539</v>
      </c>
      <c r="B18" s="1111" t="s">
        <v>2170</v>
      </c>
      <c r="C18" s="282">
        <v>0.4</v>
      </c>
      <c r="D18" s="282">
        <v>70</v>
      </c>
      <c r="E18" s="282">
        <v>19</v>
      </c>
      <c r="F18" s="1233">
        <v>616</v>
      </c>
      <c r="G18" s="327">
        <f t="shared" ref="G18" si="8">F18*E18</f>
        <v>11704</v>
      </c>
      <c r="H18" s="645">
        <f t="shared" ref="H18" si="9">G18/D18</f>
        <v>167.2</v>
      </c>
      <c r="J18" s="1409" t="s">
        <v>4991</v>
      </c>
      <c r="K18" s="1232"/>
      <c r="L18" s="1232">
        <v>0.35</v>
      </c>
      <c r="M18" s="1232">
        <v>58</v>
      </c>
      <c r="N18" s="327">
        <v>13000</v>
      </c>
      <c r="O18" s="645">
        <f t="shared" si="3"/>
        <v>224.13793103448276</v>
      </c>
    </row>
    <row r="19" spans="1:15" ht="18.75" x14ac:dyDescent="0.25">
      <c r="A19" s="282" t="s">
        <v>3542</v>
      </c>
      <c r="B19" s="1111" t="s">
        <v>3538</v>
      </c>
      <c r="C19" s="282">
        <v>0.39</v>
      </c>
      <c r="D19" s="282">
        <v>52</v>
      </c>
      <c r="E19" s="282">
        <v>28</v>
      </c>
      <c r="F19" s="1233">
        <v>616</v>
      </c>
      <c r="G19" s="327">
        <f t="shared" si="6"/>
        <v>17248</v>
      </c>
      <c r="H19" s="645">
        <f t="shared" si="7"/>
        <v>331.69230769230768</v>
      </c>
    </row>
    <row r="20" spans="1:15" ht="19.5" thickBot="1" x14ac:dyDescent="0.3">
      <c r="A20" s="282" t="s">
        <v>3542</v>
      </c>
      <c r="B20" s="1111" t="s">
        <v>3540</v>
      </c>
      <c r="C20" s="282">
        <v>0.4</v>
      </c>
      <c r="D20" s="282">
        <v>48</v>
      </c>
      <c r="E20" s="282">
        <v>34</v>
      </c>
      <c r="F20" s="1233">
        <v>616</v>
      </c>
      <c r="G20" s="327">
        <f t="shared" si="6"/>
        <v>20944</v>
      </c>
      <c r="H20" s="645">
        <f t="shared" si="7"/>
        <v>436.33333333333331</v>
      </c>
    </row>
    <row r="21" spans="1:15" ht="19.5" thickBot="1" x14ac:dyDescent="0.3">
      <c r="A21" s="282" t="s">
        <v>3542</v>
      </c>
      <c r="B21" s="1111" t="s">
        <v>3541</v>
      </c>
      <c r="C21" s="282">
        <v>0.41</v>
      </c>
      <c r="D21" s="282">
        <v>38</v>
      </c>
      <c r="E21" s="282">
        <v>49</v>
      </c>
      <c r="F21" s="1233">
        <v>616</v>
      </c>
      <c r="G21" s="327">
        <f t="shared" si="6"/>
        <v>30184</v>
      </c>
      <c r="H21" s="645">
        <f t="shared" si="7"/>
        <v>794.31578947368416</v>
      </c>
      <c r="J21" s="1652" t="s">
        <v>3673</v>
      </c>
      <c r="K21" s="1653"/>
      <c r="L21" s="1653"/>
      <c r="M21" s="1653"/>
      <c r="N21" s="1653"/>
      <c r="O21" s="1653"/>
    </row>
    <row r="22" spans="1:15" ht="18.75" x14ac:dyDescent="0.25">
      <c r="A22" s="282" t="s">
        <v>3543</v>
      </c>
      <c r="B22" s="1111" t="s">
        <v>2171</v>
      </c>
      <c r="C22" s="282">
        <v>0.41</v>
      </c>
      <c r="D22" s="282">
        <v>44</v>
      </c>
      <c r="E22" s="282">
        <v>40</v>
      </c>
      <c r="F22" s="1233">
        <v>616</v>
      </c>
      <c r="G22" s="327">
        <f t="shared" si="6"/>
        <v>24640</v>
      </c>
      <c r="H22" s="645">
        <f t="shared" si="7"/>
        <v>560</v>
      </c>
      <c r="J22" s="1660" t="s">
        <v>742</v>
      </c>
      <c r="K22" s="1657" t="s">
        <v>1343</v>
      </c>
      <c r="L22" s="1657" t="s">
        <v>2175</v>
      </c>
      <c r="M22" s="1657" t="s">
        <v>1252</v>
      </c>
      <c r="N22" s="1657" t="s">
        <v>747</v>
      </c>
      <c r="O22" s="1659" t="s">
        <v>3119</v>
      </c>
    </row>
    <row r="23" spans="1:15" ht="18.75" x14ac:dyDescent="0.25">
      <c r="A23" s="282" t="s">
        <v>3533</v>
      </c>
      <c r="B23" s="1111" t="s">
        <v>3532</v>
      </c>
      <c r="C23" s="282">
        <v>0.41</v>
      </c>
      <c r="D23" s="282">
        <v>70</v>
      </c>
      <c r="E23" s="282">
        <v>32</v>
      </c>
      <c r="F23" s="1233">
        <v>616</v>
      </c>
      <c r="G23" s="327">
        <f t="shared" ref="G23:G24" si="10">F23*E23</f>
        <v>19712</v>
      </c>
      <c r="H23" s="645">
        <f t="shared" ref="H23:H24" si="11">G23/D23</f>
        <v>281.60000000000002</v>
      </c>
      <c r="J23" s="1661"/>
      <c r="K23" s="1658"/>
      <c r="L23" s="1658"/>
      <c r="M23" s="1658"/>
      <c r="N23" s="1658"/>
      <c r="O23" s="1659"/>
    </row>
    <row r="24" spans="1:15" ht="18.75" x14ac:dyDescent="0.25">
      <c r="A24" s="282" t="s">
        <v>5046</v>
      </c>
      <c r="B24" s="1111" t="s">
        <v>5047</v>
      </c>
      <c r="C24" s="282">
        <v>0.41</v>
      </c>
      <c r="D24" s="282">
        <v>44</v>
      </c>
      <c r="E24" s="282">
        <v>58</v>
      </c>
      <c r="F24" s="1233">
        <v>616</v>
      </c>
      <c r="G24" s="327">
        <f t="shared" si="10"/>
        <v>35728</v>
      </c>
      <c r="H24" s="645">
        <f t="shared" si="11"/>
        <v>812</v>
      </c>
      <c r="J24" s="1232" t="s">
        <v>2691</v>
      </c>
      <c r="K24" s="1232" t="s">
        <v>3611</v>
      </c>
      <c r="L24" s="1232">
        <v>0.45</v>
      </c>
      <c r="M24" s="1232"/>
      <c r="N24" s="327">
        <v>2600</v>
      </c>
      <c r="O24" s="1229"/>
    </row>
    <row r="25" spans="1:15" ht="18.75" x14ac:dyDescent="0.25">
      <c r="A25" s="282" t="s">
        <v>5033</v>
      </c>
      <c r="B25" s="1111" t="s">
        <v>3537</v>
      </c>
      <c r="C25" s="282">
        <v>0.41</v>
      </c>
      <c r="D25" s="282">
        <v>48</v>
      </c>
      <c r="E25" s="282">
        <v>60</v>
      </c>
      <c r="F25" s="1233">
        <v>616</v>
      </c>
      <c r="G25" s="327">
        <f t="shared" ref="G25:G35" si="12">F25*E25</f>
        <v>36960</v>
      </c>
      <c r="H25" s="645">
        <f t="shared" ref="H25:H36" si="13">G25/D25</f>
        <v>770</v>
      </c>
      <c r="J25" s="1232" t="s">
        <v>3569</v>
      </c>
      <c r="K25" s="1232" t="s">
        <v>3677</v>
      </c>
      <c r="L25" s="1232">
        <v>0.48</v>
      </c>
      <c r="M25" s="1232"/>
      <c r="N25" s="327">
        <v>2600</v>
      </c>
      <c r="O25" s="645"/>
    </row>
    <row r="26" spans="1:15" ht="18.75" x14ac:dyDescent="0.25">
      <c r="A26" s="282" t="s">
        <v>3579</v>
      </c>
      <c r="B26" s="1111" t="s">
        <v>3564</v>
      </c>
      <c r="C26" s="282">
        <v>0.41</v>
      </c>
      <c r="D26" s="282">
        <v>35</v>
      </c>
      <c r="E26" s="282">
        <v>37</v>
      </c>
      <c r="F26" s="1233">
        <v>616</v>
      </c>
      <c r="G26" s="327">
        <f t="shared" si="12"/>
        <v>22792</v>
      </c>
      <c r="H26" s="645">
        <f t="shared" si="13"/>
        <v>651.20000000000005</v>
      </c>
      <c r="J26" s="1232" t="s">
        <v>3679</v>
      </c>
      <c r="K26" s="1232" t="s">
        <v>3678</v>
      </c>
      <c r="L26" s="1232">
        <v>0.41</v>
      </c>
      <c r="M26" s="1232"/>
      <c r="N26" s="327">
        <v>1370</v>
      </c>
      <c r="O26" s="645"/>
    </row>
    <row r="27" spans="1:15" ht="18.75" x14ac:dyDescent="0.25">
      <c r="A27" s="282" t="s">
        <v>3580</v>
      </c>
      <c r="B27" s="1111" t="s">
        <v>3581</v>
      </c>
      <c r="C27" s="282">
        <v>0.41</v>
      </c>
      <c r="D27" s="282">
        <v>80</v>
      </c>
      <c r="E27" s="282">
        <v>49</v>
      </c>
      <c r="F27" s="1233">
        <v>616</v>
      </c>
      <c r="G27" s="327">
        <f t="shared" si="12"/>
        <v>30184</v>
      </c>
      <c r="H27" s="645">
        <f t="shared" si="13"/>
        <v>377.3</v>
      </c>
      <c r="J27" s="1232" t="s">
        <v>4189</v>
      </c>
      <c r="K27" s="1232" t="s">
        <v>4190</v>
      </c>
      <c r="L27" s="1232">
        <v>0.43</v>
      </c>
      <c r="M27" s="1232">
        <v>55</v>
      </c>
      <c r="N27" s="327">
        <v>6260</v>
      </c>
      <c r="O27" s="645">
        <f>N27/M27</f>
        <v>113.81818181818181</v>
      </c>
    </row>
    <row r="28" spans="1:15" ht="18.75" x14ac:dyDescent="0.25">
      <c r="A28" s="282" t="s">
        <v>3622</v>
      </c>
      <c r="B28" s="1111" t="s">
        <v>1259</v>
      </c>
      <c r="C28" s="282">
        <v>0.4</v>
      </c>
      <c r="D28" s="282">
        <v>75</v>
      </c>
      <c r="E28" s="282">
        <v>51</v>
      </c>
      <c r="F28" s="1233">
        <v>616</v>
      </c>
      <c r="G28" s="327">
        <f>F28*E28</f>
        <v>31416</v>
      </c>
      <c r="H28" s="645">
        <f>G28/D28</f>
        <v>418.88</v>
      </c>
      <c r="J28" s="282"/>
      <c r="K28" s="1111"/>
      <c r="L28" s="282"/>
      <c r="M28" s="282"/>
      <c r="N28" s="327"/>
      <c r="O28" s="645"/>
    </row>
    <row r="29" spans="1:15" ht="15" customHeight="1" x14ac:dyDescent="0.25">
      <c r="A29" s="282" t="s">
        <v>3625</v>
      </c>
      <c r="B29" s="1111" t="s">
        <v>3624</v>
      </c>
      <c r="C29" s="282">
        <v>0.41</v>
      </c>
      <c r="D29" s="282">
        <v>73</v>
      </c>
      <c r="E29" s="282">
        <v>48</v>
      </c>
      <c r="F29" s="1233">
        <v>616</v>
      </c>
      <c r="G29" s="327">
        <f>F29*E29</f>
        <v>29568</v>
      </c>
      <c r="H29" s="645">
        <f>G29/D29</f>
        <v>405.04109589041099</v>
      </c>
      <c r="J29" s="282"/>
      <c r="K29" s="1111"/>
      <c r="L29" s="282"/>
      <c r="M29" s="282"/>
      <c r="N29" s="327"/>
      <c r="O29" s="645"/>
    </row>
    <row r="30" spans="1:15" ht="15.75" customHeight="1" x14ac:dyDescent="0.25">
      <c r="A30" s="282" t="s">
        <v>3623</v>
      </c>
      <c r="B30" s="1111" t="s">
        <v>1262</v>
      </c>
      <c r="C30" s="282">
        <v>0.4</v>
      </c>
      <c r="D30" s="282">
        <v>65</v>
      </c>
      <c r="E30" s="282">
        <v>66</v>
      </c>
      <c r="F30" s="1233">
        <v>616</v>
      </c>
      <c r="G30" s="327">
        <f>F30*E30</f>
        <v>40656</v>
      </c>
      <c r="H30" s="645">
        <f>G30/D30</f>
        <v>625.47692307692307</v>
      </c>
    </row>
    <row r="31" spans="1:15" ht="18.75" x14ac:dyDescent="0.25">
      <c r="A31" s="282" t="s">
        <v>3599</v>
      </c>
      <c r="B31" s="1111" t="s">
        <v>1267</v>
      </c>
      <c r="C31" s="282">
        <v>0.43</v>
      </c>
      <c r="D31" s="282">
        <v>62</v>
      </c>
      <c r="E31" s="282">
        <v>81</v>
      </c>
      <c r="F31" s="1233">
        <v>616</v>
      </c>
      <c r="G31" s="327">
        <f t="shared" si="12"/>
        <v>49896</v>
      </c>
      <c r="H31" s="645">
        <f t="shared" si="13"/>
        <v>804.77419354838707</v>
      </c>
    </row>
    <row r="32" spans="1:15" ht="18.75" x14ac:dyDescent="0.25">
      <c r="A32" s="282" t="s">
        <v>3599</v>
      </c>
      <c r="B32" s="1111" t="s">
        <v>3632</v>
      </c>
      <c r="C32" s="282"/>
      <c r="D32" s="282">
        <v>9</v>
      </c>
      <c r="E32" s="282">
        <v>10</v>
      </c>
      <c r="F32" s="1233">
        <v>616</v>
      </c>
      <c r="G32" s="327">
        <f t="shared" si="12"/>
        <v>6160</v>
      </c>
      <c r="H32" s="645">
        <f t="shared" si="13"/>
        <v>684.44444444444446</v>
      </c>
    </row>
    <row r="33" spans="1:8" ht="18.75" x14ac:dyDescent="0.25">
      <c r="A33" s="282" t="s">
        <v>2270</v>
      </c>
      <c r="B33" s="282" t="s">
        <v>1334</v>
      </c>
      <c r="C33" s="282">
        <v>0.36</v>
      </c>
      <c r="D33" s="282">
        <v>48</v>
      </c>
      <c r="E33" s="282">
        <v>30</v>
      </c>
      <c r="F33" s="894">
        <v>1000</v>
      </c>
      <c r="G33" s="327">
        <f>F33*E33</f>
        <v>30000</v>
      </c>
      <c r="H33" s="645">
        <f t="shared" si="13"/>
        <v>625</v>
      </c>
    </row>
    <row r="34" spans="1:8" ht="18.75" x14ac:dyDescent="0.25">
      <c r="A34" s="282" t="s">
        <v>3596</v>
      </c>
      <c r="B34" s="1111" t="s">
        <v>1316</v>
      </c>
      <c r="C34" s="282">
        <v>0.34499999999999997</v>
      </c>
      <c r="D34" s="282">
        <v>38</v>
      </c>
      <c r="E34" s="282">
        <v>19</v>
      </c>
      <c r="F34" s="894">
        <v>616</v>
      </c>
      <c r="G34" s="327">
        <v>16000</v>
      </c>
      <c r="H34" s="645">
        <f t="shared" si="13"/>
        <v>421.05263157894734</v>
      </c>
    </row>
    <row r="35" spans="1:8" ht="18.75" x14ac:dyDescent="0.25">
      <c r="A35" s="282" t="s">
        <v>3596</v>
      </c>
      <c r="B35" s="1111" t="s">
        <v>2059</v>
      </c>
      <c r="C35" s="282">
        <v>0.34499999999999997</v>
      </c>
      <c r="D35" s="282">
        <v>42</v>
      </c>
      <c r="E35" s="282">
        <v>19</v>
      </c>
      <c r="F35" s="894">
        <v>616</v>
      </c>
      <c r="G35" s="327">
        <f t="shared" si="12"/>
        <v>11704</v>
      </c>
      <c r="H35" s="645">
        <f t="shared" si="13"/>
        <v>278.66666666666669</v>
      </c>
    </row>
    <row r="36" spans="1:8" ht="18.75" x14ac:dyDescent="0.25">
      <c r="A36" s="282" t="s">
        <v>4364</v>
      </c>
      <c r="B36" s="1111"/>
      <c r="C36" s="282">
        <v>0.36</v>
      </c>
      <c r="D36" s="282">
        <v>72</v>
      </c>
      <c r="E36" s="282">
        <v>14</v>
      </c>
      <c r="F36" s="894">
        <v>616</v>
      </c>
      <c r="G36" s="327">
        <v>10560</v>
      </c>
      <c r="H36" s="645">
        <f t="shared" si="13"/>
        <v>146.66666666666666</v>
      </c>
    </row>
    <row r="37" spans="1:8" ht="18.75" x14ac:dyDescent="0.25">
      <c r="A37" s="282"/>
      <c r="B37" s="1111"/>
      <c r="C37" s="282"/>
      <c r="D37" s="282"/>
      <c r="E37" s="282"/>
      <c r="F37" s="894"/>
      <c r="G37" s="327"/>
      <c r="H37" s="645"/>
    </row>
  </sheetData>
  <mergeCells count="17">
    <mergeCell ref="A1:H1"/>
    <mergeCell ref="J1:O1"/>
    <mergeCell ref="C2:C3"/>
    <mergeCell ref="A2:A3"/>
    <mergeCell ref="B2:B3"/>
    <mergeCell ref="D2:D3"/>
    <mergeCell ref="E2:E3"/>
    <mergeCell ref="F2:F3"/>
    <mergeCell ref="G2:G3"/>
    <mergeCell ref="H2:H3"/>
    <mergeCell ref="L22:L23"/>
    <mergeCell ref="M22:M23"/>
    <mergeCell ref="N22:N23"/>
    <mergeCell ref="O22:O23"/>
    <mergeCell ref="J21:O21"/>
    <mergeCell ref="J22:J23"/>
    <mergeCell ref="K22:K23"/>
  </mergeCells>
  <phoneticPr fontId="2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Q61"/>
  <sheetViews>
    <sheetView topLeftCell="A3" zoomScale="70" zoomScaleNormal="70" workbookViewId="0">
      <selection activeCell="D44" sqref="D44"/>
    </sheetView>
  </sheetViews>
  <sheetFormatPr baseColWidth="10" defaultColWidth="10.85546875" defaultRowHeight="15.75" x14ac:dyDescent="0.25"/>
  <cols>
    <col min="1" max="1" width="25" style="171" bestFit="1" customWidth="1"/>
    <col min="2" max="2" width="16.85546875" style="171" bestFit="1" customWidth="1"/>
    <col min="3" max="3" width="16.42578125" style="171" bestFit="1" customWidth="1"/>
    <col min="4" max="4" width="15.28515625" style="171" bestFit="1" customWidth="1"/>
    <col min="5" max="5" width="14.5703125" style="171" bestFit="1" customWidth="1"/>
    <col min="6" max="6" width="29.85546875" style="171" bestFit="1" customWidth="1"/>
    <col min="7" max="7" width="13.140625" style="171" bestFit="1" customWidth="1"/>
    <col min="8" max="8" width="15.140625" style="171" bestFit="1" customWidth="1"/>
    <col min="9" max="9" width="16.7109375" style="171" bestFit="1" customWidth="1"/>
    <col min="10" max="10" width="18" style="171" bestFit="1" customWidth="1"/>
    <col min="11" max="11" width="20" style="171" bestFit="1" customWidth="1"/>
    <col min="12" max="12" width="15.42578125" style="171" bestFit="1" customWidth="1"/>
    <col min="13" max="13" width="16.140625" style="171" bestFit="1" customWidth="1"/>
    <col min="14" max="14" width="11.7109375" style="171" bestFit="1" customWidth="1"/>
    <col min="15" max="15" width="15.140625" style="171" bestFit="1" customWidth="1"/>
    <col min="16" max="16" width="13.5703125" style="171" bestFit="1" customWidth="1"/>
    <col min="17" max="17" width="18.7109375" style="171" bestFit="1" customWidth="1"/>
    <col min="18" max="16384" width="10.85546875" style="171"/>
  </cols>
  <sheetData>
    <row r="1" spans="1:17" ht="19.5" thickBot="1" x14ac:dyDescent="0.3">
      <c r="A1" s="1671" t="s">
        <v>1364</v>
      </c>
      <c r="B1" s="1672"/>
      <c r="C1" s="1672"/>
      <c r="D1" s="1672"/>
      <c r="E1" s="1672"/>
      <c r="F1" s="1672"/>
      <c r="I1" s="1565" t="s">
        <v>1212</v>
      </c>
      <c r="J1" s="1566"/>
      <c r="K1" s="1566"/>
      <c r="L1" s="1566"/>
      <c r="M1" s="1566"/>
      <c r="N1" s="1567"/>
    </row>
    <row r="2" spans="1:17" ht="16.5" thickBot="1" x14ac:dyDescent="0.3">
      <c r="A2" s="245" t="s">
        <v>1365</v>
      </c>
      <c r="B2" s="10" t="s">
        <v>1366</v>
      </c>
      <c r="C2" s="12" t="s">
        <v>916</v>
      </c>
      <c r="D2" s="244" t="s">
        <v>1367</v>
      </c>
      <c r="E2" s="68" t="s">
        <v>1368</v>
      </c>
      <c r="F2" s="243" t="s">
        <v>1369</v>
      </c>
      <c r="I2" s="263" t="s">
        <v>742</v>
      </c>
      <c r="J2" s="264" t="s">
        <v>743</v>
      </c>
      <c r="K2" s="265" t="s">
        <v>932</v>
      </c>
      <c r="L2" s="265" t="s">
        <v>1213</v>
      </c>
      <c r="M2" s="265" t="s">
        <v>1214</v>
      </c>
      <c r="N2" s="266" t="s">
        <v>1070</v>
      </c>
      <c r="O2" s="1"/>
    </row>
    <row r="3" spans="1:17" ht="15.95" customHeight="1" thickBot="1" x14ac:dyDescent="0.3">
      <c r="A3" s="1561" t="s">
        <v>1370</v>
      </c>
      <c r="B3" s="1561" t="s">
        <v>1371</v>
      </c>
      <c r="C3" s="242" t="s">
        <v>1372</v>
      </c>
      <c r="D3" s="1673">
        <v>1225</v>
      </c>
      <c r="E3" s="18">
        <v>7.5</v>
      </c>
      <c r="F3" s="248">
        <f t="shared" ref="F3:F19" si="0">$D$3/E3</f>
        <v>163.33333333333334</v>
      </c>
      <c r="G3" s="1676" t="s">
        <v>1373</v>
      </c>
      <c r="I3" s="13" t="s">
        <v>1374</v>
      </c>
      <c r="J3" s="9">
        <v>0.39</v>
      </c>
      <c r="K3" s="144" t="s">
        <v>1022</v>
      </c>
      <c r="L3" s="144"/>
      <c r="M3" s="67"/>
      <c r="N3" s="67">
        <v>170</v>
      </c>
      <c r="O3" s="262" t="s">
        <v>1375</v>
      </c>
    </row>
    <row r="4" spans="1:17" ht="15.95" customHeight="1" thickBot="1" x14ac:dyDescent="0.3">
      <c r="A4" s="1562"/>
      <c r="B4" s="1562"/>
      <c r="C4" s="241" t="s">
        <v>1376</v>
      </c>
      <c r="D4" s="1674"/>
      <c r="E4" s="133">
        <v>7.5</v>
      </c>
      <c r="F4" s="248">
        <f t="shared" si="0"/>
        <v>163.33333333333334</v>
      </c>
      <c r="G4" s="1677"/>
      <c r="I4" s="13" t="s">
        <v>1377</v>
      </c>
      <c r="J4" s="9">
        <v>0.39</v>
      </c>
      <c r="K4" s="144" t="s">
        <v>803</v>
      </c>
      <c r="L4" s="144">
        <v>10</v>
      </c>
      <c r="M4" s="67">
        <v>1700</v>
      </c>
      <c r="N4" s="67">
        <f>M4/L4</f>
        <v>170</v>
      </c>
      <c r="O4" s="1"/>
    </row>
    <row r="5" spans="1:17" ht="15.95" customHeight="1" thickBot="1" x14ac:dyDescent="0.3">
      <c r="A5" s="1562"/>
      <c r="B5" s="1563"/>
      <c r="C5" s="153" t="s">
        <v>1378</v>
      </c>
      <c r="D5" s="1674"/>
      <c r="E5" s="86">
        <v>7.5</v>
      </c>
      <c r="F5" s="248">
        <f t="shared" si="0"/>
        <v>163.33333333333334</v>
      </c>
      <c r="G5" s="1678"/>
      <c r="I5" s="13" t="s">
        <v>1379</v>
      </c>
      <c r="J5" s="9">
        <v>0.39</v>
      </c>
      <c r="K5" s="144" t="s">
        <v>803</v>
      </c>
      <c r="L5" s="144"/>
      <c r="M5" s="67"/>
      <c r="N5" s="67">
        <v>213</v>
      </c>
      <c r="O5" s="262" t="s">
        <v>1375</v>
      </c>
    </row>
    <row r="6" spans="1:17" ht="15.95" customHeight="1" thickBot="1" x14ac:dyDescent="0.3">
      <c r="A6" s="1562"/>
      <c r="B6" s="1561" t="s">
        <v>1380</v>
      </c>
      <c r="C6" s="242" t="s">
        <v>1381</v>
      </c>
      <c r="D6" s="1674"/>
      <c r="E6" s="231">
        <v>3</v>
      </c>
      <c r="F6" s="249">
        <f t="shared" si="0"/>
        <v>408.33333333333331</v>
      </c>
      <c r="G6" s="1679" t="s">
        <v>1382</v>
      </c>
      <c r="I6" s="13" t="s">
        <v>1383</v>
      </c>
      <c r="J6" s="9">
        <v>0.39</v>
      </c>
      <c r="K6" s="144" t="s">
        <v>1022</v>
      </c>
      <c r="L6" s="144"/>
      <c r="M6" s="67"/>
      <c r="N6" s="67">
        <v>210</v>
      </c>
      <c r="O6" s="262" t="s">
        <v>1384</v>
      </c>
    </row>
    <row r="7" spans="1:17" ht="15.95" customHeight="1" thickBot="1" x14ac:dyDescent="0.3">
      <c r="A7" s="1562"/>
      <c r="B7" s="1562"/>
      <c r="C7" s="241" t="s">
        <v>1385</v>
      </c>
      <c r="D7" s="1674"/>
      <c r="E7" s="133">
        <v>3</v>
      </c>
      <c r="F7" s="249">
        <f t="shared" si="0"/>
        <v>408.33333333333331</v>
      </c>
      <c r="G7" s="1680"/>
      <c r="I7" s="13" t="s">
        <v>1374</v>
      </c>
      <c r="J7" s="9">
        <v>1.39</v>
      </c>
      <c r="K7" s="144" t="s">
        <v>1022</v>
      </c>
      <c r="L7" s="144"/>
      <c r="M7" s="67"/>
      <c r="N7" s="67">
        <v>250</v>
      </c>
      <c r="O7" s="262" t="s">
        <v>1386</v>
      </c>
    </row>
    <row r="8" spans="1:17" ht="15.95" customHeight="1" thickBot="1" x14ac:dyDescent="0.3">
      <c r="A8" s="1562"/>
      <c r="B8" s="1562"/>
      <c r="C8" s="241" t="s">
        <v>1387</v>
      </c>
      <c r="D8" s="1674"/>
      <c r="E8" s="133">
        <v>3</v>
      </c>
      <c r="F8" s="249">
        <f t="shared" si="0"/>
        <v>408.33333333333331</v>
      </c>
      <c r="G8" s="1680"/>
      <c r="I8" s="1"/>
      <c r="J8" s="1"/>
      <c r="K8" s="1"/>
      <c r="L8" s="1"/>
    </row>
    <row r="9" spans="1:17" ht="15.95" customHeight="1" thickBot="1" x14ac:dyDescent="0.3">
      <c r="A9" s="1562"/>
      <c r="B9" s="1562"/>
      <c r="C9" s="241" t="s">
        <v>1388</v>
      </c>
      <c r="D9" s="1674"/>
      <c r="E9" s="133">
        <v>3</v>
      </c>
      <c r="F9" s="249">
        <f t="shared" si="0"/>
        <v>408.33333333333331</v>
      </c>
      <c r="G9" s="1680"/>
      <c r="I9" s="1"/>
      <c r="J9" s="1"/>
      <c r="K9" s="1"/>
      <c r="L9" s="1"/>
    </row>
    <row r="10" spans="1:17" ht="15.95" customHeight="1" thickBot="1" x14ac:dyDescent="0.3">
      <c r="A10" s="1562"/>
      <c r="B10" s="1563"/>
      <c r="C10" s="153" t="s">
        <v>1389</v>
      </c>
      <c r="D10" s="1674"/>
      <c r="E10" s="231">
        <v>3</v>
      </c>
      <c r="F10" s="249">
        <f t="shared" si="0"/>
        <v>408.33333333333331</v>
      </c>
      <c r="G10" s="1680"/>
      <c r="I10" s="1600" t="s">
        <v>1111</v>
      </c>
      <c r="J10" s="1600"/>
      <c r="K10" s="1600"/>
      <c r="L10" s="1600"/>
    </row>
    <row r="11" spans="1:17" ht="15.95" customHeight="1" thickBot="1" x14ac:dyDescent="0.3">
      <c r="A11" s="1562"/>
      <c r="B11" s="1561" t="s">
        <v>1390</v>
      </c>
      <c r="C11" s="242" t="s">
        <v>1372</v>
      </c>
      <c r="D11" s="1674"/>
      <c r="E11" s="18">
        <v>3</v>
      </c>
      <c r="F11" s="249">
        <f t="shared" si="0"/>
        <v>408.33333333333331</v>
      </c>
      <c r="G11" s="1680"/>
      <c r="I11" s="112" t="s">
        <v>1366</v>
      </c>
      <c r="J11" s="143" t="s">
        <v>1074</v>
      </c>
      <c r="K11" s="143" t="s">
        <v>1112</v>
      </c>
      <c r="L11" s="112" t="s">
        <v>747</v>
      </c>
    </row>
    <row r="12" spans="1:17" ht="15.95" customHeight="1" thickBot="1" x14ac:dyDescent="0.3">
      <c r="A12" s="1562"/>
      <c r="B12" s="1563"/>
      <c r="C12" s="153" t="s">
        <v>1391</v>
      </c>
      <c r="D12" s="1674"/>
      <c r="E12" s="86">
        <v>3</v>
      </c>
      <c r="F12" s="249">
        <f t="shared" si="0"/>
        <v>408.33333333333331</v>
      </c>
      <c r="G12" s="1681"/>
      <c r="I12" s="2" t="s">
        <v>1392</v>
      </c>
      <c r="J12" s="2">
        <v>898</v>
      </c>
      <c r="K12" s="106">
        <v>898</v>
      </c>
      <c r="L12" s="106">
        <f>K12/J12</f>
        <v>1</v>
      </c>
    </row>
    <row r="13" spans="1:17" ht="15.95" customHeight="1" thickBot="1" x14ac:dyDescent="0.3">
      <c r="A13" s="1562"/>
      <c r="B13" s="1561" t="s">
        <v>1393</v>
      </c>
      <c r="C13" s="242" t="s">
        <v>1381</v>
      </c>
      <c r="D13" s="1674"/>
      <c r="E13" s="18">
        <v>4.5</v>
      </c>
      <c r="F13" s="250">
        <f t="shared" si="0"/>
        <v>272.22222222222223</v>
      </c>
      <c r="G13" s="1682" t="s">
        <v>1394</v>
      </c>
    </row>
    <row r="14" spans="1:17" ht="15.95" customHeight="1" thickBot="1" x14ac:dyDescent="0.3">
      <c r="A14" s="1562"/>
      <c r="B14" s="1562"/>
      <c r="C14" s="241" t="s">
        <v>1395</v>
      </c>
      <c r="D14" s="1674"/>
      <c r="E14" s="133">
        <v>4.5</v>
      </c>
      <c r="F14" s="250">
        <f t="shared" si="0"/>
        <v>272.22222222222223</v>
      </c>
      <c r="G14" s="1683"/>
    </row>
    <row r="15" spans="1:17" ht="15.95" customHeight="1" thickBot="1" x14ac:dyDescent="0.3">
      <c r="A15" s="1562"/>
      <c r="B15" s="1562"/>
      <c r="C15" s="241" t="s">
        <v>1389</v>
      </c>
      <c r="D15" s="1674"/>
      <c r="E15" s="133">
        <v>4.5</v>
      </c>
      <c r="F15" s="250">
        <f t="shared" si="0"/>
        <v>272.22222222222223</v>
      </c>
      <c r="G15" s="1683"/>
      <c r="I15" s="1577" t="s">
        <v>3195</v>
      </c>
      <c r="J15" s="1577"/>
      <c r="K15" s="1577"/>
      <c r="L15" s="1577"/>
      <c r="M15" s="1577"/>
      <c r="N15" s="1577"/>
      <c r="O15" s="1577"/>
      <c r="Q15" s="1407" t="s">
        <v>4363</v>
      </c>
    </row>
    <row r="16" spans="1:17" ht="15.95" customHeight="1" thickBot="1" x14ac:dyDescent="0.3">
      <c r="A16" s="1562"/>
      <c r="B16" s="1562"/>
      <c r="C16" s="241" t="s">
        <v>1385</v>
      </c>
      <c r="D16" s="1674"/>
      <c r="E16" s="133">
        <v>4.5</v>
      </c>
      <c r="F16" s="250">
        <f t="shared" si="0"/>
        <v>272.22222222222223</v>
      </c>
      <c r="G16" s="1683"/>
      <c r="I16" s="113" t="s">
        <v>1162</v>
      </c>
      <c r="J16" s="147" t="s">
        <v>1396</v>
      </c>
      <c r="K16" s="176" t="s">
        <v>1397</v>
      </c>
      <c r="L16" s="181" t="s">
        <v>1069</v>
      </c>
      <c r="M16" s="179" t="s">
        <v>1398</v>
      </c>
      <c r="N16" s="113" t="s">
        <v>1070</v>
      </c>
      <c r="O16" s="147" t="s">
        <v>1399</v>
      </c>
      <c r="Q16" s="147" t="s">
        <v>4362</v>
      </c>
    </row>
    <row r="17" spans="1:17" ht="15.95" customHeight="1" thickBot="1" x14ac:dyDescent="0.3">
      <c r="A17" s="1562"/>
      <c r="B17" s="1563"/>
      <c r="C17" s="153" t="s">
        <v>1388</v>
      </c>
      <c r="D17" s="1674"/>
      <c r="E17" s="86">
        <v>4.5</v>
      </c>
      <c r="F17" s="250">
        <f t="shared" si="0"/>
        <v>272.22222222222223</v>
      </c>
      <c r="G17" s="1683"/>
      <c r="I17" s="15" t="s">
        <v>1400</v>
      </c>
      <c r="J17" s="15">
        <v>12</v>
      </c>
      <c r="K17" s="180">
        <v>0.5</v>
      </c>
      <c r="L17" s="15">
        <v>320</v>
      </c>
      <c r="M17" s="16">
        <v>13200</v>
      </c>
      <c r="N17" s="16">
        <f>M17/J17</f>
        <v>1100</v>
      </c>
      <c r="O17" s="16">
        <f>N17/L17</f>
        <v>3.4375</v>
      </c>
      <c r="Q17" s="106">
        <v>135000</v>
      </c>
    </row>
    <row r="18" spans="1:17" ht="15.95" customHeight="1" thickBot="1" x14ac:dyDescent="0.3">
      <c r="A18" s="1562"/>
      <c r="B18" s="1561" t="s">
        <v>1401</v>
      </c>
      <c r="C18" s="242" t="s">
        <v>1391</v>
      </c>
      <c r="D18" s="1674"/>
      <c r="E18" s="18">
        <v>4.5</v>
      </c>
      <c r="F18" s="250">
        <f t="shared" si="0"/>
        <v>272.22222222222223</v>
      </c>
      <c r="G18" s="1683"/>
      <c r="I18" s="15" t="s">
        <v>1241</v>
      </c>
      <c r="J18" s="15">
        <v>12</v>
      </c>
      <c r="K18" s="180">
        <v>0.5</v>
      </c>
      <c r="L18" s="15">
        <v>320</v>
      </c>
      <c r="M18" s="16">
        <v>10080</v>
      </c>
      <c r="N18" s="16">
        <f>M18/J18</f>
        <v>840</v>
      </c>
      <c r="O18" s="16">
        <f>N18/L18</f>
        <v>2.625</v>
      </c>
    </row>
    <row r="19" spans="1:17" ht="15.95" customHeight="1" thickBot="1" x14ac:dyDescent="0.3">
      <c r="A19" s="1562"/>
      <c r="B19" s="1563"/>
      <c r="C19" s="153" t="s">
        <v>1378</v>
      </c>
      <c r="D19" s="1674"/>
      <c r="E19" s="86">
        <v>4.5</v>
      </c>
      <c r="F19" s="251">
        <f t="shared" si="0"/>
        <v>272.22222222222223</v>
      </c>
      <c r="G19" s="1684"/>
      <c r="I19" s="15" t="s">
        <v>1402</v>
      </c>
      <c r="J19" s="15">
        <v>12</v>
      </c>
      <c r="K19" s="180">
        <v>0.5</v>
      </c>
      <c r="L19" s="15">
        <v>320</v>
      </c>
      <c r="M19" s="16">
        <f>M17</f>
        <v>13200</v>
      </c>
      <c r="N19" s="16">
        <f>M19/J19</f>
        <v>1100</v>
      </c>
      <c r="O19" s="16">
        <f>N19/L19</f>
        <v>3.4375</v>
      </c>
    </row>
    <row r="20" spans="1:17" ht="15.95" customHeight="1" thickBot="1" x14ac:dyDescent="0.3">
      <c r="A20" s="1563"/>
      <c r="B20" s="229" t="s">
        <v>1403</v>
      </c>
      <c r="C20" s="153" t="s">
        <v>1404</v>
      </c>
      <c r="D20" s="1675"/>
      <c r="E20" s="86"/>
      <c r="F20" s="246" t="e">
        <f>$D$3/E20</f>
        <v>#DIV/0!</v>
      </c>
      <c r="G20" s="252"/>
    </row>
    <row r="21" spans="1:17" ht="16.5" thickBot="1" x14ac:dyDescent="0.3"/>
    <row r="22" spans="1:17" ht="19.5" thickBot="1" x14ac:dyDescent="0.3">
      <c r="A22" s="1664" t="s">
        <v>1406</v>
      </c>
      <c r="B22" s="1665"/>
      <c r="C22" s="1665"/>
      <c r="D22" s="1665"/>
      <c r="E22" s="1665"/>
      <c r="F22" s="247"/>
      <c r="I22" s="1605" t="s">
        <v>1405</v>
      </c>
      <c r="J22" s="1606"/>
      <c r="K22" s="1606"/>
      <c r="L22" s="1606"/>
      <c r="M22" s="1607"/>
    </row>
    <row r="23" spans="1:17" ht="16.5" thickBot="1" x14ac:dyDescent="0.3">
      <c r="A23" s="10" t="s">
        <v>1366</v>
      </c>
      <c r="B23" s="245" t="s">
        <v>743</v>
      </c>
      <c r="C23" s="14" t="s">
        <v>1034</v>
      </c>
      <c r="D23" s="14" t="s">
        <v>1367</v>
      </c>
      <c r="E23" s="14" t="s">
        <v>1369</v>
      </c>
      <c r="I23" s="263" t="s">
        <v>743</v>
      </c>
      <c r="J23" s="112" t="s">
        <v>1366</v>
      </c>
      <c r="K23" s="143" t="s">
        <v>1069</v>
      </c>
      <c r="L23" s="143" t="s">
        <v>1167</v>
      </c>
      <c r="M23" s="199" t="s">
        <v>1399</v>
      </c>
    </row>
    <row r="24" spans="1:17" ht="16.5" thickBot="1" x14ac:dyDescent="0.3">
      <c r="A24" s="13" t="s">
        <v>1408</v>
      </c>
      <c r="B24" s="180" t="s">
        <v>1022</v>
      </c>
      <c r="C24" s="15">
        <v>65</v>
      </c>
      <c r="D24" s="187">
        <v>296</v>
      </c>
      <c r="E24" s="187">
        <f>D24/C24</f>
        <v>4.5538461538461537</v>
      </c>
      <c r="I24" s="506" t="s">
        <v>846</v>
      </c>
      <c r="J24" s="329" t="s">
        <v>1407</v>
      </c>
      <c r="K24" s="330">
        <v>200</v>
      </c>
      <c r="L24" s="102">
        <v>110</v>
      </c>
      <c r="M24" s="39">
        <f>L24/K24</f>
        <v>0.55000000000000004</v>
      </c>
    </row>
    <row r="25" spans="1:17" ht="16.5" thickBot="1" x14ac:dyDescent="0.3">
      <c r="A25" s="13" t="s">
        <v>1410</v>
      </c>
      <c r="B25" s="180" t="s">
        <v>781</v>
      </c>
      <c r="C25" s="15">
        <v>35</v>
      </c>
      <c r="D25" s="187">
        <v>342</v>
      </c>
      <c r="E25" s="187">
        <f>D25/C25</f>
        <v>9.7714285714285722</v>
      </c>
      <c r="I25" s="3" t="s">
        <v>1022</v>
      </c>
      <c r="J25" s="2" t="s">
        <v>1409</v>
      </c>
      <c r="K25" s="2">
        <v>140</v>
      </c>
      <c r="L25" s="102">
        <v>87</v>
      </c>
      <c r="M25" s="39">
        <f>L25/K25</f>
        <v>0.62142857142857144</v>
      </c>
    </row>
    <row r="26" spans="1:17" ht="16.5" thickBot="1" x14ac:dyDescent="0.3">
      <c r="A26" s="13" t="s">
        <v>1412</v>
      </c>
      <c r="B26" s="180" t="s">
        <v>803</v>
      </c>
      <c r="C26" s="15">
        <v>60</v>
      </c>
      <c r="D26" s="187">
        <v>400</v>
      </c>
      <c r="E26" s="187">
        <f>D26/C26</f>
        <v>6.666666666666667</v>
      </c>
      <c r="I26" s="3" t="s">
        <v>781</v>
      </c>
      <c r="J26" s="2" t="s">
        <v>1411</v>
      </c>
      <c r="K26" s="2">
        <v>90</v>
      </c>
      <c r="L26" s="102">
        <v>219</v>
      </c>
      <c r="M26" s="39">
        <f>L26/K26</f>
        <v>2.4333333333333331</v>
      </c>
    </row>
    <row r="27" spans="1:17" x14ac:dyDescent="0.25">
      <c r="I27" s="3" t="s">
        <v>805</v>
      </c>
      <c r="J27" s="2" t="s">
        <v>1413</v>
      </c>
      <c r="K27" s="2">
        <v>90</v>
      </c>
      <c r="L27" s="102">
        <v>250</v>
      </c>
      <c r="M27" s="39">
        <f>L27/K27</f>
        <v>2.7777777777777777</v>
      </c>
    </row>
    <row r="28" spans="1:17" ht="18.600000000000001" customHeight="1" thickBot="1" x14ac:dyDescent="0.3">
      <c r="A28" s="1664" t="s">
        <v>1248</v>
      </c>
      <c r="B28" s="1665"/>
      <c r="C28" s="1665"/>
      <c r="D28" s="1665"/>
      <c r="E28" s="1665"/>
      <c r="F28" s="1665"/>
      <c r="I28" s="168" t="s">
        <v>937</v>
      </c>
      <c r="J28" s="4" t="s">
        <v>1414</v>
      </c>
      <c r="K28" s="4">
        <v>60</v>
      </c>
      <c r="L28" s="197">
        <v>300</v>
      </c>
      <c r="M28" s="338">
        <f>L28/K28</f>
        <v>5</v>
      </c>
    </row>
    <row r="29" spans="1:17" ht="16.5" thickBot="1" x14ac:dyDescent="0.3">
      <c r="A29" s="10" t="s">
        <v>1366</v>
      </c>
      <c r="B29" s="245" t="s">
        <v>743</v>
      </c>
      <c r="C29" s="14" t="s">
        <v>1415</v>
      </c>
      <c r="D29" s="14" t="s">
        <v>1034</v>
      </c>
      <c r="E29" s="14" t="s">
        <v>1367</v>
      </c>
      <c r="F29" s="14" t="s">
        <v>1369</v>
      </c>
    </row>
    <row r="30" spans="1:17" ht="16.5" thickBot="1" x14ac:dyDescent="0.3">
      <c r="A30" s="13" t="s">
        <v>1417</v>
      </c>
      <c r="B30" s="180" t="s">
        <v>846</v>
      </c>
      <c r="C30" s="15">
        <v>0.35</v>
      </c>
      <c r="D30" s="15">
        <v>90</v>
      </c>
      <c r="E30" s="187">
        <v>234</v>
      </c>
      <c r="F30" s="187">
        <f t="shared" ref="F30:F37" si="1">E30/D30</f>
        <v>2.6</v>
      </c>
      <c r="I30" s="1600" t="s">
        <v>1416</v>
      </c>
      <c r="J30" s="1600"/>
      <c r="K30" s="1600"/>
      <c r="L30" s="1600"/>
    </row>
    <row r="31" spans="1:17" ht="16.5" thickBot="1" x14ac:dyDescent="0.3">
      <c r="A31" s="13" t="s">
        <v>3360</v>
      </c>
      <c r="B31" s="180" t="s">
        <v>846</v>
      </c>
      <c r="C31" s="15">
        <v>0.36</v>
      </c>
      <c r="D31" s="15">
        <v>90</v>
      </c>
      <c r="E31" s="187">
        <v>3105</v>
      </c>
      <c r="F31" s="187">
        <f>E31/D31</f>
        <v>34.5</v>
      </c>
      <c r="I31" s="112" t="s">
        <v>1366</v>
      </c>
      <c r="J31" s="143" t="s">
        <v>1074</v>
      </c>
      <c r="K31" s="143" t="s">
        <v>1112</v>
      </c>
      <c r="L31" s="112" t="s">
        <v>747</v>
      </c>
    </row>
    <row r="32" spans="1:17" ht="16.5" thickBot="1" x14ac:dyDescent="0.3">
      <c r="A32" s="13" t="s">
        <v>1418</v>
      </c>
      <c r="B32" s="180" t="s">
        <v>1022</v>
      </c>
      <c r="C32" s="15">
        <v>0.36</v>
      </c>
      <c r="D32" s="15">
        <v>60</v>
      </c>
      <c r="E32" s="187">
        <v>998</v>
      </c>
      <c r="F32" s="187">
        <f t="shared" si="1"/>
        <v>16.633333333333333</v>
      </c>
      <c r="I32" s="2" t="s">
        <v>1419</v>
      </c>
      <c r="J32" s="2">
        <v>10</v>
      </c>
      <c r="K32" s="106">
        <v>774</v>
      </c>
      <c r="L32" s="106">
        <f>K32/J32</f>
        <v>77.400000000000006</v>
      </c>
    </row>
    <row r="33" spans="1:15" ht="16.5" thickBot="1" x14ac:dyDescent="0.3">
      <c r="A33" s="1" t="s">
        <v>1420</v>
      </c>
      <c r="B33" s="180" t="s">
        <v>1022</v>
      </c>
      <c r="C33" s="15">
        <v>0.36</v>
      </c>
      <c r="D33" s="15">
        <v>60</v>
      </c>
      <c r="E33" s="187">
        <v>3200</v>
      </c>
      <c r="F33" s="187">
        <f t="shared" si="1"/>
        <v>53.333333333333336</v>
      </c>
    </row>
    <row r="34" spans="1:15" ht="19.5" thickBot="1" x14ac:dyDescent="0.3">
      <c r="A34" s="13" t="s">
        <v>1421</v>
      </c>
      <c r="B34" s="180" t="s">
        <v>1022</v>
      </c>
      <c r="C34" s="15">
        <v>0.36</v>
      </c>
      <c r="D34" s="15">
        <v>60</v>
      </c>
      <c r="E34" s="187">
        <f>E33</f>
        <v>3200</v>
      </c>
      <c r="F34" s="187">
        <f t="shared" si="1"/>
        <v>53.333333333333336</v>
      </c>
      <c r="I34" s="1609" t="s">
        <v>1422</v>
      </c>
      <c r="J34" s="1608"/>
      <c r="K34" s="1608"/>
      <c r="L34" s="1610"/>
    </row>
    <row r="35" spans="1:15" ht="16.5" thickBot="1" x14ac:dyDescent="0.3">
      <c r="A35" s="13" t="s">
        <v>2285</v>
      </c>
      <c r="B35" s="180" t="s">
        <v>1022</v>
      </c>
      <c r="C35" s="15">
        <v>0.38500000000000001</v>
      </c>
      <c r="D35" s="15">
        <v>60</v>
      </c>
      <c r="E35" s="187">
        <v>3900</v>
      </c>
      <c r="F35" s="187">
        <f t="shared" si="1"/>
        <v>65</v>
      </c>
      <c r="I35" s="10" t="s">
        <v>916</v>
      </c>
      <c r="J35" s="12" t="s">
        <v>1222</v>
      </c>
      <c r="K35" s="12" t="s">
        <v>1065</v>
      </c>
      <c r="L35" s="11" t="s">
        <v>1223</v>
      </c>
    </row>
    <row r="36" spans="1:15" ht="16.5" thickBot="1" x14ac:dyDescent="0.3">
      <c r="A36" s="13" t="s">
        <v>1423</v>
      </c>
      <c r="B36" s="180"/>
      <c r="C36" s="15"/>
      <c r="D36" s="15">
        <v>21</v>
      </c>
      <c r="E36" s="187">
        <v>1008</v>
      </c>
      <c r="F36" s="187">
        <f t="shared" si="1"/>
        <v>48</v>
      </c>
      <c r="I36" s="104" t="s">
        <v>1424</v>
      </c>
      <c r="J36" s="190">
        <v>100</v>
      </c>
      <c r="K36" s="120">
        <v>418</v>
      </c>
      <c r="L36" s="472">
        <f>K36/J36</f>
        <v>4.18</v>
      </c>
    </row>
    <row r="37" spans="1:15" ht="16.5" thickBot="1" x14ac:dyDescent="0.3">
      <c r="A37" s="13" t="s">
        <v>1425</v>
      </c>
      <c r="B37" s="180"/>
      <c r="C37" s="15"/>
      <c r="D37" s="15">
        <v>18</v>
      </c>
      <c r="E37" s="187">
        <v>1008</v>
      </c>
      <c r="F37" s="187">
        <f t="shared" si="1"/>
        <v>56</v>
      </c>
    </row>
    <row r="38" spans="1:15" ht="16.5" thickBot="1" x14ac:dyDescent="0.3">
      <c r="I38" s="1565" t="s">
        <v>1426</v>
      </c>
      <c r="J38" s="1566"/>
      <c r="K38" s="1566"/>
      <c r="L38" s="1566"/>
      <c r="M38" s="1567"/>
    </row>
    <row r="39" spans="1:15" ht="16.5" thickBot="1" x14ac:dyDescent="0.3">
      <c r="A39" s="1666" t="s">
        <v>376</v>
      </c>
      <c r="B39" s="1667"/>
      <c r="C39" s="1667"/>
      <c r="D39" s="1667"/>
      <c r="E39" s="1668"/>
      <c r="I39" s="131" t="s">
        <v>1366</v>
      </c>
      <c r="J39" s="471" t="s">
        <v>1074</v>
      </c>
      <c r="K39" s="471" t="s">
        <v>1112</v>
      </c>
      <c r="L39" s="132" t="s">
        <v>747</v>
      </c>
      <c r="M39" s="532" t="s">
        <v>1427</v>
      </c>
    </row>
    <row r="40" spans="1:15" ht="16.5" thickBot="1" x14ac:dyDescent="0.3">
      <c r="A40" s="131" t="s">
        <v>742</v>
      </c>
      <c r="B40" s="470" t="s">
        <v>742</v>
      </c>
      <c r="C40" s="471" t="s">
        <v>1093</v>
      </c>
      <c r="D40" s="470" t="s">
        <v>1167</v>
      </c>
      <c r="E40" s="132" t="s">
        <v>747</v>
      </c>
      <c r="I40" s="159" t="s">
        <v>1428</v>
      </c>
      <c r="J40" s="149">
        <v>5</v>
      </c>
      <c r="K40" s="912">
        <v>562</v>
      </c>
      <c r="L40" s="912">
        <f>K40/J40</f>
        <v>112.4</v>
      </c>
      <c r="M40" s="931">
        <v>214</v>
      </c>
    </row>
    <row r="41" spans="1:15" ht="16.5" thickBot="1" x14ac:dyDescent="0.3">
      <c r="A41" s="1669" t="s">
        <v>1277</v>
      </c>
      <c r="B41" s="5" t="s">
        <v>1278</v>
      </c>
      <c r="C41" s="5">
        <v>20</v>
      </c>
      <c r="D41" s="166">
        <v>811</v>
      </c>
      <c r="E41" s="88">
        <f t="shared" ref="E41:E46" si="2">D41/C41</f>
        <v>40.549999999999997</v>
      </c>
    </row>
    <row r="42" spans="1:15" ht="16.5" thickBot="1" x14ac:dyDescent="0.3">
      <c r="A42" s="1594"/>
      <c r="B42" s="2" t="s">
        <v>1279</v>
      </c>
      <c r="C42" s="2">
        <v>20</v>
      </c>
      <c r="D42" s="106">
        <v>500</v>
      </c>
      <c r="E42" s="89">
        <f t="shared" si="2"/>
        <v>25</v>
      </c>
      <c r="I42" s="1565" t="s">
        <v>1430</v>
      </c>
      <c r="J42" s="1566"/>
      <c r="K42" s="1566"/>
      <c r="L42" s="1566"/>
      <c r="M42" s="1566"/>
      <c r="N42" s="1566"/>
      <c r="O42" s="1567"/>
    </row>
    <row r="43" spans="1:15" ht="19.5" thickBot="1" x14ac:dyDescent="0.3">
      <c r="A43" s="1595"/>
      <c r="B43" s="4"/>
      <c r="C43" s="4">
        <v>6</v>
      </c>
      <c r="D43" s="167">
        <v>110</v>
      </c>
      <c r="E43" s="90">
        <f t="shared" si="2"/>
        <v>18.333333333333332</v>
      </c>
      <c r="F43" s="287"/>
      <c r="I43" s="131" t="s">
        <v>742</v>
      </c>
      <c r="J43" s="470" t="s">
        <v>742</v>
      </c>
      <c r="K43" s="470" t="s">
        <v>1433</v>
      </c>
      <c r="L43" s="471" t="s">
        <v>1093</v>
      </c>
      <c r="M43" s="470" t="s">
        <v>1167</v>
      </c>
      <c r="N43" s="132" t="s">
        <v>747</v>
      </c>
      <c r="O43" s="532" t="s">
        <v>1434</v>
      </c>
    </row>
    <row r="44" spans="1:15" ht="19.5" thickBot="1" x14ac:dyDescent="0.3">
      <c r="A44" s="1620" t="s">
        <v>1281</v>
      </c>
      <c r="B44" s="149" t="s">
        <v>1282</v>
      </c>
      <c r="C44" s="160">
        <v>35</v>
      </c>
      <c r="D44" s="161">
        <v>5403</v>
      </c>
      <c r="E44" s="161">
        <f t="shared" si="2"/>
        <v>154.37142857142857</v>
      </c>
      <c r="F44" s="287"/>
      <c r="I44" s="159" t="s">
        <v>1437</v>
      </c>
      <c r="J44" s="149" t="s">
        <v>1438</v>
      </c>
      <c r="K44" s="160">
        <v>0.4</v>
      </c>
      <c r="L44" s="160">
        <v>67</v>
      </c>
      <c r="M44" s="161">
        <v>2500</v>
      </c>
      <c r="N44" s="161">
        <f>M44/L44</f>
        <v>37.313432835820898</v>
      </c>
      <c r="O44" s="875">
        <v>5</v>
      </c>
    </row>
    <row r="45" spans="1:15" ht="19.5" thickBot="1" x14ac:dyDescent="0.3">
      <c r="A45" s="1670"/>
      <c r="B45" s="149" t="s">
        <v>1749</v>
      </c>
      <c r="C45" s="160">
        <v>27</v>
      </c>
      <c r="D45" s="161">
        <v>5403</v>
      </c>
      <c r="E45" s="161">
        <f t="shared" si="2"/>
        <v>200.11111111111111</v>
      </c>
      <c r="F45" s="287"/>
      <c r="I45" s="159" t="s">
        <v>807</v>
      </c>
      <c r="J45" s="149" t="s">
        <v>1438</v>
      </c>
      <c r="K45" s="160">
        <v>0.4</v>
      </c>
      <c r="L45" s="160">
        <v>67</v>
      </c>
      <c r="M45" s="161">
        <f t="shared" ref="M45:M49" si="3">M44</f>
        <v>2500</v>
      </c>
      <c r="N45" s="161">
        <f t="shared" ref="N45:N49" si="4">M45/L45</f>
        <v>37.313432835820898</v>
      </c>
      <c r="O45" s="875">
        <v>5</v>
      </c>
    </row>
    <row r="46" spans="1:15" ht="19.5" thickBot="1" x14ac:dyDescent="0.3">
      <c r="A46" s="159" t="s">
        <v>1289</v>
      </c>
      <c r="B46" s="149" t="s">
        <v>1290</v>
      </c>
      <c r="C46" s="160">
        <v>50</v>
      </c>
      <c r="D46" s="161">
        <v>903</v>
      </c>
      <c r="E46" s="161">
        <f t="shared" si="2"/>
        <v>18.059999999999999</v>
      </c>
      <c r="F46" s="287"/>
      <c r="I46" s="159" t="s">
        <v>1260</v>
      </c>
      <c r="J46" s="149" t="s">
        <v>1438</v>
      </c>
      <c r="K46" s="160">
        <v>0.4</v>
      </c>
      <c r="L46" s="160">
        <v>67</v>
      </c>
      <c r="M46" s="161">
        <f t="shared" si="3"/>
        <v>2500</v>
      </c>
      <c r="N46" s="161">
        <f t="shared" si="4"/>
        <v>37.313432835820898</v>
      </c>
      <c r="O46" s="875">
        <v>5</v>
      </c>
    </row>
    <row r="47" spans="1:15" ht="19.5" thickBot="1" x14ac:dyDescent="0.3">
      <c r="A47" s="159" t="s">
        <v>1291</v>
      </c>
      <c r="B47" s="149" t="s">
        <v>1292</v>
      </c>
      <c r="C47" s="160">
        <v>54</v>
      </c>
      <c r="D47" s="161">
        <v>903</v>
      </c>
      <c r="E47" s="161">
        <v>95</v>
      </c>
      <c r="F47" s="287" t="s">
        <v>2147</v>
      </c>
      <c r="I47" s="159" t="s">
        <v>910</v>
      </c>
      <c r="J47" s="149" t="s">
        <v>1438</v>
      </c>
      <c r="K47" s="160">
        <v>0.4</v>
      </c>
      <c r="L47" s="160">
        <v>67</v>
      </c>
      <c r="M47" s="161">
        <f t="shared" si="3"/>
        <v>2500</v>
      </c>
      <c r="N47" s="161">
        <f t="shared" si="4"/>
        <v>37.313432835820898</v>
      </c>
      <c r="O47" s="875">
        <v>5</v>
      </c>
    </row>
    <row r="48" spans="1:15" ht="19.5" thickBot="1" x14ac:dyDescent="0.3">
      <c r="F48" s="287"/>
      <c r="I48" s="159" t="s">
        <v>1225</v>
      </c>
      <c r="J48" s="149" t="s">
        <v>1438</v>
      </c>
      <c r="K48" s="160">
        <v>0.4</v>
      </c>
      <c r="L48" s="160">
        <v>67</v>
      </c>
      <c r="M48" s="161">
        <f t="shared" si="3"/>
        <v>2500</v>
      </c>
      <c r="N48" s="161">
        <f t="shared" si="4"/>
        <v>37.313432835820898</v>
      </c>
      <c r="O48" s="875">
        <v>5</v>
      </c>
    </row>
    <row r="49" spans="1:15" ht="16.5" thickBot="1" x14ac:dyDescent="0.3">
      <c r="A49" s="1565" t="s">
        <v>3501</v>
      </c>
      <c r="B49" s="1566"/>
      <c r="C49" s="1566"/>
      <c r="D49" s="1566"/>
      <c r="I49" s="159" t="s">
        <v>1439</v>
      </c>
      <c r="J49" s="149" t="s">
        <v>1438</v>
      </c>
      <c r="K49" s="160">
        <v>0.4</v>
      </c>
      <c r="L49" s="160">
        <v>67</v>
      </c>
      <c r="M49" s="161">
        <f t="shared" si="3"/>
        <v>2500</v>
      </c>
      <c r="N49" s="161">
        <f t="shared" si="4"/>
        <v>37.313432835820898</v>
      </c>
      <c r="O49" s="875">
        <v>15</v>
      </c>
    </row>
    <row r="50" spans="1:15" ht="16.5" thickBot="1" x14ac:dyDescent="0.3">
      <c r="A50" s="131" t="s">
        <v>742</v>
      </c>
      <c r="B50" s="471" t="s">
        <v>1093</v>
      </c>
      <c r="C50" s="470" t="s">
        <v>1167</v>
      </c>
      <c r="D50" s="132" t="s">
        <v>747</v>
      </c>
      <c r="I50" s="159" t="s">
        <v>1240</v>
      </c>
      <c r="J50" s="149" t="s">
        <v>1438</v>
      </c>
      <c r="K50" s="160">
        <v>0.4</v>
      </c>
      <c r="L50" s="160">
        <v>67</v>
      </c>
      <c r="M50" s="161">
        <f>M49</f>
        <v>2500</v>
      </c>
      <c r="N50" s="161">
        <f>M50/L50</f>
        <v>37.313432835820898</v>
      </c>
      <c r="O50" s="875">
        <v>2</v>
      </c>
    </row>
    <row r="51" spans="1:15" ht="16.5" thickBot="1" x14ac:dyDescent="0.3">
      <c r="A51" s="159" t="s">
        <v>3502</v>
      </c>
      <c r="B51" s="160">
        <v>55</v>
      </c>
      <c r="C51" s="161">
        <v>780</v>
      </c>
      <c r="D51" s="161">
        <f t="shared" ref="D51:D52" si="5">C51/B51</f>
        <v>14.181818181818182</v>
      </c>
    </row>
    <row r="52" spans="1:15" ht="16.5" thickBot="1" x14ac:dyDescent="0.3">
      <c r="A52" s="159" t="s">
        <v>3503</v>
      </c>
      <c r="B52" s="160">
        <v>55</v>
      </c>
      <c r="C52" s="161">
        <v>780</v>
      </c>
      <c r="D52" s="161">
        <f t="shared" si="5"/>
        <v>14.181818181818182</v>
      </c>
    </row>
    <row r="53" spans="1:15" ht="16.5" thickBot="1" x14ac:dyDescent="0.3"/>
    <row r="54" spans="1:15" ht="16.5" thickBot="1" x14ac:dyDescent="0.3">
      <c r="I54" s="1666" t="s">
        <v>1429</v>
      </c>
      <c r="J54" s="1667"/>
      <c r="K54" s="1667"/>
      <c r="L54" s="1667"/>
      <c r="M54" s="1668"/>
    </row>
    <row r="55" spans="1:15" ht="16.5" thickBot="1" x14ac:dyDescent="0.3">
      <c r="I55" s="131" t="s">
        <v>742</v>
      </c>
      <c r="J55" s="470" t="s">
        <v>742</v>
      </c>
      <c r="K55" s="471" t="s">
        <v>1093</v>
      </c>
      <c r="L55" s="470" t="s">
        <v>1167</v>
      </c>
      <c r="M55" s="132" t="s">
        <v>747</v>
      </c>
    </row>
    <row r="56" spans="1:15" ht="16.5" thickBot="1" x14ac:dyDescent="0.3">
      <c r="I56" s="159" t="s">
        <v>1431</v>
      </c>
      <c r="J56" s="149" t="s">
        <v>1432</v>
      </c>
      <c r="K56" s="160">
        <v>20</v>
      </c>
      <c r="L56" s="161">
        <v>3500</v>
      </c>
      <c r="M56" s="161">
        <f t="shared" ref="M56:M61" si="6">L56/K56</f>
        <v>175</v>
      </c>
    </row>
    <row r="57" spans="1:15" ht="16.5" thickBot="1" x14ac:dyDescent="0.3">
      <c r="I57" s="159" t="s">
        <v>1435</v>
      </c>
      <c r="J57" s="149" t="s">
        <v>1436</v>
      </c>
      <c r="K57" s="160">
        <v>20</v>
      </c>
      <c r="L57" s="161">
        <v>3000</v>
      </c>
      <c r="M57" s="161">
        <f t="shared" si="6"/>
        <v>150</v>
      </c>
    </row>
    <row r="58" spans="1:15" ht="16.5" thickBot="1" x14ac:dyDescent="0.3">
      <c r="I58" s="159" t="s">
        <v>3144</v>
      </c>
      <c r="J58" s="149" t="s">
        <v>3145</v>
      </c>
      <c r="K58" s="160">
        <v>10</v>
      </c>
      <c r="L58" s="161">
        <v>3000</v>
      </c>
      <c r="M58" s="161">
        <f t="shared" si="6"/>
        <v>300</v>
      </c>
    </row>
    <row r="59" spans="1:15" ht="16.5" thickBot="1" x14ac:dyDescent="0.3">
      <c r="I59" s="159" t="s">
        <v>3280</v>
      </c>
      <c r="J59" s="149" t="s">
        <v>1440</v>
      </c>
      <c r="K59" s="160">
        <v>10</v>
      </c>
      <c r="L59" s="161">
        <v>3000</v>
      </c>
      <c r="M59" s="161">
        <f t="shared" si="6"/>
        <v>300</v>
      </c>
    </row>
    <row r="60" spans="1:15" ht="16.5" thickBot="1" x14ac:dyDescent="0.3">
      <c r="I60" s="159" t="s">
        <v>3281</v>
      </c>
      <c r="J60" s="149" t="s">
        <v>3477</v>
      </c>
      <c r="K60" s="160">
        <v>20</v>
      </c>
      <c r="L60" s="161">
        <v>4680</v>
      </c>
      <c r="M60" s="161">
        <f t="shared" si="6"/>
        <v>234</v>
      </c>
    </row>
    <row r="61" spans="1:15" ht="16.5" thickBot="1" x14ac:dyDescent="0.3">
      <c r="I61" s="159" t="s">
        <v>3281</v>
      </c>
      <c r="J61" s="149" t="s">
        <v>1441</v>
      </c>
      <c r="K61" s="160">
        <v>10</v>
      </c>
      <c r="L61" s="161">
        <v>3500</v>
      </c>
      <c r="M61" s="161">
        <f t="shared" si="6"/>
        <v>350</v>
      </c>
    </row>
  </sheetData>
  <mergeCells count="26">
    <mergeCell ref="I1:N1"/>
    <mergeCell ref="G3:G5"/>
    <mergeCell ref="G6:G12"/>
    <mergeCell ref="G13:G19"/>
    <mergeCell ref="I30:L30"/>
    <mergeCell ref="I22:M22"/>
    <mergeCell ref="I10:L10"/>
    <mergeCell ref="I15:O15"/>
    <mergeCell ref="A1:F1"/>
    <mergeCell ref="A3:A20"/>
    <mergeCell ref="D3:D20"/>
    <mergeCell ref="B3:B5"/>
    <mergeCell ref="B6:B10"/>
    <mergeCell ref="B11:B12"/>
    <mergeCell ref="B13:B17"/>
    <mergeCell ref="B18:B19"/>
    <mergeCell ref="A28:F28"/>
    <mergeCell ref="A22:E22"/>
    <mergeCell ref="I42:O42"/>
    <mergeCell ref="I34:L34"/>
    <mergeCell ref="I54:M54"/>
    <mergeCell ref="I38:M38"/>
    <mergeCell ref="A41:A43"/>
    <mergeCell ref="A44:A45"/>
    <mergeCell ref="A39:E39"/>
    <mergeCell ref="A49:D49"/>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M39"/>
  <sheetViews>
    <sheetView topLeftCell="A18" zoomScale="90" zoomScaleNormal="90" workbookViewId="0">
      <selection activeCell="N15" sqref="N15"/>
    </sheetView>
  </sheetViews>
  <sheetFormatPr baseColWidth="10" defaultColWidth="10.85546875" defaultRowHeight="15.75" x14ac:dyDescent="0.25"/>
  <cols>
    <col min="1" max="1" width="22" style="171" bestFit="1" customWidth="1"/>
    <col min="2" max="2" width="11.7109375" style="171" bestFit="1" customWidth="1"/>
    <col min="3" max="3" width="12.140625" style="171" bestFit="1" customWidth="1"/>
    <col min="4" max="4" width="11.140625" style="171" bestFit="1" customWidth="1"/>
    <col min="5" max="5" width="14.7109375" style="171" bestFit="1" customWidth="1"/>
    <col min="6" max="8" width="10.85546875" style="171"/>
    <col min="9" max="9" width="35" style="171" bestFit="1" customWidth="1"/>
    <col min="10" max="10" width="17.140625" style="171" customWidth="1"/>
    <col min="11" max="11" width="15.85546875" style="171" bestFit="1" customWidth="1"/>
    <col min="12" max="12" width="12" style="171" bestFit="1" customWidth="1"/>
    <col min="13" max="13" width="13.7109375" style="171" bestFit="1" customWidth="1"/>
    <col min="14" max="16384" width="10.85546875" style="171"/>
  </cols>
  <sheetData>
    <row r="1" spans="1:12" ht="16.5" thickBot="1" x14ac:dyDescent="0.3">
      <c r="A1" s="1600" t="s">
        <v>1497</v>
      </c>
      <c r="B1" s="1600"/>
      <c r="C1" s="1600"/>
      <c r="D1" s="1600"/>
      <c r="I1" s="1685" t="s">
        <v>3892</v>
      </c>
      <c r="J1" s="1685"/>
      <c r="K1" s="1685"/>
    </row>
    <row r="2" spans="1:12" x14ac:dyDescent="0.25">
      <c r="A2" s="112" t="s">
        <v>742</v>
      </c>
      <c r="B2" s="143" t="s">
        <v>1074</v>
      </c>
      <c r="C2" s="143" t="s">
        <v>1112</v>
      </c>
      <c r="D2" s="112" t="s">
        <v>747</v>
      </c>
      <c r="I2" s="1324" t="s">
        <v>742</v>
      </c>
      <c r="J2" s="1309" t="s">
        <v>2231</v>
      </c>
      <c r="K2" s="1201" t="s">
        <v>747</v>
      </c>
      <c r="L2" s="631"/>
    </row>
    <row r="3" spans="1:12" ht="16.5" thickBot="1" x14ac:dyDescent="0.3">
      <c r="A3" s="2" t="s">
        <v>1498</v>
      </c>
      <c r="B3" s="2">
        <f>2950/2</f>
        <v>1475</v>
      </c>
      <c r="C3" s="106">
        <v>1779</v>
      </c>
      <c r="D3" s="106">
        <f>C3/B3</f>
        <v>1.2061016949152543</v>
      </c>
      <c r="E3" s="172" t="s">
        <v>1499</v>
      </c>
      <c r="I3" s="1613" t="s">
        <v>3906</v>
      </c>
      <c r="J3" s="1246" t="s">
        <v>1225</v>
      </c>
      <c r="K3" s="90">
        <v>2350</v>
      </c>
    </row>
    <row r="4" spans="1:12" ht="16.5" thickBot="1" x14ac:dyDescent="0.3">
      <c r="A4" s="2" t="s">
        <v>1500</v>
      </c>
      <c r="B4" s="2">
        <v>337</v>
      </c>
      <c r="C4" s="106">
        <v>337</v>
      </c>
      <c r="D4" s="106">
        <f>C4/B4</f>
        <v>1</v>
      </c>
      <c r="E4" s="172" t="s">
        <v>1501</v>
      </c>
      <c r="I4" s="1670"/>
      <c r="J4" s="1246" t="s">
        <v>1241</v>
      </c>
      <c r="K4" s="90">
        <v>2350</v>
      </c>
    </row>
    <row r="5" spans="1:12" ht="16.5" thickBot="1" x14ac:dyDescent="0.3">
      <c r="A5" s="2" t="s">
        <v>1502</v>
      </c>
      <c r="B5" s="2">
        <v>400</v>
      </c>
      <c r="C5" s="106">
        <v>427</v>
      </c>
      <c r="D5" s="106">
        <f>C5/B5</f>
        <v>1.0674999999999999</v>
      </c>
      <c r="E5" s="172" t="s">
        <v>1501</v>
      </c>
      <c r="I5" s="38" t="s">
        <v>4028</v>
      </c>
      <c r="J5" s="1246" t="s">
        <v>1225</v>
      </c>
      <c r="K5" s="90">
        <v>1720</v>
      </c>
    </row>
    <row r="6" spans="1:12" ht="16.5" thickBot="1" x14ac:dyDescent="0.3">
      <c r="A6" s="2" t="s">
        <v>1503</v>
      </c>
      <c r="B6" s="2">
        <v>62</v>
      </c>
      <c r="C6" s="106">
        <v>165</v>
      </c>
      <c r="D6" s="106">
        <f>C6/B6</f>
        <v>2.661290322580645</v>
      </c>
      <c r="E6" s="261"/>
      <c r="I6" s="38" t="s">
        <v>1971</v>
      </c>
      <c r="J6" s="1246" t="s">
        <v>1225</v>
      </c>
      <c r="K6" s="90">
        <v>1170</v>
      </c>
    </row>
    <row r="7" spans="1:12" ht="16.5" thickBot="1" x14ac:dyDescent="0.3">
      <c r="A7" s="1611" t="s">
        <v>1504</v>
      </c>
      <c r="B7" s="2">
        <v>300</v>
      </c>
      <c r="C7" s="106">
        <v>800</v>
      </c>
      <c r="D7" s="106">
        <f>C7/B7</f>
        <v>2.6666666666666665</v>
      </c>
      <c r="E7" s="260" t="s">
        <v>1501</v>
      </c>
      <c r="I7" s="38" t="s">
        <v>4029</v>
      </c>
      <c r="J7" s="1246" t="s">
        <v>1241</v>
      </c>
      <c r="K7" s="90">
        <v>1170</v>
      </c>
    </row>
    <row r="8" spans="1:12" ht="16.5" thickBot="1" x14ac:dyDescent="0.3">
      <c r="A8" s="1612"/>
      <c r="B8" s="550">
        <v>250</v>
      </c>
      <c r="C8" s="551">
        <v>1188</v>
      </c>
      <c r="D8" s="551"/>
      <c r="E8" s="552" t="s">
        <v>1505</v>
      </c>
      <c r="I8" s="38" t="s">
        <v>954</v>
      </c>
      <c r="J8" s="1246"/>
      <c r="K8" s="90">
        <v>1720</v>
      </c>
    </row>
    <row r="9" spans="1:12" ht="16.5" thickBot="1" x14ac:dyDescent="0.3">
      <c r="A9" s="2" t="s">
        <v>1506</v>
      </c>
      <c r="B9" s="2">
        <v>174</v>
      </c>
      <c r="C9" s="106">
        <v>923</v>
      </c>
      <c r="D9" s="106">
        <f t="shared" ref="D9:D16" si="0">C9/B9</f>
        <v>5.304597701149425</v>
      </c>
      <c r="E9" s="172" t="s">
        <v>1501</v>
      </c>
      <c r="I9" s="38" t="s">
        <v>4370</v>
      </c>
      <c r="J9" s="1246" t="s">
        <v>1240</v>
      </c>
      <c r="K9" s="90">
        <v>230</v>
      </c>
    </row>
    <row r="10" spans="1:12" ht="16.5" thickBot="1" x14ac:dyDescent="0.3">
      <c r="A10" s="2" t="s">
        <v>1507</v>
      </c>
      <c r="B10" s="2">
        <v>120</v>
      </c>
      <c r="C10" s="106">
        <v>110</v>
      </c>
      <c r="D10" s="106">
        <f t="shared" si="0"/>
        <v>0.91666666666666663</v>
      </c>
      <c r="E10" s="172" t="s">
        <v>1508</v>
      </c>
      <c r="I10" s="15" t="s">
        <v>4971</v>
      </c>
      <c r="J10" s="1489" t="s">
        <v>1225</v>
      </c>
      <c r="K10" s="90">
        <v>2130</v>
      </c>
    </row>
    <row r="11" spans="1:12" ht="16.5" thickBot="1" x14ac:dyDescent="0.3">
      <c r="A11" s="2" t="s">
        <v>1509</v>
      </c>
      <c r="B11" s="2">
        <v>80</v>
      </c>
      <c r="C11" s="106">
        <v>325</v>
      </c>
      <c r="D11" s="106">
        <f t="shared" si="0"/>
        <v>4.0625</v>
      </c>
      <c r="I11" s="1559" t="s">
        <v>1186</v>
      </c>
      <c r="J11" s="1489" t="s">
        <v>1437</v>
      </c>
      <c r="K11" s="90">
        <v>970</v>
      </c>
    </row>
    <row r="12" spans="1:12" ht="16.5" thickBot="1" x14ac:dyDescent="0.3">
      <c r="A12" s="2" t="s">
        <v>1198</v>
      </c>
      <c r="B12" s="2">
        <v>680</v>
      </c>
      <c r="C12" s="106">
        <v>2000</v>
      </c>
      <c r="D12" s="106">
        <f t="shared" si="0"/>
        <v>2.9411764705882355</v>
      </c>
      <c r="I12" s="1564"/>
      <c r="J12" s="1489" t="s">
        <v>1225</v>
      </c>
      <c r="K12" s="90">
        <v>970</v>
      </c>
    </row>
    <row r="13" spans="1:12" ht="16.5" thickBot="1" x14ac:dyDescent="0.3">
      <c r="A13" s="2" t="s">
        <v>1510</v>
      </c>
      <c r="B13" s="2">
        <v>5</v>
      </c>
      <c r="C13" s="106">
        <v>83</v>
      </c>
      <c r="D13" s="106">
        <f t="shared" si="0"/>
        <v>16.600000000000001</v>
      </c>
      <c r="I13" s="1564"/>
      <c r="J13" s="1489" t="s">
        <v>4972</v>
      </c>
      <c r="K13" s="90">
        <v>682</v>
      </c>
    </row>
    <row r="14" spans="1:12" ht="16.5" thickBot="1" x14ac:dyDescent="0.3">
      <c r="A14" s="2" t="s">
        <v>1511</v>
      </c>
      <c r="B14" s="2">
        <v>5</v>
      </c>
      <c r="C14" s="106">
        <v>59</v>
      </c>
      <c r="D14" s="106">
        <f t="shared" si="0"/>
        <v>11.8</v>
      </c>
      <c r="I14" s="1560"/>
      <c r="J14" s="1489" t="s">
        <v>4973</v>
      </c>
      <c r="K14" s="90">
        <v>682</v>
      </c>
    </row>
    <row r="15" spans="1:12" ht="16.5" thickBot="1" x14ac:dyDescent="0.3">
      <c r="A15" s="2" t="s">
        <v>1512</v>
      </c>
      <c r="B15" s="2">
        <v>35</v>
      </c>
      <c r="C15" s="106">
        <v>80</v>
      </c>
      <c r="D15" s="106">
        <f t="shared" si="0"/>
        <v>2.2857142857142856</v>
      </c>
      <c r="I15" s="15" t="s">
        <v>4974</v>
      </c>
      <c r="J15" s="1317" t="s">
        <v>4972</v>
      </c>
      <c r="K15" s="16">
        <v>1166</v>
      </c>
    </row>
    <row r="16" spans="1:12" x14ac:dyDescent="0.25">
      <c r="A16" s="2" t="s">
        <v>1513</v>
      </c>
      <c r="B16" s="2">
        <v>30</v>
      </c>
      <c r="C16" s="106">
        <v>99</v>
      </c>
      <c r="D16" s="106">
        <f t="shared" si="0"/>
        <v>3.3</v>
      </c>
    </row>
    <row r="17" spans="1:13" x14ac:dyDescent="0.25">
      <c r="A17" s="2" t="s">
        <v>1514</v>
      </c>
      <c r="B17" s="2">
        <v>600</v>
      </c>
      <c r="C17" s="106">
        <v>270</v>
      </c>
      <c r="D17" s="106">
        <v>0.9</v>
      </c>
    </row>
    <row r="18" spans="1:13" x14ac:dyDescent="0.25">
      <c r="A18" s="2" t="s">
        <v>1515</v>
      </c>
      <c r="B18" s="2">
        <v>550</v>
      </c>
      <c r="C18" s="106">
        <v>550</v>
      </c>
      <c r="D18" s="106">
        <f>C18/B18</f>
        <v>1</v>
      </c>
      <c r="I18" s="1571" t="s">
        <v>1497</v>
      </c>
      <c r="J18" s="1571"/>
      <c r="K18" s="1571"/>
      <c r="L18" s="1571"/>
      <c r="M18" s="1571"/>
    </row>
    <row r="19" spans="1:13" ht="47.25" x14ac:dyDescent="0.25">
      <c r="A19" s="2" t="s">
        <v>1516</v>
      </c>
      <c r="B19" s="2">
        <v>350</v>
      </c>
      <c r="C19" s="106">
        <v>565</v>
      </c>
      <c r="D19" s="106">
        <v>1.1499999999999999</v>
      </c>
      <c r="I19" s="112" t="s">
        <v>742</v>
      </c>
      <c r="J19" s="143" t="s">
        <v>4753</v>
      </c>
      <c r="K19" s="143" t="s">
        <v>1112</v>
      </c>
      <c r="L19" s="112" t="s">
        <v>4769</v>
      </c>
      <c r="M19" s="112" t="s">
        <v>4770</v>
      </c>
    </row>
    <row r="20" spans="1:13" x14ac:dyDescent="0.25">
      <c r="A20" s="2" t="s">
        <v>1517</v>
      </c>
      <c r="B20" s="2">
        <v>800</v>
      </c>
      <c r="C20" s="106">
        <v>1100</v>
      </c>
      <c r="D20" s="106">
        <f>C20/B20</f>
        <v>1.375</v>
      </c>
      <c r="E20" s="171" t="s">
        <v>1217</v>
      </c>
      <c r="I20" s="2" t="s">
        <v>4757</v>
      </c>
      <c r="J20" s="2">
        <v>100</v>
      </c>
      <c r="K20" s="106">
        <v>4229</v>
      </c>
      <c r="L20" s="1452">
        <f>AVERAGE(K20,K21,K22,K23,K24)</f>
        <v>3227.8</v>
      </c>
      <c r="M20" s="2">
        <v>100</v>
      </c>
    </row>
    <row r="21" spans="1:13" x14ac:dyDescent="0.25">
      <c r="A21" s="2" t="s">
        <v>1516</v>
      </c>
      <c r="B21" s="2">
        <v>370</v>
      </c>
      <c r="C21" s="106">
        <v>370</v>
      </c>
      <c r="D21" s="106">
        <f>C21/B21</f>
        <v>1</v>
      </c>
      <c r="E21" s="171" t="s">
        <v>1217</v>
      </c>
      <c r="I21" s="2" t="s">
        <v>4755</v>
      </c>
      <c r="J21" s="2">
        <v>100</v>
      </c>
      <c r="K21" s="106">
        <v>3826</v>
      </c>
    </row>
    <row r="22" spans="1:13" x14ac:dyDescent="0.25">
      <c r="A22" s="2" t="s">
        <v>1518</v>
      </c>
      <c r="B22" s="2">
        <v>40</v>
      </c>
      <c r="C22" s="106">
        <v>2300</v>
      </c>
      <c r="D22" s="106">
        <f>C22/B22</f>
        <v>57.5</v>
      </c>
      <c r="I22" s="2" t="s">
        <v>4756</v>
      </c>
      <c r="J22" s="2">
        <v>100</v>
      </c>
      <c r="K22" s="106">
        <v>3424</v>
      </c>
    </row>
    <row r="23" spans="1:13" x14ac:dyDescent="0.25">
      <c r="A23" s="2" t="s">
        <v>1519</v>
      </c>
      <c r="B23" s="2">
        <v>75</v>
      </c>
      <c r="C23" s="106">
        <v>275</v>
      </c>
      <c r="D23" s="106">
        <f>C23/B23</f>
        <v>3.6666666666666665</v>
      </c>
      <c r="I23" s="2" t="s">
        <v>4758</v>
      </c>
      <c r="J23" s="2">
        <v>100</v>
      </c>
      <c r="K23" s="106">
        <v>2050</v>
      </c>
    </row>
    <row r="24" spans="1:13" x14ac:dyDescent="0.25">
      <c r="A24" s="2" t="s">
        <v>1520</v>
      </c>
      <c r="B24" s="2">
        <v>50</v>
      </c>
      <c r="C24" s="106">
        <v>200</v>
      </c>
      <c r="D24" s="106">
        <f>C24/B24</f>
        <v>4</v>
      </c>
      <c r="E24" s="171" t="s">
        <v>1521</v>
      </c>
      <c r="I24" s="2" t="s">
        <v>4759</v>
      </c>
      <c r="J24" s="2">
        <v>100</v>
      </c>
      <c r="K24" s="106">
        <v>2610</v>
      </c>
    </row>
    <row r="25" spans="1:13" x14ac:dyDescent="0.25">
      <c r="I25" s="2" t="s">
        <v>4760</v>
      </c>
      <c r="J25" s="2">
        <v>100</v>
      </c>
      <c r="K25" s="106">
        <v>2050</v>
      </c>
    </row>
    <row r="26" spans="1:13" x14ac:dyDescent="0.25">
      <c r="I26" s="2" t="s">
        <v>4761</v>
      </c>
      <c r="J26" s="330">
        <v>100</v>
      </c>
      <c r="K26" s="1153">
        <v>2050</v>
      </c>
    </row>
    <row r="27" spans="1:13" x14ac:dyDescent="0.25">
      <c r="I27" s="2" t="s">
        <v>4762</v>
      </c>
      <c r="J27" s="2">
        <v>100</v>
      </c>
      <c r="K27" s="106">
        <v>2050</v>
      </c>
    </row>
    <row r="29" spans="1:13" x14ac:dyDescent="0.25">
      <c r="I29" s="1571" t="s">
        <v>4772</v>
      </c>
      <c r="J29" s="1571"/>
      <c r="K29" s="1571"/>
      <c r="L29" s="1571"/>
      <c r="M29" s="1571"/>
    </row>
    <row r="30" spans="1:13" x14ac:dyDescent="0.25">
      <c r="I30" s="112" t="s">
        <v>742</v>
      </c>
      <c r="J30" s="143" t="s">
        <v>4753</v>
      </c>
      <c r="K30" s="143" t="s">
        <v>4104</v>
      </c>
      <c r="L30" s="143" t="s">
        <v>1112</v>
      </c>
      <c r="M30" s="112" t="s">
        <v>747</v>
      </c>
    </row>
    <row r="31" spans="1:13" x14ac:dyDescent="0.25">
      <c r="I31" s="2" t="s">
        <v>4764</v>
      </c>
      <c r="J31" s="2">
        <v>100</v>
      </c>
      <c r="K31" s="2">
        <v>190</v>
      </c>
      <c r="L31" s="106">
        <v>2215</v>
      </c>
      <c r="M31" s="106">
        <f>L31/J31</f>
        <v>22.15</v>
      </c>
    </row>
    <row r="32" spans="1:13" x14ac:dyDescent="0.25">
      <c r="I32" s="2" t="s">
        <v>4763</v>
      </c>
      <c r="J32" s="2">
        <v>41</v>
      </c>
      <c r="K32" s="2">
        <v>40</v>
      </c>
      <c r="L32" s="106">
        <v>2300</v>
      </c>
      <c r="M32" s="106">
        <f>L32/J32</f>
        <v>56.097560975609753</v>
      </c>
    </row>
    <row r="35" spans="9:12" x14ac:dyDescent="0.25">
      <c r="I35" s="1571" t="s">
        <v>4765</v>
      </c>
      <c r="J35" s="1571"/>
      <c r="K35" s="1571"/>
      <c r="L35" s="1571"/>
    </row>
    <row r="36" spans="9:12" x14ac:dyDescent="0.25">
      <c r="I36" s="112" t="s">
        <v>742</v>
      </c>
      <c r="J36" s="143" t="s">
        <v>4104</v>
      </c>
      <c r="K36" s="143" t="s">
        <v>1112</v>
      </c>
      <c r="L36" s="112" t="s">
        <v>747</v>
      </c>
    </row>
    <row r="37" spans="9:12" x14ac:dyDescent="0.25">
      <c r="I37" s="2" t="s">
        <v>4766</v>
      </c>
      <c r="J37" s="2">
        <v>40</v>
      </c>
      <c r="K37" s="106">
        <v>2095</v>
      </c>
      <c r="L37" s="106">
        <f>K37/J37</f>
        <v>52.375</v>
      </c>
    </row>
    <row r="38" spans="9:12" x14ac:dyDescent="0.25">
      <c r="I38" s="2" t="s">
        <v>4767</v>
      </c>
      <c r="J38" s="2">
        <v>40</v>
      </c>
      <c r="K38" s="106">
        <v>2095</v>
      </c>
      <c r="L38" s="106">
        <f t="shared" ref="L38:L39" si="1">K38/J38</f>
        <v>52.375</v>
      </c>
    </row>
    <row r="39" spans="9:12" x14ac:dyDescent="0.25">
      <c r="I39" s="2" t="s">
        <v>4768</v>
      </c>
      <c r="J39" s="2">
        <v>40</v>
      </c>
      <c r="K39" s="106">
        <v>2095</v>
      </c>
      <c r="L39" s="106">
        <f t="shared" si="1"/>
        <v>52.375</v>
      </c>
    </row>
  </sheetData>
  <mergeCells count="8">
    <mergeCell ref="I18:M18"/>
    <mergeCell ref="I35:L35"/>
    <mergeCell ref="I29:M29"/>
    <mergeCell ref="A1:D1"/>
    <mergeCell ref="A7:A8"/>
    <mergeCell ref="I1:K1"/>
    <mergeCell ref="I3:I4"/>
    <mergeCell ref="I11:I14"/>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P69"/>
  <sheetViews>
    <sheetView topLeftCell="A13" zoomScale="76" zoomScaleNormal="76" workbookViewId="0">
      <selection activeCell="E57" sqref="E57"/>
    </sheetView>
  </sheetViews>
  <sheetFormatPr baseColWidth="10" defaultColWidth="10.85546875" defaultRowHeight="15.75" x14ac:dyDescent="0.25"/>
  <cols>
    <col min="1" max="1" width="22.28515625" style="171" bestFit="1" customWidth="1"/>
    <col min="2" max="2" width="26.28515625" style="171" customWidth="1"/>
    <col min="3" max="3" width="12.42578125" style="171" bestFit="1" customWidth="1"/>
    <col min="4" max="4" width="11.5703125" style="171" bestFit="1" customWidth="1"/>
    <col min="5" max="5" width="13.7109375" style="171" bestFit="1" customWidth="1"/>
    <col min="6" max="6" width="17.42578125" style="171" bestFit="1" customWidth="1"/>
    <col min="7" max="7" width="10.85546875" style="171"/>
    <col min="8" max="8" width="24.42578125" style="171" bestFit="1" customWidth="1"/>
    <col min="9" max="9" width="20" style="171" customWidth="1"/>
    <col min="10" max="10" width="12.42578125" style="171" bestFit="1" customWidth="1"/>
    <col min="11" max="11" width="10.85546875" style="171"/>
    <col min="12" max="12" width="9.140625" style="171" bestFit="1" customWidth="1"/>
    <col min="13" max="13" width="25" style="171" bestFit="1" customWidth="1"/>
    <col min="14" max="14" width="10.85546875" style="171"/>
    <col min="15" max="15" width="18.5703125" style="171" customWidth="1"/>
    <col min="16" max="16" width="7.7109375" style="171" bestFit="1" customWidth="1"/>
    <col min="17" max="17" width="13.7109375" style="171" bestFit="1" customWidth="1"/>
    <col min="18" max="18" width="11.7109375" style="171" bestFit="1" customWidth="1"/>
    <col min="19" max="16384" width="10.85546875" style="171"/>
  </cols>
  <sheetData>
    <row r="1" spans="1:12" ht="15.6" customHeight="1" thickBot="1" x14ac:dyDescent="0.3">
      <c r="A1" s="1571" t="s">
        <v>1442</v>
      </c>
      <c r="B1" s="1571"/>
      <c r="C1" s="1571"/>
      <c r="D1" s="1571"/>
      <c r="E1" s="1571"/>
      <c r="F1" s="1600"/>
      <c r="H1" s="1571" t="s">
        <v>1443</v>
      </c>
      <c r="I1" s="1571"/>
      <c r="J1" s="1571"/>
      <c r="K1" s="1571"/>
      <c r="L1" s="1571"/>
    </row>
    <row r="2" spans="1:12" ht="16.5" thickBot="1" x14ac:dyDescent="0.3">
      <c r="A2" s="112" t="s">
        <v>742</v>
      </c>
      <c r="B2" s="112" t="s">
        <v>1444</v>
      </c>
      <c r="C2" s="112" t="s">
        <v>1166</v>
      </c>
      <c r="D2" s="112" t="s">
        <v>1167</v>
      </c>
      <c r="E2" s="478" t="s">
        <v>747</v>
      </c>
      <c r="F2" s="479" t="s">
        <v>1445</v>
      </c>
      <c r="H2" s="112" t="s">
        <v>742</v>
      </c>
      <c r="I2" s="112" t="s">
        <v>743</v>
      </c>
      <c r="J2" s="143" t="s">
        <v>1446</v>
      </c>
      <c r="K2" s="112" t="s">
        <v>1167</v>
      </c>
      <c r="L2" s="112" t="s">
        <v>747</v>
      </c>
    </row>
    <row r="3" spans="1:12" ht="16.5" thickBot="1" x14ac:dyDescent="0.3">
      <c r="A3" s="13" t="s">
        <v>1447</v>
      </c>
      <c r="B3" s="152"/>
      <c r="C3" s="9"/>
      <c r="D3" s="67"/>
      <c r="E3" s="67">
        <v>200</v>
      </c>
      <c r="F3" s="477"/>
      <c r="H3" s="13" t="s">
        <v>1448</v>
      </c>
      <c r="I3" s="9"/>
      <c r="J3" s="180">
        <v>75</v>
      </c>
      <c r="K3" s="67">
        <v>300</v>
      </c>
      <c r="L3" s="67">
        <f>K3/J3</f>
        <v>4</v>
      </c>
    </row>
    <row r="4" spans="1:12" ht="16.5" thickBot="1" x14ac:dyDescent="0.3">
      <c r="A4" s="13" t="s">
        <v>1449</v>
      </c>
      <c r="B4" s="152">
        <v>0.2</v>
      </c>
      <c r="C4" s="9">
        <v>25</v>
      </c>
      <c r="D4" s="67">
        <v>850</v>
      </c>
      <c r="E4" s="67">
        <f t="shared" ref="E4:E9" si="0">D4/C4</f>
        <v>34</v>
      </c>
      <c r="F4" s="477"/>
      <c r="H4" s="13" t="s">
        <v>1450</v>
      </c>
      <c r="I4" s="9"/>
      <c r="J4" s="180"/>
      <c r="K4" s="67"/>
      <c r="L4" s="67">
        <v>3</v>
      </c>
    </row>
    <row r="5" spans="1:12" ht="16.5" thickBot="1" x14ac:dyDescent="0.3">
      <c r="A5" s="13" t="s">
        <v>1451</v>
      </c>
      <c r="B5" s="152">
        <v>0.2</v>
      </c>
      <c r="C5" s="9">
        <v>15</v>
      </c>
      <c r="D5" s="67">
        <v>850</v>
      </c>
      <c r="E5" s="67">
        <f t="shared" si="0"/>
        <v>56.666666666666664</v>
      </c>
      <c r="F5" s="477"/>
      <c r="H5" s="13" t="s">
        <v>1452</v>
      </c>
      <c r="I5" s="9"/>
      <c r="J5" s="180">
        <v>15</v>
      </c>
      <c r="K5" s="67">
        <v>200</v>
      </c>
      <c r="L5" s="67">
        <f>K5/J5</f>
        <v>13.333333333333334</v>
      </c>
    </row>
    <row r="6" spans="1:12" ht="16.5" thickBot="1" x14ac:dyDescent="0.3">
      <c r="A6" s="13" t="s">
        <v>1453</v>
      </c>
      <c r="B6" s="152">
        <v>0.2</v>
      </c>
      <c r="C6" s="9">
        <v>20</v>
      </c>
      <c r="D6" s="67">
        <v>850</v>
      </c>
      <c r="E6" s="67">
        <f t="shared" si="0"/>
        <v>42.5</v>
      </c>
      <c r="F6" s="477"/>
      <c r="H6" s="13" t="s">
        <v>1454</v>
      </c>
      <c r="I6" s="9"/>
      <c r="J6" s="180"/>
      <c r="K6" s="67"/>
      <c r="L6" s="67">
        <v>4</v>
      </c>
    </row>
    <row r="7" spans="1:12" ht="15.95" customHeight="1" thickBot="1" x14ac:dyDescent="0.3">
      <c r="A7" s="13" t="s">
        <v>1455</v>
      </c>
      <c r="B7" s="152">
        <v>0.38</v>
      </c>
      <c r="C7" s="9">
        <v>55</v>
      </c>
      <c r="D7" s="67">
        <v>850</v>
      </c>
      <c r="E7" s="67">
        <f t="shared" si="0"/>
        <v>15.454545454545455</v>
      </c>
      <c r="F7" s="477"/>
      <c r="H7" s="13" t="s">
        <v>1456</v>
      </c>
      <c r="I7" s="1686" t="s">
        <v>1457</v>
      </c>
      <c r="J7" s="180"/>
      <c r="K7" s="67"/>
      <c r="L7" s="67">
        <v>3</v>
      </c>
    </row>
    <row r="8" spans="1:12" ht="16.5" thickBot="1" x14ac:dyDescent="0.3">
      <c r="A8" s="159" t="s">
        <v>1458</v>
      </c>
      <c r="B8" s="149">
        <v>0.21</v>
      </c>
      <c r="C8" s="150">
        <v>95</v>
      </c>
      <c r="D8" s="67">
        <v>850</v>
      </c>
      <c r="E8" s="161">
        <f t="shared" si="0"/>
        <v>8.9473684210526319</v>
      </c>
      <c r="F8" s="477"/>
      <c r="H8" s="13" t="s">
        <v>1459</v>
      </c>
      <c r="I8" s="1687"/>
      <c r="J8" s="206"/>
      <c r="K8" s="67"/>
      <c r="L8" s="67">
        <v>3</v>
      </c>
    </row>
    <row r="9" spans="1:12" ht="16.5" thickBot="1" x14ac:dyDescent="0.3">
      <c r="A9" s="159" t="s">
        <v>1460</v>
      </c>
      <c r="B9" s="149">
        <v>0.20499999999999999</v>
      </c>
      <c r="C9" s="150">
        <v>24</v>
      </c>
      <c r="D9" s="67">
        <v>850</v>
      </c>
      <c r="E9" s="161">
        <f t="shared" si="0"/>
        <v>35.416666666666664</v>
      </c>
      <c r="F9" s="477"/>
    </row>
    <row r="10" spans="1:12" ht="16.5" thickBot="1" x14ac:dyDescent="0.3">
      <c r="A10" s="159" t="s">
        <v>2114</v>
      </c>
      <c r="B10" s="149">
        <v>0.20499999999999999</v>
      </c>
      <c r="C10" s="150">
        <v>45</v>
      </c>
      <c r="D10" s="67">
        <v>850</v>
      </c>
      <c r="E10" s="161">
        <f t="shared" ref="E10:E19" si="1">D10/C10</f>
        <v>18.888888888888889</v>
      </c>
      <c r="F10" s="477"/>
      <c r="H10" s="1688" t="s">
        <v>1461</v>
      </c>
      <c r="I10" s="1571"/>
      <c r="J10" s="1571"/>
      <c r="K10" s="1571"/>
    </row>
    <row r="11" spans="1:12" ht="16.5" thickBot="1" x14ac:dyDescent="0.3">
      <c r="A11" s="159" t="s">
        <v>3129</v>
      </c>
      <c r="B11" s="149">
        <v>0.21</v>
      </c>
      <c r="C11" s="150">
        <v>60</v>
      </c>
      <c r="D11" s="161">
        <v>1430</v>
      </c>
      <c r="E11" s="161">
        <f>D11/C11</f>
        <v>23.833333333333332</v>
      </c>
      <c r="F11" s="477"/>
      <c r="H11" s="112" t="s">
        <v>742</v>
      </c>
      <c r="I11" s="112" t="s">
        <v>1118</v>
      </c>
      <c r="J11" s="112" t="s">
        <v>1112</v>
      </c>
      <c r="K11" s="112" t="s">
        <v>747</v>
      </c>
    </row>
    <row r="12" spans="1:12" ht="16.5" thickBot="1" x14ac:dyDescent="0.3">
      <c r="A12" s="159" t="s">
        <v>3130</v>
      </c>
      <c r="B12" s="149">
        <v>0.21</v>
      </c>
      <c r="C12" s="150">
        <v>18</v>
      </c>
      <c r="D12" s="161">
        <v>1430</v>
      </c>
      <c r="E12" s="161">
        <f>D12/C12</f>
        <v>79.444444444444443</v>
      </c>
      <c r="F12" s="477">
        <v>2</v>
      </c>
      <c r="H12" s="151" t="s">
        <v>1463</v>
      </c>
      <c r="I12" s="15">
        <v>135</v>
      </c>
      <c r="J12" s="16">
        <v>3864</v>
      </c>
      <c r="K12" s="67">
        <f>J12/I12</f>
        <v>28.622222222222224</v>
      </c>
    </row>
    <row r="13" spans="1:12" ht="15.6" customHeight="1" thickBot="1" x14ac:dyDescent="0.3">
      <c r="A13" s="159" t="s">
        <v>1462</v>
      </c>
      <c r="B13" s="149">
        <v>0.20499999999999999</v>
      </c>
      <c r="C13" s="150">
        <v>45</v>
      </c>
      <c r="D13" s="161">
        <v>850</v>
      </c>
      <c r="E13" s="161">
        <f t="shared" si="1"/>
        <v>18.888888888888889</v>
      </c>
      <c r="F13" s="477"/>
      <c r="H13" s="1207" t="s">
        <v>3471</v>
      </c>
      <c r="I13" s="1207">
        <v>480</v>
      </c>
      <c r="J13" s="1208">
        <v>3864</v>
      </c>
      <c r="K13" s="1220">
        <f>J13/I13</f>
        <v>8.0500000000000007</v>
      </c>
    </row>
    <row r="14" spans="1:12" ht="15.6" customHeight="1" thickBot="1" x14ac:dyDescent="0.3">
      <c r="A14" s="159" t="s">
        <v>1464</v>
      </c>
      <c r="B14" s="149">
        <v>0.20499999999999999</v>
      </c>
      <c r="C14" s="150">
        <v>40</v>
      </c>
      <c r="D14" s="161">
        <v>850</v>
      </c>
      <c r="E14" s="161">
        <f t="shared" si="1"/>
        <v>21.25</v>
      </c>
      <c r="F14" s="477"/>
    </row>
    <row r="15" spans="1:12" ht="15.6" customHeight="1" thickBot="1" x14ac:dyDescent="0.3">
      <c r="A15" s="159" t="s">
        <v>1465</v>
      </c>
      <c r="B15" s="149">
        <v>0.20499999999999999</v>
      </c>
      <c r="C15" s="150">
        <v>100</v>
      </c>
      <c r="D15" s="161">
        <v>850</v>
      </c>
      <c r="E15" s="161">
        <f t="shared" si="1"/>
        <v>8.5</v>
      </c>
      <c r="F15" s="477"/>
    </row>
    <row r="16" spans="1:12" ht="15.6" customHeight="1" thickBot="1" x14ac:dyDescent="0.3">
      <c r="A16" s="159" t="s">
        <v>1466</v>
      </c>
      <c r="B16" s="149">
        <v>0.20499999999999999</v>
      </c>
      <c r="C16" s="150">
        <v>110</v>
      </c>
      <c r="D16" s="161">
        <v>850</v>
      </c>
      <c r="E16" s="161">
        <f t="shared" si="1"/>
        <v>7.7272727272727275</v>
      </c>
      <c r="F16" s="477"/>
    </row>
    <row r="17" spans="1:16" ht="15.6" customHeight="1" thickBot="1" x14ac:dyDescent="0.3">
      <c r="A17" s="159" t="s">
        <v>1467</v>
      </c>
      <c r="B17" s="149">
        <v>0.20499999999999999</v>
      </c>
      <c r="C17" s="150">
        <v>30</v>
      </c>
      <c r="D17" s="161">
        <v>850</v>
      </c>
      <c r="E17" s="161">
        <f t="shared" si="1"/>
        <v>28.333333333333332</v>
      </c>
      <c r="F17" s="477"/>
      <c r="I17" s="1"/>
    </row>
    <row r="18" spans="1:16" ht="15.6" customHeight="1" thickBot="1" x14ac:dyDescent="0.3">
      <c r="A18" s="159" t="s">
        <v>1468</v>
      </c>
      <c r="B18" s="149">
        <v>0.2</v>
      </c>
      <c r="C18" s="150">
        <v>30</v>
      </c>
      <c r="D18" s="161">
        <v>850</v>
      </c>
      <c r="E18" s="161">
        <f t="shared" si="1"/>
        <v>28.333333333333332</v>
      </c>
      <c r="F18" s="477"/>
      <c r="H18" s="1597" t="s">
        <v>1470</v>
      </c>
      <c r="I18" s="1598"/>
      <c r="K18" s="1688" t="s">
        <v>1471</v>
      </c>
      <c r="L18" s="1571"/>
      <c r="M18" s="1571"/>
      <c r="N18" s="1571"/>
    </row>
    <row r="19" spans="1:16" ht="16.5" thickBot="1" x14ac:dyDescent="0.3">
      <c r="A19" s="159" t="s">
        <v>1469</v>
      </c>
      <c r="B19" s="149">
        <v>0.20499999999999999</v>
      </c>
      <c r="C19" s="150">
        <v>30</v>
      </c>
      <c r="D19" s="161">
        <v>850</v>
      </c>
      <c r="E19" s="161">
        <f t="shared" si="1"/>
        <v>28.333333333333332</v>
      </c>
      <c r="F19" s="477"/>
      <c r="H19" s="3" t="s">
        <v>1169</v>
      </c>
      <c r="I19" s="89">
        <v>55</v>
      </c>
      <c r="K19" s="112" t="s">
        <v>742</v>
      </c>
      <c r="L19" s="112" t="s">
        <v>1166</v>
      </c>
      <c r="M19" s="112" t="s">
        <v>1167</v>
      </c>
      <c r="N19" s="112" t="s">
        <v>747</v>
      </c>
    </row>
    <row r="20" spans="1:16" ht="16.5" thickBot="1" x14ac:dyDescent="0.3">
      <c r="A20" s="159" t="s">
        <v>1472</v>
      </c>
      <c r="B20" s="149">
        <v>0.21</v>
      </c>
      <c r="C20" s="150">
        <v>64</v>
      </c>
      <c r="D20" s="161">
        <v>850</v>
      </c>
      <c r="E20" s="161">
        <f t="shared" ref="E20:E24" si="2">D20/C20</f>
        <v>13.28125</v>
      </c>
      <c r="F20" s="477"/>
      <c r="H20" s="3" t="s">
        <v>753</v>
      </c>
      <c r="I20" s="89">
        <v>174</v>
      </c>
      <c r="K20" s="13" t="s">
        <v>1474</v>
      </c>
      <c r="L20" s="152">
        <v>24</v>
      </c>
      <c r="M20" s="67">
        <v>779</v>
      </c>
      <c r="N20" s="67">
        <f>M20/L20</f>
        <v>32.458333333333336</v>
      </c>
    </row>
    <row r="21" spans="1:16" ht="16.5" thickBot="1" x14ac:dyDescent="0.3">
      <c r="A21" s="159" t="s">
        <v>1473</v>
      </c>
      <c r="B21" s="149">
        <v>0.21</v>
      </c>
      <c r="C21" s="150">
        <v>22</v>
      </c>
      <c r="D21" s="161">
        <v>1430</v>
      </c>
      <c r="E21" s="161">
        <f t="shared" si="2"/>
        <v>65</v>
      </c>
      <c r="F21" s="477">
        <v>6</v>
      </c>
      <c r="H21" s="168" t="s">
        <v>1336</v>
      </c>
      <c r="I21" s="90">
        <v>732</v>
      </c>
    </row>
    <row r="22" spans="1:16" ht="16.5" thickBot="1" x14ac:dyDescent="0.3">
      <c r="A22" s="159" t="s">
        <v>3091</v>
      </c>
      <c r="B22" s="149">
        <v>0.20499999999999999</v>
      </c>
      <c r="C22" s="150">
        <v>110</v>
      </c>
      <c r="D22" s="161">
        <v>850</v>
      </c>
      <c r="E22" s="161">
        <f t="shared" si="2"/>
        <v>7.7272727272727275</v>
      </c>
      <c r="F22" s="477">
        <v>9</v>
      </c>
      <c r="H22" s="1"/>
      <c r="I22" s="60"/>
    </row>
    <row r="23" spans="1:16" ht="16.5" thickBot="1" x14ac:dyDescent="0.3">
      <c r="A23" s="159" t="s">
        <v>3092</v>
      </c>
      <c r="B23" s="149">
        <v>0.20499999999999999</v>
      </c>
      <c r="C23" s="150">
        <v>110</v>
      </c>
      <c r="D23" s="161">
        <v>850</v>
      </c>
      <c r="E23" s="161">
        <f t="shared" si="2"/>
        <v>7.7272727272727275</v>
      </c>
      <c r="F23" s="477">
        <v>5</v>
      </c>
      <c r="H23" s="1688" t="s">
        <v>1475</v>
      </c>
      <c r="I23" s="1571"/>
      <c r="J23" s="1571"/>
      <c r="K23" s="1571"/>
    </row>
    <row r="24" spans="1:16" ht="16.5" thickBot="1" x14ac:dyDescent="0.3">
      <c r="A24" s="159" t="s">
        <v>3093</v>
      </c>
      <c r="B24" s="149">
        <v>0.20499999999999999</v>
      </c>
      <c r="C24" s="150">
        <v>110</v>
      </c>
      <c r="D24" s="161">
        <v>850</v>
      </c>
      <c r="E24" s="161">
        <f t="shared" si="2"/>
        <v>7.7272727272727275</v>
      </c>
      <c r="F24" s="477">
        <v>5</v>
      </c>
      <c r="H24" s="112" t="s">
        <v>742</v>
      </c>
      <c r="I24" s="112" t="s">
        <v>1118</v>
      </c>
      <c r="J24" s="112" t="s">
        <v>1112</v>
      </c>
      <c r="K24" s="112" t="s">
        <v>747</v>
      </c>
    </row>
    <row r="25" spans="1:16" ht="16.5" thickBot="1" x14ac:dyDescent="0.3">
      <c r="A25" s="159" t="s">
        <v>1476</v>
      </c>
      <c r="B25" s="149">
        <v>0.2</v>
      </c>
      <c r="C25" s="150">
        <v>34</v>
      </c>
      <c r="D25" s="161">
        <v>1430</v>
      </c>
      <c r="E25" s="161">
        <f>D25/C25</f>
        <v>42.058823529411768</v>
      </c>
      <c r="F25" s="477">
        <v>21</v>
      </c>
      <c r="H25" s="13" t="s">
        <v>758</v>
      </c>
      <c r="I25" s="152">
        <v>10</v>
      </c>
      <c r="J25" s="67">
        <v>845</v>
      </c>
      <c r="K25" s="67">
        <f>J25/I25</f>
        <v>84.5</v>
      </c>
    </row>
    <row r="26" spans="1:16" ht="16.5" thickBot="1" x14ac:dyDescent="0.3">
      <c r="A26" s="159" t="s">
        <v>1477</v>
      </c>
      <c r="B26" s="149">
        <v>0.20499999999999999</v>
      </c>
      <c r="C26" s="150">
        <v>23</v>
      </c>
      <c r="D26" s="161">
        <v>1430</v>
      </c>
      <c r="E26" s="161">
        <f>D26/C26</f>
        <v>62.173913043478258</v>
      </c>
      <c r="F26" s="477"/>
      <c r="H26" s="1"/>
      <c r="I26" s="60"/>
    </row>
    <row r="27" spans="1:16" ht="16.5" thickBot="1" x14ac:dyDescent="0.3">
      <c r="A27" s="159" t="s">
        <v>1478</v>
      </c>
      <c r="B27" s="149">
        <v>0.20499999999999999</v>
      </c>
      <c r="C27" s="150">
        <v>36</v>
      </c>
      <c r="D27" s="161">
        <v>850</v>
      </c>
      <c r="E27" s="161">
        <f>D27/C27</f>
        <v>23.611111111111111</v>
      </c>
      <c r="F27" s="477"/>
      <c r="H27" s="1597" t="s">
        <v>1479</v>
      </c>
      <c r="I27" s="1598"/>
    </row>
    <row r="28" spans="1:16" ht="16.5" thickBot="1" x14ac:dyDescent="0.3">
      <c r="A28" s="159" t="s">
        <v>1480</v>
      </c>
      <c r="B28" s="149">
        <v>0.2</v>
      </c>
      <c r="C28" s="150">
        <v>54</v>
      </c>
      <c r="D28" s="161">
        <v>850</v>
      </c>
      <c r="E28" s="161">
        <f>D28/C28</f>
        <v>15.74074074074074</v>
      </c>
      <c r="F28" s="477"/>
      <c r="H28" s="3" t="s">
        <v>1481</v>
      </c>
      <c r="I28" s="89">
        <v>75</v>
      </c>
      <c r="L28" s="217"/>
      <c r="P28" s="631"/>
    </row>
    <row r="29" spans="1:16" ht="15.95" customHeight="1" thickBot="1" x14ac:dyDescent="0.3">
      <c r="A29" s="159" t="s">
        <v>1482</v>
      </c>
      <c r="B29" s="149">
        <v>0.21</v>
      </c>
      <c r="C29" s="150">
        <v>24</v>
      </c>
      <c r="D29" s="161">
        <v>1430</v>
      </c>
      <c r="E29" s="161">
        <f t="shared" ref="E29:E30" si="3">D29/C29</f>
        <v>59.583333333333336</v>
      </c>
      <c r="F29" s="477"/>
      <c r="H29" s="3" t="s">
        <v>1483</v>
      </c>
      <c r="I29" s="89">
        <v>100</v>
      </c>
    </row>
    <row r="30" spans="1:16" ht="15.6" customHeight="1" thickBot="1" x14ac:dyDescent="0.3">
      <c r="A30" s="159" t="s">
        <v>1240</v>
      </c>
      <c r="B30" s="149">
        <v>0.21</v>
      </c>
      <c r="C30" s="150">
        <v>22</v>
      </c>
      <c r="D30" s="161">
        <v>1430</v>
      </c>
      <c r="E30" s="161">
        <f t="shared" si="3"/>
        <v>65</v>
      </c>
      <c r="F30" s="477"/>
    </row>
    <row r="31" spans="1:16" ht="15.6" customHeight="1" thickBot="1" x14ac:dyDescent="0.3">
      <c r="A31" s="159" t="s">
        <v>1260</v>
      </c>
      <c r="B31" s="149">
        <v>0.20499999999999999</v>
      </c>
      <c r="C31" s="150">
        <v>36</v>
      </c>
      <c r="D31" s="161">
        <v>1430</v>
      </c>
      <c r="E31" s="161">
        <f t="shared" ref="E31:E36" si="4">D31/C31</f>
        <v>39.722222222222221</v>
      </c>
      <c r="F31" s="477"/>
    </row>
    <row r="32" spans="1:16" ht="15.6" customHeight="1" thickBot="1" x14ac:dyDescent="0.3">
      <c r="A32" s="159" t="s">
        <v>4148</v>
      </c>
      <c r="B32" s="149">
        <v>0.20499999999999999</v>
      </c>
      <c r="C32" s="150">
        <v>24</v>
      </c>
      <c r="D32" s="161">
        <v>1430</v>
      </c>
      <c r="E32" s="161">
        <f t="shared" si="4"/>
        <v>59.583333333333336</v>
      </c>
      <c r="F32" s="477"/>
    </row>
    <row r="33" spans="1:12" ht="15.6" customHeight="1" thickBot="1" x14ac:dyDescent="0.3">
      <c r="A33" s="159" t="s">
        <v>3131</v>
      </c>
      <c r="B33" s="149">
        <v>0.20499999999999999</v>
      </c>
      <c r="C33" s="150">
        <v>100</v>
      </c>
      <c r="D33" s="161">
        <v>850</v>
      </c>
      <c r="E33" s="161">
        <f t="shared" si="4"/>
        <v>8.5</v>
      </c>
      <c r="F33" s="477"/>
    </row>
    <row r="34" spans="1:12" ht="16.5" thickBot="1" x14ac:dyDescent="0.3">
      <c r="A34" s="159" t="s">
        <v>3133</v>
      </c>
      <c r="B34" s="149">
        <v>0.20499999999999999</v>
      </c>
      <c r="C34" s="150">
        <v>46</v>
      </c>
      <c r="D34" s="161">
        <v>850</v>
      </c>
      <c r="E34" s="161">
        <f t="shared" si="4"/>
        <v>18.478260869565219</v>
      </c>
      <c r="F34" s="477"/>
    </row>
    <row r="35" spans="1:12" ht="16.5" thickBot="1" x14ac:dyDescent="0.3">
      <c r="A35" s="159" t="s">
        <v>3132</v>
      </c>
      <c r="B35" s="149">
        <v>0.23</v>
      </c>
      <c r="C35" s="150">
        <v>64</v>
      </c>
      <c r="D35" s="161">
        <v>850</v>
      </c>
      <c r="E35" s="161">
        <f t="shared" si="4"/>
        <v>13.28125</v>
      </c>
      <c r="F35" s="477"/>
      <c r="H35" s="1688" t="s">
        <v>1484</v>
      </c>
      <c r="I35" s="1571"/>
      <c r="J35" s="1571"/>
      <c r="K35" s="1571"/>
    </row>
    <row r="36" spans="1:12" ht="16.5" thickBot="1" x14ac:dyDescent="0.3">
      <c r="A36" s="159" t="s">
        <v>3760</v>
      </c>
      <c r="B36" s="149">
        <v>0.34</v>
      </c>
      <c r="C36" s="150">
        <v>23</v>
      </c>
      <c r="D36" s="161">
        <v>8750</v>
      </c>
      <c r="E36" s="161">
        <f t="shared" si="4"/>
        <v>380.43478260869563</v>
      </c>
      <c r="F36" s="477"/>
      <c r="H36" s="112" t="s">
        <v>742</v>
      </c>
      <c r="I36" s="112" t="s">
        <v>1118</v>
      </c>
      <c r="J36" s="112" t="s">
        <v>1112</v>
      </c>
      <c r="K36" s="112" t="s">
        <v>747</v>
      </c>
    </row>
    <row r="37" spans="1:12" ht="16.5" thickBot="1" x14ac:dyDescent="0.3">
      <c r="A37" s="159" t="s">
        <v>3094</v>
      </c>
      <c r="B37" s="149">
        <v>103</v>
      </c>
      <c r="C37" s="150">
        <v>97</v>
      </c>
      <c r="D37" s="161">
        <v>3000</v>
      </c>
      <c r="E37" s="161">
        <f t="shared" ref="E37:E38" si="5">D37/C37</f>
        <v>30.927835051546392</v>
      </c>
      <c r="F37" s="477"/>
      <c r="H37" s="13" t="s">
        <v>1480</v>
      </c>
      <c r="I37" s="152">
        <v>10</v>
      </c>
      <c r="J37" s="67">
        <v>377</v>
      </c>
      <c r="K37" s="67">
        <f>J37/I37</f>
        <v>37.700000000000003</v>
      </c>
    </row>
    <row r="38" spans="1:12" ht="16.5" thickBot="1" x14ac:dyDescent="0.3">
      <c r="A38" s="159" t="s">
        <v>4140</v>
      </c>
      <c r="B38" s="149">
        <v>103</v>
      </c>
      <c r="C38" s="150">
        <v>97</v>
      </c>
      <c r="D38" s="161">
        <v>3000</v>
      </c>
      <c r="E38" s="161">
        <f t="shared" si="5"/>
        <v>30.927835051546392</v>
      </c>
      <c r="F38" s="477"/>
      <c r="H38" s="13" t="s">
        <v>1489</v>
      </c>
      <c r="I38" s="152">
        <v>10</v>
      </c>
      <c r="J38" s="67">
        <v>377</v>
      </c>
      <c r="K38" s="67">
        <f>J38/I38</f>
        <v>37.700000000000003</v>
      </c>
    </row>
    <row r="39" spans="1:12" x14ac:dyDescent="0.25">
      <c r="A39" s="1"/>
      <c r="B39" s="1"/>
      <c r="C39" s="1"/>
      <c r="D39" s="60"/>
      <c r="E39" s="60"/>
      <c r="F39" s="1"/>
    </row>
    <row r="40" spans="1:12" ht="16.5" thickBot="1" x14ac:dyDescent="0.3">
      <c r="A40" s="1571" t="s">
        <v>421</v>
      </c>
      <c r="B40" s="1571"/>
      <c r="C40" s="1571"/>
      <c r="D40" s="1571"/>
      <c r="E40" s="1571"/>
      <c r="H40" s="62"/>
      <c r="I40" s="62"/>
      <c r="J40" s="62"/>
      <c r="K40" s="62"/>
      <c r="L40" s="62"/>
    </row>
    <row r="41" spans="1:12" ht="16.5" thickBot="1" x14ac:dyDescent="0.3">
      <c r="A41" s="113" t="s">
        <v>742</v>
      </c>
      <c r="B41" s="113" t="s">
        <v>743</v>
      </c>
      <c r="C41" s="147" t="s">
        <v>1069</v>
      </c>
      <c r="D41" s="147" t="s">
        <v>1070</v>
      </c>
      <c r="E41" s="113" t="s">
        <v>747</v>
      </c>
      <c r="H41" s="1589" t="s">
        <v>605</v>
      </c>
      <c r="I41" s="1590"/>
    </row>
    <row r="42" spans="1:12" x14ac:dyDescent="0.25">
      <c r="A42" s="1561" t="s">
        <v>1485</v>
      </c>
      <c r="B42" s="169" t="s">
        <v>1486</v>
      </c>
      <c r="C42" s="146"/>
      <c r="D42" s="88">
        <v>0.75</v>
      </c>
      <c r="E42" s="88">
        <v>0.75</v>
      </c>
      <c r="H42" s="177" t="s">
        <v>1066</v>
      </c>
      <c r="I42" s="178" t="s">
        <v>747</v>
      </c>
    </row>
    <row r="43" spans="1:12" ht="16.5" thickBot="1" x14ac:dyDescent="0.3">
      <c r="A43" s="1562"/>
      <c r="B43" s="98" t="s">
        <v>1487</v>
      </c>
      <c r="C43" s="6">
        <v>137</v>
      </c>
      <c r="D43" s="930">
        <f>D44</f>
        <v>2500</v>
      </c>
      <c r="E43" s="89">
        <f>D43/C43</f>
        <v>18.248175182481752</v>
      </c>
      <c r="F43" s="171" t="s">
        <v>1488</v>
      </c>
      <c r="H43" s="168" t="s">
        <v>1493</v>
      </c>
      <c r="I43" s="90">
        <v>65</v>
      </c>
    </row>
    <row r="44" spans="1:12" ht="16.5" customHeight="1" x14ac:dyDescent="0.25">
      <c r="A44" s="1562"/>
      <c r="B44" s="98" t="s">
        <v>2243</v>
      </c>
      <c r="C44" s="6">
        <v>120</v>
      </c>
      <c r="D44" s="929">
        <f>C68</f>
        <v>2500</v>
      </c>
      <c r="E44" s="89">
        <f>D44/C44</f>
        <v>20.833333333333332</v>
      </c>
    </row>
    <row r="45" spans="1:12" ht="16.5" thickBot="1" x14ac:dyDescent="0.3">
      <c r="A45" s="1562"/>
      <c r="B45" s="170" t="s">
        <v>1490</v>
      </c>
      <c r="C45" s="6">
        <v>90</v>
      </c>
      <c r="D45" s="89">
        <v>203</v>
      </c>
      <c r="E45" s="89">
        <v>2.5</v>
      </c>
      <c r="H45" s="1571" t="s">
        <v>1492</v>
      </c>
      <c r="I45" s="1571"/>
      <c r="J45" s="1571"/>
    </row>
    <row r="46" spans="1:12" ht="16.5" thickBot="1" x14ac:dyDescent="0.3">
      <c r="A46" s="1563"/>
      <c r="B46" s="170" t="s">
        <v>1491</v>
      </c>
      <c r="C46" s="6">
        <v>70</v>
      </c>
      <c r="D46" s="89">
        <v>270</v>
      </c>
      <c r="E46" s="89">
        <f>D46/C46</f>
        <v>3.8571428571428572</v>
      </c>
      <c r="H46" s="112" t="s">
        <v>742</v>
      </c>
      <c r="I46" s="112" t="s">
        <v>743</v>
      </c>
      <c r="J46" s="112" t="s">
        <v>747</v>
      </c>
    </row>
    <row r="47" spans="1:12" ht="16.5" thickBot="1" x14ac:dyDescent="0.3">
      <c r="H47" s="13" t="s">
        <v>1137</v>
      </c>
      <c r="I47" s="9"/>
      <c r="J47" s="67">
        <v>35</v>
      </c>
    </row>
    <row r="48" spans="1:12" ht="16.5" thickBot="1" x14ac:dyDescent="0.3">
      <c r="A48" s="1565" t="s">
        <v>2241</v>
      </c>
      <c r="B48" s="1566"/>
      <c r="C48" s="1567"/>
    </row>
    <row r="49" spans="1:12" ht="16.5" thickBot="1" x14ac:dyDescent="0.3">
      <c r="A49" s="901" t="s">
        <v>2231</v>
      </c>
      <c r="B49" s="915" t="s">
        <v>743</v>
      </c>
      <c r="C49" s="916" t="s">
        <v>747</v>
      </c>
      <c r="H49" s="1571" t="s">
        <v>1429</v>
      </c>
      <c r="I49" s="1571"/>
      <c r="J49" s="1571"/>
      <c r="K49" s="1571"/>
      <c r="L49" s="1571"/>
    </row>
    <row r="50" spans="1:12" ht="16.5" thickBot="1" x14ac:dyDescent="0.3">
      <c r="A50" s="917" t="s">
        <v>2236</v>
      </c>
      <c r="B50" s="921" t="s">
        <v>2238</v>
      </c>
      <c r="C50" s="918">
        <v>2500</v>
      </c>
      <c r="H50" s="112" t="s">
        <v>742</v>
      </c>
      <c r="I50" s="112" t="s">
        <v>1494</v>
      </c>
      <c r="J50" s="143" t="s">
        <v>1446</v>
      </c>
      <c r="K50" s="112" t="s">
        <v>1167</v>
      </c>
      <c r="L50" s="112" t="s">
        <v>747</v>
      </c>
    </row>
    <row r="51" spans="1:12" ht="16.5" thickBot="1" x14ac:dyDescent="0.3">
      <c r="A51" s="913" t="s">
        <v>2237</v>
      </c>
      <c r="B51" s="920" t="s">
        <v>2238</v>
      </c>
      <c r="C51" s="918">
        <v>2500</v>
      </c>
      <c r="H51" s="13" t="s">
        <v>1495</v>
      </c>
      <c r="I51" s="9">
        <v>0.13</v>
      </c>
      <c r="J51" s="180">
        <v>24</v>
      </c>
      <c r="K51" s="67">
        <v>220</v>
      </c>
      <c r="L51" s="67">
        <f>K51/J51</f>
        <v>9.1666666666666661</v>
      </c>
    </row>
    <row r="52" spans="1:12" ht="16.5" thickBot="1" x14ac:dyDescent="0.3">
      <c r="A52" s="914" t="s">
        <v>1437</v>
      </c>
      <c r="B52" s="922" t="s">
        <v>2238</v>
      </c>
      <c r="C52" s="918">
        <v>2500</v>
      </c>
      <c r="H52" s="13" t="s">
        <v>1496</v>
      </c>
      <c r="I52" s="9">
        <v>0.37</v>
      </c>
      <c r="J52" s="180">
        <v>45</v>
      </c>
      <c r="K52" s="67">
        <v>2010</v>
      </c>
      <c r="L52" s="67">
        <f>K52/J52</f>
        <v>44.666666666666664</v>
      </c>
    </row>
    <row r="53" spans="1:12" ht="16.5" thickBot="1" x14ac:dyDescent="0.3">
      <c r="A53" s="923" t="s">
        <v>1391</v>
      </c>
      <c r="B53" s="924" t="s">
        <v>1009</v>
      </c>
      <c r="C53" s="918">
        <v>2500</v>
      </c>
      <c r="H53" s="13" t="s">
        <v>3048</v>
      </c>
      <c r="I53" s="9">
        <v>0.39</v>
      </c>
      <c r="J53" s="180">
        <v>52</v>
      </c>
      <c r="K53" s="67">
        <v>2840</v>
      </c>
      <c r="L53" s="67">
        <f>K53/J53</f>
        <v>54.615384615384613</v>
      </c>
    </row>
    <row r="54" spans="1:12" ht="16.5" thickBot="1" x14ac:dyDescent="0.3">
      <c r="A54" s="925" t="s">
        <v>2232</v>
      </c>
      <c r="B54" s="926" t="s">
        <v>1009</v>
      </c>
      <c r="C54" s="918">
        <v>2500</v>
      </c>
      <c r="H54" s="13" t="s">
        <v>3125</v>
      </c>
      <c r="I54" s="9">
        <v>0.39</v>
      </c>
      <c r="J54" s="180">
        <v>61</v>
      </c>
      <c r="K54" s="67">
        <v>3700</v>
      </c>
      <c r="L54" s="67">
        <f>K54/J54</f>
        <v>60.655737704918032</v>
      </c>
    </row>
    <row r="55" spans="1:12" ht="16.5" thickBot="1" x14ac:dyDescent="0.3">
      <c r="A55" s="925" t="s">
        <v>2233</v>
      </c>
      <c r="B55" s="926" t="s">
        <v>1009</v>
      </c>
      <c r="C55" s="918">
        <v>2500</v>
      </c>
    </row>
    <row r="56" spans="1:12" ht="16.5" thickBot="1" x14ac:dyDescent="0.3">
      <c r="A56" s="925" t="s">
        <v>1489</v>
      </c>
      <c r="B56" s="926" t="s">
        <v>1009</v>
      </c>
      <c r="C56" s="918">
        <v>2500</v>
      </c>
    </row>
    <row r="57" spans="1:12" ht="16.5" thickBot="1" x14ac:dyDescent="0.3">
      <c r="A57" s="925" t="s">
        <v>1225</v>
      </c>
      <c r="B57" s="926" t="s">
        <v>1009</v>
      </c>
      <c r="C57" s="918">
        <v>2500</v>
      </c>
      <c r="H57" s="1685" t="s">
        <v>3416</v>
      </c>
      <c r="I57" s="1685"/>
      <c r="J57" s="1685"/>
    </row>
    <row r="58" spans="1:12" ht="16.5" thickBot="1" x14ac:dyDescent="0.3">
      <c r="A58" s="925" t="s">
        <v>1439</v>
      </c>
      <c r="B58" s="926" t="s">
        <v>1009</v>
      </c>
      <c r="C58" s="918">
        <v>2500</v>
      </c>
      <c r="H58" s="15" t="s">
        <v>3417</v>
      </c>
      <c r="I58" s="1181" t="s">
        <v>3139</v>
      </c>
      <c r="J58" s="67">
        <v>500</v>
      </c>
    </row>
    <row r="59" spans="1:12" ht="16.5" thickBot="1" x14ac:dyDescent="0.3">
      <c r="A59" s="925" t="s">
        <v>910</v>
      </c>
      <c r="B59" s="926" t="s">
        <v>1009</v>
      </c>
      <c r="C59" s="918">
        <v>2500</v>
      </c>
      <c r="H59" s="15" t="s">
        <v>3418</v>
      </c>
      <c r="I59" s="1181" t="s">
        <v>1439</v>
      </c>
      <c r="J59" s="67">
        <v>800</v>
      </c>
    </row>
    <row r="60" spans="1:12" ht="16.5" thickBot="1" x14ac:dyDescent="0.3">
      <c r="A60" s="925" t="s">
        <v>2234</v>
      </c>
      <c r="B60" s="926" t="s">
        <v>1009</v>
      </c>
      <c r="C60" s="918">
        <v>2500</v>
      </c>
      <c r="H60" s="15" t="s">
        <v>3751</v>
      </c>
      <c r="I60" s="1299" t="s">
        <v>3752</v>
      </c>
      <c r="J60" s="16">
        <v>500</v>
      </c>
    </row>
    <row r="61" spans="1:12" ht="16.5" thickBot="1" x14ac:dyDescent="0.3">
      <c r="A61" s="925" t="s">
        <v>2235</v>
      </c>
      <c r="B61" s="926" t="s">
        <v>1009</v>
      </c>
      <c r="C61" s="918">
        <v>2500</v>
      </c>
      <c r="H61" s="1207" t="s">
        <v>3415</v>
      </c>
      <c r="I61" s="1207" t="s">
        <v>1260</v>
      </c>
      <c r="J61" s="1208">
        <v>1000</v>
      </c>
    </row>
    <row r="62" spans="1:12" ht="16.5" thickBot="1" x14ac:dyDescent="0.3">
      <c r="A62" s="925" t="s">
        <v>1260</v>
      </c>
      <c r="B62" s="926" t="s">
        <v>1009</v>
      </c>
      <c r="C62" s="918">
        <v>2500</v>
      </c>
      <c r="H62" s="1207" t="s">
        <v>4047</v>
      </c>
      <c r="I62" s="1207" t="s">
        <v>4048</v>
      </c>
      <c r="J62" s="1208">
        <v>767</v>
      </c>
    </row>
    <row r="63" spans="1:12" ht="16.5" thickBot="1" x14ac:dyDescent="0.3">
      <c r="A63" s="925" t="s">
        <v>1462</v>
      </c>
      <c r="B63" s="926" t="s">
        <v>1009</v>
      </c>
      <c r="C63" s="918">
        <v>2500</v>
      </c>
      <c r="H63" s="1412" t="s">
        <v>4402</v>
      </c>
      <c r="I63" s="1207"/>
      <c r="J63" s="1208">
        <v>2100</v>
      </c>
    </row>
    <row r="64" spans="1:12" ht="16.5" thickBot="1" x14ac:dyDescent="0.3">
      <c r="A64" s="925" t="s">
        <v>1231</v>
      </c>
      <c r="B64" s="926" t="s">
        <v>1009</v>
      </c>
      <c r="C64" s="918">
        <v>2500</v>
      </c>
      <c r="H64" s="1412" t="s">
        <v>4220</v>
      </c>
      <c r="I64" s="1207"/>
      <c r="J64" s="1208">
        <v>2100</v>
      </c>
    </row>
    <row r="65" spans="1:10" ht="16.5" thickBot="1" x14ac:dyDescent="0.3">
      <c r="A65" s="925" t="s">
        <v>1240</v>
      </c>
      <c r="B65" s="926" t="s">
        <v>1009</v>
      </c>
      <c r="C65" s="918">
        <v>2500</v>
      </c>
      <c r="H65" s="1412" t="s">
        <v>3904</v>
      </c>
      <c r="I65" s="1207"/>
      <c r="J65" s="1208">
        <v>2100</v>
      </c>
    </row>
    <row r="66" spans="1:10" ht="16.5" thickBot="1" x14ac:dyDescent="0.3">
      <c r="A66" s="927" t="s">
        <v>2239</v>
      </c>
      <c r="B66" s="928" t="s">
        <v>1009</v>
      </c>
      <c r="C66" s="918">
        <v>2500</v>
      </c>
    </row>
    <row r="67" spans="1:10" ht="16.5" thickBot="1" x14ac:dyDescent="0.3">
      <c r="A67" s="1695" t="s">
        <v>2240</v>
      </c>
      <c r="B67" s="1696"/>
      <c r="C67" s="919">
        <f>AVERAGE(C50:C66)</f>
        <v>2500</v>
      </c>
    </row>
    <row r="68" spans="1:10" x14ac:dyDescent="0.25">
      <c r="A68" s="1691" t="s">
        <v>2242</v>
      </c>
      <c r="B68" s="1692"/>
      <c r="C68" s="1689">
        <v>2500</v>
      </c>
    </row>
    <row r="69" spans="1:10" ht="16.5" thickBot="1" x14ac:dyDescent="0.3">
      <c r="A69" s="1693"/>
      <c r="B69" s="1694"/>
      <c r="C69" s="1690"/>
    </row>
  </sheetData>
  <mergeCells count="19">
    <mergeCell ref="A42:A46"/>
    <mergeCell ref="H41:I41"/>
    <mergeCell ref="C68:C69"/>
    <mergeCell ref="A68:B69"/>
    <mergeCell ref="A48:C48"/>
    <mergeCell ref="A67:B67"/>
    <mergeCell ref="H49:L49"/>
    <mergeCell ref="H45:J45"/>
    <mergeCell ref="H57:J57"/>
    <mergeCell ref="H1:L1"/>
    <mergeCell ref="I7:I8"/>
    <mergeCell ref="A40:E40"/>
    <mergeCell ref="H35:K35"/>
    <mergeCell ref="A1:F1"/>
    <mergeCell ref="H23:K23"/>
    <mergeCell ref="H27:I27"/>
    <mergeCell ref="H18:I18"/>
    <mergeCell ref="K18:N18"/>
    <mergeCell ref="H10:K10"/>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I18"/>
  <sheetViews>
    <sheetView workbookViewId="0">
      <selection activeCell="E8" sqref="E8"/>
    </sheetView>
  </sheetViews>
  <sheetFormatPr baseColWidth="10" defaultColWidth="10.85546875" defaultRowHeight="15.75" x14ac:dyDescent="0.25"/>
  <cols>
    <col min="1" max="1" width="26.140625" style="1" customWidth="1"/>
    <col min="2" max="2" width="12" style="1" bestFit="1" customWidth="1"/>
    <col min="3" max="3" width="19.140625" style="1" customWidth="1"/>
    <col min="4" max="4" width="12" style="1" customWidth="1"/>
    <col min="5" max="6" width="10.85546875" style="1"/>
    <col min="7" max="7" width="12.85546875" style="1" bestFit="1" customWidth="1"/>
    <col min="8" max="16384" width="10.85546875" style="1"/>
  </cols>
  <sheetData>
    <row r="1" spans="1:9" x14ac:dyDescent="0.25">
      <c r="A1" s="1697" t="s">
        <v>1522</v>
      </c>
      <c r="B1" s="1698"/>
      <c r="C1" s="1698"/>
      <c r="D1" s="1698"/>
      <c r="E1" s="1699"/>
      <c r="F1" s="7"/>
      <c r="G1" s="1697" t="s">
        <v>1523</v>
      </c>
      <c r="H1" s="1698"/>
      <c r="I1" s="1699"/>
    </row>
    <row r="2" spans="1:9" x14ac:dyDescent="0.25">
      <c r="A2" s="40" t="s">
        <v>83</v>
      </c>
      <c r="B2" s="41" t="s">
        <v>1524</v>
      </c>
      <c r="C2" s="42" t="s">
        <v>5004</v>
      </c>
      <c r="D2" s="42" t="s">
        <v>4626</v>
      </c>
      <c r="E2" s="42" t="s">
        <v>1525</v>
      </c>
      <c r="F2" s="7"/>
      <c r="G2" s="41" t="s">
        <v>83</v>
      </c>
      <c r="H2" s="41" t="s">
        <v>1524</v>
      </c>
      <c r="I2" s="41" t="s">
        <v>1525</v>
      </c>
    </row>
    <row r="3" spans="1:9" x14ac:dyDescent="0.25">
      <c r="A3" s="2" t="s">
        <v>1526</v>
      </c>
      <c r="B3" s="2" t="s">
        <v>1527</v>
      </c>
      <c r="C3" s="6"/>
      <c r="D3" s="6"/>
      <c r="E3" s="43">
        <v>150</v>
      </c>
      <c r="F3" s="7"/>
      <c r="G3" s="2" t="s">
        <v>1528</v>
      </c>
      <c r="H3" s="2" t="s">
        <v>1529</v>
      </c>
      <c r="I3" s="44">
        <v>2433</v>
      </c>
    </row>
    <row r="4" spans="1:9" x14ac:dyDescent="0.25">
      <c r="A4" s="2" t="s">
        <v>1534</v>
      </c>
      <c r="B4" s="2" t="s">
        <v>1535</v>
      </c>
      <c r="C4" s="2"/>
      <c r="D4" s="2"/>
      <c r="E4" s="44">
        <v>80</v>
      </c>
      <c r="G4" s="2" t="s">
        <v>1532</v>
      </c>
      <c r="H4" s="2" t="s">
        <v>1533</v>
      </c>
      <c r="I4" s="44">
        <v>2633</v>
      </c>
    </row>
    <row r="5" spans="1:9" x14ac:dyDescent="0.25">
      <c r="A5" s="2" t="s">
        <v>4014</v>
      </c>
      <c r="B5" s="2" t="s">
        <v>1540</v>
      </c>
      <c r="C5" s="2"/>
      <c r="D5" s="2"/>
      <c r="E5" s="44">
        <v>200</v>
      </c>
      <c r="F5" s="1" t="s">
        <v>4015</v>
      </c>
      <c r="G5" s="1611" t="s">
        <v>1536</v>
      </c>
      <c r="H5" s="2" t="s">
        <v>2266</v>
      </c>
      <c r="I5" s="44">
        <v>845</v>
      </c>
    </row>
    <row r="6" spans="1:9" x14ac:dyDescent="0.25">
      <c r="A6" s="2" t="s">
        <v>1537</v>
      </c>
      <c r="B6" s="2" t="s">
        <v>3228</v>
      </c>
      <c r="C6" s="2"/>
      <c r="D6" s="2"/>
      <c r="E6" s="44">
        <v>240</v>
      </c>
      <c r="G6" s="1612"/>
      <c r="H6" s="2" t="s">
        <v>2267</v>
      </c>
      <c r="I6" s="102">
        <v>1070</v>
      </c>
    </row>
    <row r="7" spans="1:9" x14ac:dyDescent="0.25">
      <c r="A7" s="2" t="s">
        <v>1537</v>
      </c>
      <c r="B7" s="2" t="s">
        <v>3227</v>
      </c>
      <c r="C7" s="2"/>
      <c r="D7" s="2"/>
      <c r="E7" s="44">
        <v>170</v>
      </c>
      <c r="G7" s="1700" t="s">
        <v>3383</v>
      </c>
      <c r="H7" s="2" t="s">
        <v>3385</v>
      </c>
      <c r="I7" s="102">
        <v>850</v>
      </c>
    </row>
    <row r="8" spans="1:9" x14ac:dyDescent="0.25">
      <c r="A8" s="2" t="s">
        <v>1538</v>
      </c>
      <c r="B8" s="2" t="s">
        <v>1169</v>
      </c>
      <c r="C8" s="2"/>
      <c r="D8" s="2"/>
      <c r="E8" s="44">
        <v>420</v>
      </c>
      <c r="G8" s="1700"/>
      <c r="H8" s="2" t="s">
        <v>3384</v>
      </c>
      <c r="I8" s="102">
        <v>900</v>
      </c>
    </row>
    <row r="9" spans="1:9" x14ac:dyDescent="0.25">
      <c r="A9" s="2" t="s">
        <v>1538</v>
      </c>
      <c r="B9" s="2" t="s">
        <v>753</v>
      </c>
      <c r="C9" s="2"/>
      <c r="D9" s="2"/>
      <c r="E9" s="44">
        <v>450</v>
      </c>
      <c r="G9" s="1611" t="s">
        <v>4494</v>
      </c>
      <c r="H9" s="2" t="s">
        <v>4538</v>
      </c>
      <c r="I9" s="44">
        <v>1000</v>
      </c>
    </row>
    <row r="10" spans="1:9" x14ac:dyDescent="0.25">
      <c r="A10" s="2" t="s">
        <v>4623</v>
      </c>
      <c r="B10" s="2" t="s">
        <v>4624</v>
      </c>
      <c r="C10" s="2">
        <v>4100</v>
      </c>
      <c r="D10" s="2">
        <v>200</v>
      </c>
      <c r="E10" s="44">
        <f>C10/D10</f>
        <v>20.5</v>
      </c>
      <c r="G10" s="1612"/>
      <c r="H10" s="2" t="s">
        <v>4537</v>
      </c>
      <c r="I10" s="102">
        <v>1100</v>
      </c>
    </row>
    <row r="11" spans="1:9" x14ac:dyDescent="0.25">
      <c r="A11" s="2" t="s">
        <v>4623</v>
      </c>
      <c r="B11" s="2" t="s">
        <v>4625</v>
      </c>
      <c r="C11" s="2">
        <v>6000</v>
      </c>
      <c r="D11" s="2">
        <v>200</v>
      </c>
      <c r="E11" s="44">
        <f>C11/D11</f>
        <v>30</v>
      </c>
      <c r="G11" s="2" t="s">
        <v>3618</v>
      </c>
      <c r="H11" s="2" t="s">
        <v>4632</v>
      </c>
      <c r="I11" s="44">
        <v>560</v>
      </c>
    </row>
    <row r="12" spans="1:9" x14ac:dyDescent="0.25">
      <c r="A12" s="2" t="s">
        <v>1539</v>
      </c>
      <c r="B12" s="2" t="s">
        <v>1540</v>
      </c>
      <c r="C12" s="2"/>
      <c r="D12" s="2"/>
      <c r="E12" s="44">
        <v>50</v>
      </c>
    </row>
    <row r="13" spans="1:9" x14ac:dyDescent="0.25">
      <c r="A13" s="2" t="s">
        <v>1541</v>
      </c>
      <c r="B13" s="2" t="s">
        <v>1542</v>
      </c>
      <c r="C13" s="2"/>
      <c r="D13" s="2"/>
      <c r="E13" s="44">
        <v>6</v>
      </c>
    </row>
    <row r="14" spans="1:9" x14ac:dyDescent="0.25">
      <c r="A14" s="2" t="s">
        <v>1543</v>
      </c>
      <c r="B14" s="2"/>
      <c r="C14" s="2"/>
      <c r="D14" s="2"/>
      <c r="E14" s="44">
        <v>4</v>
      </c>
    </row>
    <row r="15" spans="1:9" x14ac:dyDescent="0.25">
      <c r="A15" s="2" t="s">
        <v>3259</v>
      </c>
      <c r="B15" s="2"/>
      <c r="C15" s="2"/>
      <c r="D15" s="2"/>
      <c r="E15" s="44">
        <v>380</v>
      </c>
    </row>
    <row r="16" spans="1:9" x14ac:dyDescent="0.25">
      <c r="A16" s="2" t="s">
        <v>3258</v>
      </c>
      <c r="B16" s="2"/>
      <c r="C16" s="2"/>
      <c r="D16" s="2"/>
      <c r="E16" s="44">
        <v>260</v>
      </c>
    </row>
    <row r="17" spans="1:5" x14ac:dyDescent="0.25">
      <c r="A17" s="2" t="s">
        <v>3362</v>
      </c>
      <c r="B17" s="2"/>
      <c r="C17" s="2"/>
      <c r="D17" s="2"/>
      <c r="E17" s="44">
        <v>7.5</v>
      </c>
    </row>
    <row r="18" spans="1:5" x14ac:dyDescent="0.25">
      <c r="A18" s="2" t="s">
        <v>1544</v>
      </c>
      <c r="B18" s="2"/>
      <c r="C18" s="2"/>
      <c r="D18" s="2"/>
      <c r="E18" s="44">
        <v>2</v>
      </c>
    </row>
  </sheetData>
  <mergeCells count="5">
    <mergeCell ref="G1:I1"/>
    <mergeCell ref="G5:G6"/>
    <mergeCell ref="G7:G8"/>
    <mergeCell ref="G9:G10"/>
    <mergeCell ref="A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K721"/>
  <sheetViews>
    <sheetView topLeftCell="A479" zoomScale="77" zoomScaleNormal="77" workbookViewId="0">
      <selection activeCell="B486" sqref="B486"/>
    </sheetView>
  </sheetViews>
  <sheetFormatPr baseColWidth="10" defaultColWidth="10.85546875" defaultRowHeight="15.75" x14ac:dyDescent="0.25"/>
  <cols>
    <col min="1" max="1" width="15.140625" style="1" bestFit="1" customWidth="1"/>
    <col min="2" max="2" width="49.85546875" style="1" bestFit="1" customWidth="1"/>
    <col min="3" max="3" width="23.7109375" style="1" bestFit="1" customWidth="1"/>
    <col min="4" max="4" width="13.5703125" style="1" bestFit="1" customWidth="1"/>
    <col min="5" max="5" width="16" style="1" bestFit="1" customWidth="1"/>
    <col min="6" max="6" width="12.85546875" style="1" bestFit="1" customWidth="1"/>
    <col min="7" max="8" width="10.85546875" style="1"/>
    <col min="9" max="9" width="15.140625" style="1" bestFit="1" customWidth="1"/>
    <col min="10" max="10" width="10.85546875" style="1"/>
    <col min="11" max="11" width="18" style="1" bestFit="1" customWidth="1"/>
    <col min="12" max="16384" width="10.85546875" style="1"/>
  </cols>
  <sheetData>
    <row r="1" spans="1:11" ht="16.5" thickBot="1" x14ac:dyDescent="0.3">
      <c r="A1" s="314" t="s">
        <v>83</v>
      </c>
      <c r="B1" s="314" t="s">
        <v>84</v>
      </c>
      <c r="C1" s="419" t="s">
        <v>85</v>
      </c>
      <c r="D1" s="313" t="s">
        <v>86</v>
      </c>
      <c r="E1" s="313" t="s">
        <v>86</v>
      </c>
      <c r="F1" s="313" t="s">
        <v>86</v>
      </c>
      <c r="G1" s="313" t="s">
        <v>86</v>
      </c>
      <c r="I1" s="313"/>
      <c r="K1" s="313"/>
    </row>
    <row r="2" spans="1:11" ht="18.75" x14ac:dyDescent="0.25">
      <c r="A2" s="339" t="s">
        <v>87</v>
      </c>
      <c r="B2" s="310" t="s">
        <v>88</v>
      </c>
      <c r="C2" s="242"/>
    </row>
    <row r="3" spans="1:11" ht="18.75" x14ac:dyDescent="0.25">
      <c r="A3" s="340" t="s">
        <v>87</v>
      </c>
      <c r="B3" s="311" t="s">
        <v>89</v>
      </c>
      <c r="C3" s="241"/>
      <c r="D3" s="420"/>
    </row>
    <row r="4" spans="1:11" ht="18.75" x14ac:dyDescent="0.25">
      <c r="A4" s="340" t="s">
        <v>87</v>
      </c>
      <c r="B4" s="311" t="s">
        <v>90</v>
      </c>
      <c r="C4" s="241"/>
      <c r="D4" s="420"/>
    </row>
    <row r="5" spans="1:11" ht="18.75" x14ac:dyDescent="0.25">
      <c r="A5" s="340" t="s">
        <v>87</v>
      </c>
      <c r="B5" s="311" t="s">
        <v>91</v>
      </c>
      <c r="C5" s="241" t="s">
        <v>92</v>
      </c>
      <c r="D5" s="420"/>
    </row>
    <row r="6" spans="1:11" ht="18.75" x14ac:dyDescent="0.25">
      <c r="A6" s="340" t="s">
        <v>87</v>
      </c>
      <c r="B6" s="311" t="s">
        <v>91</v>
      </c>
      <c r="C6" s="241" t="s">
        <v>93</v>
      </c>
      <c r="D6" s="420"/>
    </row>
    <row r="7" spans="1:11" ht="18.75" x14ac:dyDescent="0.25">
      <c r="A7" s="340" t="s">
        <v>87</v>
      </c>
      <c r="B7" s="311" t="s">
        <v>91</v>
      </c>
      <c r="C7" s="241" t="s">
        <v>94</v>
      </c>
      <c r="D7" s="420"/>
    </row>
    <row r="8" spans="1:11" ht="18.75" x14ac:dyDescent="0.25">
      <c r="A8" s="340" t="s">
        <v>87</v>
      </c>
      <c r="B8" s="311" t="s">
        <v>91</v>
      </c>
      <c r="C8" s="241" t="s">
        <v>95</v>
      </c>
      <c r="D8" s="420"/>
    </row>
    <row r="9" spans="1:11" ht="18.75" x14ac:dyDescent="0.25">
      <c r="A9" s="340" t="s">
        <v>87</v>
      </c>
      <c r="B9" s="311" t="s">
        <v>91</v>
      </c>
      <c r="C9" s="241" t="s">
        <v>96</v>
      </c>
      <c r="D9" s="420"/>
    </row>
    <row r="10" spans="1:11" ht="18.75" x14ac:dyDescent="0.25">
      <c r="A10" s="340" t="s">
        <v>87</v>
      </c>
      <c r="B10" s="311" t="s">
        <v>97</v>
      </c>
      <c r="C10" s="241"/>
      <c r="D10" s="420"/>
    </row>
    <row r="11" spans="1:11" ht="18.75" x14ac:dyDescent="0.25">
      <c r="A11" s="340" t="s">
        <v>87</v>
      </c>
      <c r="B11" s="311" t="s">
        <v>98</v>
      </c>
      <c r="C11" s="241"/>
      <c r="D11" s="420"/>
    </row>
    <row r="12" spans="1:11" ht="18.75" x14ac:dyDescent="0.25">
      <c r="A12" s="340" t="s">
        <v>87</v>
      </c>
      <c r="B12" s="311" t="s">
        <v>99</v>
      </c>
      <c r="C12" s="241"/>
      <c r="D12" s="420"/>
    </row>
    <row r="13" spans="1:11" ht="18.75" x14ac:dyDescent="0.25">
      <c r="A13" s="340" t="s">
        <v>87</v>
      </c>
      <c r="B13" s="311" t="s">
        <v>100</v>
      </c>
      <c r="C13" s="241"/>
    </row>
    <row r="14" spans="1:11" ht="18.75" x14ac:dyDescent="0.25">
      <c r="A14" s="340" t="s">
        <v>87</v>
      </c>
      <c r="B14" s="311" t="s">
        <v>101</v>
      </c>
      <c r="C14" s="241"/>
    </row>
    <row r="15" spans="1:11" ht="18.75" x14ac:dyDescent="0.25">
      <c r="A15" s="340" t="s">
        <v>87</v>
      </c>
      <c r="B15" s="311" t="s">
        <v>102</v>
      </c>
      <c r="C15" s="241"/>
    </row>
    <row r="16" spans="1:11" ht="18.75" x14ac:dyDescent="0.25">
      <c r="A16" s="340" t="s">
        <v>87</v>
      </c>
      <c r="B16" s="311" t="s">
        <v>103</v>
      </c>
      <c r="C16" s="241"/>
    </row>
    <row r="17" spans="1:3" ht="18.75" x14ac:dyDescent="0.25">
      <c r="A17" s="340" t="s">
        <v>87</v>
      </c>
      <c r="B17" s="311" t="s">
        <v>104</v>
      </c>
      <c r="C17" s="241"/>
    </row>
    <row r="18" spans="1:3" ht="18.75" x14ac:dyDescent="0.25">
      <c r="A18" s="340" t="s">
        <v>87</v>
      </c>
      <c r="B18" s="311" t="s">
        <v>105</v>
      </c>
      <c r="C18" s="241"/>
    </row>
    <row r="19" spans="1:3" ht="18.75" x14ac:dyDescent="0.25">
      <c r="A19" s="340" t="s">
        <v>87</v>
      </c>
      <c r="B19" s="311" t="s">
        <v>106</v>
      </c>
      <c r="C19" s="241"/>
    </row>
    <row r="20" spans="1:3" ht="18.75" x14ac:dyDescent="0.25">
      <c r="A20" s="340" t="s">
        <v>87</v>
      </c>
      <c r="B20" s="311" t="s">
        <v>107</v>
      </c>
      <c r="C20" s="241" t="s">
        <v>108</v>
      </c>
    </row>
    <row r="21" spans="1:3" ht="18.75" x14ac:dyDescent="0.25">
      <c r="A21" s="340" t="s">
        <v>87</v>
      </c>
      <c r="B21" s="311" t="s">
        <v>107</v>
      </c>
      <c r="C21" s="241" t="s">
        <v>109</v>
      </c>
    </row>
    <row r="22" spans="1:3" ht="18.75" x14ac:dyDescent="0.25">
      <c r="A22" s="340" t="s">
        <v>87</v>
      </c>
      <c r="B22" s="311" t="s">
        <v>107</v>
      </c>
      <c r="C22" s="241" t="s">
        <v>110</v>
      </c>
    </row>
    <row r="23" spans="1:3" ht="18.75" x14ac:dyDescent="0.25">
      <c r="A23" s="340" t="s">
        <v>87</v>
      </c>
      <c r="B23" s="311" t="s">
        <v>111</v>
      </c>
      <c r="C23" s="241"/>
    </row>
    <row r="24" spans="1:3" ht="18.75" x14ac:dyDescent="0.25">
      <c r="A24" s="340" t="s">
        <v>87</v>
      </c>
      <c r="B24" s="311" t="s">
        <v>112</v>
      </c>
      <c r="C24" s="241"/>
    </row>
    <row r="25" spans="1:3" ht="18.75" x14ac:dyDescent="0.25">
      <c r="A25" s="340" t="s">
        <v>87</v>
      </c>
      <c r="B25" s="311" t="s">
        <v>113</v>
      </c>
      <c r="C25" s="241"/>
    </row>
    <row r="26" spans="1:3" ht="18.75" x14ac:dyDescent="0.25">
      <c r="A26" s="340" t="s">
        <v>87</v>
      </c>
      <c r="B26" s="311" t="s">
        <v>92</v>
      </c>
      <c r="C26" s="241"/>
    </row>
    <row r="27" spans="1:3" ht="18.75" x14ac:dyDescent="0.25">
      <c r="A27" s="340" t="s">
        <v>87</v>
      </c>
      <c r="B27" s="311" t="s">
        <v>92</v>
      </c>
      <c r="C27" s="241" t="s">
        <v>114</v>
      </c>
    </row>
    <row r="28" spans="1:3" ht="18.75" x14ac:dyDescent="0.25">
      <c r="A28" s="340" t="s">
        <v>87</v>
      </c>
      <c r="B28" s="311" t="s">
        <v>115</v>
      </c>
      <c r="C28" s="241"/>
    </row>
    <row r="29" spans="1:3" ht="18.75" x14ac:dyDescent="0.25">
      <c r="A29" s="340" t="s">
        <v>87</v>
      </c>
      <c r="B29" s="311" t="s">
        <v>116</v>
      </c>
      <c r="C29" s="241"/>
    </row>
    <row r="30" spans="1:3" ht="18.75" x14ac:dyDescent="0.25">
      <c r="A30" s="340" t="s">
        <v>87</v>
      </c>
      <c r="B30" s="311" t="s">
        <v>117</v>
      </c>
      <c r="C30" s="241"/>
    </row>
    <row r="31" spans="1:3" ht="18.75" x14ac:dyDescent="0.25">
      <c r="A31" s="340" t="s">
        <v>87</v>
      </c>
      <c r="B31" s="311" t="s">
        <v>118</v>
      </c>
      <c r="C31" s="241"/>
    </row>
    <row r="32" spans="1:3" ht="18.75" x14ac:dyDescent="0.25">
      <c r="A32" s="340" t="s">
        <v>87</v>
      </c>
      <c r="B32" s="311" t="s">
        <v>119</v>
      </c>
      <c r="C32" s="241"/>
    </row>
    <row r="33" spans="1:3" ht="18.75" x14ac:dyDescent="0.25">
      <c r="A33" s="340" t="s">
        <v>87</v>
      </c>
      <c r="B33" s="311" t="s">
        <v>120</v>
      </c>
      <c r="C33" s="241"/>
    </row>
    <row r="34" spans="1:3" ht="18.75" x14ac:dyDescent="0.25">
      <c r="A34" s="340" t="s">
        <v>87</v>
      </c>
      <c r="B34" s="311" t="s">
        <v>121</v>
      </c>
      <c r="C34" s="241"/>
    </row>
    <row r="35" spans="1:3" ht="18.75" x14ac:dyDescent="0.25">
      <c r="A35" s="340" t="s">
        <v>87</v>
      </c>
      <c r="B35" s="311" t="s">
        <v>122</v>
      </c>
      <c r="C35" s="241" t="s">
        <v>123</v>
      </c>
    </row>
    <row r="36" spans="1:3" ht="18.75" x14ac:dyDescent="0.25">
      <c r="A36" s="340" t="s">
        <v>87</v>
      </c>
      <c r="B36" s="311" t="s">
        <v>122</v>
      </c>
      <c r="C36" s="241" t="s">
        <v>124</v>
      </c>
    </row>
    <row r="37" spans="1:3" ht="18.75" x14ac:dyDescent="0.25">
      <c r="A37" s="340" t="s">
        <v>87</v>
      </c>
      <c r="B37" s="311" t="s">
        <v>125</v>
      </c>
      <c r="C37" s="241"/>
    </row>
    <row r="38" spans="1:3" ht="18.75" x14ac:dyDescent="0.25">
      <c r="A38" s="340" t="s">
        <v>87</v>
      </c>
      <c r="B38" s="311" t="s">
        <v>126</v>
      </c>
      <c r="C38" s="241"/>
    </row>
    <row r="39" spans="1:3" ht="18.75" x14ac:dyDescent="0.25">
      <c r="A39" s="340" t="s">
        <v>87</v>
      </c>
      <c r="B39" s="311" t="s">
        <v>127</v>
      </c>
      <c r="C39" s="241"/>
    </row>
    <row r="40" spans="1:3" ht="18.75" x14ac:dyDescent="0.25">
      <c r="A40" s="340" t="s">
        <v>87</v>
      </c>
      <c r="B40" s="311" t="s">
        <v>128</v>
      </c>
      <c r="C40" s="241"/>
    </row>
    <row r="41" spans="1:3" ht="18.75" x14ac:dyDescent="0.25">
      <c r="A41" s="340" t="s">
        <v>87</v>
      </c>
      <c r="B41" s="311" t="s">
        <v>129</v>
      </c>
      <c r="C41" s="241"/>
    </row>
    <row r="42" spans="1:3" ht="18.75" x14ac:dyDescent="0.25">
      <c r="A42" s="340" t="s">
        <v>87</v>
      </c>
      <c r="B42" s="311" t="s">
        <v>130</v>
      </c>
      <c r="C42" s="241"/>
    </row>
    <row r="43" spans="1:3" ht="18.75" x14ac:dyDescent="0.25">
      <c r="A43" s="340" t="s">
        <v>87</v>
      </c>
      <c r="B43" s="311" t="s">
        <v>131</v>
      </c>
      <c r="C43" s="241"/>
    </row>
    <row r="44" spans="1:3" ht="18.75" x14ac:dyDescent="0.25">
      <c r="A44" s="340" t="s">
        <v>87</v>
      </c>
      <c r="B44" s="311" t="s">
        <v>132</v>
      </c>
      <c r="C44" s="241"/>
    </row>
    <row r="45" spans="1:3" ht="18.75" x14ac:dyDescent="0.25">
      <c r="A45" s="340" t="s">
        <v>87</v>
      </c>
      <c r="B45" s="311" t="s">
        <v>133</v>
      </c>
      <c r="C45" s="241"/>
    </row>
    <row r="46" spans="1:3" ht="18.75" x14ac:dyDescent="0.25">
      <c r="A46" s="340" t="s">
        <v>87</v>
      </c>
      <c r="B46" s="311" t="s">
        <v>134</v>
      </c>
      <c r="C46" s="241"/>
    </row>
    <row r="47" spans="1:3" ht="18.75" x14ac:dyDescent="0.25">
      <c r="A47" s="340" t="s">
        <v>87</v>
      </c>
      <c r="B47" s="311" t="s">
        <v>135</v>
      </c>
      <c r="C47" s="241"/>
    </row>
    <row r="48" spans="1:3" ht="18.75" x14ac:dyDescent="0.25">
      <c r="A48" s="340" t="s">
        <v>87</v>
      </c>
      <c r="B48" s="311" t="s">
        <v>136</v>
      </c>
      <c r="C48" s="241"/>
    </row>
    <row r="49" spans="1:3" ht="18.75" x14ac:dyDescent="0.25">
      <c r="A49" s="340" t="s">
        <v>87</v>
      </c>
      <c r="B49" s="311" t="s">
        <v>137</v>
      </c>
      <c r="C49" s="241"/>
    </row>
    <row r="50" spans="1:3" ht="18.75" x14ac:dyDescent="0.25">
      <c r="A50" s="340" t="s">
        <v>87</v>
      </c>
      <c r="B50" s="311" t="s">
        <v>138</v>
      </c>
      <c r="C50" s="241"/>
    </row>
    <row r="51" spans="1:3" ht="18.75" x14ac:dyDescent="0.25">
      <c r="A51" s="340" t="s">
        <v>87</v>
      </c>
      <c r="B51" s="311" t="s">
        <v>139</v>
      </c>
      <c r="C51" s="241"/>
    </row>
    <row r="52" spans="1:3" ht="18.75" x14ac:dyDescent="0.25">
      <c r="A52" s="340" t="s">
        <v>87</v>
      </c>
      <c r="B52" s="311" t="s">
        <v>140</v>
      </c>
      <c r="C52" s="241"/>
    </row>
    <row r="53" spans="1:3" ht="18.75" x14ac:dyDescent="0.25">
      <c r="A53" s="340" t="s">
        <v>87</v>
      </c>
      <c r="B53" s="311" t="s">
        <v>141</v>
      </c>
      <c r="C53" s="241"/>
    </row>
    <row r="54" spans="1:3" ht="18.75" x14ac:dyDescent="0.25">
      <c r="A54" s="340" t="s">
        <v>87</v>
      </c>
      <c r="B54" s="311" t="s">
        <v>142</v>
      </c>
      <c r="C54" s="241"/>
    </row>
    <row r="55" spans="1:3" ht="18.75" x14ac:dyDescent="0.25">
      <c r="A55" s="340" t="s">
        <v>87</v>
      </c>
      <c r="B55" s="311" t="s">
        <v>143</v>
      </c>
      <c r="C55" s="241"/>
    </row>
    <row r="56" spans="1:3" ht="18.75" x14ac:dyDescent="0.25">
      <c r="A56" s="340" t="s">
        <v>87</v>
      </c>
      <c r="B56" s="311" t="s">
        <v>144</v>
      </c>
      <c r="C56" s="241"/>
    </row>
    <row r="57" spans="1:3" ht="18.75" x14ac:dyDescent="0.25">
      <c r="A57" s="340" t="s">
        <v>87</v>
      </c>
      <c r="B57" s="311" t="s">
        <v>127</v>
      </c>
      <c r="C57" s="241"/>
    </row>
    <row r="58" spans="1:3" ht="18.75" x14ac:dyDescent="0.25">
      <c r="A58" s="340" t="s">
        <v>87</v>
      </c>
      <c r="B58" s="311" t="s">
        <v>145</v>
      </c>
      <c r="C58" s="241"/>
    </row>
    <row r="59" spans="1:3" ht="18.75" x14ac:dyDescent="0.25">
      <c r="A59" s="340" t="s">
        <v>87</v>
      </c>
      <c r="B59" s="311" t="s">
        <v>146</v>
      </c>
      <c r="C59" s="241" t="s">
        <v>147</v>
      </c>
    </row>
    <row r="60" spans="1:3" ht="18.75" x14ac:dyDescent="0.25">
      <c r="A60" s="340" t="s">
        <v>87</v>
      </c>
      <c r="B60" s="311" t="s">
        <v>146</v>
      </c>
      <c r="C60" s="241" t="s">
        <v>148</v>
      </c>
    </row>
    <row r="61" spans="1:3" ht="18.75" x14ac:dyDescent="0.25">
      <c r="A61" s="340" t="s">
        <v>87</v>
      </c>
      <c r="B61" s="311" t="s">
        <v>146</v>
      </c>
      <c r="C61" s="241" t="s">
        <v>149</v>
      </c>
    </row>
    <row r="62" spans="1:3" ht="18.75" x14ac:dyDescent="0.25">
      <c r="A62" s="340" t="s">
        <v>87</v>
      </c>
      <c r="B62" s="311" t="s">
        <v>150</v>
      </c>
      <c r="C62" s="241"/>
    </row>
    <row r="63" spans="1:3" ht="18.75" x14ac:dyDescent="0.25">
      <c r="A63" s="340" t="s">
        <v>87</v>
      </c>
      <c r="B63" s="311" t="s">
        <v>151</v>
      </c>
      <c r="C63" s="241"/>
    </row>
    <row r="64" spans="1:3" ht="18.75" x14ac:dyDescent="0.25">
      <c r="A64" s="340" t="s">
        <v>87</v>
      </c>
      <c r="B64" s="311" t="s">
        <v>152</v>
      </c>
      <c r="C64" s="241"/>
    </row>
    <row r="65" spans="1:3" ht="18.75" x14ac:dyDescent="0.25">
      <c r="A65" s="340" t="s">
        <v>87</v>
      </c>
      <c r="B65" s="311" t="s">
        <v>153</v>
      </c>
      <c r="C65" s="241"/>
    </row>
    <row r="66" spans="1:3" ht="18.75" x14ac:dyDescent="0.25">
      <c r="A66" s="340" t="s">
        <v>87</v>
      </c>
      <c r="B66" s="311" t="s">
        <v>154</v>
      </c>
      <c r="C66" s="241"/>
    </row>
    <row r="67" spans="1:3" ht="18.75" x14ac:dyDescent="0.25">
      <c r="A67" s="340" t="s">
        <v>87</v>
      </c>
      <c r="B67" s="311" t="s">
        <v>155</v>
      </c>
      <c r="C67" s="241"/>
    </row>
    <row r="68" spans="1:3" ht="18.75" x14ac:dyDescent="0.25">
      <c r="A68" s="340" t="s">
        <v>87</v>
      </c>
      <c r="B68" s="311" t="s">
        <v>156</v>
      </c>
      <c r="C68" s="241"/>
    </row>
    <row r="69" spans="1:3" ht="18.75" x14ac:dyDescent="0.25">
      <c r="A69" s="340" t="s">
        <v>87</v>
      </c>
      <c r="B69" s="311" t="s">
        <v>157</v>
      </c>
      <c r="C69" s="241"/>
    </row>
    <row r="70" spans="1:3" ht="18.75" x14ac:dyDescent="0.25">
      <c r="A70" s="340" t="s">
        <v>87</v>
      </c>
      <c r="B70" s="311" t="s">
        <v>158</v>
      </c>
      <c r="C70" s="241"/>
    </row>
    <row r="71" spans="1:3" ht="18.75" x14ac:dyDescent="0.25">
      <c r="A71" s="340" t="s">
        <v>87</v>
      </c>
      <c r="B71" s="311" t="s">
        <v>159</v>
      </c>
      <c r="C71" s="241"/>
    </row>
    <row r="72" spans="1:3" ht="18.75" x14ac:dyDescent="0.25">
      <c r="A72" s="340" t="s">
        <v>87</v>
      </c>
      <c r="B72" s="311" t="s">
        <v>160</v>
      </c>
      <c r="C72" s="241" t="s">
        <v>148</v>
      </c>
    </row>
    <row r="73" spans="1:3" ht="18.75" x14ac:dyDescent="0.25">
      <c r="A73" s="340" t="s">
        <v>87</v>
      </c>
      <c r="B73" s="311" t="s">
        <v>160</v>
      </c>
      <c r="C73" s="241" t="s">
        <v>161</v>
      </c>
    </row>
    <row r="74" spans="1:3" ht="18.75" x14ac:dyDescent="0.25">
      <c r="A74" s="340" t="s">
        <v>87</v>
      </c>
      <c r="B74" s="311" t="s">
        <v>162</v>
      </c>
      <c r="C74" s="241"/>
    </row>
    <row r="75" spans="1:3" ht="18.75" x14ac:dyDescent="0.25">
      <c r="A75" s="340" t="s">
        <v>87</v>
      </c>
      <c r="B75" s="311" t="s">
        <v>163</v>
      </c>
      <c r="C75" s="241"/>
    </row>
    <row r="76" spans="1:3" ht="18.75" x14ac:dyDescent="0.25">
      <c r="A76" s="340" t="s">
        <v>87</v>
      </c>
      <c r="B76" s="311" t="s">
        <v>164</v>
      </c>
      <c r="C76" s="241"/>
    </row>
    <row r="77" spans="1:3" ht="18.75" x14ac:dyDescent="0.25">
      <c r="A77" s="340" t="s">
        <v>87</v>
      </c>
      <c r="B77" s="311" t="s">
        <v>165</v>
      </c>
      <c r="C77" s="241"/>
    </row>
    <row r="78" spans="1:3" ht="18.75" x14ac:dyDescent="0.25">
      <c r="A78" s="340" t="s">
        <v>87</v>
      </c>
      <c r="B78" s="311" t="s">
        <v>166</v>
      </c>
      <c r="C78" s="241"/>
    </row>
    <row r="79" spans="1:3" ht="18.75" x14ac:dyDescent="0.25">
      <c r="A79" s="340" t="s">
        <v>87</v>
      </c>
      <c r="B79" s="311" t="s">
        <v>167</v>
      </c>
      <c r="C79" s="241"/>
    </row>
    <row r="80" spans="1:3" ht="18.75" x14ac:dyDescent="0.25">
      <c r="A80" s="340" t="s">
        <v>87</v>
      </c>
      <c r="B80" s="311" t="s">
        <v>168</v>
      </c>
      <c r="C80" s="241" t="s">
        <v>169</v>
      </c>
    </row>
    <row r="81" spans="1:3" ht="18.75" x14ac:dyDescent="0.25">
      <c r="A81" s="340" t="s">
        <v>87</v>
      </c>
      <c r="B81" s="311" t="s">
        <v>168</v>
      </c>
      <c r="C81" s="241" t="s">
        <v>170</v>
      </c>
    </row>
    <row r="82" spans="1:3" ht="18.75" x14ac:dyDescent="0.25">
      <c r="A82" s="340" t="s">
        <v>87</v>
      </c>
      <c r="B82" s="311" t="s">
        <v>168</v>
      </c>
      <c r="C82" s="241" t="s">
        <v>171</v>
      </c>
    </row>
    <row r="83" spans="1:3" ht="18.75" x14ac:dyDescent="0.25">
      <c r="A83" s="340" t="s">
        <v>87</v>
      </c>
      <c r="B83" s="311" t="s">
        <v>168</v>
      </c>
      <c r="C83" s="241" t="s">
        <v>172</v>
      </c>
    </row>
    <row r="84" spans="1:3" ht="18.75" x14ac:dyDescent="0.25">
      <c r="A84" s="340" t="s">
        <v>87</v>
      </c>
      <c r="B84" s="311" t="s">
        <v>173</v>
      </c>
      <c r="C84" s="241"/>
    </row>
    <row r="85" spans="1:3" ht="18.75" x14ac:dyDescent="0.25">
      <c r="A85" s="340" t="s">
        <v>87</v>
      </c>
      <c r="B85" s="311" t="s">
        <v>174</v>
      </c>
      <c r="C85" s="241"/>
    </row>
    <row r="86" spans="1:3" ht="18.75" x14ac:dyDescent="0.25">
      <c r="A86" s="340" t="s">
        <v>87</v>
      </c>
      <c r="B86" s="311" t="s">
        <v>175</v>
      </c>
      <c r="C86" s="241"/>
    </row>
    <row r="87" spans="1:3" ht="18.75" x14ac:dyDescent="0.25">
      <c r="A87" s="340" t="s">
        <v>87</v>
      </c>
      <c r="B87" s="311" t="s">
        <v>176</v>
      </c>
      <c r="C87" s="241"/>
    </row>
    <row r="88" spans="1:3" ht="18.75" x14ac:dyDescent="0.25">
      <c r="A88" s="340" t="s">
        <v>87</v>
      </c>
      <c r="B88" s="311" t="s">
        <v>177</v>
      </c>
      <c r="C88" s="241" t="s">
        <v>178</v>
      </c>
    </row>
    <row r="89" spans="1:3" ht="18.75" x14ac:dyDescent="0.25">
      <c r="A89" s="340" t="s">
        <v>87</v>
      </c>
      <c r="B89" s="311" t="s">
        <v>179</v>
      </c>
      <c r="C89" s="241"/>
    </row>
    <row r="90" spans="1:3" ht="18.75" x14ac:dyDescent="0.25">
      <c r="A90" s="340" t="s">
        <v>87</v>
      </c>
      <c r="B90" s="311" t="s">
        <v>180</v>
      </c>
      <c r="C90" s="241"/>
    </row>
    <row r="91" spans="1:3" ht="18.75" x14ac:dyDescent="0.25">
      <c r="A91" s="340" t="s">
        <v>87</v>
      </c>
      <c r="B91" s="311" t="s">
        <v>181</v>
      </c>
      <c r="C91" s="241"/>
    </row>
    <row r="92" spans="1:3" ht="18.75" x14ac:dyDescent="0.25">
      <c r="A92" s="340" t="s">
        <v>87</v>
      </c>
      <c r="B92" s="311" t="s">
        <v>182</v>
      </c>
      <c r="C92" s="241"/>
    </row>
    <row r="93" spans="1:3" ht="18.75" x14ac:dyDescent="0.25">
      <c r="A93" s="340" t="s">
        <v>87</v>
      </c>
      <c r="B93" s="311" t="s">
        <v>183</v>
      </c>
      <c r="C93" s="241"/>
    </row>
    <row r="94" spans="1:3" ht="18.75" x14ac:dyDescent="0.25">
      <c r="A94" s="340" t="s">
        <v>87</v>
      </c>
      <c r="B94" s="311" t="s">
        <v>184</v>
      </c>
      <c r="C94" s="241"/>
    </row>
    <row r="95" spans="1:3" ht="18.75" x14ac:dyDescent="0.25">
      <c r="A95" s="340" t="s">
        <v>87</v>
      </c>
      <c r="B95" s="311" t="s">
        <v>185</v>
      </c>
      <c r="C95" s="241"/>
    </row>
    <row r="96" spans="1:3" ht="18.75" x14ac:dyDescent="0.25">
      <c r="A96" s="340" t="s">
        <v>87</v>
      </c>
      <c r="B96" s="311" t="s">
        <v>186</v>
      </c>
      <c r="C96" s="241"/>
    </row>
    <row r="97" spans="1:4" ht="18.75" x14ac:dyDescent="0.25">
      <c r="A97" s="340" t="s">
        <v>87</v>
      </c>
      <c r="B97" s="311" t="s">
        <v>187</v>
      </c>
      <c r="C97" s="241"/>
      <c r="D97" s="420"/>
    </row>
    <row r="98" spans="1:4" ht="18.75" x14ac:dyDescent="0.25">
      <c r="A98" s="340" t="s">
        <v>87</v>
      </c>
      <c r="B98" s="311" t="s">
        <v>188</v>
      </c>
      <c r="C98" s="241"/>
      <c r="D98" s="420"/>
    </row>
    <row r="99" spans="1:4" ht="18.75" x14ac:dyDescent="0.25">
      <c r="A99" s="340" t="s">
        <v>87</v>
      </c>
      <c r="B99" s="311" t="s">
        <v>189</v>
      </c>
      <c r="C99" s="241"/>
      <c r="D99" s="420"/>
    </row>
    <row r="100" spans="1:4" ht="18.75" x14ac:dyDescent="0.25">
      <c r="A100" s="340" t="s">
        <v>87</v>
      </c>
      <c r="B100" s="311" t="s">
        <v>190</v>
      </c>
      <c r="C100" s="241"/>
      <c r="D100" s="420"/>
    </row>
    <row r="101" spans="1:4" ht="18.75" x14ac:dyDescent="0.25">
      <c r="A101" s="340" t="s">
        <v>87</v>
      </c>
      <c r="B101" s="311" t="s">
        <v>191</v>
      </c>
      <c r="C101" s="241"/>
      <c r="D101" s="420"/>
    </row>
    <row r="102" spans="1:4" ht="18.75" x14ac:dyDescent="0.25">
      <c r="A102" s="340" t="s">
        <v>87</v>
      </c>
      <c r="B102" s="311" t="s">
        <v>192</v>
      </c>
      <c r="C102" s="241"/>
    </row>
    <row r="103" spans="1:4" ht="18.75" x14ac:dyDescent="0.25">
      <c r="A103" s="340" t="s">
        <v>87</v>
      </c>
      <c r="B103" s="311" t="s">
        <v>193</v>
      </c>
      <c r="C103" s="241" t="s">
        <v>194</v>
      </c>
    </row>
    <row r="104" spans="1:4" ht="18.75" x14ac:dyDescent="0.25">
      <c r="A104" s="340" t="s">
        <v>87</v>
      </c>
      <c r="B104" s="311" t="s">
        <v>193</v>
      </c>
      <c r="C104" s="241" t="s">
        <v>195</v>
      </c>
    </row>
    <row r="105" spans="1:4" ht="18.75" x14ac:dyDescent="0.25">
      <c r="A105" s="340" t="s">
        <v>87</v>
      </c>
      <c r="B105" s="311" t="s">
        <v>196</v>
      </c>
      <c r="C105" s="241" t="s">
        <v>197</v>
      </c>
    </row>
    <row r="106" spans="1:4" ht="18.75" x14ac:dyDescent="0.25">
      <c r="A106" s="340" t="s">
        <v>87</v>
      </c>
      <c r="B106" s="311" t="s">
        <v>196</v>
      </c>
      <c r="C106" s="241" t="s">
        <v>198</v>
      </c>
    </row>
    <row r="107" spans="1:4" ht="18.75" x14ac:dyDescent="0.25">
      <c r="A107" s="340" t="s">
        <v>87</v>
      </c>
      <c r="B107" s="311" t="s">
        <v>196</v>
      </c>
      <c r="C107" s="241" t="s">
        <v>194</v>
      </c>
    </row>
    <row r="108" spans="1:4" ht="18.75" x14ac:dyDescent="0.25">
      <c r="A108" s="340" t="s">
        <v>87</v>
      </c>
      <c r="B108" s="311" t="s">
        <v>199</v>
      </c>
      <c r="C108" s="241"/>
    </row>
    <row r="109" spans="1:4" ht="18.75" x14ac:dyDescent="0.25">
      <c r="A109" s="340" t="s">
        <v>87</v>
      </c>
      <c r="B109" s="311" t="s">
        <v>200</v>
      </c>
      <c r="C109" s="241"/>
    </row>
    <row r="110" spans="1:4" ht="18.75" x14ac:dyDescent="0.25">
      <c r="A110" s="340" t="s">
        <v>87</v>
      </c>
      <c r="B110" s="311" t="s">
        <v>201</v>
      </c>
      <c r="C110" s="241"/>
    </row>
    <row r="111" spans="1:4" ht="18.75" x14ac:dyDescent="0.25">
      <c r="A111" s="340" t="s">
        <v>87</v>
      </c>
      <c r="B111" s="311" t="s">
        <v>202</v>
      </c>
      <c r="C111" s="241"/>
    </row>
    <row r="112" spans="1:4" ht="18.75" x14ac:dyDescent="0.25">
      <c r="A112" s="340" t="s">
        <v>87</v>
      </c>
      <c r="B112" s="311" t="s">
        <v>203</v>
      </c>
      <c r="C112" s="241"/>
    </row>
    <row r="113" spans="1:3" ht="18.75" x14ac:dyDescent="0.25">
      <c r="A113" s="340" t="s">
        <v>87</v>
      </c>
      <c r="B113" s="311" t="s">
        <v>204</v>
      </c>
      <c r="C113" s="241"/>
    </row>
    <row r="114" spans="1:3" ht="18.75" x14ac:dyDescent="0.25">
      <c r="A114" s="340" t="s">
        <v>87</v>
      </c>
      <c r="B114" s="311" t="s">
        <v>205</v>
      </c>
      <c r="C114" s="241"/>
    </row>
    <row r="115" spans="1:3" ht="18.75" x14ac:dyDescent="0.25">
      <c r="A115" s="340" t="s">
        <v>87</v>
      </c>
      <c r="B115" s="311" t="s">
        <v>206</v>
      </c>
      <c r="C115" s="241"/>
    </row>
    <row r="116" spans="1:3" ht="18.75" x14ac:dyDescent="0.25">
      <c r="A116" s="340" t="s">
        <v>87</v>
      </c>
      <c r="B116" s="311" t="s">
        <v>207</v>
      </c>
      <c r="C116" s="241"/>
    </row>
    <row r="117" spans="1:3" ht="18.75" x14ac:dyDescent="0.25">
      <c r="A117" s="340" t="s">
        <v>87</v>
      </c>
      <c r="B117" s="311" t="s">
        <v>208</v>
      </c>
      <c r="C117" s="241"/>
    </row>
    <row r="118" spans="1:3" ht="18.75" x14ac:dyDescent="0.25">
      <c r="A118" s="340" t="s">
        <v>87</v>
      </c>
      <c r="B118" s="311" t="s">
        <v>209</v>
      </c>
      <c r="C118" s="241"/>
    </row>
    <row r="119" spans="1:3" ht="18.75" x14ac:dyDescent="0.25">
      <c r="A119" s="340" t="s">
        <v>87</v>
      </c>
      <c r="B119" s="311" t="s">
        <v>210</v>
      </c>
      <c r="C119" s="241"/>
    </row>
    <row r="120" spans="1:3" ht="18.75" x14ac:dyDescent="0.25">
      <c r="A120" s="340" t="s">
        <v>87</v>
      </c>
      <c r="B120" s="311" t="s">
        <v>211</v>
      </c>
      <c r="C120" s="241"/>
    </row>
    <row r="121" spans="1:3" ht="18.75" x14ac:dyDescent="0.25">
      <c r="A121" s="340" t="s">
        <v>87</v>
      </c>
      <c r="B121" s="311" t="s">
        <v>212</v>
      </c>
      <c r="C121" s="241"/>
    </row>
    <row r="122" spans="1:3" ht="18.75" x14ac:dyDescent="0.25">
      <c r="A122" s="340" t="s">
        <v>87</v>
      </c>
      <c r="B122" s="311" t="s">
        <v>213</v>
      </c>
      <c r="C122" s="241" t="s">
        <v>124</v>
      </c>
    </row>
    <row r="123" spans="1:3" ht="18.75" x14ac:dyDescent="0.25">
      <c r="A123" s="340" t="s">
        <v>87</v>
      </c>
      <c r="B123" s="311" t="s">
        <v>213</v>
      </c>
      <c r="C123" s="241" t="s">
        <v>148</v>
      </c>
    </row>
    <row r="124" spans="1:3" ht="18.75" x14ac:dyDescent="0.25">
      <c r="A124" s="340" t="s">
        <v>87</v>
      </c>
      <c r="B124" s="311" t="s">
        <v>213</v>
      </c>
      <c r="C124" s="241" t="s">
        <v>214</v>
      </c>
    </row>
    <row r="125" spans="1:3" ht="18.75" x14ac:dyDescent="0.25">
      <c r="A125" s="340" t="s">
        <v>87</v>
      </c>
      <c r="B125" s="311" t="s">
        <v>215</v>
      </c>
      <c r="C125" s="241"/>
    </row>
    <row r="126" spans="1:3" ht="18.75" x14ac:dyDescent="0.25">
      <c r="A126" s="340" t="s">
        <v>87</v>
      </c>
      <c r="B126" s="311" t="s">
        <v>216</v>
      </c>
      <c r="C126" s="241"/>
    </row>
    <row r="127" spans="1:3" ht="18.75" x14ac:dyDescent="0.25">
      <c r="A127" s="340" t="s">
        <v>87</v>
      </c>
      <c r="B127" s="311" t="s">
        <v>217</v>
      </c>
      <c r="C127" s="241"/>
    </row>
    <row r="128" spans="1:3" ht="18.75" x14ac:dyDescent="0.25">
      <c r="A128" s="340" t="s">
        <v>87</v>
      </c>
      <c r="B128" s="311" t="s">
        <v>218</v>
      </c>
      <c r="C128" s="241"/>
    </row>
    <row r="129" spans="1:3" ht="18.75" x14ac:dyDescent="0.25">
      <c r="A129" s="340" t="s">
        <v>87</v>
      </c>
      <c r="B129" s="311" t="s">
        <v>219</v>
      </c>
      <c r="C129" s="241" t="s">
        <v>220</v>
      </c>
    </row>
    <row r="130" spans="1:3" ht="18.75" x14ac:dyDescent="0.25">
      <c r="A130" s="340" t="s">
        <v>87</v>
      </c>
      <c r="B130" s="311" t="s">
        <v>219</v>
      </c>
      <c r="C130" s="241" t="s">
        <v>123</v>
      </c>
    </row>
    <row r="131" spans="1:3" ht="18.75" x14ac:dyDescent="0.25">
      <c r="A131" s="340" t="s">
        <v>87</v>
      </c>
      <c r="B131" s="311" t="s">
        <v>221</v>
      </c>
      <c r="C131" s="241" t="s">
        <v>194</v>
      </c>
    </row>
    <row r="132" spans="1:3" ht="18.75" x14ac:dyDescent="0.25">
      <c r="A132" s="340" t="s">
        <v>87</v>
      </c>
      <c r="B132" s="311" t="s">
        <v>221</v>
      </c>
      <c r="C132" s="241" t="s">
        <v>124</v>
      </c>
    </row>
    <row r="133" spans="1:3" ht="18.75" x14ac:dyDescent="0.25">
      <c r="A133" s="340" t="s">
        <v>87</v>
      </c>
      <c r="B133" s="311" t="s">
        <v>221</v>
      </c>
      <c r="C133" s="241" t="s">
        <v>214</v>
      </c>
    </row>
    <row r="134" spans="1:3" ht="18.75" x14ac:dyDescent="0.25">
      <c r="A134" s="340" t="s">
        <v>87</v>
      </c>
      <c r="B134" s="311" t="s">
        <v>221</v>
      </c>
      <c r="C134" s="241" t="s">
        <v>170</v>
      </c>
    </row>
    <row r="135" spans="1:3" ht="18.75" x14ac:dyDescent="0.25">
      <c r="A135" s="340" t="s">
        <v>87</v>
      </c>
      <c r="B135" s="311" t="s">
        <v>221</v>
      </c>
      <c r="C135" s="241" t="s">
        <v>148</v>
      </c>
    </row>
    <row r="136" spans="1:3" ht="18.75" x14ac:dyDescent="0.25">
      <c r="A136" s="340" t="s">
        <v>87</v>
      </c>
      <c r="B136" s="311" t="s">
        <v>221</v>
      </c>
      <c r="C136" s="241" t="s">
        <v>220</v>
      </c>
    </row>
    <row r="137" spans="1:3" ht="18.75" x14ac:dyDescent="0.25">
      <c r="A137" s="340" t="s">
        <v>87</v>
      </c>
      <c r="B137" s="311" t="s">
        <v>222</v>
      </c>
      <c r="C137" s="241" t="s">
        <v>124</v>
      </c>
    </row>
    <row r="138" spans="1:3" ht="18.75" x14ac:dyDescent="0.25">
      <c r="A138" s="340" t="s">
        <v>87</v>
      </c>
      <c r="B138" s="311" t="s">
        <v>222</v>
      </c>
      <c r="C138" s="241" t="s">
        <v>171</v>
      </c>
    </row>
    <row r="139" spans="1:3" ht="18.75" x14ac:dyDescent="0.25">
      <c r="A139" s="340" t="s">
        <v>87</v>
      </c>
      <c r="B139" s="311" t="s">
        <v>222</v>
      </c>
      <c r="C139" s="241" t="s">
        <v>148</v>
      </c>
    </row>
    <row r="140" spans="1:3" ht="18.75" x14ac:dyDescent="0.25">
      <c r="A140" s="340" t="s">
        <v>87</v>
      </c>
      <c r="B140" s="311" t="s">
        <v>222</v>
      </c>
      <c r="C140" s="241" t="s">
        <v>194</v>
      </c>
    </row>
    <row r="141" spans="1:3" ht="18.75" x14ac:dyDescent="0.25">
      <c r="A141" s="340" t="s">
        <v>87</v>
      </c>
      <c r="B141" s="311" t="s">
        <v>222</v>
      </c>
      <c r="C141" s="241" t="s">
        <v>223</v>
      </c>
    </row>
    <row r="142" spans="1:3" ht="18.75" x14ac:dyDescent="0.25">
      <c r="A142" s="340" t="s">
        <v>87</v>
      </c>
      <c r="B142" s="311" t="s">
        <v>224</v>
      </c>
      <c r="C142" s="241"/>
    </row>
    <row r="143" spans="1:3" ht="18.75" x14ac:dyDescent="0.25">
      <c r="A143" s="340" t="s">
        <v>87</v>
      </c>
      <c r="B143" s="311" t="s">
        <v>225</v>
      </c>
      <c r="C143" s="241"/>
    </row>
    <row r="144" spans="1:3" ht="18.75" x14ac:dyDescent="0.25">
      <c r="A144" s="340" t="s">
        <v>87</v>
      </c>
      <c r="B144" s="311" t="s">
        <v>226</v>
      </c>
      <c r="C144" s="241"/>
    </row>
    <row r="145" spans="1:3" ht="18.75" x14ac:dyDescent="0.25">
      <c r="A145" s="340" t="s">
        <v>87</v>
      </c>
      <c r="B145" s="311" t="s">
        <v>227</v>
      </c>
      <c r="C145" s="241"/>
    </row>
    <row r="146" spans="1:3" ht="18.75" x14ac:dyDescent="0.25">
      <c r="A146" s="340" t="s">
        <v>87</v>
      </c>
      <c r="B146" s="311" t="s">
        <v>228</v>
      </c>
      <c r="C146" s="241" t="s">
        <v>229</v>
      </c>
    </row>
    <row r="147" spans="1:3" ht="18.75" x14ac:dyDescent="0.25">
      <c r="A147" s="340" t="s">
        <v>87</v>
      </c>
      <c r="B147" s="311" t="s">
        <v>228</v>
      </c>
      <c r="C147" s="241" t="s">
        <v>230</v>
      </c>
    </row>
    <row r="148" spans="1:3" ht="18.75" x14ac:dyDescent="0.25">
      <c r="A148" s="340" t="s">
        <v>87</v>
      </c>
      <c r="B148" s="311" t="s">
        <v>228</v>
      </c>
      <c r="C148" s="241" t="s">
        <v>231</v>
      </c>
    </row>
    <row r="149" spans="1:3" ht="18.75" x14ac:dyDescent="0.25">
      <c r="A149" s="340" t="s">
        <v>87</v>
      </c>
      <c r="B149" s="311" t="s">
        <v>228</v>
      </c>
      <c r="C149" s="241" t="s">
        <v>232</v>
      </c>
    </row>
    <row r="150" spans="1:3" ht="18.75" x14ac:dyDescent="0.25">
      <c r="A150" s="340" t="s">
        <v>87</v>
      </c>
      <c r="B150" s="311" t="s">
        <v>228</v>
      </c>
      <c r="C150" s="241" t="s">
        <v>233</v>
      </c>
    </row>
    <row r="151" spans="1:3" ht="18.75" x14ac:dyDescent="0.25">
      <c r="A151" s="340" t="s">
        <v>87</v>
      </c>
      <c r="B151" s="311" t="s">
        <v>228</v>
      </c>
      <c r="C151" s="241" t="s">
        <v>234</v>
      </c>
    </row>
    <row r="152" spans="1:3" ht="18.75" x14ac:dyDescent="0.25">
      <c r="A152" s="340" t="s">
        <v>87</v>
      </c>
      <c r="B152" s="311" t="s">
        <v>228</v>
      </c>
      <c r="C152" s="241" t="s">
        <v>235</v>
      </c>
    </row>
    <row r="153" spans="1:3" ht="18.75" x14ac:dyDescent="0.25">
      <c r="A153" s="340" t="s">
        <v>87</v>
      </c>
      <c r="B153" s="311" t="s">
        <v>228</v>
      </c>
      <c r="C153" s="241" t="s">
        <v>236</v>
      </c>
    </row>
    <row r="154" spans="1:3" ht="18.75" x14ac:dyDescent="0.25">
      <c r="A154" s="340" t="s">
        <v>87</v>
      </c>
      <c r="B154" s="311" t="s">
        <v>228</v>
      </c>
      <c r="C154" s="241" t="s">
        <v>237</v>
      </c>
    </row>
    <row r="155" spans="1:3" ht="18.75" x14ac:dyDescent="0.25">
      <c r="A155" s="340" t="s">
        <v>87</v>
      </c>
      <c r="B155" s="311" t="s">
        <v>228</v>
      </c>
      <c r="C155" s="241" t="s">
        <v>238</v>
      </c>
    </row>
    <row r="156" spans="1:3" ht="18.75" x14ac:dyDescent="0.25">
      <c r="A156" s="340" t="s">
        <v>87</v>
      </c>
      <c r="B156" s="311" t="s">
        <v>228</v>
      </c>
      <c r="C156" s="241" t="s">
        <v>239</v>
      </c>
    </row>
    <row r="157" spans="1:3" ht="18.75" x14ac:dyDescent="0.25">
      <c r="A157" s="340" t="s">
        <v>87</v>
      </c>
      <c r="B157" s="311" t="s">
        <v>228</v>
      </c>
      <c r="C157" s="241" t="s">
        <v>110</v>
      </c>
    </row>
    <row r="158" spans="1:3" ht="18.75" x14ac:dyDescent="0.25">
      <c r="A158" s="340" t="s">
        <v>87</v>
      </c>
      <c r="B158" s="311" t="s">
        <v>228</v>
      </c>
      <c r="C158" s="241" t="s">
        <v>109</v>
      </c>
    </row>
    <row r="159" spans="1:3" ht="18.75" x14ac:dyDescent="0.25">
      <c r="A159" s="340" t="s">
        <v>87</v>
      </c>
      <c r="B159" s="311" t="s">
        <v>228</v>
      </c>
      <c r="C159" s="241" t="s">
        <v>240</v>
      </c>
    </row>
    <row r="160" spans="1:3" ht="18.75" x14ac:dyDescent="0.25">
      <c r="A160" s="340" t="s">
        <v>87</v>
      </c>
      <c r="B160" s="311" t="s">
        <v>228</v>
      </c>
      <c r="C160" s="241" t="s">
        <v>241</v>
      </c>
    </row>
    <row r="161" spans="1:3" ht="18.75" x14ac:dyDescent="0.25">
      <c r="A161" s="340" t="s">
        <v>87</v>
      </c>
      <c r="B161" s="311" t="s">
        <v>228</v>
      </c>
      <c r="C161" s="241" t="s">
        <v>242</v>
      </c>
    </row>
    <row r="162" spans="1:3" ht="18.75" x14ac:dyDescent="0.25">
      <c r="A162" s="340" t="s">
        <v>87</v>
      </c>
      <c r="B162" s="311" t="s">
        <v>228</v>
      </c>
      <c r="C162" s="241" t="s">
        <v>243</v>
      </c>
    </row>
    <row r="163" spans="1:3" ht="18.75" x14ac:dyDescent="0.25">
      <c r="A163" s="340" t="s">
        <v>87</v>
      </c>
      <c r="B163" s="311" t="s">
        <v>228</v>
      </c>
      <c r="C163" s="241" t="s">
        <v>108</v>
      </c>
    </row>
    <row r="164" spans="1:3" ht="18.75" x14ac:dyDescent="0.25">
      <c r="A164" s="340" t="s">
        <v>87</v>
      </c>
      <c r="B164" s="311" t="s">
        <v>228</v>
      </c>
      <c r="C164" s="241" t="s">
        <v>244</v>
      </c>
    </row>
    <row r="165" spans="1:3" ht="18.75" x14ac:dyDescent="0.25">
      <c r="A165" s="340" t="s">
        <v>87</v>
      </c>
      <c r="B165" s="311" t="s">
        <v>228</v>
      </c>
      <c r="C165" s="241" t="s">
        <v>245</v>
      </c>
    </row>
    <row r="166" spans="1:3" ht="18.75" x14ac:dyDescent="0.25">
      <c r="A166" s="340" t="s">
        <v>87</v>
      </c>
      <c r="B166" s="311" t="s">
        <v>228</v>
      </c>
      <c r="C166" s="241" t="s">
        <v>246</v>
      </c>
    </row>
    <row r="167" spans="1:3" ht="18.75" x14ac:dyDescent="0.25">
      <c r="A167" s="340" t="s">
        <v>87</v>
      </c>
      <c r="B167" s="311" t="s">
        <v>228</v>
      </c>
      <c r="C167" s="241" t="s">
        <v>247</v>
      </c>
    </row>
    <row r="168" spans="1:3" ht="18.75" x14ac:dyDescent="0.25">
      <c r="A168" s="340" t="s">
        <v>87</v>
      </c>
      <c r="B168" s="311" t="s">
        <v>228</v>
      </c>
      <c r="C168" s="241" t="s">
        <v>248</v>
      </c>
    </row>
    <row r="169" spans="1:3" ht="18.75" x14ac:dyDescent="0.25">
      <c r="A169" s="340" t="s">
        <v>87</v>
      </c>
      <c r="B169" s="311" t="s">
        <v>228</v>
      </c>
      <c r="C169" s="241" t="s">
        <v>249</v>
      </c>
    </row>
    <row r="170" spans="1:3" ht="18.75" x14ac:dyDescent="0.25">
      <c r="A170" s="340" t="s">
        <v>87</v>
      </c>
      <c r="B170" s="311" t="s">
        <v>250</v>
      </c>
      <c r="C170" s="241" t="s">
        <v>171</v>
      </c>
    </row>
    <row r="171" spans="1:3" ht="18.75" x14ac:dyDescent="0.25">
      <c r="A171" s="340" t="s">
        <v>87</v>
      </c>
      <c r="B171" s="311" t="s">
        <v>250</v>
      </c>
      <c r="C171" s="241" t="s">
        <v>194</v>
      </c>
    </row>
    <row r="172" spans="1:3" ht="18.75" x14ac:dyDescent="0.25">
      <c r="A172" s="340" t="s">
        <v>87</v>
      </c>
      <c r="B172" s="311" t="s">
        <v>251</v>
      </c>
      <c r="C172" s="241"/>
    </row>
    <row r="173" spans="1:3" ht="18.75" x14ac:dyDescent="0.25">
      <c r="A173" s="340" t="s">
        <v>87</v>
      </c>
      <c r="B173" s="311" t="s">
        <v>252</v>
      </c>
      <c r="C173" s="241"/>
    </row>
    <row r="174" spans="1:3" ht="18.75" x14ac:dyDescent="0.25">
      <c r="A174" s="340" t="s">
        <v>87</v>
      </c>
      <c r="B174" s="311" t="s">
        <v>253</v>
      </c>
      <c r="C174" s="241"/>
    </row>
    <row r="175" spans="1:3" ht="18.75" x14ac:dyDescent="0.25">
      <c r="A175" s="340" t="s">
        <v>87</v>
      </c>
      <c r="B175" s="311" t="s">
        <v>254</v>
      </c>
      <c r="C175" s="241"/>
    </row>
    <row r="176" spans="1:3" ht="18.75" x14ac:dyDescent="0.25">
      <c r="A176" s="340" t="s">
        <v>87</v>
      </c>
      <c r="B176" s="311" t="s">
        <v>255</v>
      </c>
      <c r="C176" s="241"/>
    </row>
    <row r="177" spans="1:3" ht="18.75" x14ac:dyDescent="0.25">
      <c r="A177" s="340" t="s">
        <v>87</v>
      </c>
      <c r="B177" s="311" t="s">
        <v>256</v>
      </c>
      <c r="C177" s="241"/>
    </row>
    <row r="178" spans="1:3" ht="18.75" x14ac:dyDescent="0.25">
      <c r="A178" s="340" t="s">
        <v>87</v>
      </c>
      <c r="B178" s="311" t="s">
        <v>257</v>
      </c>
      <c r="C178" s="241"/>
    </row>
    <row r="179" spans="1:3" ht="18.75" x14ac:dyDescent="0.25">
      <c r="A179" s="340" t="s">
        <v>87</v>
      </c>
      <c r="B179" s="311" t="s">
        <v>258</v>
      </c>
      <c r="C179" s="241"/>
    </row>
    <row r="180" spans="1:3" ht="18.75" x14ac:dyDescent="0.25">
      <c r="A180" s="340" t="s">
        <v>87</v>
      </c>
      <c r="B180" s="311" t="s">
        <v>259</v>
      </c>
      <c r="C180" s="241"/>
    </row>
    <row r="181" spans="1:3" ht="18.75" x14ac:dyDescent="0.25">
      <c r="A181" s="340" t="s">
        <v>87</v>
      </c>
      <c r="B181" s="311" t="s">
        <v>260</v>
      </c>
      <c r="C181" s="241" t="s">
        <v>171</v>
      </c>
    </row>
    <row r="182" spans="1:3" ht="18.75" x14ac:dyDescent="0.25">
      <c r="A182" s="340" t="s">
        <v>87</v>
      </c>
      <c r="B182" s="311" t="s">
        <v>260</v>
      </c>
      <c r="C182" s="241" t="s">
        <v>197</v>
      </c>
    </row>
    <row r="183" spans="1:3" ht="18.75" x14ac:dyDescent="0.25">
      <c r="A183" s="340" t="s">
        <v>87</v>
      </c>
      <c r="B183" s="311" t="s">
        <v>260</v>
      </c>
      <c r="C183" s="241" t="s">
        <v>220</v>
      </c>
    </row>
    <row r="184" spans="1:3" ht="18.75" x14ac:dyDescent="0.25">
      <c r="A184" s="340" t="s">
        <v>87</v>
      </c>
      <c r="B184" s="311" t="s">
        <v>261</v>
      </c>
      <c r="C184" s="241" t="s">
        <v>262</v>
      </c>
    </row>
    <row r="185" spans="1:3" ht="18.75" x14ac:dyDescent="0.25">
      <c r="A185" s="340" t="s">
        <v>87</v>
      </c>
      <c r="B185" s="311" t="s">
        <v>261</v>
      </c>
      <c r="C185" s="241" t="s">
        <v>263</v>
      </c>
    </row>
    <row r="186" spans="1:3" ht="18.75" x14ac:dyDescent="0.25">
      <c r="A186" s="340" t="s">
        <v>87</v>
      </c>
      <c r="B186" s="311" t="s">
        <v>261</v>
      </c>
      <c r="C186" s="340" t="s">
        <v>264</v>
      </c>
    </row>
    <row r="187" spans="1:3" ht="18.75" x14ac:dyDescent="0.25">
      <c r="A187" s="340" t="s">
        <v>87</v>
      </c>
      <c r="B187" s="311" t="s">
        <v>261</v>
      </c>
      <c r="C187" s="305" t="s">
        <v>265</v>
      </c>
    </row>
    <row r="188" spans="1:3" ht="18.75" x14ac:dyDescent="0.25">
      <c r="A188" s="340" t="s">
        <v>87</v>
      </c>
      <c r="B188" s="311" t="s">
        <v>261</v>
      </c>
      <c r="C188" s="305" t="s">
        <v>266</v>
      </c>
    </row>
    <row r="189" spans="1:3" ht="18.75" x14ac:dyDescent="0.25">
      <c r="A189" s="340" t="s">
        <v>87</v>
      </c>
      <c r="B189" s="311" t="s">
        <v>267</v>
      </c>
      <c r="C189" s="305" t="s">
        <v>210</v>
      </c>
    </row>
    <row r="190" spans="1:3" ht="18.75" x14ac:dyDescent="0.25">
      <c r="A190" s="340" t="s">
        <v>87</v>
      </c>
      <c r="B190" s="311" t="s">
        <v>267</v>
      </c>
      <c r="C190" s="241" t="s">
        <v>268</v>
      </c>
    </row>
    <row r="191" spans="1:3" ht="18.75" x14ac:dyDescent="0.25">
      <c r="A191" s="340" t="s">
        <v>87</v>
      </c>
      <c r="B191" s="311" t="s">
        <v>267</v>
      </c>
      <c r="C191" s="241" t="s">
        <v>269</v>
      </c>
    </row>
    <row r="192" spans="1:3" ht="18.75" x14ac:dyDescent="0.25">
      <c r="A192" s="340" t="s">
        <v>87</v>
      </c>
      <c r="B192" s="311" t="s">
        <v>267</v>
      </c>
      <c r="C192" s="241" t="s">
        <v>270</v>
      </c>
    </row>
    <row r="193" spans="1:3" ht="18.75" x14ac:dyDescent="0.25">
      <c r="A193" s="387" t="s">
        <v>271</v>
      </c>
      <c r="B193" s="317" t="s">
        <v>272</v>
      </c>
      <c r="C193" s="241"/>
    </row>
    <row r="194" spans="1:3" ht="18.75" x14ac:dyDescent="0.25">
      <c r="A194" s="133" t="s">
        <v>271</v>
      </c>
      <c r="B194" s="311" t="s">
        <v>273</v>
      </c>
      <c r="C194" s="241"/>
    </row>
    <row r="195" spans="1:3" ht="18.75" x14ac:dyDescent="0.25">
      <c r="A195" s="133" t="s">
        <v>271</v>
      </c>
      <c r="B195" s="311" t="s">
        <v>274</v>
      </c>
      <c r="C195" s="241"/>
    </row>
    <row r="196" spans="1:3" ht="18.75" x14ac:dyDescent="0.25">
      <c r="A196" s="133" t="s">
        <v>271</v>
      </c>
      <c r="B196" s="311" t="s">
        <v>275</v>
      </c>
      <c r="C196" s="241"/>
    </row>
    <row r="197" spans="1:3" ht="18.75" x14ac:dyDescent="0.25">
      <c r="A197" s="133" t="s">
        <v>271</v>
      </c>
      <c r="B197" s="311" t="s">
        <v>276</v>
      </c>
      <c r="C197" s="241"/>
    </row>
    <row r="198" spans="1:3" ht="18.75" x14ac:dyDescent="0.25">
      <c r="A198" s="133" t="s">
        <v>271</v>
      </c>
      <c r="B198" s="311" t="s">
        <v>277</v>
      </c>
      <c r="C198" s="241"/>
    </row>
    <row r="199" spans="1:3" ht="18.75" x14ac:dyDescent="0.25">
      <c r="A199" s="133" t="s">
        <v>271</v>
      </c>
      <c r="B199" s="311" t="s">
        <v>278</v>
      </c>
      <c r="C199" s="241" t="s">
        <v>195</v>
      </c>
    </row>
    <row r="200" spans="1:3" ht="18.75" x14ac:dyDescent="0.25">
      <c r="A200" s="133" t="s">
        <v>271</v>
      </c>
      <c r="B200" s="311" t="s">
        <v>278</v>
      </c>
      <c r="C200" s="241" t="s">
        <v>279</v>
      </c>
    </row>
    <row r="201" spans="1:3" ht="18.75" x14ac:dyDescent="0.25">
      <c r="A201" s="133" t="s">
        <v>271</v>
      </c>
      <c r="B201" s="311" t="s">
        <v>278</v>
      </c>
      <c r="C201" s="241" t="s">
        <v>148</v>
      </c>
    </row>
    <row r="202" spans="1:3" ht="18.75" x14ac:dyDescent="0.25">
      <c r="A202" s="133" t="s">
        <v>271</v>
      </c>
      <c r="B202" s="311" t="s">
        <v>278</v>
      </c>
      <c r="C202" s="241" t="s">
        <v>171</v>
      </c>
    </row>
    <row r="203" spans="1:3" ht="18.75" x14ac:dyDescent="0.25">
      <c r="A203" s="133" t="s">
        <v>271</v>
      </c>
      <c r="B203" s="311" t="s">
        <v>278</v>
      </c>
      <c r="C203" s="241" t="s">
        <v>123</v>
      </c>
    </row>
    <row r="204" spans="1:3" ht="18.75" x14ac:dyDescent="0.25">
      <c r="A204" s="133" t="s">
        <v>271</v>
      </c>
      <c r="B204" s="311" t="s">
        <v>205</v>
      </c>
      <c r="C204" s="241"/>
    </row>
    <row r="205" spans="1:3" ht="18.75" x14ac:dyDescent="0.25">
      <c r="A205" s="133" t="s">
        <v>271</v>
      </c>
      <c r="B205" s="311" t="s">
        <v>280</v>
      </c>
      <c r="C205" s="241"/>
    </row>
    <row r="206" spans="1:3" ht="18.75" x14ac:dyDescent="0.25">
      <c r="A206" s="133" t="s">
        <v>271</v>
      </c>
      <c r="B206" s="311" t="s">
        <v>281</v>
      </c>
      <c r="C206" s="241"/>
    </row>
    <row r="207" spans="1:3" ht="18.75" x14ac:dyDescent="0.25">
      <c r="A207" s="133" t="s">
        <v>271</v>
      </c>
      <c r="B207" s="311" t="s">
        <v>201</v>
      </c>
      <c r="C207" s="241"/>
    </row>
    <row r="208" spans="1:3" ht="18.75" x14ac:dyDescent="0.25">
      <c r="A208" s="133" t="s">
        <v>271</v>
      </c>
      <c r="B208" s="316" t="s">
        <v>228</v>
      </c>
      <c r="C208" s="241"/>
    </row>
    <row r="209" spans="1:3" ht="18.75" x14ac:dyDescent="0.25">
      <c r="A209" s="133" t="s">
        <v>271</v>
      </c>
      <c r="B209" s="316" t="s">
        <v>228</v>
      </c>
      <c r="C209" s="241" t="s">
        <v>123</v>
      </c>
    </row>
    <row r="210" spans="1:3" ht="18.75" x14ac:dyDescent="0.25">
      <c r="A210" s="133" t="s">
        <v>271</v>
      </c>
      <c r="B210" s="316" t="s">
        <v>228</v>
      </c>
      <c r="C210" s="241" t="s">
        <v>279</v>
      </c>
    </row>
    <row r="211" spans="1:3" ht="18.75" x14ac:dyDescent="0.25">
      <c r="A211" s="133" t="s">
        <v>271</v>
      </c>
      <c r="B211" s="316" t="s">
        <v>228</v>
      </c>
      <c r="C211" s="241" t="s">
        <v>169</v>
      </c>
    </row>
    <row r="212" spans="1:3" ht="18.75" x14ac:dyDescent="0.25">
      <c r="A212" s="133" t="s">
        <v>271</v>
      </c>
      <c r="B212" s="316" t="s">
        <v>228</v>
      </c>
      <c r="C212" s="241" t="s">
        <v>178</v>
      </c>
    </row>
    <row r="213" spans="1:3" ht="18.75" x14ac:dyDescent="0.25">
      <c r="A213" s="133" t="s">
        <v>271</v>
      </c>
      <c r="B213" s="311" t="s">
        <v>282</v>
      </c>
      <c r="C213" s="241"/>
    </row>
    <row r="214" spans="1:3" ht="18.75" x14ac:dyDescent="0.25">
      <c r="A214" s="133" t="s">
        <v>271</v>
      </c>
      <c r="B214" s="311" t="s">
        <v>125</v>
      </c>
      <c r="C214" s="241"/>
    </row>
    <row r="215" spans="1:3" ht="18.75" x14ac:dyDescent="0.25">
      <c r="A215" s="133" t="s">
        <v>271</v>
      </c>
      <c r="B215" s="311" t="s">
        <v>283</v>
      </c>
      <c r="C215" s="241"/>
    </row>
    <row r="216" spans="1:3" ht="18.75" x14ac:dyDescent="0.25">
      <c r="A216" s="133" t="s">
        <v>271</v>
      </c>
      <c r="B216" s="311" t="s">
        <v>159</v>
      </c>
      <c r="C216" s="241"/>
    </row>
    <row r="217" spans="1:3" ht="18.75" x14ac:dyDescent="0.25">
      <c r="A217" s="133" t="s">
        <v>271</v>
      </c>
      <c r="B217" s="311" t="s">
        <v>284</v>
      </c>
      <c r="C217" s="241"/>
    </row>
    <row r="218" spans="1:3" ht="18.75" x14ac:dyDescent="0.25">
      <c r="A218" s="133" t="s">
        <v>271</v>
      </c>
      <c r="B218" s="311" t="s">
        <v>285</v>
      </c>
      <c r="C218" s="241"/>
    </row>
    <row r="219" spans="1:3" ht="18.75" x14ac:dyDescent="0.25">
      <c r="A219" s="133" t="s">
        <v>271</v>
      </c>
      <c r="B219" s="311" t="s">
        <v>286</v>
      </c>
      <c r="C219" s="241"/>
    </row>
    <row r="220" spans="1:3" ht="18.75" x14ac:dyDescent="0.25">
      <c r="A220" s="133" t="s">
        <v>271</v>
      </c>
      <c r="B220" s="311" t="s">
        <v>287</v>
      </c>
      <c r="C220" s="241"/>
    </row>
    <row r="221" spans="1:3" ht="18.75" x14ac:dyDescent="0.25">
      <c r="A221" s="133" t="s">
        <v>271</v>
      </c>
      <c r="B221" s="311" t="s">
        <v>150</v>
      </c>
      <c r="C221" s="241"/>
    </row>
    <row r="222" spans="1:3" ht="18.75" x14ac:dyDescent="0.25">
      <c r="A222" s="133" t="s">
        <v>271</v>
      </c>
      <c r="B222" s="311" t="s">
        <v>288</v>
      </c>
      <c r="C222" s="241"/>
    </row>
    <row r="223" spans="1:3" ht="18.75" x14ac:dyDescent="0.25">
      <c r="A223" s="133" t="s">
        <v>271</v>
      </c>
      <c r="B223" s="311" t="s">
        <v>289</v>
      </c>
      <c r="C223" s="241"/>
    </row>
    <row r="224" spans="1:3" ht="18.75" x14ac:dyDescent="0.25">
      <c r="A224" s="133" t="s">
        <v>271</v>
      </c>
      <c r="B224" s="311" t="s">
        <v>290</v>
      </c>
      <c r="C224" s="241"/>
    </row>
    <row r="225" spans="1:3" ht="18.75" x14ac:dyDescent="0.25">
      <c r="A225" s="133" t="s">
        <v>271</v>
      </c>
      <c r="B225" s="311" t="s">
        <v>291</v>
      </c>
      <c r="C225" s="241"/>
    </row>
    <row r="226" spans="1:3" ht="18.75" x14ac:dyDescent="0.25">
      <c r="A226" s="133" t="s">
        <v>271</v>
      </c>
      <c r="B226" s="311" t="s">
        <v>292</v>
      </c>
      <c r="C226" s="241"/>
    </row>
    <row r="227" spans="1:3" ht="18.75" x14ac:dyDescent="0.25">
      <c r="A227" s="133" t="s">
        <v>271</v>
      </c>
      <c r="B227" s="311" t="s">
        <v>293</v>
      </c>
      <c r="C227" s="241"/>
    </row>
    <row r="228" spans="1:3" ht="18.75" x14ac:dyDescent="0.25">
      <c r="A228" s="133" t="s">
        <v>271</v>
      </c>
      <c r="B228" s="311" t="s">
        <v>294</v>
      </c>
      <c r="C228" s="241"/>
    </row>
    <row r="229" spans="1:3" ht="18.75" x14ac:dyDescent="0.25">
      <c r="A229" s="133" t="s">
        <v>271</v>
      </c>
      <c r="B229" s="311" t="s">
        <v>295</v>
      </c>
      <c r="C229" s="241"/>
    </row>
    <row r="230" spans="1:3" ht="18.75" x14ac:dyDescent="0.25">
      <c r="A230" s="133" t="s">
        <v>271</v>
      </c>
      <c r="B230" s="311" t="s">
        <v>296</v>
      </c>
      <c r="C230" s="241" t="s">
        <v>297</v>
      </c>
    </row>
    <row r="231" spans="1:3" ht="18.75" x14ac:dyDescent="0.25">
      <c r="A231" s="133" t="s">
        <v>271</v>
      </c>
      <c r="B231" s="311" t="s">
        <v>296</v>
      </c>
      <c r="C231" s="241" t="s">
        <v>171</v>
      </c>
    </row>
    <row r="232" spans="1:3" ht="18.75" x14ac:dyDescent="0.25">
      <c r="A232" s="133" t="s">
        <v>271</v>
      </c>
      <c r="B232" s="311" t="s">
        <v>296</v>
      </c>
      <c r="C232" s="241" t="s">
        <v>298</v>
      </c>
    </row>
    <row r="233" spans="1:3" ht="18.75" x14ac:dyDescent="0.25">
      <c r="A233" s="133" t="s">
        <v>271</v>
      </c>
      <c r="B233" s="311" t="s">
        <v>299</v>
      </c>
      <c r="C233" s="241" t="s">
        <v>300</v>
      </c>
    </row>
    <row r="234" spans="1:3" ht="18.75" x14ac:dyDescent="0.25">
      <c r="A234" s="133" t="s">
        <v>271</v>
      </c>
      <c r="B234" s="311" t="s">
        <v>299</v>
      </c>
      <c r="C234" s="241" t="s">
        <v>147</v>
      </c>
    </row>
    <row r="235" spans="1:3" ht="18.75" x14ac:dyDescent="0.25">
      <c r="A235" s="133" t="s">
        <v>271</v>
      </c>
      <c r="B235" s="311" t="s">
        <v>299</v>
      </c>
      <c r="C235" s="241" t="s">
        <v>301</v>
      </c>
    </row>
    <row r="236" spans="1:3" ht="18.75" x14ac:dyDescent="0.25">
      <c r="A236" s="133" t="s">
        <v>271</v>
      </c>
      <c r="B236" s="311" t="s">
        <v>299</v>
      </c>
      <c r="C236" s="241" t="s">
        <v>302</v>
      </c>
    </row>
    <row r="237" spans="1:3" ht="18.75" x14ac:dyDescent="0.25">
      <c r="A237" s="133" t="s">
        <v>271</v>
      </c>
      <c r="B237" s="311" t="s">
        <v>195</v>
      </c>
      <c r="C237" s="241"/>
    </row>
    <row r="238" spans="1:3" ht="18.75" x14ac:dyDescent="0.25">
      <c r="A238" s="133" t="s">
        <v>271</v>
      </c>
      <c r="B238" s="311" t="s">
        <v>254</v>
      </c>
      <c r="C238" s="241"/>
    </row>
    <row r="239" spans="1:3" ht="18.75" x14ac:dyDescent="0.25">
      <c r="A239" s="133" t="s">
        <v>271</v>
      </c>
      <c r="B239" s="311" t="s">
        <v>303</v>
      </c>
      <c r="C239" s="241"/>
    </row>
    <row r="240" spans="1:3" ht="18.75" x14ac:dyDescent="0.25">
      <c r="A240" s="133" t="s">
        <v>271</v>
      </c>
      <c r="B240" s="311" t="s">
        <v>304</v>
      </c>
      <c r="C240" s="241"/>
    </row>
    <row r="241" spans="1:3" ht="18.75" x14ac:dyDescent="0.25">
      <c r="A241" s="133" t="s">
        <v>271</v>
      </c>
      <c r="B241" s="311" t="s">
        <v>305</v>
      </c>
      <c r="C241" s="241"/>
    </row>
    <row r="242" spans="1:3" ht="18.75" x14ac:dyDescent="0.25">
      <c r="A242" s="133" t="s">
        <v>271</v>
      </c>
      <c r="B242" s="311" t="s">
        <v>306</v>
      </c>
      <c r="C242" s="241"/>
    </row>
    <row r="243" spans="1:3" ht="18.75" x14ac:dyDescent="0.25">
      <c r="A243" s="133" t="s">
        <v>271</v>
      </c>
      <c r="B243" s="311" t="s">
        <v>307</v>
      </c>
      <c r="C243" s="241"/>
    </row>
    <row r="244" spans="1:3" ht="18.75" x14ac:dyDescent="0.25">
      <c r="A244" s="133" t="s">
        <v>271</v>
      </c>
      <c r="B244" s="311" t="s">
        <v>308</v>
      </c>
      <c r="C244" s="241"/>
    </row>
    <row r="245" spans="1:3" ht="18.75" x14ac:dyDescent="0.25">
      <c r="A245" s="133" t="s">
        <v>271</v>
      </c>
      <c r="B245" s="311" t="s">
        <v>309</v>
      </c>
      <c r="C245" s="241"/>
    </row>
    <row r="246" spans="1:3" ht="18.75" x14ac:dyDescent="0.25">
      <c r="A246" s="133" t="s">
        <v>271</v>
      </c>
      <c r="B246" s="311" t="s">
        <v>310</v>
      </c>
      <c r="C246" s="241"/>
    </row>
    <row r="247" spans="1:3" ht="18.75" x14ac:dyDescent="0.25">
      <c r="A247" s="133" t="s">
        <v>271</v>
      </c>
      <c r="B247" s="311" t="s">
        <v>311</v>
      </c>
      <c r="C247" s="241"/>
    </row>
    <row r="248" spans="1:3" ht="18.75" x14ac:dyDescent="0.25">
      <c r="A248" s="133" t="s">
        <v>271</v>
      </c>
      <c r="B248" s="311" t="s">
        <v>312</v>
      </c>
      <c r="C248" s="241"/>
    </row>
    <row r="249" spans="1:3" ht="18.75" x14ac:dyDescent="0.25">
      <c r="A249" s="133" t="s">
        <v>271</v>
      </c>
      <c r="B249" s="311" t="s">
        <v>313</v>
      </c>
      <c r="C249" s="241"/>
    </row>
    <row r="250" spans="1:3" ht="18.75" x14ac:dyDescent="0.25">
      <c r="A250" s="133" t="s">
        <v>271</v>
      </c>
      <c r="B250" s="311" t="s">
        <v>152</v>
      </c>
      <c r="C250" s="241"/>
    </row>
    <row r="251" spans="1:3" ht="18.75" x14ac:dyDescent="0.25">
      <c r="A251" s="133" t="s">
        <v>271</v>
      </c>
      <c r="B251" s="311" t="s">
        <v>145</v>
      </c>
      <c r="C251" s="241"/>
    </row>
    <row r="252" spans="1:3" ht="18.75" x14ac:dyDescent="0.25">
      <c r="A252" s="133" t="s">
        <v>271</v>
      </c>
      <c r="B252" s="311" t="s">
        <v>314</v>
      </c>
      <c r="C252" s="241"/>
    </row>
    <row r="253" spans="1:3" ht="18.75" x14ac:dyDescent="0.25">
      <c r="A253" s="133" t="s">
        <v>271</v>
      </c>
      <c r="B253" s="311" t="s">
        <v>96</v>
      </c>
      <c r="C253" s="241"/>
    </row>
    <row r="254" spans="1:3" ht="18.75" x14ac:dyDescent="0.25">
      <c r="A254" s="133" t="s">
        <v>271</v>
      </c>
      <c r="B254" s="311" t="s">
        <v>315</v>
      </c>
      <c r="C254" s="241"/>
    </row>
    <row r="255" spans="1:3" ht="18.75" x14ac:dyDescent="0.25">
      <c r="A255" s="133" t="s">
        <v>271</v>
      </c>
      <c r="B255" s="311" t="s">
        <v>203</v>
      </c>
      <c r="C255" s="241"/>
    </row>
    <row r="256" spans="1:3" ht="18.75" x14ac:dyDescent="0.25">
      <c r="A256" s="133" t="s">
        <v>271</v>
      </c>
      <c r="B256" s="311" t="s">
        <v>204</v>
      </c>
      <c r="C256" s="241"/>
    </row>
    <row r="257" spans="1:3" ht="18.75" x14ac:dyDescent="0.25">
      <c r="A257" s="133" t="s">
        <v>271</v>
      </c>
      <c r="B257" s="311" t="s">
        <v>138</v>
      </c>
      <c r="C257" s="241"/>
    </row>
    <row r="258" spans="1:3" ht="18.75" x14ac:dyDescent="0.25">
      <c r="A258" s="133" t="s">
        <v>271</v>
      </c>
      <c r="B258" s="311" t="s">
        <v>212</v>
      </c>
      <c r="C258" s="241"/>
    </row>
    <row r="259" spans="1:3" ht="18.75" x14ac:dyDescent="0.25">
      <c r="A259" s="133" t="s">
        <v>271</v>
      </c>
      <c r="B259" s="311" t="s">
        <v>141</v>
      </c>
      <c r="C259" s="241"/>
    </row>
    <row r="260" spans="1:3" ht="18.75" x14ac:dyDescent="0.25">
      <c r="A260" s="133" t="s">
        <v>271</v>
      </c>
      <c r="B260" s="311" t="s">
        <v>316</v>
      </c>
      <c r="C260" s="241"/>
    </row>
    <row r="261" spans="1:3" ht="18.75" x14ac:dyDescent="0.25">
      <c r="A261" s="133" t="s">
        <v>271</v>
      </c>
      <c r="B261" s="311" t="s">
        <v>317</v>
      </c>
      <c r="C261" s="241"/>
    </row>
    <row r="262" spans="1:3" ht="18.75" x14ac:dyDescent="0.25">
      <c r="A262" s="133" t="s">
        <v>271</v>
      </c>
      <c r="B262" s="311" t="s">
        <v>318</v>
      </c>
      <c r="C262" s="241"/>
    </row>
    <row r="263" spans="1:3" ht="18.75" x14ac:dyDescent="0.25">
      <c r="A263" s="133" t="s">
        <v>271</v>
      </c>
      <c r="B263" s="311" t="s">
        <v>139</v>
      </c>
      <c r="C263" s="241"/>
    </row>
    <row r="264" spans="1:3" ht="18.75" x14ac:dyDescent="0.25">
      <c r="A264" s="133" t="s">
        <v>271</v>
      </c>
      <c r="B264" s="311" t="s">
        <v>165</v>
      </c>
      <c r="C264" s="241"/>
    </row>
    <row r="265" spans="1:3" ht="18.75" x14ac:dyDescent="0.25">
      <c r="A265" s="133" t="s">
        <v>271</v>
      </c>
      <c r="B265" s="311" t="s">
        <v>319</v>
      </c>
      <c r="C265" s="241"/>
    </row>
    <row r="266" spans="1:3" ht="18.75" x14ac:dyDescent="0.25">
      <c r="A266" s="133" t="s">
        <v>271</v>
      </c>
      <c r="B266" s="311" t="s">
        <v>320</v>
      </c>
      <c r="C266" s="241"/>
    </row>
    <row r="267" spans="1:3" ht="18.75" x14ac:dyDescent="0.25">
      <c r="A267" s="133" t="s">
        <v>271</v>
      </c>
      <c r="B267" s="311" t="s">
        <v>321</v>
      </c>
      <c r="C267" s="241"/>
    </row>
    <row r="268" spans="1:3" ht="18.75" x14ac:dyDescent="0.25">
      <c r="A268" s="133" t="s">
        <v>271</v>
      </c>
      <c r="B268" s="311" t="s">
        <v>322</v>
      </c>
      <c r="C268" s="241"/>
    </row>
    <row r="269" spans="1:3" ht="18.75" x14ac:dyDescent="0.25">
      <c r="A269" s="133" t="s">
        <v>271</v>
      </c>
      <c r="B269" s="311" t="s">
        <v>323</v>
      </c>
      <c r="C269" s="241"/>
    </row>
    <row r="270" spans="1:3" ht="18.75" x14ac:dyDescent="0.25">
      <c r="A270" s="133" t="s">
        <v>271</v>
      </c>
      <c r="B270" s="311" t="s">
        <v>324</v>
      </c>
      <c r="C270" s="241"/>
    </row>
    <row r="271" spans="1:3" ht="18.75" x14ac:dyDescent="0.25">
      <c r="A271" s="133" t="s">
        <v>271</v>
      </c>
      <c r="B271" s="311" t="s">
        <v>325</v>
      </c>
      <c r="C271" s="241" t="s">
        <v>220</v>
      </c>
    </row>
    <row r="272" spans="1:3" ht="18.75" x14ac:dyDescent="0.25">
      <c r="A272" s="133" t="s">
        <v>271</v>
      </c>
      <c r="B272" s="311" t="s">
        <v>326</v>
      </c>
    </row>
    <row r="273" spans="1:3" ht="18.75" x14ac:dyDescent="0.25">
      <c r="A273" s="133" t="s">
        <v>271</v>
      </c>
      <c r="B273" s="311" t="s">
        <v>327</v>
      </c>
      <c r="C273" s="241"/>
    </row>
    <row r="274" spans="1:3" ht="18.75" x14ac:dyDescent="0.25">
      <c r="A274" s="133" t="s">
        <v>271</v>
      </c>
      <c r="B274" s="311" t="s">
        <v>328</v>
      </c>
      <c r="C274" s="241"/>
    </row>
    <row r="275" spans="1:3" ht="18.75" x14ac:dyDescent="0.25">
      <c r="A275" s="133" t="s">
        <v>271</v>
      </c>
      <c r="B275" s="311" t="s">
        <v>329</v>
      </c>
      <c r="C275" s="241"/>
    </row>
    <row r="276" spans="1:3" ht="18.75" x14ac:dyDescent="0.25">
      <c r="A276" s="133" t="s">
        <v>271</v>
      </c>
      <c r="B276" s="311" t="s">
        <v>330</v>
      </c>
      <c r="C276" s="241"/>
    </row>
    <row r="277" spans="1:3" ht="18.75" x14ac:dyDescent="0.25">
      <c r="A277" s="133" t="s">
        <v>271</v>
      </c>
      <c r="B277" s="311" t="s">
        <v>331</v>
      </c>
      <c r="C277" s="241" t="s">
        <v>296</v>
      </c>
    </row>
    <row r="278" spans="1:3" ht="18.75" x14ac:dyDescent="0.25">
      <c r="A278" s="133" t="s">
        <v>271</v>
      </c>
      <c r="B278" s="311" t="s">
        <v>331</v>
      </c>
      <c r="C278" s="241" t="s">
        <v>131</v>
      </c>
    </row>
    <row r="279" spans="1:3" ht="18.75" x14ac:dyDescent="0.25">
      <c r="A279" s="133" t="s">
        <v>271</v>
      </c>
      <c r="B279" s="311" t="s">
        <v>331</v>
      </c>
      <c r="C279" s="241" t="s">
        <v>332</v>
      </c>
    </row>
    <row r="280" spans="1:3" ht="18.75" x14ac:dyDescent="0.25">
      <c r="A280" s="133" t="s">
        <v>271</v>
      </c>
      <c r="B280" s="311" t="s">
        <v>331</v>
      </c>
      <c r="C280" s="241" t="s">
        <v>139</v>
      </c>
    </row>
    <row r="281" spans="1:3" ht="18.75" x14ac:dyDescent="0.25">
      <c r="A281" s="133" t="s">
        <v>271</v>
      </c>
      <c r="B281" s="311" t="s">
        <v>333</v>
      </c>
      <c r="C281" s="241" t="s">
        <v>194</v>
      </c>
    </row>
    <row r="282" spans="1:3" ht="18.75" x14ac:dyDescent="0.25">
      <c r="A282" s="133" t="s">
        <v>271</v>
      </c>
      <c r="B282" s="311" t="s">
        <v>333</v>
      </c>
      <c r="C282" s="241" t="s">
        <v>171</v>
      </c>
    </row>
    <row r="283" spans="1:3" ht="18.75" x14ac:dyDescent="0.25">
      <c r="A283" s="133" t="s">
        <v>271</v>
      </c>
      <c r="B283" s="311" t="s">
        <v>333</v>
      </c>
      <c r="C283" s="241" t="s">
        <v>334</v>
      </c>
    </row>
    <row r="284" spans="1:3" ht="18.75" x14ac:dyDescent="0.25">
      <c r="A284" s="133" t="s">
        <v>271</v>
      </c>
      <c r="B284" s="311" t="s">
        <v>333</v>
      </c>
      <c r="C284" s="241" t="s">
        <v>220</v>
      </c>
    </row>
    <row r="285" spans="1:3" ht="18.75" x14ac:dyDescent="0.25">
      <c r="A285" s="133" t="s">
        <v>271</v>
      </c>
      <c r="B285" s="311" t="s">
        <v>333</v>
      </c>
      <c r="C285" s="241" t="s">
        <v>148</v>
      </c>
    </row>
    <row r="286" spans="1:3" ht="18.75" x14ac:dyDescent="0.25">
      <c r="A286" s="133" t="s">
        <v>271</v>
      </c>
      <c r="B286" s="311" t="s">
        <v>335</v>
      </c>
      <c r="C286" s="241"/>
    </row>
    <row r="287" spans="1:3" ht="18.75" x14ac:dyDescent="0.25">
      <c r="A287" s="133" t="s">
        <v>271</v>
      </c>
      <c r="B287" s="311" t="s">
        <v>336</v>
      </c>
      <c r="C287" s="241"/>
    </row>
    <row r="288" spans="1:3" ht="18.75" x14ac:dyDescent="0.25">
      <c r="A288" s="133" t="s">
        <v>271</v>
      </c>
      <c r="B288" s="311" t="s">
        <v>337</v>
      </c>
      <c r="C288" s="241"/>
    </row>
    <row r="289" spans="1:3" ht="18.75" x14ac:dyDescent="0.25">
      <c r="A289" s="133" t="s">
        <v>271</v>
      </c>
      <c r="B289" s="311" t="s">
        <v>338</v>
      </c>
      <c r="C289" s="241"/>
    </row>
    <row r="290" spans="1:3" ht="18.75" x14ac:dyDescent="0.25">
      <c r="A290" s="133" t="s">
        <v>271</v>
      </c>
      <c r="B290" s="311" t="s">
        <v>339</v>
      </c>
      <c r="C290" s="241" t="s">
        <v>171</v>
      </c>
    </row>
    <row r="291" spans="1:3" ht="18.75" x14ac:dyDescent="0.25">
      <c r="A291" s="133" t="s">
        <v>271</v>
      </c>
      <c r="B291" s="311" t="s">
        <v>339</v>
      </c>
      <c r="C291" s="241" t="s">
        <v>214</v>
      </c>
    </row>
    <row r="292" spans="1:3" ht="18.75" x14ac:dyDescent="0.25">
      <c r="A292" s="133" t="s">
        <v>271</v>
      </c>
      <c r="B292" s="311" t="s">
        <v>339</v>
      </c>
      <c r="C292" s="241" t="s">
        <v>148</v>
      </c>
    </row>
    <row r="293" spans="1:3" ht="18.75" x14ac:dyDescent="0.25">
      <c r="A293" s="133" t="s">
        <v>271</v>
      </c>
      <c r="B293" s="311" t="s">
        <v>339</v>
      </c>
      <c r="C293" s="241" t="s">
        <v>340</v>
      </c>
    </row>
    <row r="294" spans="1:3" ht="18.75" x14ac:dyDescent="0.25">
      <c r="A294" s="340" t="s">
        <v>271</v>
      </c>
      <c r="B294" s="311" t="s">
        <v>339</v>
      </c>
      <c r="C294" s="241" t="s">
        <v>341</v>
      </c>
    </row>
    <row r="295" spans="1:3" ht="18.75" x14ac:dyDescent="0.25">
      <c r="A295" s="340" t="s">
        <v>271</v>
      </c>
      <c r="B295" s="311" t="s">
        <v>339</v>
      </c>
      <c r="C295" s="241" t="s">
        <v>342</v>
      </c>
    </row>
    <row r="296" spans="1:3" ht="18.75" x14ac:dyDescent="0.25">
      <c r="A296" s="340" t="s">
        <v>271</v>
      </c>
      <c r="B296" s="311" t="s">
        <v>339</v>
      </c>
      <c r="C296" s="241" t="s">
        <v>195</v>
      </c>
    </row>
    <row r="297" spans="1:3" ht="18.75" x14ac:dyDescent="0.25">
      <c r="A297" s="340" t="s">
        <v>271</v>
      </c>
      <c r="B297" s="311" t="s">
        <v>343</v>
      </c>
      <c r="C297" s="241"/>
    </row>
    <row r="298" spans="1:3" ht="18.75" x14ac:dyDescent="0.25">
      <c r="A298" s="340" t="s">
        <v>271</v>
      </c>
      <c r="B298" s="311" t="s">
        <v>343</v>
      </c>
      <c r="C298" s="241" t="s">
        <v>124</v>
      </c>
    </row>
    <row r="299" spans="1:3" ht="18.75" x14ac:dyDescent="0.25">
      <c r="A299" s="388" t="s">
        <v>271</v>
      </c>
      <c r="B299" s="311" t="s">
        <v>344</v>
      </c>
      <c r="C299" s="241" t="s">
        <v>171</v>
      </c>
    </row>
    <row r="300" spans="1:3" ht="18.75" x14ac:dyDescent="0.25">
      <c r="A300" s="2" t="s">
        <v>271</v>
      </c>
      <c r="B300" s="282" t="s">
        <v>344</v>
      </c>
      <c r="C300" s="241" t="s">
        <v>148</v>
      </c>
    </row>
    <row r="301" spans="1:3" ht="18.75" x14ac:dyDescent="0.25">
      <c r="A301" s="2" t="s">
        <v>271</v>
      </c>
      <c r="B301" s="282" t="s">
        <v>345</v>
      </c>
      <c r="C301" s="241"/>
    </row>
    <row r="302" spans="1:3" ht="18.75" x14ac:dyDescent="0.25">
      <c r="A302" s="2" t="s">
        <v>271</v>
      </c>
      <c r="B302" s="282" t="s">
        <v>346</v>
      </c>
      <c r="C302" s="241"/>
    </row>
    <row r="303" spans="1:3" ht="18.75" x14ac:dyDescent="0.25">
      <c r="A303" s="2" t="s">
        <v>271</v>
      </c>
      <c r="B303" s="282" t="s">
        <v>347</v>
      </c>
      <c r="C303" s="241"/>
    </row>
    <row r="304" spans="1:3" ht="18.75" x14ac:dyDescent="0.25">
      <c r="A304" s="2" t="s">
        <v>271</v>
      </c>
      <c r="B304" s="282" t="s">
        <v>348</v>
      </c>
      <c r="C304" s="241"/>
    </row>
    <row r="305" spans="1:3" ht="18.75" x14ac:dyDescent="0.25">
      <c r="A305" s="2" t="s">
        <v>271</v>
      </c>
      <c r="B305" s="282" t="s">
        <v>222</v>
      </c>
      <c r="C305" s="241"/>
    </row>
    <row r="306" spans="1:3" ht="18.75" x14ac:dyDescent="0.25">
      <c r="A306" s="2" t="s">
        <v>271</v>
      </c>
      <c r="B306" s="282" t="s">
        <v>349</v>
      </c>
      <c r="C306" s="241"/>
    </row>
    <row r="307" spans="1:3" ht="18.75" x14ac:dyDescent="0.25">
      <c r="A307" s="2" t="s">
        <v>271</v>
      </c>
      <c r="B307" s="282" t="s">
        <v>350</v>
      </c>
      <c r="C307" s="241"/>
    </row>
    <row r="308" spans="1:3" ht="18.75" x14ac:dyDescent="0.25">
      <c r="A308" s="2" t="s">
        <v>271</v>
      </c>
      <c r="B308" s="282" t="s">
        <v>351</v>
      </c>
      <c r="C308" s="241"/>
    </row>
    <row r="309" spans="1:3" ht="18.75" x14ac:dyDescent="0.25">
      <c r="A309" s="2" t="s">
        <v>271</v>
      </c>
      <c r="B309" s="282" t="s">
        <v>352</v>
      </c>
      <c r="C309" s="241"/>
    </row>
    <row r="310" spans="1:3" ht="18.75" x14ac:dyDescent="0.25">
      <c r="A310" s="2" t="s">
        <v>271</v>
      </c>
      <c r="B310" s="282" t="s">
        <v>151</v>
      </c>
      <c r="C310" s="241"/>
    </row>
    <row r="311" spans="1:3" ht="18.75" x14ac:dyDescent="0.25">
      <c r="A311" s="2" t="s">
        <v>271</v>
      </c>
      <c r="B311" s="282" t="s">
        <v>353</v>
      </c>
      <c r="C311" s="241"/>
    </row>
    <row r="312" spans="1:3" ht="18.75" x14ac:dyDescent="0.25">
      <c r="A312" s="2" t="s">
        <v>271</v>
      </c>
      <c r="B312" s="282" t="s">
        <v>354</v>
      </c>
      <c r="C312" s="241"/>
    </row>
    <row r="313" spans="1:3" ht="18.75" x14ac:dyDescent="0.25">
      <c r="A313" s="2" t="s">
        <v>271</v>
      </c>
      <c r="B313" s="282" t="s">
        <v>224</v>
      </c>
      <c r="C313" s="241"/>
    </row>
    <row r="314" spans="1:3" ht="18.75" x14ac:dyDescent="0.25">
      <c r="A314" s="2" t="s">
        <v>271</v>
      </c>
      <c r="B314" s="282" t="s">
        <v>355</v>
      </c>
      <c r="C314" s="241"/>
    </row>
    <row r="315" spans="1:3" ht="18.75" x14ac:dyDescent="0.25">
      <c r="A315" s="2" t="s">
        <v>271</v>
      </c>
      <c r="B315" s="282" t="s">
        <v>221</v>
      </c>
      <c r="C315" s="241"/>
    </row>
    <row r="316" spans="1:3" ht="18.75" x14ac:dyDescent="0.25">
      <c r="A316" s="2" t="s">
        <v>271</v>
      </c>
      <c r="B316" s="282" t="s">
        <v>356</v>
      </c>
      <c r="C316" s="241" t="s">
        <v>148</v>
      </c>
    </row>
    <row r="317" spans="1:3" ht="18.75" x14ac:dyDescent="0.25">
      <c r="A317" s="2" t="s">
        <v>271</v>
      </c>
      <c r="B317" s="282" t="s">
        <v>160</v>
      </c>
      <c r="C317" s="241" t="s">
        <v>148</v>
      </c>
    </row>
    <row r="318" spans="1:3" ht="18.75" x14ac:dyDescent="0.25">
      <c r="A318" s="2" t="s">
        <v>271</v>
      </c>
      <c r="B318" s="282" t="s">
        <v>160</v>
      </c>
      <c r="C318" s="241" t="s">
        <v>161</v>
      </c>
    </row>
    <row r="319" spans="1:3" ht="18.75" x14ac:dyDescent="0.25">
      <c r="A319" s="2" t="s">
        <v>271</v>
      </c>
      <c r="B319" s="282" t="s">
        <v>160</v>
      </c>
      <c r="C319" s="241" t="s">
        <v>357</v>
      </c>
    </row>
    <row r="320" spans="1:3" ht="18.75" x14ac:dyDescent="0.25">
      <c r="A320" s="2" t="s">
        <v>271</v>
      </c>
      <c r="B320" s="282" t="s">
        <v>160</v>
      </c>
      <c r="C320" s="241" t="s">
        <v>358</v>
      </c>
    </row>
    <row r="321" spans="1:3" ht="18.75" x14ac:dyDescent="0.25">
      <c r="A321" s="2" t="s">
        <v>271</v>
      </c>
      <c r="B321" s="282" t="s">
        <v>160</v>
      </c>
      <c r="C321" s="241" t="s">
        <v>123</v>
      </c>
    </row>
    <row r="322" spans="1:3" ht="18.75" x14ac:dyDescent="0.25">
      <c r="A322" s="2" t="s">
        <v>271</v>
      </c>
      <c r="B322" s="282" t="s">
        <v>359</v>
      </c>
      <c r="C322" s="241"/>
    </row>
    <row r="323" spans="1:3" ht="18.75" x14ac:dyDescent="0.25">
      <c r="A323" s="2" t="s">
        <v>271</v>
      </c>
      <c r="B323" s="282" t="s">
        <v>162</v>
      </c>
      <c r="C323" s="241"/>
    </row>
    <row r="324" spans="1:3" ht="18.75" x14ac:dyDescent="0.25">
      <c r="A324" s="2" t="s">
        <v>271</v>
      </c>
      <c r="B324" s="282" t="s">
        <v>360</v>
      </c>
      <c r="C324" s="241"/>
    </row>
    <row r="325" spans="1:3" ht="18.75" x14ac:dyDescent="0.25">
      <c r="A325" s="2" t="s">
        <v>271</v>
      </c>
      <c r="B325" s="282" t="s">
        <v>361</v>
      </c>
      <c r="C325" s="241"/>
    </row>
    <row r="326" spans="1:3" ht="18.75" x14ac:dyDescent="0.25">
      <c r="A326" s="2" t="s">
        <v>271</v>
      </c>
      <c r="B326" s="282" t="s">
        <v>362</v>
      </c>
      <c r="C326" s="241"/>
    </row>
    <row r="327" spans="1:3" ht="18.75" x14ac:dyDescent="0.25">
      <c r="A327" s="2" t="s">
        <v>271</v>
      </c>
      <c r="B327" s="282" t="s">
        <v>168</v>
      </c>
      <c r="C327" s="241" t="s">
        <v>171</v>
      </c>
    </row>
    <row r="328" spans="1:3" ht="18.75" x14ac:dyDescent="0.25">
      <c r="A328" s="2" t="s">
        <v>271</v>
      </c>
      <c r="B328" s="282" t="s">
        <v>168</v>
      </c>
      <c r="C328" s="241" t="s">
        <v>170</v>
      </c>
    </row>
    <row r="329" spans="1:3" ht="18.75" x14ac:dyDescent="0.25">
      <c r="A329" s="2" t="s">
        <v>271</v>
      </c>
      <c r="B329" s="282" t="s">
        <v>168</v>
      </c>
      <c r="C329" s="241" t="s">
        <v>169</v>
      </c>
    </row>
    <row r="330" spans="1:3" ht="18.75" x14ac:dyDescent="0.25">
      <c r="A330" s="2" t="s">
        <v>271</v>
      </c>
      <c r="B330" s="282" t="s">
        <v>168</v>
      </c>
      <c r="C330" s="241" t="s">
        <v>172</v>
      </c>
    </row>
    <row r="331" spans="1:3" ht="18.75" x14ac:dyDescent="0.25">
      <c r="A331" s="2" t="s">
        <v>271</v>
      </c>
      <c r="B331" s="282" t="s">
        <v>363</v>
      </c>
      <c r="C331" s="241"/>
    </row>
    <row r="332" spans="1:3" ht="18.75" x14ac:dyDescent="0.25">
      <c r="A332" s="2" t="s">
        <v>271</v>
      </c>
      <c r="B332" s="282" t="s">
        <v>364</v>
      </c>
      <c r="C332" s="241" t="s">
        <v>279</v>
      </c>
    </row>
    <row r="333" spans="1:3" ht="18.75" x14ac:dyDescent="0.25">
      <c r="A333" s="2" t="s">
        <v>271</v>
      </c>
      <c r="B333" s="282" t="s">
        <v>364</v>
      </c>
      <c r="C333" s="241" t="s">
        <v>123</v>
      </c>
    </row>
    <row r="334" spans="1:3" ht="18.75" x14ac:dyDescent="0.25">
      <c r="A334" s="2" t="s">
        <v>271</v>
      </c>
      <c r="B334" s="282" t="s">
        <v>365</v>
      </c>
      <c r="C334" s="241" t="s">
        <v>366</v>
      </c>
    </row>
    <row r="335" spans="1:3" ht="18.75" x14ac:dyDescent="0.25">
      <c r="A335" s="2" t="s">
        <v>271</v>
      </c>
      <c r="B335" s="282" t="s">
        <v>365</v>
      </c>
      <c r="C335" s="241" t="s">
        <v>367</v>
      </c>
    </row>
    <row r="336" spans="1:3" ht="18.75" x14ac:dyDescent="0.25">
      <c r="A336" s="2" t="s">
        <v>271</v>
      </c>
      <c r="B336" s="282" t="s">
        <v>365</v>
      </c>
      <c r="C336" s="241" t="s">
        <v>368</v>
      </c>
    </row>
    <row r="337" spans="1:3" ht="18.75" x14ac:dyDescent="0.25">
      <c r="A337" s="2" t="s">
        <v>271</v>
      </c>
      <c r="B337" s="282" t="s">
        <v>127</v>
      </c>
      <c r="C337" s="241"/>
    </row>
    <row r="338" spans="1:3" ht="18.75" x14ac:dyDescent="0.25">
      <c r="A338" s="2" t="s">
        <v>271</v>
      </c>
      <c r="B338" s="282" t="s">
        <v>369</v>
      </c>
      <c r="C338" s="241"/>
    </row>
    <row r="339" spans="1:3" ht="18.75" x14ac:dyDescent="0.25">
      <c r="A339" s="2" t="s">
        <v>271</v>
      </c>
      <c r="B339" s="282" t="s">
        <v>148</v>
      </c>
      <c r="C339" s="241"/>
    </row>
    <row r="340" spans="1:3" ht="18.75" x14ac:dyDescent="0.25">
      <c r="A340" s="2" t="s">
        <v>271</v>
      </c>
      <c r="B340" s="282" t="s">
        <v>370</v>
      </c>
      <c r="C340" s="241"/>
    </row>
    <row r="341" spans="1:3" ht="18.75" x14ac:dyDescent="0.25">
      <c r="A341" s="2" t="s">
        <v>271</v>
      </c>
      <c r="B341" s="282" t="s">
        <v>371</v>
      </c>
      <c r="C341" s="241"/>
    </row>
    <row r="342" spans="1:3" ht="18.75" x14ac:dyDescent="0.25">
      <c r="A342" s="2" t="s">
        <v>271</v>
      </c>
      <c r="B342" s="282" t="s">
        <v>140</v>
      </c>
      <c r="C342" s="241"/>
    </row>
    <row r="343" spans="1:3" ht="18.75" x14ac:dyDescent="0.25">
      <c r="A343" s="2" t="s">
        <v>271</v>
      </c>
      <c r="B343" s="282" t="s">
        <v>372</v>
      </c>
      <c r="C343" s="241"/>
    </row>
    <row r="344" spans="1:3" ht="18.75" x14ac:dyDescent="0.25">
      <c r="A344" s="2" t="s">
        <v>271</v>
      </c>
      <c r="B344" s="282" t="s">
        <v>373</v>
      </c>
      <c r="C344" s="241"/>
    </row>
    <row r="345" spans="1:3" ht="18.75" x14ac:dyDescent="0.25">
      <c r="A345" s="2" t="s">
        <v>271</v>
      </c>
      <c r="B345" s="282" t="s">
        <v>167</v>
      </c>
      <c r="C345" s="241"/>
    </row>
    <row r="346" spans="1:3" ht="18.75" x14ac:dyDescent="0.25">
      <c r="A346" s="2" t="s">
        <v>271</v>
      </c>
      <c r="B346" s="282" t="s">
        <v>166</v>
      </c>
      <c r="C346" s="241"/>
    </row>
    <row r="347" spans="1:3" ht="18.75" x14ac:dyDescent="0.25">
      <c r="A347" s="2" t="s">
        <v>271</v>
      </c>
      <c r="B347" s="282" t="s">
        <v>374</v>
      </c>
      <c r="C347" s="241"/>
    </row>
    <row r="348" spans="1:3" ht="18.75" x14ac:dyDescent="0.25">
      <c r="A348" s="2" t="s">
        <v>271</v>
      </c>
      <c r="B348" s="282" t="s">
        <v>126</v>
      </c>
      <c r="C348" s="241"/>
    </row>
    <row r="349" spans="1:3" ht="18.75" x14ac:dyDescent="0.25">
      <c r="A349" s="2" t="s">
        <v>271</v>
      </c>
      <c r="B349" s="282" t="s">
        <v>375</v>
      </c>
      <c r="C349" s="241"/>
    </row>
    <row r="350" spans="1:3" ht="18.75" x14ac:dyDescent="0.25">
      <c r="A350" s="2" t="s">
        <v>271</v>
      </c>
      <c r="B350" s="282" t="s">
        <v>144</v>
      </c>
      <c r="C350" s="241"/>
    </row>
    <row r="351" spans="1:3" ht="18.75" x14ac:dyDescent="0.25">
      <c r="A351" s="2" t="s">
        <v>271</v>
      </c>
      <c r="B351" s="282" t="s">
        <v>156</v>
      </c>
      <c r="C351" s="241" t="s">
        <v>376</v>
      </c>
    </row>
    <row r="352" spans="1:3" ht="18.75" x14ac:dyDescent="0.25">
      <c r="A352" s="2" t="s">
        <v>271</v>
      </c>
      <c r="B352" s="282" t="s">
        <v>156</v>
      </c>
      <c r="C352" s="241" t="s">
        <v>195</v>
      </c>
    </row>
    <row r="353" spans="1:3" ht="18.75" x14ac:dyDescent="0.25">
      <c r="A353" s="2" t="s">
        <v>271</v>
      </c>
      <c r="B353" s="282" t="s">
        <v>156</v>
      </c>
      <c r="C353" s="241" t="s">
        <v>377</v>
      </c>
    </row>
    <row r="354" spans="1:3" ht="18.75" x14ac:dyDescent="0.25">
      <c r="A354" s="2" t="s">
        <v>271</v>
      </c>
      <c r="B354" s="282" t="s">
        <v>378</v>
      </c>
      <c r="C354" s="241" t="s">
        <v>357</v>
      </c>
    </row>
    <row r="355" spans="1:3" ht="18.75" x14ac:dyDescent="0.25">
      <c r="A355" s="2" t="s">
        <v>271</v>
      </c>
      <c r="B355" s="282" t="s">
        <v>378</v>
      </c>
      <c r="C355" s="241" t="s">
        <v>194</v>
      </c>
    </row>
    <row r="356" spans="1:3" ht="18.75" x14ac:dyDescent="0.25">
      <c r="A356" s="2" t="s">
        <v>271</v>
      </c>
      <c r="B356" s="282" t="s">
        <v>379</v>
      </c>
      <c r="C356" s="241"/>
    </row>
    <row r="357" spans="1:3" ht="18.75" x14ac:dyDescent="0.25">
      <c r="A357" s="2" t="s">
        <v>271</v>
      </c>
      <c r="B357" s="282" t="s">
        <v>380</v>
      </c>
      <c r="C357" s="241"/>
    </row>
    <row r="358" spans="1:3" ht="18.75" x14ac:dyDescent="0.25">
      <c r="A358" s="2" t="s">
        <v>271</v>
      </c>
      <c r="B358" s="282" t="s">
        <v>381</v>
      </c>
      <c r="C358" s="241"/>
    </row>
    <row r="359" spans="1:3" ht="18.75" x14ac:dyDescent="0.25">
      <c r="A359" s="2" t="s">
        <v>271</v>
      </c>
      <c r="B359" s="282" t="s">
        <v>382</v>
      </c>
      <c r="C359" s="241"/>
    </row>
    <row r="360" spans="1:3" ht="18.75" x14ac:dyDescent="0.25">
      <c r="A360" s="2" t="s">
        <v>271</v>
      </c>
      <c r="B360" s="282" t="s">
        <v>216</v>
      </c>
      <c r="C360" s="241"/>
    </row>
    <row r="361" spans="1:3" ht="18.75" x14ac:dyDescent="0.25">
      <c r="A361" s="2" t="s">
        <v>271</v>
      </c>
      <c r="B361" s="282" t="s">
        <v>383</v>
      </c>
      <c r="C361" s="241"/>
    </row>
    <row r="362" spans="1:3" ht="18.75" x14ac:dyDescent="0.25">
      <c r="A362" s="2" t="s">
        <v>271</v>
      </c>
      <c r="B362" s="282" t="s">
        <v>384</v>
      </c>
      <c r="C362" s="241"/>
    </row>
    <row r="363" spans="1:3" ht="18.600000000000001" customHeight="1" x14ac:dyDescent="0.25">
      <c r="A363" s="2" t="s">
        <v>271</v>
      </c>
      <c r="B363" s="282" t="s">
        <v>385</v>
      </c>
      <c r="C363" s="241"/>
    </row>
    <row r="364" spans="1:3" ht="18.75" x14ac:dyDescent="0.25">
      <c r="A364" s="2" t="s">
        <v>271</v>
      </c>
      <c r="B364" s="282" t="s">
        <v>386</v>
      </c>
      <c r="C364" s="241"/>
    </row>
    <row r="365" spans="1:3" ht="18.75" x14ac:dyDescent="0.25">
      <c r="A365" s="387" t="s">
        <v>387</v>
      </c>
      <c r="B365" s="317" t="s">
        <v>388</v>
      </c>
      <c r="C365" s="241"/>
    </row>
    <row r="366" spans="1:3" ht="18.75" x14ac:dyDescent="0.25">
      <c r="A366" s="133" t="s">
        <v>387</v>
      </c>
      <c r="B366" s="311" t="s">
        <v>389</v>
      </c>
      <c r="C366" s="241"/>
    </row>
    <row r="367" spans="1:3" ht="18.75" x14ac:dyDescent="0.25">
      <c r="A367" s="133" t="s">
        <v>387</v>
      </c>
      <c r="B367" s="311" t="s">
        <v>390</v>
      </c>
      <c r="C367" s="241"/>
    </row>
    <row r="368" spans="1:3" ht="18.75" x14ac:dyDescent="0.25">
      <c r="A368" s="133" t="s">
        <v>387</v>
      </c>
      <c r="B368" s="311" t="s">
        <v>201</v>
      </c>
      <c r="C368" s="241"/>
    </row>
    <row r="369" spans="1:3" ht="18.75" x14ac:dyDescent="0.25">
      <c r="A369" s="133" t="s">
        <v>387</v>
      </c>
      <c r="B369" s="311" t="s">
        <v>391</v>
      </c>
      <c r="C369" s="241"/>
    </row>
    <row r="370" spans="1:3" ht="18.75" x14ac:dyDescent="0.25">
      <c r="A370" s="133" t="s">
        <v>387</v>
      </c>
      <c r="B370" s="311" t="s">
        <v>392</v>
      </c>
      <c r="C370" s="241"/>
    </row>
    <row r="371" spans="1:3" ht="18.75" x14ac:dyDescent="0.25">
      <c r="A371" s="133" t="s">
        <v>387</v>
      </c>
      <c r="B371" s="311" t="s">
        <v>393</v>
      </c>
      <c r="C371" s="241"/>
    </row>
    <row r="372" spans="1:3" ht="18.75" x14ac:dyDescent="0.25">
      <c r="A372" s="133" t="s">
        <v>387</v>
      </c>
      <c r="B372" s="311" t="s">
        <v>394</v>
      </c>
      <c r="C372" s="241"/>
    </row>
    <row r="373" spans="1:3" ht="18.75" x14ac:dyDescent="0.25">
      <c r="A373" s="133" t="s">
        <v>387</v>
      </c>
      <c r="B373" s="311" t="s">
        <v>395</v>
      </c>
      <c r="C373" s="241" t="s">
        <v>219</v>
      </c>
    </row>
    <row r="374" spans="1:3" ht="18.75" x14ac:dyDescent="0.25">
      <c r="A374" s="133" t="s">
        <v>387</v>
      </c>
      <c r="B374" s="311" t="s">
        <v>395</v>
      </c>
      <c r="C374" s="241" t="s">
        <v>396</v>
      </c>
    </row>
    <row r="375" spans="1:3" ht="18.75" x14ac:dyDescent="0.25">
      <c r="A375" s="133" t="s">
        <v>387</v>
      </c>
      <c r="B375" s="311" t="s">
        <v>397</v>
      </c>
      <c r="C375" s="241"/>
    </row>
    <row r="376" spans="1:3" ht="18.75" x14ac:dyDescent="0.25">
      <c r="A376" s="133" t="s">
        <v>387</v>
      </c>
      <c r="B376" s="311" t="s">
        <v>398</v>
      </c>
      <c r="C376" s="241"/>
    </row>
    <row r="377" spans="1:3" ht="18.75" x14ac:dyDescent="0.25">
      <c r="A377" s="133" t="s">
        <v>387</v>
      </c>
      <c r="B377" s="311" t="s">
        <v>118</v>
      </c>
      <c r="C377" s="241"/>
    </row>
    <row r="378" spans="1:3" ht="18.75" x14ac:dyDescent="0.25">
      <c r="A378" s="133" t="s">
        <v>387</v>
      </c>
      <c r="B378" s="311" t="s">
        <v>277</v>
      </c>
      <c r="C378" s="241"/>
    </row>
    <row r="379" spans="1:3" ht="18.75" x14ac:dyDescent="0.25">
      <c r="A379" s="133" t="s">
        <v>387</v>
      </c>
      <c r="B379" s="311" t="s">
        <v>125</v>
      </c>
      <c r="C379" s="241" t="s">
        <v>194</v>
      </c>
    </row>
    <row r="380" spans="1:3" ht="18.75" x14ac:dyDescent="0.25">
      <c r="A380" s="133" t="s">
        <v>387</v>
      </c>
      <c r="B380" s="311" t="s">
        <v>125</v>
      </c>
      <c r="C380" s="241" t="s">
        <v>197</v>
      </c>
    </row>
    <row r="381" spans="1:3" ht="18.75" x14ac:dyDescent="0.25">
      <c r="A381" s="133" t="s">
        <v>387</v>
      </c>
      <c r="B381" s="311" t="s">
        <v>125</v>
      </c>
      <c r="C381" s="241" t="s">
        <v>399</v>
      </c>
    </row>
    <row r="382" spans="1:3" ht="18.75" x14ac:dyDescent="0.25">
      <c r="A382" s="133" t="s">
        <v>387</v>
      </c>
      <c r="B382" s="311" t="s">
        <v>400</v>
      </c>
      <c r="C382" s="241" t="s">
        <v>401</v>
      </c>
    </row>
    <row r="383" spans="1:3" ht="18.75" x14ac:dyDescent="0.25">
      <c r="A383" s="133" t="s">
        <v>387</v>
      </c>
      <c r="B383" s="311" t="s">
        <v>400</v>
      </c>
      <c r="C383" s="241" t="s">
        <v>402</v>
      </c>
    </row>
    <row r="384" spans="1:3" ht="18.75" x14ac:dyDescent="0.25">
      <c r="A384" s="133" t="s">
        <v>387</v>
      </c>
      <c r="B384" s="311" t="s">
        <v>400</v>
      </c>
      <c r="C384" s="241" t="s">
        <v>403</v>
      </c>
    </row>
    <row r="385" spans="1:3" ht="18.75" x14ac:dyDescent="0.25">
      <c r="A385" s="133" t="s">
        <v>387</v>
      </c>
      <c r="B385" s="311" t="s">
        <v>400</v>
      </c>
      <c r="C385" s="241" t="s">
        <v>404</v>
      </c>
    </row>
    <row r="386" spans="1:3" ht="18.75" x14ac:dyDescent="0.25">
      <c r="A386" s="133" t="s">
        <v>387</v>
      </c>
      <c r="B386" s="311" t="s">
        <v>400</v>
      </c>
      <c r="C386" s="241" t="s">
        <v>148</v>
      </c>
    </row>
    <row r="387" spans="1:3" ht="18.75" x14ac:dyDescent="0.25">
      <c r="A387" s="133" t="s">
        <v>387</v>
      </c>
      <c r="B387" s="311" t="s">
        <v>400</v>
      </c>
      <c r="C387" s="241" t="s">
        <v>214</v>
      </c>
    </row>
    <row r="388" spans="1:3" ht="18.75" x14ac:dyDescent="0.25">
      <c r="A388" s="133" t="s">
        <v>387</v>
      </c>
      <c r="B388" s="311" t="s">
        <v>400</v>
      </c>
      <c r="C388" s="241" t="s">
        <v>124</v>
      </c>
    </row>
    <row r="389" spans="1:3" ht="18.75" x14ac:dyDescent="0.25">
      <c r="A389" s="133" t="s">
        <v>387</v>
      </c>
      <c r="B389" s="311" t="s">
        <v>400</v>
      </c>
      <c r="C389" s="241" t="s">
        <v>357</v>
      </c>
    </row>
    <row r="390" spans="1:3" ht="18.75" x14ac:dyDescent="0.25">
      <c r="A390" s="133" t="s">
        <v>387</v>
      </c>
      <c r="B390" s="311" t="s">
        <v>400</v>
      </c>
      <c r="C390" s="241" t="s">
        <v>171</v>
      </c>
    </row>
    <row r="391" spans="1:3" ht="18.75" x14ac:dyDescent="0.25">
      <c r="A391" s="133" t="s">
        <v>387</v>
      </c>
      <c r="B391" s="311" t="s">
        <v>400</v>
      </c>
      <c r="C391" s="241" t="s">
        <v>170</v>
      </c>
    </row>
    <row r="392" spans="1:3" ht="18.75" x14ac:dyDescent="0.25">
      <c r="A392" s="133" t="s">
        <v>387</v>
      </c>
      <c r="B392" s="311" t="s">
        <v>400</v>
      </c>
      <c r="C392" s="241" t="s">
        <v>405</v>
      </c>
    </row>
    <row r="393" spans="1:3" ht="18.75" x14ac:dyDescent="0.25">
      <c r="A393" s="133" t="s">
        <v>387</v>
      </c>
      <c r="B393" s="311" t="s">
        <v>406</v>
      </c>
      <c r="C393" s="241" t="s">
        <v>407</v>
      </c>
    </row>
    <row r="394" spans="1:3" ht="18.75" x14ac:dyDescent="0.25">
      <c r="A394" s="133" t="s">
        <v>387</v>
      </c>
      <c r="B394" s="311" t="s">
        <v>406</v>
      </c>
      <c r="C394" s="241" t="s">
        <v>408</v>
      </c>
    </row>
    <row r="395" spans="1:3" ht="18.75" x14ac:dyDescent="0.25">
      <c r="A395" s="133" t="s">
        <v>387</v>
      </c>
      <c r="B395" s="311" t="s">
        <v>406</v>
      </c>
      <c r="C395" s="241" t="s">
        <v>409</v>
      </c>
    </row>
    <row r="396" spans="1:3" ht="18.75" x14ac:dyDescent="0.25">
      <c r="A396" s="133" t="s">
        <v>387</v>
      </c>
      <c r="B396" s="311" t="s">
        <v>343</v>
      </c>
      <c r="C396" s="241"/>
    </row>
    <row r="397" spans="1:3" ht="18.75" x14ac:dyDescent="0.25">
      <c r="A397" s="133" t="s">
        <v>387</v>
      </c>
      <c r="B397" s="311" t="s">
        <v>410</v>
      </c>
      <c r="C397" s="241"/>
    </row>
    <row r="398" spans="1:3" ht="18.75" x14ac:dyDescent="0.25">
      <c r="A398" s="133" t="s">
        <v>387</v>
      </c>
      <c r="B398" s="311" t="s">
        <v>411</v>
      </c>
      <c r="C398" s="241" t="s">
        <v>412</v>
      </c>
    </row>
    <row r="399" spans="1:3" ht="18.75" x14ac:dyDescent="0.25">
      <c r="A399" s="133" t="s">
        <v>387</v>
      </c>
      <c r="B399" s="311" t="s">
        <v>411</v>
      </c>
      <c r="C399" s="241" t="s">
        <v>413</v>
      </c>
    </row>
    <row r="400" spans="1:3" ht="18.75" x14ac:dyDescent="0.25">
      <c r="A400" s="133" t="s">
        <v>387</v>
      </c>
      <c r="B400" s="311" t="s">
        <v>411</v>
      </c>
      <c r="C400" s="241" t="s">
        <v>414</v>
      </c>
    </row>
    <row r="401" spans="1:3" ht="18.75" x14ac:dyDescent="0.25">
      <c r="A401" s="133" t="s">
        <v>387</v>
      </c>
      <c r="B401" s="311" t="s">
        <v>411</v>
      </c>
      <c r="C401" s="241" t="s">
        <v>415</v>
      </c>
    </row>
    <row r="402" spans="1:3" ht="18.75" x14ac:dyDescent="0.25">
      <c r="A402" s="133" t="s">
        <v>387</v>
      </c>
      <c r="B402" s="311" t="s">
        <v>416</v>
      </c>
      <c r="C402" s="241"/>
    </row>
    <row r="403" spans="1:3" ht="18.75" x14ac:dyDescent="0.25">
      <c r="A403" s="133" t="s">
        <v>387</v>
      </c>
      <c r="B403" s="311" t="s">
        <v>417</v>
      </c>
      <c r="C403" s="241"/>
    </row>
    <row r="404" spans="1:3" ht="18.75" x14ac:dyDescent="0.25">
      <c r="A404" s="133" t="s">
        <v>387</v>
      </c>
      <c r="B404" s="311" t="s">
        <v>329</v>
      </c>
      <c r="C404" s="241"/>
    </row>
    <row r="405" spans="1:3" ht="18.75" x14ac:dyDescent="0.25">
      <c r="A405" s="133" t="s">
        <v>387</v>
      </c>
      <c r="B405" s="311" t="s">
        <v>418</v>
      </c>
      <c r="C405" s="241" t="s">
        <v>419</v>
      </c>
    </row>
    <row r="406" spans="1:3" ht="18.75" x14ac:dyDescent="0.25">
      <c r="A406" s="133" t="s">
        <v>387</v>
      </c>
      <c r="B406" s="311" t="s">
        <v>418</v>
      </c>
      <c r="C406" s="241" t="s">
        <v>148</v>
      </c>
    </row>
    <row r="407" spans="1:3" ht="18.75" x14ac:dyDescent="0.25">
      <c r="A407" s="133" t="s">
        <v>387</v>
      </c>
      <c r="B407" s="311" t="s">
        <v>420</v>
      </c>
      <c r="C407" s="241"/>
    </row>
    <row r="408" spans="1:3" ht="18.75" x14ac:dyDescent="0.25">
      <c r="A408" s="133" t="s">
        <v>387</v>
      </c>
      <c r="B408" s="311" t="s">
        <v>421</v>
      </c>
      <c r="C408" s="241" t="s">
        <v>334</v>
      </c>
    </row>
    <row r="409" spans="1:3" ht="18.75" x14ac:dyDescent="0.25">
      <c r="A409" s="133" t="s">
        <v>387</v>
      </c>
      <c r="B409" s="311" t="s">
        <v>421</v>
      </c>
      <c r="C409" s="241" t="s">
        <v>422</v>
      </c>
    </row>
    <row r="410" spans="1:3" ht="18.75" x14ac:dyDescent="0.25">
      <c r="A410" s="133" t="s">
        <v>387</v>
      </c>
      <c r="B410" s="311" t="s">
        <v>421</v>
      </c>
      <c r="C410" s="241" t="s">
        <v>220</v>
      </c>
    </row>
    <row r="411" spans="1:3" ht="18.75" x14ac:dyDescent="0.25">
      <c r="A411" s="133" t="s">
        <v>387</v>
      </c>
      <c r="B411" s="311" t="s">
        <v>421</v>
      </c>
      <c r="C411" s="241" t="s">
        <v>171</v>
      </c>
    </row>
    <row r="412" spans="1:3" ht="18.75" x14ac:dyDescent="0.25">
      <c r="A412" s="133" t="s">
        <v>387</v>
      </c>
      <c r="B412" s="311" t="s">
        <v>421</v>
      </c>
      <c r="C412" s="241" t="s">
        <v>124</v>
      </c>
    </row>
    <row r="413" spans="1:3" ht="18.75" x14ac:dyDescent="0.25">
      <c r="A413" s="133" t="s">
        <v>387</v>
      </c>
      <c r="B413" s="311" t="s">
        <v>421</v>
      </c>
      <c r="C413" s="241" t="s">
        <v>357</v>
      </c>
    </row>
    <row r="414" spans="1:3" ht="18.75" x14ac:dyDescent="0.25">
      <c r="A414" s="133" t="s">
        <v>387</v>
      </c>
      <c r="B414" s="311" t="s">
        <v>421</v>
      </c>
      <c r="C414" s="241" t="s">
        <v>194</v>
      </c>
    </row>
    <row r="415" spans="1:3" ht="18.75" x14ac:dyDescent="0.25">
      <c r="A415" s="133" t="s">
        <v>387</v>
      </c>
      <c r="B415" s="311" t="s">
        <v>421</v>
      </c>
      <c r="C415" s="241" t="s">
        <v>423</v>
      </c>
    </row>
    <row r="416" spans="1:3" ht="18.75" x14ac:dyDescent="0.25">
      <c r="A416" s="133" t="s">
        <v>387</v>
      </c>
      <c r="B416" s="311" t="s">
        <v>421</v>
      </c>
      <c r="C416" s="241" t="s">
        <v>424</v>
      </c>
    </row>
    <row r="417" spans="1:3" ht="18.75" x14ac:dyDescent="0.25">
      <c r="A417" s="133" t="s">
        <v>387</v>
      </c>
      <c r="B417" s="311" t="s">
        <v>421</v>
      </c>
      <c r="C417" s="241" t="s">
        <v>148</v>
      </c>
    </row>
    <row r="418" spans="1:3" ht="18.75" x14ac:dyDescent="0.25">
      <c r="A418" s="133" t="s">
        <v>387</v>
      </c>
      <c r="B418" s="311" t="s">
        <v>421</v>
      </c>
      <c r="C418" s="241" t="s">
        <v>355</v>
      </c>
    </row>
    <row r="419" spans="1:3" ht="18.75" x14ac:dyDescent="0.25">
      <c r="A419" s="133" t="s">
        <v>387</v>
      </c>
      <c r="B419" s="311" t="s">
        <v>421</v>
      </c>
      <c r="C419" s="241" t="s">
        <v>170</v>
      </c>
    </row>
    <row r="420" spans="1:3" ht="18.75" x14ac:dyDescent="0.25">
      <c r="A420" s="133" t="s">
        <v>387</v>
      </c>
      <c r="B420" s="311" t="s">
        <v>421</v>
      </c>
      <c r="C420" s="241" t="s">
        <v>214</v>
      </c>
    </row>
    <row r="421" spans="1:3" ht="18.75" x14ac:dyDescent="0.25">
      <c r="A421" s="133" t="s">
        <v>387</v>
      </c>
      <c r="B421" s="311" t="s">
        <v>421</v>
      </c>
      <c r="C421" s="241" t="s">
        <v>123</v>
      </c>
    </row>
    <row r="422" spans="1:3" ht="18.75" x14ac:dyDescent="0.25">
      <c r="A422" s="133" t="s">
        <v>387</v>
      </c>
      <c r="B422" s="311" t="s">
        <v>421</v>
      </c>
      <c r="C422" s="241" t="s">
        <v>425</v>
      </c>
    </row>
    <row r="423" spans="1:3" ht="18.75" x14ac:dyDescent="0.25">
      <c r="A423" s="133" t="s">
        <v>387</v>
      </c>
      <c r="B423" s="311" t="s">
        <v>421</v>
      </c>
      <c r="C423" s="241" t="s">
        <v>426</v>
      </c>
    </row>
    <row r="424" spans="1:3" ht="18.75" x14ac:dyDescent="0.25">
      <c r="A424" s="133" t="s">
        <v>387</v>
      </c>
      <c r="B424" s="311" t="s">
        <v>427</v>
      </c>
      <c r="C424" s="241"/>
    </row>
    <row r="425" spans="1:3" ht="18.75" x14ac:dyDescent="0.25">
      <c r="A425" s="133" t="s">
        <v>387</v>
      </c>
      <c r="B425" s="311" t="s">
        <v>428</v>
      </c>
      <c r="C425" s="241"/>
    </row>
    <row r="426" spans="1:3" ht="18.75" x14ac:dyDescent="0.25">
      <c r="A426" s="133" t="s">
        <v>387</v>
      </c>
      <c r="B426" s="311" t="s">
        <v>429</v>
      </c>
      <c r="C426" s="241"/>
    </row>
    <row r="427" spans="1:3" ht="18.75" x14ac:dyDescent="0.25">
      <c r="A427" s="133" t="s">
        <v>387</v>
      </c>
      <c r="B427" s="311" t="s">
        <v>430</v>
      </c>
      <c r="C427" s="241"/>
    </row>
    <row r="428" spans="1:3" ht="18.75" x14ac:dyDescent="0.25">
      <c r="A428" s="133" t="s">
        <v>387</v>
      </c>
      <c r="B428" s="311" t="s">
        <v>431</v>
      </c>
      <c r="C428" s="241" t="s">
        <v>197</v>
      </c>
    </row>
    <row r="429" spans="1:3" ht="18.75" x14ac:dyDescent="0.25">
      <c r="A429" s="133" t="s">
        <v>387</v>
      </c>
      <c r="B429" s="311" t="s">
        <v>431</v>
      </c>
      <c r="C429" s="241" t="s">
        <v>148</v>
      </c>
    </row>
    <row r="430" spans="1:3" ht="18.75" x14ac:dyDescent="0.25">
      <c r="A430" s="133" t="s">
        <v>387</v>
      </c>
      <c r="B430" s="311" t="s">
        <v>431</v>
      </c>
      <c r="C430" s="241" t="s">
        <v>178</v>
      </c>
    </row>
    <row r="431" spans="1:3" ht="18.75" x14ac:dyDescent="0.25">
      <c r="A431" s="133" t="s">
        <v>387</v>
      </c>
      <c r="B431" s="311" t="s">
        <v>285</v>
      </c>
      <c r="C431" s="241"/>
    </row>
    <row r="432" spans="1:3" ht="18.75" x14ac:dyDescent="0.25">
      <c r="A432" s="133" t="s">
        <v>387</v>
      </c>
      <c r="B432" s="311" t="s">
        <v>286</v>
      </c>
      <c r="C432" s="241"/>
    </row>
    <row r="433" spans="1:3" ht="18.75" x14ac:dyDescent="0.25">
      <c r="A433" s="133" t="s">
        <v>387</v>
      </c>
      <c r="B433" s="311" t="s">
        <v>130</v>
      </c>
      <c r="C433" s="241"/>
    </row>
    <row r="434" spans="1:3" ht="18.75" x14ac:dyDescent="0.25">
      <c r="A434" s="133" t="s">
        <v>387</v>
      </c>
      <c r="B434" s="311" t="s">
        <v>432</v>
      </c>
      <c r="C434" s="241"/>
    </row>
    <row r="435" spans="1:3" ht="18.75" x14ac:dyDescent="0.25">
      <c r="A435" s="133" t="s">
        <v>387</v>
      </c>
      <c r="B435" s="311" t="s">
        <v>433</v>
      </c>
      <c r="C435" s="241"/>
    </row>
    <row r="436" spans="1:3" ht="18.75" x14ac:dyDescent="0.25">
      <c r="A436" s="133" t="s">
        <v>387</v>
      </c>
      <c r="B436" s="311" t="s">
        <v>434</v>
      </c>
      <c r="C436" s="241"/>
    </row>
    <row r="437" spans="1:3" ht="18.75" x14ac:dyDescent="0.25">
      <c r="A437" s="133" t="s">
        <v>387</v>
      </c>
      <c r="B437" s="311" t="s">
        <v>291</v>
      </c>
      <c r="C437" s="241"/>
    </row>
    <row r="438" spans="1:3" ht="18.75" x14ac:dyDescent="0.25">
      <c r="A438" s="133" t="s">
        <v>387</v>
      </c>
      <c r="B438" s="311" t="s">
        <v>335</v>
      </c>
      <c r="C438" s="241"/>
    </row>
    <row r="439" spans="1:3" ht="18.75" x14ac:dyDescent="0.25">
      <c r="A439" s="133" t="s">
        <v>387</v>
      </c>
      <c r="B439" s="311" t="s">
        <v>336</v>
      </c>
      <c r="C439" s="241"/>
    </row>
    <row r="440" spans="1:3" ht="18.75" x14ac:dyDescent="0.25">
      <c r="A440" s="133" t="s">
        <v>387</v>
      </c>
      <c r="B440" s="311" t="s">
        <v>435</v>
      </c>
      <c r="C440" s="241" t="s">
        <v>358</v>
      </c>
    </row>
    <row r="441" spans="1:3" ht="18.75" x14ac:dyDescent="0.25">
      <c r="A441" s="133" t="s">
        <v>387</v>
      </c>
      <c r="B441" s="311" t="s">
        <v>435</v>
      </c>
      <c r="C441" s="241" t="s">
        <v>169</v>
      </c>
    </row>
    <row r="442" spans="1:3" ht="18.75" x14ac:dyDescent="0.25">
      <c r="A442" s="133" t="s">
        <v>387</v>
      </c>
      <c r="B442" s="311" t="s">
        <v>435</v>
      </c>
      <c r="C442" s="241" t="s">
        <v>197</v>
      </c>
    </row>
    <row r="443" spans="1:3" ht="18.75" x14ac:dyDescent="0.25">
      <c r="A443" s="133" t="s">
        <v>387</v>
      </c>
      <c r="B443" s="311" t="s">
        <v>435</v>
      </c>
      <c r="C443" s="241" t="s">
        <v>148</v>
      </c>
    </row>
    <row r="444" spans="1:3" ht="18.75" x14ac:dyDescent="0.25">
      <c r="A444" s="133" t="s">
        <v>387</v>
      </c>
      <c r="B444" s="311" t="s">
        <v>436</v>
      </c>
      <c r="C444" s="241" t="s">
        <v>437</v>
      </c>
    </row>
    <row r="445" spans="1:3" ht="18.75" x14ac:dyDescent="0.25">
      <c r="A445" s="133" t="s">
        <v>387</v>
      </c>
      <c r="B445" s="311" t="s">
        <v>436</v>
      </c>
      <c r="C445" s="241" t="s">
        <v>438</v>
      </c>
    </row>
    <row r="446" spans="1:3" ht="18.75" x14ac:dyDescent="0.25">
      <c r="A446" s="133" t="s">
        <v>387</v>
      </c>
      <c r="B446" s="311" t="s">
        <v>436</v>
      </c>
      <c r="C446" s="241" t="s">
        <v>439</v>
      </c>
    </row>
    <row r="447" spans="1:3" ht="18.75" x14ac:dyDescent="0.25">
      <c r="A447" s="133" t="s">
        <v>387</v>
      </c>
      <c r="B447" s="311" t="s">
        <v>436</v>
      </c>
      <c r="C447" s="241" t="s">
        <v>440</v>
      </c>
    </row>
    <row r="448" spans="1:3" ht="18.75" x14ac:dyDescent="0.25">
      <c r="A448" s="2" t="s">
        <v>387</v>
      </c>
      <c r="B448" s="282" t="s">
        <v>441</v>
      </c>
      <c r="C448" s="241"/>
    </row>
    <row r="449" spans="1:3" ht="18.75" x14ac:dyDescent="0.25">
      <c r="A449" s="2" t="s">
        <v>387</v>
      </c>
      <c r="B449" s="282" t="s">
        <v>442</v>
      </c>
      <c r="C449" s="241"/>
    </row>
    <row r="450" spans="1:3" ht="18.75" x14ac:dyDescent="0.25">
      <c r="A450" s="2" t="s">
        <v>387</v>
      </c>
      <c r="B450" s="282" t="s">
        <v>350</v>
      </c>
      <c r="C450" s="241"/>
    </row>
    <row r="451" spans="1:3" ht="18.75" x14ac:dyDescent="0.25">
      <c r="A451" s="2" t="s">
        <v>387</v>
      </c>
      <c r="B451" s="282" t="s">
        <v>222</v>
      </c>
      <c r="C451" s="241"/>
    </row>
    <row r="452" spans="1:3" ht="18.75" x14ac:dyDescent="0.25">
      <c r="A452" s="2" t="s">
        <v>387</v>
      </c>
      <c r="B452" s="282" t="s">
        <v>349</v>
      </c>
      <c r="C452" s="241"/>
    </row>
    <row r="453" spans="1:3" ht="18.75" x14ac:dyDescent="0.25">
      <c r="A453" s="2" t="s">
        <v>387</v>
      </c>
      <c r="B453" s="282" t="s">
        <v>353</v>
      </c>
      <c r="C453" s="241"/>
    </row>
    <row r="454" spans="1:3" ht="18.75" x14ac:dyDescent="0.25">
      <c r="A454" s="2" t="s">
        <v>387</v>
      </c>
      <c r="B454" s="282" t="s">
        <v>346</v>
      </c>
      <c r="C454" s="241"/>
    </row>
    <row r="455" spans="1:3" ht="18.75" x14ac:dyDescent="0.25">
      <c r="A455" s="2" t="s">
        <v>387</v>
      </c>
      <c r="B455" s="282" t="s">
        <v>345</v>
      </c>
      <c r="C455" s="241"/>
    </row>
    <row r="456" spans="1:3" ht="18.75" x14ac:dyDescent="0.25">
      <c r="A456" s="2" t="s">
        <v>387</v>
      </c>
      <c r="B456" s="282" t="s">
        <v>339</v>
      </c>
      <c r="C456" s="241" t="s">
        <v>341</v>
      </c>
    </row>
    <row r="457" spans="1:3" ht="18.75" x14ac:dyDescent="0.25">
      <c r="A457" s="2" t="s">
        <v>387</v>
      </c>
      <c r="B457" s="282" t="s">
        <v>339</v>
      </c>
      <c r="C457" s="241" t="s">
        <v>342</v>
      </c>
    </row>
    <row r="458" spans="1:3" ht="18.75" x14ac:dyDescent="0.25">
      <c r="A458" s="2" t="s">
        <v>387</v>
      </c>
      <c r="B458" s="282" t="s">
        <v>339</v>
      </c>
      <c r="C458" s="241" t="s">
        <v>340</v>
      </c>
    </row>
    <row r="459" spans="1:3" ht="18.75" x14ac:dyDescent="0.25">
      <c r="A459" s="2" t="s">
        <v>387</v>
      </c>
      <c r="B459" s="282" t="s">
        <v>339</v>
      </c>
      <c r="C459" s="241" t="s">
        <v>195</v>
      </c>
    </row>
    <row r="460" spans="1:3" ht="18.75" x14ac:dyDescent="0.25">
      <c r="A460" s="2" t="s">
        <v>387</v>
      </c>
      <c r="B460" s="282" t="s">
        <v>443</v>
      </c>
      <c r="C460" s="241" t="s">
        <v>195</v>
      </c>
    </row>
    <row r="461" spans="1:3" ht="18.75" x14ac:dyDescent="0.25">
      <c r="A461" s="2" t="s">
        <v>387</v>
      </c>
      <c r="B461" s="282" t="s">
        <v>443</v>
      </c>
      <c r="C461" s="241" t="s">
        <v>124</v>
      </c>
    </row>
    <row r="462" spans="1:3" ht="18.75" x14ac:dyDescent="0.25">
      <c r="A462" s="2" t="s">
        <v>387</v>
      </c>
      <c r="B462" s="282" t="s">
        <v>443</v>
      </c>
      <c r="C462" s="241" t="s">
        <v>444</v>
      </c>
    </row>
    <row r="463" spans="1:3" ht="18.75" x14ac:dyDescent="0.25">
      <c r="A463" s="2" t="s">
        <v>387</v>
      </c>
      <c r="B463" s="282" t="s">
        <v>443</v>
      </c>
      <c r="C463" s="241" t="s">
        <v>445</v>
      </c>
    </row>
    <row r="464" spans="1:3" ht="18.75" x14ac:dyDescent="0.25">
      <c r="A464" s="2" t="s">
        <v>387</v>
      </c>
      <c r="B464" s="282" t="s">
        <v>443</v>
      </c>
      <c r="C464" s="241" t="s">
        <v>446</v>
      </c>
    </row>
    <row r="465" spans="1:3" ht="18.75" x14ac:dyDescent="0.25">
      <c r="A465" s="2" t="s">
        <v>387</v>
      </c>
      <c r="B465" s="282" t="s">
        <v>443</v>
      </c>
      <c r="C465" s="241" t="s">
        <v>447</v>
      </c>
    </row>
    <row r="466" spans="1:3" ht="18.75" x14ac:dyDescent="0.25">
      <c r="A466" s="2" t="s">
        <v>387</v>
      </c>
      <c r="B466" s="282" t="s">
        <v>448</v>
      </c>
      <c r="C466" s="241"/>
    </row>
    <row r="467" spans="1:3" ht="18.75" x14ac:dyDescent="0.25">
      <c r="A467" s="2" t="s">
        <v>387</v>
      </c>
      <c r="B467" s="282" t="s">
        <v>449</v>
      </c>
      <c r="C467" s="241"/>
    </row>
    <row r="468" spans="1:3" ht="18.75" x14ac:dyDescent="0.25">
      <c r="A468" s="2" t="s">
        <v>387</v>
      </c>
      <c r="B468" s="282" t="s">
        <v>155</v>
      </c>
      <c r="C468" s="241" t="s">
        <v>169</v>
      </c>
    </row>
    <row r="469" spans="1:3" ht="18.75" x14ac:dyDescent="0.25">
      <c r="A469" s="2" t="s">
        <v>387</v>
      </c>
      <c r="B469" s="282" t="s">
        <v>155</v>
      </c>
      <c r="C469" s="241" t="s">
        <v>178</v>
      </c>
    </row>
    <row r="470" spans="1:3" ht="18.75" x14ac:dyDescent="0.25">
      <c r="A470" s="2" t="s">
        <v>387</v>
      </c>
      <c r="B470" s="282" t="s">
        <v>450</v>
      </c>
      <c r="C470" s="241"/>
    </row>
    <row r="471" spans="1:3" ht="18.75" x14ac:dyDescent="0.25">
      <c r="A471" s="2" t="s">
        <v>387</v>
      </c>
      <c r="B471" s="282" t="s">
        <v>451</v>
      </c>
      <c r="C471" s="241" t="s">
        <v>124</v>
      </c>
    </row>
    <row r="472" spans="1:3" ht="18.75" x14ac:dyDescent="0.25">
      <c r="A472" s="2" t="s">
        <v>387</v>
      </c>
      <c r="B472" s="282" t="s">
        <v>451</v>
      </c>
      <c r="C472" s="241" t="s">
        <v>214</v>
      </c>
    </row>
    <row r="473" spans="1:3" ht="18.75" x14ac:dyDescent="0.25">
      <c r="A473" s="2" t="s">
        <v>387</v>
      </c>
      <c r="B473" s="282" t="s">
        <v>451</v>
      </c>
      <c r="C473" s="241" t="s">
        <v>220</v>
      </c>
    </row>
    <row r="474" spans="1:3" ht="18.75" x14ac:dyDescent="0.25">
      <c r="A474" s="2" t="s">
        <v>387</v>
      </c>
      <c r="B474" s="282" t="s">
        <v>452</v>
      </c>
      <c r="C474" s="241" t="s">
        <v>171</v>
      </c>
    </row>
    <row r="475" spans="1:3" ht="18.75" x14ac:dyDescent="0.25">
      <c r="A475" s="2" t="s">
        <v>387</v>
      </c>
      <c r="B475" s="282" t="s">
        <v>452</v>
      </c>
      <c r="C475" s="241" t="s">
        <v>355</v>
      </c>
    </row>
    <row r="476" spans="1:3" ht="18.75" x14ac:dyDescent="0.25">
      <c r="A476" s="2" t="s">
        <v>387</v>
      </c>
      <c r="B476" s="282" t="s">
        <v>452</v>
      </c>
      <c r="C476" s="241" t="s">
        <v>148</v>
      </c>
    </row>
    <row r="477" spans="1:3" ht="18.75" x14ac:dyDescent="0.25">
      <c r="A477" s="2" t="s">
        <v>387</v>
      </c>
      <c r="B477" s="282" t="s">
        <v>453</v>
      </c>
      <c r="C477" s="241" t="s">
        <v>171</v>
      </c>
    </row>
    <row r="478" spans="1:3" ht="18.75" x14ac:dyDescent="0.25">
      <c r="A478" s="2" t="s">
        <v>387</v>
      </c>
      <c r="B478" s="282" t="s">
        <v>453</v>
      </c>
      <c r="C478" s="241" t="s">
        <v>170</v>
      </c>
    </row>
    <row r="479" spans="1:3" ht="18.75" x14ac:dyDescent="0.25">
      <c r="A479" s="2" t="s">
        <v>387</v>
      </c>
      <c r="B479" s="282" t="s">
        <v>453</v>
      </c>
      <c r="C479" s="241" t="s">
        <v>220</v>
      </c>
    </row>
    <row r="480" spans="1:3" ht="18.75" x14ac:dyDescent="0.25">
      <c r="A480" s="2" t="s">
        <v>387</v>
      </c>
      <c r="B480" s="282" t="s">
        <v>454</v>
      </c>
      <c r="C480" s="241"/>
    </row>
    <row r="481" spans="1:3" ht="18.75" x14ac:dyDescent="0.25">
      <c r="A481" s="2" t="s">
        <v>387</v>
      </c>
      <c r="B481" s="282" t="s">
        <v>455</v>
      </c>
      <c r="C481" s="241"/>
    </row>
    <row r="482" spans="1:3" ht="18.75" x14ac:dyDescent="0.25">
      <c r="A482" s="2" t="s">
        <v>387</v>
      </c>
      <c r="B482" s="282" t="s">
        <v>456</v>
      </c>
      <c r="C482" s="241" t="s">
        <v>171</v>
      </c>
    </row>
    <row r="483" spans="1:3" ht="18.75" x14ac:dyDescent="0.25">
      <c r="A483" s="2" t="s">
        <v>387</v>
      </c>
      <c r="B483" s="282" t="s">
        <v>457</v>
      </c>
      <c r="C483" s="305"/>
    </row>
    <row r="484" spans="1:3" ht="18.75" x14ac:dyDescent="0.25">
      <c r="A484" s="2" t="s">
        <v>387</v>
      </c>
      <c r="B484" s="282" t="s">
        <v>458</v>
      </c>
      <c r="C484" s="305"/>
    </row>
    <row r="485" spans="1:3" ht="18.75" x14ac:dyDescent="0.25">
      <c r="A485" s="2" t="s">
        <v>387</v>
      </c>
      <c r="B485" s="282" t="s">
        <v>459</v>
      </c>
      <c r="C485" s="305"/>
    </row>
    <row r="486" spans="1:3" ht="18.75" x14ac:dyDescent="0.25">
      <c r="A486" s="2" t="s">
        <v>387</v>
      </c>
      <c r="B486" s="282" t="s">
        <v>162</v>
      </c>
      <c r="C486" s="305"/>
    </row>
    <row r="487" spans="1:3" ht="18.75" x14ac:dyDescent="0.25">
      <c r="A487" s="2" t="s">
        <v>387</v>
      </c>
      <c r="B487" s="282" t="s">
        <v>360</v>
      </c>
      <c r="C487" s="305"/>
    </row>
    <row r="488" spans="1:3" ht="18.75" x14ac:dyDescent="0.25">
      <c r="A488" s="2" t="s">
        <v>387</v>
      </c>
      <c r="B488" s="282" t="s">
        <v>362</v>
      </c>
      <c r="C488" s="305"/>
    </row>
    <row r="489" spans="1:3" ht="18.75" x14ac:dyDescent="0.25">
      <c r="A489" s="2" t="s">
        <v>387</v>
      </c>
      <c r="B489" s="282" t="s">
        <v>167</v>
      </c>
      <c r="C489" s="305"/>
    </row>
    <row r="490" spans="1:3" ht="18.75" x14ac:dyDescent="0.25">
      <c r="A490" s="2" t="s">
        <v>387</v>
      </c>
      <c r="B490" s="282" t="s">
        <v>373</v>
      </c>
      <c r="C490" s="305"/>
    </row>
    <row r="491" spans="1:3" ht="18.75" x14ac:dyDescent="0.25">
      <c r="A491" s="2" t="s">
        <v>387</v>
      </c>
      <c r="B491" s="282" t="s">
        <v>166</v>
      </c>
      <c r="C491" s="305"/>
    </row>
    <row r="492" spans="1:3" ht="18.75" x14ac:dyDescent="0.25">
      <c r="A492" s="2" t="s">
        <v>387</v>
      </c>
      <c r="B492" s="282" t="s">
        <v>160</v>
      </c>
      <c r="C492" s="305" t="s">
        <v>148</v>
      </c>
    </row>
    <row r="493" spans="1:3" ht="18.75" x14ac:dyDescent="0.25">
      <c r="A493" s="2" t="s">
        <v>387</v>
      </c>
      <c r="B493" s="282" t="s">
        <v>160</v>
      </c>
      <c r="C493" s="305" t="s">
        <v>161</v>
      </c>
    </row>
    <row r="494" spans="1:3" ht="18.75" x14ac:dyDescent="0.25">
      <c r="A494" s="2" t="s">
        <v>387</v>
      </c>
      <c r="B494" s="282" t="s">
        <v>160</v>
      </c>
      <c r="C494" s="305" t="s">
        <v>357</v>
      </c>
    </row>
    <row r="495" spans="1:3" ht="18.75" x14ac:dyDescent="0.25">
      <c r="A495" s="2" t="s">
        <v>387</v>
      </c>
      <c r="B495" s="282" t="s">
        <v>283</v>
      </c>
      <c r="C495" s="305"/>
    </row>
    <row r="496" spans="1:3" ht="18.75" x14ac:dyDescent="0.25">
      <c r="A496" s="2" t="s">
        <v>387</v>
      </c>
      <c r="B496" s="282" t="s">
        <v>460</v>
      </c>
      <c r="C496" s="305"/>
    </row>
    <row r="497" spans="1:3" ht="18.75" x14ac:dyDescent="0.25">
      <c r="A497" s="2" t="s">
        <v>387</v>
      </c>
      <c r="B497" s="282" t="s">
        <v>290</v>
      </c>
      <c r="C497" s="305"/>
    </row>
    <row r="498" spans="1:3" ht="18.75" x14ac:dyDescent="0.25">
      <c r="A498" s="2" t="s">
        <v>387</v>
      </c>
      <c r="B498" s="282" t="s">
        <v>461</v>
      </c>
      <c r="C498" s="305"/>
    </row>
    <row r="499" spans="1:3" ht="18.75" x14ac:dyDescent="0.25">
      <c r="A499" s="2" t="s">
        <v>387</v>
      </c>
      <c r="B499" s="282" t="s">
        <v>462</v>
      </c>
      <c r="C499" s="305"/>
    </row>
    <row r="500" spans="1:3" ht="18.75" x14ac:dyDescent="0.25">
      <c r="A500" s="2" t="s">
        <v>387</v>
      </c>
      <c r="B500" s="282" t="s">
        <v>156</v>
      </c>
      <c r="C500" s="305" t="s">
        <v>195</v>
      </c>
    </row>
    <row r="501" spans="1:3" ht="18.75" x14ac:dyDescent="0.25">
      <c r="A501" s="2" t="s">
        <v>387</v>
      </c>
      <c r="B501" s="282" t="s">
        <v>156</v>
      </c>
      <c r="C501" s="305" t="s">
        <v>377</v>
      </c>
    </row>
    <row r="502" spans="1:3" ht="18.75" x14ac:dyDescent="0.25">
      <c r="A502" s="2" t="s">
        <v>387</v>
      </c>
      <c r="B502" s="282" t="s">
        <v>144</v>
      </c>
      <c r="C502" s="305"/>
    </row>
    <row r="503" spans="1:3" ht="18.75" x14ac:dyDescent="0.25">
      <c r="A503" s="2" t="s">
        <v>387</v>
      </c>
      <c r="B503" s="282" t="s">
        <v>384</v>
      </c>
      <c r="C503" s="305"/>
    </row>
    <row r="504" spans="1:3" ht="18.75" x14ac:dyDescent="0.25">
      <c r="A504" s="2" t="s">
        <v>387</v>
      </c>
      <c r="B504" s="282" t="s">
        <v>383</v>
      </c>
      <c r="C504" s="305"/>
    </row>
    <row r="505" spans="1:3" ht="18.75" x14ac:dyDescent="0.25">
      <c r="A505" s="2" t="s">
        <v>387</v>
      </c>
      <c r="B505" s="282" t="s">
        <v>140</v>
      </c>
      <c r="C505" s="305"/>
    </row>
    <row r="506" spans="1:3" ht="18.75" x14ac:dyDescent="0.25">
      <c r="A506" s="6" t="s">
        <v>387</v>
      </c>
      <c r="B506" s="282" t="s">
        <v>370</v>
      </c>
      <c r="C506" s="305"/>
    </row>
    <row r="507" spans="1:3" ht="18.75" x14ac:dyDescent="0.25">
      <c r="A507" s="6" t="s">
        <v>387</v>
      </c>
      <c r="B507" s="282" t="s">
        <v>371</v>
      </c>
      <c r="C507" s="305"/>
    </row>
    <row r="508" spans="1:3" ht="18.75" x14ac:dyDescent="0.25">
      <c r="A508" s="6" t="s">
        <v>387</v>
      </c>
      <c r="B508" s="282" t="s">
        <v>382</v>
      </c>
      <c r="C508" s="305"/>
    </row>
    <row r="509" spans="1:3" ht="19.5" thickBot="1" x14ac:dyDescent="0.3">
      <c r="A509" s="38" t="s">
        <v>463</v>
      </c>
      <c r="B509" s="282" t="s">
        <v>464</v>
      </c>
      <c r="C509" s="241"/>
    </row>
    <row r="510" spans="1:3" ht="18.75" x14ac:dyDescent="0.25">
      <c r="A510" s="339" t="s">
        <v>463</v>
      </c>
      <c r="B510" s="311" t="s">
        <v>457</v>
      </c>
      <c r="C510" s="241"/>
    </row>
    <row r="511" spans="1:3" ht="19.5" thickBot="1" x14ac:dyDescent="0.3">
      <c r="A511" s="154" t="s">
        <v>463</v>
      </c>
      <c r="B511" s="311" t="s">
        <v>448</v>
      </c>
      <c r="C511" s="241"/>
    </row>
    <row r="512" spans="1:3" ht="18.75" x14ac:dyDescent="0.25">
      <c r="A512" s="339" t="s">
        <v>463</v>
      </c>
      <c r="B512" s="311" t="s">
        <v>465</v>
      </c>
      <c r="C512" s="241"/>
    </row>
    <row r="513" spans="1:3" ht="19.5" thickBot="1" x14ac:dyDescent="0.3">
      <c r="A513" s="154" t="s">
        <v>463</v>
      </c>
      <c r="B513" s="311" t="s">
        <v>155</v>
      </c>
      <c r="C513" s="241"/>
    </row>
    <row r="514" spans="1:3" ht="18.75" x14ac:dyDescent="0.25">
      <c r="A514" s="339" t="s">
        <v>463</v>
      </c>
      <c r="B514" s="311" t="s">
        <v>178</v>
      </c>
      <c r="C514" s="241"/>
    </row>
    <row r="515" spans="1:3" ht="19.5" thickBot="1" x14ac:dyDescent="0.3">
      <c r="A515" s="449" t="s">
        <v>463</v>
      </c>
      <c r="B515" s="315" t="s">
        <v>324</v>
      </c>
      <c r="C515" s="241"/>
    </row>
    <row r="516" spans="1:3" ht="18.75" x14ac:dyDescent="0.25">
      <c r="A516" s="18" t="s">
        <v>466</v>
      </c>
      <c r="B516" s="450" t="s">
        <v>467</v>
      </c>
      <c r="C516" s="241"/>
    </row>
    <row r="517" spans="1:3" ht="18.75" x14ac:dyDescent="0.25">
      <c r="A517" s="133" t="s">
        <v>466</v>
      </c>
      <c r="B517" s="451" t="s">
        <v>468</v>
      </c>
      <c r="C517" s="241"/>
    </row>
    <row r="518" spans="1:3" ht="18.75" x14ac:dyDescent="0.25">
      <c r="A518" s="133" t="s">
        <v>466</v>
      </c>
      <c r="B518" s="451" t="s">
        <v>375</v>
      </c>
      <c r="C518" s="241"/>
    </row>
    <row r="519" spans="1:3" ht="18.75" x14ac:dyDescent="0.25">
      <c r="A519" s="133" t="s">
        <v>466</v>
      </c>
      <c r="B519" s="451" t="s">
        <v>265</v>
      </c>
      <c r="C519" s="241"/>
    </row>
    <row r="520" spans="1:3" ht="18.75" x14ac:dyDescent="0.25">
      <c r="A520" s="133" t="s">
        <v>466</v>
      </c>
      <c r="B520" s="451" t="s">
        <v>469</v>
      </c>
      <c r="C520" s="241"/>
    </row>
    <row r="521" spans="1:3" ht="18.75" x14ac:dyDescent="0.25">
      <c r="A521" s="133" t="s">
        <v>466</v>
      </c>
      <c r="B521" s="451" t="s">
        <v>470</v>
      </c>
      <c r="C521" s="241"/>
    </row>
    <row r="522" spans="1:3" ht="18.75" x14ac:dyDescent="0.25">
      <c r="A522" s="133" t="s">
        <v>466</v>
      </c>
      <c r="B522" s="451" t="s">
        <v>283</v>
      </c>
      <c r="C522" s="241"/>
    </row>
    <row r="523" spans="1:3" ht="18.75" x14ac:dyDescent="0.25">
      <c r="A523" s="133" t="s">
        <v>466</v>
      </c>
      <c r="B523" s="451" t="s">
        <v>313</v>
      </c>
      <c r="C523" s="241"/>
    </row>
    <row r="524" spans="1:3" ht="18.75" x14ac:dyDescent="0.25">
      <c r="A524" s="133" t="s">
        <v>466</v>
      </c>
      <c r="B524" s="451" t="s">
        <v>471</v>
      </c>
      <c r="C524" s="241"/>
    </row>
    <row r="525" spans="1:3" ht="18.75" x14ac:dyDescent="0.25">
      <c r="A525" s="133" t="s">
        <v>466</v>
      </c>
      <c r="B525" s="451" t="s">
        <v>472</v>
      </c>
      <c r="C525" s="241"/>
    </row>
    <row r="526" spans="1:3" ht="18.75" x14ac:dyDescent="0.25">
      <c r="A526" s="133" t="s">
        <v>466</v>
      </c>
      <c r="B526" s="451" t="s">
        <v>473</v>
      </c>
      <c r="C526" s="241"/>
    </row>
    <row r="527" spans="1:3" ht="18.75" x14ac:dyDescent="0.25">
      <c r="A527" s="133" t="s">
        <v>466</v>
      </c>
      <c r="B527" s="451" t="s">
        <v>474</v>
      </c>
      <c r="C527" s="241" t="s">
        <v>124</v>
      </c>
    </row>
    <row r="528" spans="1:3" ht="18.75" x14ac:dyDescent="0.25">
      <c r="A528" s="133" t="s">
        <v>466</v>
      </c>
      <c r="B528" s="451" t="s">
        <v>474</v>
      </c>
      <c r="C528" s="241" t="s">
        <v>214</v>
      </c>
    </row>
    <row r="529" spans="1:3" ht="18.75" x14ac:dyDescent="0.25">
      <c r="A529" s="133" t="s">
        <v>466</v>
      </c>
      <c r="B529" s="451" t="s">
        <v>474</v>
      </c>
      <c r="C529" s="241" t="s">
        <v>220</v>
      </c>
    </row>
    <row r="530" spans="1:3" ht="18.75" x14ac:dyDescent="0.25">
      <c r="A530" s="133" t="s">
        <v>466</v>
      </c>
      <c r="B530" s="311" t="s">
        <v>87</v>
      </c>
      <c r="C530" s="241"/>
    </row>
    <row r="531" spans="1:3" ht="18.75" x14ac:dyDescent="0.25">
      <c r="A531" s="2" t="s">
        <v>466</v>
      </c>
      <c r="B531" s="282" t="s">
        <v>475</v>
      </c>
      <c r="C531" s="241"/>
    </row>
    <row r="532" spans="1:3" ht="18.75" x14ac:dyDescent="0.25">
      <c r="A532" s="2" t="s">
        <v>466</v>
      </c>
      <c r="B532" s="282" t="s">
        <v>320</v>
      </c>
      <c r="C532" s="241" t="s">
        <v>108</v>
      </c>
    </row>
    <row r="533" spans="1:3" ht="18.75" x14ac:dyDescent="0.25">
      <c r="A533" s="2" t="s">
        <v>466</v>
      </c>
      <c r="B533" s="282" t="s">
        <v>320</v>
      </c>
      <c r="C533" s="241" t="s">
        <v>109</v>
      </c>
    </row>
    <row r="534" spans="1:3" ht="18.75" x14ac:dyDescent="0.25">
      <c r="A534" s="2" t="s">
        <v>466</v>
      </c>
      <c r="B534" s="635" t="s">
        <v>316</v>
      </c>
      <c r="C534" s="241"/>
    </row>
    <row r="535" spans="1:3" ht="18.75" x14ac:dyDescent="0.25">
      <c r="A535" s="2" t="s">
        <v>466</v>
      </c>
      <c r="B535" s="635" t="s">
        <v>264</v>
      </c>
      <c r="C535" s="241"/>
    </row>
    <row r="536" spans="1:3" ht="18.75" x14ac:dyDescent="0.25">
      <c r="A536" s="2" t="s">
        <v>466</v>
      </c>
      <c r="B536" s="635" t="s">
        <v>476</v>
      </c>
      <c r="C536" s="241" t="s">
        <v>375</v>
      </c>
    </row>
    <row r="537" spans="1:3" ht="18.75" x14ac:dyDescent="0.25">
      <c r="A537" s="2" t="s">
        <v>466</v>
      </c>
      <c r="B537" s="635" t="s">
        <v>476</v>
      </c>
      <c r="C537" s="241" t="s">
        <v>171</v>
      </c>
    </row>
    <row r="538" spans="1:3" ht="18.75" x14ac:dyDescent="0.25">
      <c r="A538" s="2" t="s">
        <v>466</v>
      </c>
      <c r="B538" s="635" t="s">
        <v>476</v>
      </c>
      <c r="C538" s="241" t="s">
        <v>214</v>
      </c>
    </row>
    <row r="539" spans="1:3" ht="18.75" x14ac:dyDescent="0.25">
      <c r="A539" s="2" t="s">
        <v>466</v>
      </c>
      <c r="B539" s="635" t="s">
        <v>476</v>
      </c>
      <c r="C539" s="241" t="s">
        <v>170</v>
      </c>
    </row>
    <row r="540" spans="1:3" ht="18.75" x14ac:dyDescent="0.25">
      <c r="A540" s="387" t="s">
        <v>477</v>
      </c>
      <c r="B540" s="317" t="s">
        <v>478</v>
      </c>
      <c r="C540" s="241"/>
    </row>
    <row r="541" spans="1:3" ht="18.75" x14ac:dyDescent="0.25">
      <c r="A541" s="133" t="s">
        <v>477</v>
      </c>
      <c r="B541" s="311" t="s">
        <v>479</v>
      </c>
      <c r="C541" s="241"/>
    </row>
    <row r="542" spans="1:3" ht="18.75" x14ac:dyDescent="0.25">
      <c r="A542" s="133" t="s">
        <v>477</v>
      </c>
      <c r="B542" s="311" t="s">
        <v>480</v>
      </c>
      <c r="C542" s="241"/>
    </row>
    <row r="543" spans="1:3" ht="18.75" x14ac:dyDescent="0.25">
      <c r="A543" s="133" t="s">
        <v>477</v>
      </c>
      <c r="B543" s="311" t="s">
        <v>481</v>
      </c>
      <c r="C543" s="241"/>
    </row>
    <row r="544" spans="1:3" ht="18.75" x14ac:dyDescent="0.25">
      <c r="A544" s="133" t="s">
        <v>477</v>
      </c>
      <c r="B544" s="311" t="s">
        <v>482</v>
      </c>
      <c r="C544" s="241"/>
    </row>
    <row r="545" spans="1:3" ht="18.75" x14ac:dyDescent="0.25">
      <c r="A545" s="133" t="s">
        <v>477</v>
      </c>
      <c r="B545" s="315" t="s">
        <v>483</v>
      </c>
      <c r="C545" s="241"/>
    </row>
    <row r="546" spans="1:3" ht="19.5" thickBot="1" x14ac:dyDescent="0.3">
      <c r="A546" s="86" t="s">
        <v>477</v>
      </c>
      <c r="B546" s="312" t="s">
        <v>484</v>
      </c>
      <c r="C546" s="241"/>
    </row>
    <row r="547" spans="1:3" ht="18.75" x14ac:dyDescent="0.25">
      <c r="A547" s="133" t="s">
        <v>465</v>
      </c>
      <c r="B547" s="311" t="s">
        <v>485</v>
      </c>
      <c r="C547" s="241"/>
    </row>
    <row r="548" spans="1:3" ht="18.75" x14ac:dyDescent="0.25">
      <c r="A548" s="133" t="s">
        <v>465</v>
      </c>
      <c r="B548" s="311" t="s">
        <v>486</v>
      </c>
      <c r="C548" s="241" t="s">
        <v>487</v>
      </c>
    </row>
    <row r="549" spans="1:3" ht="18.75" x14ac:dyDescent="0.25">
      <c r="A549" s="133" t="s">
        <v>465</v>
      </c>
      <c r="B549" s="311" t="s">
        <v>486</v>
      </c>
      <c r="C549" s="241" t="s">
        <v>488</v>
      </c>
    </row>
    <row r="550" spans="1:3" ht="18.75" x14ac:dyDescent="0.25">
      <c r="A550" s="133" t="s">
        <v>465</v>
      </c>
      <c r="B550" s="311" t="s">
        <v>489</v>
      </c>
      <c r="C550" s="241"/>
    </row>
    <row r="551" spans="1:3" ht="18.75" x14ac:dyDescent="0.25">
      <c r="A551" s="133" t="s">
        <v>465</v>
      </c>
      <c r="B551" s="311" t="s">
        <v>490</v>
      </c>
      <c r="C551" s="241"/>
    </row>
    <row r="552" spans="1:3" ht="18.75" x14ac:dyDescent="0.25">
      <c r="A552" s="133" t="s">
        <v>465</v>
      </c>
      <c r="B552" s="311" t="s">
        <v>491</v>
      </c>
      <c r="C552" s="241"/>
    </row>
    <row r="553" spans="1:3" ht="19.5" thickBot="1" x14ac:dyDescent="0.3">
      <c r="A553" s="133" t="s">
        <v>465</v>
      </c>
      <c r="B553" s="311" t="s">
        <v>492</v>
      </c>
      <c r="C553" s="241"/>
    </row>
    <row r="554" spans="1:3" ht="16.5" thickBot="1" x14ac:dyDescent="0.3">
      <c r="A554" s="239"/>
      <c r="B554" s="239" t="s">
        <v>493</v>
      </c>
      <c r="C554" s="241"/>
    </row>
    <row r="555" spans="1:3" x14ac:dyDescent="0.25">
      <c r="A555" s="18" t="s">
        <v>494</v>
      </c>
      <c r="B555" s="322" t="s">
        <v>495</v>
      </c>
      <c r="C555" s="241"/>
    </row>
    <row r="556" spans="1:3" x14ac:dyDescent="0.25">
      <c r="A556" s="133" t="s">
        <v>494</v>
      </c>
      <c r="B556" s="323" t="s">
        <v>496</v>
      </c>
      <c r="C556" s="241"/>
    </row>
    <row r="557" spans="1:3" x14ac:dyDescent="0.25">
      <c r="A557" s="133" t="s">
        <v>494</v>
      </c>
      <c r="B557" s="323" t="s">
        <v>497</v>
      </c>
      <c r="C557" s="241"/>
    </row>
    <row r="558" spans="1:3" x14ac:dyDescent="0.25">
      <c r="A558" s="133" t="s">
        <v>494</v>
      </c>
      <c r="B558" s="323" t="s">
        <v>498</v>
      </c>
      <c r="C558" s="241"/>
    </row>
    <row r="559" spans="1:3" x14ac:dyDescent="0.25">
      <c r="A559" s="133" t="s">
        <v>494</v>
      </c>
      <c r="B559" s="323" t="s">
        <v>178</v>
      </c>
      <c r="C559" s="241"/>
    </row>
    <row r="560" spans="1:3" x14ac:dyDescent="0.25">
      <c r="A560" s="164" t="s">
        <v>494</v>
      </c>
      <c r="B560" s="333" t="s">
        <v>499</v>
      </c>
      <c r="C560" s="241"/>
    </row>
    <row r="561" spans="1:3" x14ac:dyDescent="0.25">
      <c r="A561" s="164" t="s">
        <v>494</v>
      </c>
      <c r="B561" s="333" t="s">
        <v>500</v>
      </c>
      <c r="C561" s="241"/>
    </row>
    <row r="562" spans="1:3" x14ac:dyDescent="0.25">
      <c r="A562" s="164" t="s">
        <v>494</v>
      </c>
      <c r="B562" s="333" t="s">
        <v>501</v>
      </c>
      <c r="C562" s="241"/>
    </row>
    <row r="563" spans="1:3" x14ac:dyDescent="0.25">
      <c r="A563" s="133" t="s">
        <v>494</v>
      </c>
      <c r="B563" s="133" t="s">
        <v>336</v>
      </c>
      <c r="C563" s="241"/>
    </row>
    <row r="564" spans="1:3" x14ac:dyDescent="0.25">
      <c r="A564" s="133" t="s">
        <v>494</v>
      </c>
      <c r="B564" s="133" t="s">
        <v>349</v>
      </c>
      <c r="C564" s="241"/>
    </row>
    <row r="565" spans="1:3" x14ac:dyDescent="0.25">
      <c r="A565" s="133" t="s">
        <v>494</v>
      </c>
      <c r="B565" s="133" t="s">
        <v>383</v>
      </c>
      <c r="C565" s="241"/>
    </row>
    <row r="566" spans="1:3" ht="16.5" thickBot="1" x14ac:dyDescent="0.3">
      <c r="A566" s="133" t="s">
        <v>494</v>
      </c>
      <c r="B566" s="103" t="s">
        <v>372</v>
      </c>
      <c r="C566" s="241"/>
    </row>
    <row r="567" spans="1:3" ht="16.5" thickBot="1" x14ac:dyDescent="0.3">
      <c r="A567" s="355" t="s">
        <v>502</v>
      </c>
      <c r="B567" s="356" t="s">
        <v>228</v>
      </c>
      <c r="C567" s="241"/>
    </row>
    <row r="568" spans="1:3" x14ac:dyDescent="0.25">
      <c r="A568" s="355" t="s">
        <v>502</v>
      </c>
      <c r="B568" s="356" t="s">
        <v>228</v>
      </c>
      <c r="C568" s="241" t="s">
        <v>123</v>
      </c>
    </row>
    <row r="569" spans="1:3" x14ac:dyDescent="0.25">
      <c r="A569" s="3" t="s">
        <v>502</v>
      </c>
      <c r="B569" s="357" t="s">
        <v>228</v>
      </c>
      <c r="C569" s="241" t="s">
        <v>279</v>
      </c>
    </row>
    <row r="570" spans="1:3" x14ac:dyDescent="0.25">
      <c r="A570" s="3" t="s">
        <v>502</v>
      </c>
      <c r="B570" s="357" t="s">
        <v>228</v>
      </c>
      <c r="C570" s="241" t="s">
        <v>169</v>
      </c>
    </row>
    <row r="571" spans="1:3" ht="16.5" thickBot="1" x14ac:dyDescent="0.3">
      <c r="A571" s="184" t="s">
        <v>502</v>
      </c>
      <c r="B571" s="389" t="s">
        <v>228</v>
      </c>
      <c r="C571" s="306" t="s">
        <v>178</v>
      </c>
    </row>
    <row r="572" spans="1:3" ht="16.5" thickBot="1" x14ac:dyDescent="0.3">
      <c r="A572" s="13" t="s">
        <v>503</v>
      </c>
      <c r="B572" s="9" t="s">
        <v>504</v>
      </c>
      <c r="C572" s="180"/>
    </row>
    <row r="573" spans="1:3" ht="16.5" thickBot="1" x14ac:dyDescent="0.3">
      <c r="A573" s="13" t="s">
        <v>503</v>
      </c>
      <c r="B573" s="9" t="s">
        <v>204</v>
      </c>
      <c r="C573" s="180" t="s">
        <v>505</v>
      </c>
    </row>
    <row r="574" spans="1:3" ht="16.5" thickBot="1" x14ac:dyDescent="0.3">
      <c r="A574" s="13" t="s">
        <v>503</v>
      </c>
      <c r="B574" s="9" t="s">
        <v>204</v>
      </c>
      <c r="C574" s="180" t="s">
        <v>506</v>
      </c>
    </row>
    <row r="575" spans="1:3" ht="16.5" thickBot="1" x14ac:dyDescent="0.3">
      <c r="A575" s="13" t="s">
        <v>503</v>
      </c>
      <c r="B575" s="9" t="s">
        <v>204</v>
      </c>
      <c r="C575" s="180" t="s">
        <v>507</v>
      </c>
    </row>
    <row r="576" spans="1:3" ht="16.5" thickBot="1" x14ac:dyDescent="0.3">
      <c r="A576" s="13" t="s">
        <v>508</v>
      </c>
      <c r="B576" s="9" t="s">
        <v>509</v>
      </c>
      <c r="C576" s="180" t="s">
        <v>355</v>
      </c>
    </row>
    <row r="577" spans="1:3" ht="16.5" thickBot="1" x14ac:dyDescent="0.3">
      <c r="A577" s="13" t="s">
        <v>508</v>
      </c>
      <c r="B577" s="9" t="s">
        <v>509</v>
      </c>
      <c r="C577" s="180" t="s">
        <v>377</v>
      </c>
    </row>
    <row r="578" spans="1:3" ht="16.5" thickBot="1" x14ac:dyDescent="0.3">
      <c r="A578" s="13" t="s">
        <v>508</v>
      </c>
      <c r="B578" s="9" t="s">
        <v>510</v>
      </c>
      <c r="C578" s="180" t="s">
        <v>171</v>
      </c>
    </row>
    <row r="579" spans="1:3" ht="16.5" thickBot="1" x14ac:dyDescent="0.3">
      <c r="A579" s="13" t="s">
        <v>508</v>
      </c>
      <c r="B579" s="9" t="s">
        <v>510</v>
      </c>
      <c r="C579" s="180" t="s">
        <v>170</v>
      </c>
    </row>
    <row r="580" spans="1:3" ht="16.5" thickBot="1" x14ac:dyDescent="0.3">
      <c r="A580" s="13" t="s">
        <v>511</v>
      </c>
      <c r="B580" s="9" t="s">
        <v>512</v>
      </c>
      <c r="C580" s="180" t="s">
        <v>464</v>
      </c>
    </row>
    <row r="581" spans="1:3" ht="16.5" thickBot="1" x14ac:dyDescent="0.3">
      <c r="A581" s="13" t="s">
        <v>511</v>
      </c>
      <c r="B581" s="9" t="s">
        <v>512</v>
      </c>
      <c r="C581" s="180" t="s">
        <v>513</v>
      </c>
    </row>
    <row r="582" spans="1:3" ht="16.5" thickBot="1" x14ac:dyDescent="0.3">
      <c r="A582" s="138" t="s">
        <v>511</v>
      </c>
      <c r="B582" s="135" t="s">
        <v>512</v>
      </c>
      <c r="C582" s="637" t="s">
        <v>123</v>
      </c>
    </row>
    <row r="583" spans="1:3" x14ac:dyDescent="0.25">
      <c r="A583" s="355" t="s">
        <v>514</v>
      </c>
      <c r="B583" s="5" t="s">
        <v>515</v>
      </c>
      <c r="C583" s="356"/>
    </row>
    <row r="584" spans="1:3" x14ac:dyDescent="0.25">
      <c r="A584" s="3" t="s">
        <v>514</v>
      </c>
      <c r="B584" s="2" t="s">
        <v>516</v>
      </c>
      <c r="C584" s="357"/>
    </row>
    <row r="585" spans="1:3" x14ac:dyDescent="0.25">
      <c r="A585" s="3" t="s">
        <v>514</v>
      </c>
      <c r="B585" s="2" t="s">
        <v>517</v>
      </c>
      <c r="C585" s="357"/>
    </row>
    <row r="586" spans="1:3" ht="16.5" thickBot="1" x14ac:dyDescent="0.3">
      <c r="A586" s="168" t="s">
        <v>514</v>
      </c>
      <c r="B586" s="639" t="s">
        <v>518</v>
      </c>
      <c r="C586" s="638"/>
    </row>
    <row r="721" spans="5:5" x14ac:dyDescent="0.25">
      <c r="E721" s="421" t="s">
        <v>519</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3"/>
  <dimension ref="A1:V887"/>
  <sheetViews>
    <sheetView topLeftCell="A876" zoomScale="70" zoomScaleNormal="70" workbookViewId="0">
      <selection activeCell="E827" sqref="E827"/>
    </sheetView>
  </sheetViews>
  <sheetFormatPr baseColWidth="10" defaultColWidth="10.85546875" defaultRowHeight="15.75" x14ac:dyDescent="0.25"/>
  <cols>
    <col min="1" max="1" width="25.140625" style="171" bestFit="1" customWidth="1"/>
    <col min="2" max="2" width="19.140625" style="171" bestFit="1" customWidth="1"/>
    <col min="3" max="3" width="10.85546875" style="171"/>
    <col min="4" max="4" width="13.28515625" style="171" bestFit="1" customWidth="1"/>
    <col min="5" max="5" width="11.85546875" style="171" bestFit="1" customWidth="1"/>
    <col min="6" max="6" width="13.140625" style="171" bestFit="1" customWidth="1"/>
    <col min="7" max="7" width="12" style="171" bestFit="1" customWidth="1"/>
    <col min="8" max="8" width="18.140625" style="171" bestFit="1" customWidth="1"/>
    <col min="9" max="9" width="15.28515625" style="171" bestFit="1" customWidth="1"/>
    <col min="10" max="10" width="14.5703125" style="171" bestFit="1" customWidth="1"/>
    <col min="11" max="11" width="13.140625" style="171" bestFit="1" customWidth="1"/>
    <col min="12" max="14" width="10.85546875" style="171"/>
    <col min="15" max="15" width="12.140625" style="171" bestFit="1" customWidth="1"/>
    <col min="16" max="16" width="19.28515625" style="171" bestFit="1" customWidth="1"/>
    <col min="17" max="17" width="12" style="171" customWidth="1"/>
    <col min="18" max="16384" width="10.85546875" style="171"/>
  </cols>
  <sheetData>
    <row r="1" spans="1:13" ht="16.5" thickBot="1" x14ac:dyDescent="0.3">
      <c r="A1" s="1707" t="s">
        <v>1545</v>
      </c>
      <c r="B1" s="1708"/>
      <c r="C1" s="1708"/>
      <c r="D1" s="1708"/>
      <c r="E1" s="1709"/>
      <c r="F1" s="1"/>
      <c r="H1" s="1707" t="s">
        <v>1546</v>
      </c>
      <c r="I1" s="1708"/>
      <c r="J1" s="1708"/>
      <c r="K1" s="1708"/>
      <c r="L1" s="1709"/>
      <c r="M1" s="1"/>
    </row>
    <row r="2" spans="1:13" ht="16.5" thickBot="1" x14ac:dyDescent="0.3">
      <c r="A2" s="121"/>
      <c r="B2" s="122" t="s">
        <v>1073</v>
      </c>
      <c r="C2" s="122" t="s">
        <v>1547</v>
      </c>
      <c r="D2" s="123" t="s">
        <v>1548</v>
      </c>
      <c r="E2" s="124" t="s">
        <v>1549</v>
      </c>
      <c r="F2" s="1"/>
      <c r="H2" s="121"/>
      <c r="I2" s="122" t="s">
        <v>1073</v>
      </c>
      <c r="J2" s="122" t="s">
        <v>1547</v>
      </c>
      <c r="K2" s="123" t="s">
        <v>1548</v>
      </c>
      <c r="L2" s="124" t="s">
        <v>1549</v>
      </c>
      <c r="M2" s="1"/>
    </row>
    <row r="3" spans="1:13" x14ac:dyDescent="0.25">
      <c r="A3" s="1710" t="s">
        <v>1224</v>
      </c>
      <c r="B3" s="190"/>
      <c r="C3" s="190">
        <v>0.32</v>
      </c>
      <c r="D3" s="120">
        <f>'HILOS-CORDONES-TANZA-CUERO'!E3</f>
        <v>50.35</v>
      </c>
      <c r="E3" s="155">
        <f t="shared" ref="E3:E9" si="0">D3*C3</f>
        <v>16.112000000000002</v>
      </c>
      <c r="F3" s="1"/>
      <c r="H3" s="1710" t="s">
        <v>1224</v>
      </c>
      <c r="I3" s="190"/>
      <c r="J3" s="190">
        <v>0.32</v>
      </c>
      <c r="K3" s="120">
        <f>'HILOS-CORDONES-TANZA-CUERO'!E3</f>
        <v>50.35</v>
      </c>
      <c r="L3" s="155">
        <f>K3*J3</f>
        <v>16.112000000000002</v>
      </c>
      <c r="M3" s="1"/>
    </row>
    <row r="4" spans="1:13" x14ac:dyDescent="0.25">
      <c r="A4" s="1702"/>
      <c r="B4" s="190"/>
      <c r="C4" s="190">
        <v>0.12</v>
      </c>
      <c r="D4" s="120">
        <f>'HILOS-CORDONES-TANZA-CUERO'!E3</f>
        <v>50.35</v>
      </c>
      <c r="E4" s="155">
        <f t="shared" si="0"/>
        <v>6.0419999999999998</v>
      </c>
      <c r="F4" s="1"/>
      <c r="H4" s="1702"/>
      <c r="I4" s="190"/>
      <c r="J4" s="190">
        <v>0.12</v>
      </c>
      <c r="K4" s="120">
        <f>'HILOS-CORDONES-TANZA-CUERO'!E3</f>
        <v>50.35</v>
      </c>
      <c r="L4" s="155">
        <f>K4*J4</f>
        <v>6.0419999999999998</v>
      </c>
      <c r="M4" s="1"/>
    </row>
    <row r="5" spans="1:13" x14ac:dyDescent="0.25">
      <c r="A5" s="104" t="s">
        <v>1550</v>
      </c>
      <c r="B5" s="2"/>
      <c r="C5" s="2">
        <v>5</v>
      </c>
      <c r="D5" s="102">
        <f>'RESINA - ACRILICOS'!D3</f>
        <v>1.2061016949152543</v>
      </c>
      <c r="E5" s="156">
        <f t="shared" si="0"/>
        <v>6.0305084745762718</v>
      </c>
      <c r="F5" s="1"/>
      <c r="H5" s="104" t="s">
        <v>1550</v>
      </c>
      <c r="I5" s="2"/>
      <c r="J5" s="2">
        <v>5</v>
      </c>
      <c r="K5" s="102">
        <f>'RESINA - ACRILICOS'!D3</f>
        <v>1.2061016949152543</v>
      </c>
      <c r="L5" s="156">
        <f>K5*J5</f>
        <v>6.0305084745762718</v>
      </c>
      <c r="M5" s="1"/>
    </row>
    <row r="6" spans="1:13" x14ac:dyDescent="0.25">
      <c r="A6" s="190" t="s">
        <v>1551</v>
      </c>
      <c r="B6" s="20"/>
      <c r="C6" s="2">
        <v>1</v>
      </c>
      <c r="D6" s="111">
        <f>'RESINA - ACRILICOS'!D4</f>
        <v>1</v>
      </c>
      <c r="E6" s="156">
        <f t="shared" si="0"/>
        <v>1</v>
      </c>
      <c r="F6" s="1"/>
      <c r="H6" s="189" t="s">
        <v>1552</v>
      </c>
      <c r="I6" s="20">
        <v>0.39</v>
      </c>
      <c r="J6" s="2">
        <v>2.5000000000000001E-2</v>
      </c>
      <c r="K6" s="111">
        <f>'PALAIS DU BIJOU'!N3</f>
        <v>170</v>
      </c>
      <c r="L6" s="156">
        <f>K6*J6/I6</f>
        <v>10.897435897435898</v>
      </c>
      <c r="M6" s="1"/>
    </row>
    <row r="7" spans="1:13" x14ac:dyDescent="0.25">
      <c r="A7" s="3" t="s">
        <v>1553</v>
      </c>
      <c r="B7" s="20"/>
      <c r="C7" s="2">
        <v>1</v>
      </c>
      <c r="D7" s="111">
        <f>'RESINA - ACRILICOS'!D10</f>
        <v>0.91666666666666663</v>
      </c>
      <c r="E7" s="156">
        <f t="shared" si="0"/>
        <v>0.91666666666666663</v>
      </c>
      <c r="F7" s="1"/>
      <c r="H7" s="3" t="s">
        <v>1553</v>
      </c>
      <c r="I7" s="20"/>
      <c r="J7" s="2">
        <v>1</v>
      </c>
      <c r="K7" s="111">
        <f>'RESINA - ACRILICOS'!D10</f>
        <v>0.91666666666666663</v>
      </c>
      <c r="L7" s="156">
        <f>K7*J7</f>
        <v>0.91666666666666663</v>
      </c>
      <c r="M7" s="1"/>
    </row>
    <row r="8" spans="1:13" x14ac:dyDescent="0.25">
      <c r="A8" s="191" t="s">
        <v>1554</v>
      </c>
      <c r="B8" s="2" t="s">
        <v>777</v>
      </c>
      <c r="C8" s="2">
        <v>2</v>
      </c>
      <c r="D8" s="111" t="e">
        <f>PEDIDOS!D49=C8/2</f>
        <v>#REF!</v>
      </c>
      <c r="E8" s="156" t="e">
        <f t="shared" si="0"/>
        <v>#REF!</v>
      </c>
      <c r="F8" s="1"/>
      <c r="H8" s="191" t="s">
        <v>1554</v>
      </c>
      <c r="I8" s="2" t="s">
        <v>777</v>
      </c>
      <c r="J8" s="2">
        <v>2</v>
      </c>
      <c r="K8" s="111">
        <f>FORNITURAS!D26</f>
        <v>297.14285714285717</v>
      </c>
      <c r="L8" s="156">
        <f>K8*J8</f>
        <v>594.28571428571433</v>
      </c>
      <c r="M8" s="1"/>
    </row>
    <row r="9" spans="1:13" x14ac:dyDescent="0.25">
      <c r="A9" s="191" t="s">
        <v>1555</v>
      </c>
      <c r="B9" s="2" t="s">
        <v>1556</v>
      </c>
      <c r="C9" s="2">
        <v>1</v>
      </c>
      <c r="D9" s="111">
        <f>FORNITURAS!D4</f>
        <v>48.7</v>
      </c>
      <c r="E9" s="156">
        <f t="shared" si="0"/>
        <v>48.7</v>
      </c>
      <c r="F9" s="1"/>
      <c r="H9" s="3" t="s">
        <v>1198</v>
      </c>
      <c r="I9" s="2"/>
      <c r="J9" s="2">
        <v>2</v>
      </c>
      <c r="K9" s="111">
        <f>'RESINA - ACRILICOS'!D12</f>
        <v>2.9411764705882355</v>
      </c>
      <c r="L9" s="156">
        <f>K9*J9</f>
        <v>5.882352941176471</v>
      </c>
      <c r="M9" s="1"/>
    </row>
    <row r="10" spans="1:13" x14ac:dyDescent="0.25">
      <c r="A10" s="3" t="s">
        <v>1198</v>
      </c>
      <c r="B10" s="2"/>
      <c r="C10" s="2">
        <v>2</v>
      </c>
      <c r="D10" s="111" t="e">
        <f>'INS VARIOS'!#REF!</f>
        <v>#REF!</v>
      </c>
      <c r="E10" s="156">
        <f>'RESINA - ACRILICOS'!D12</f>
        <v>2.9411764705882355</v>
      </c>
      <c r="F10" s="1"/>
      <c r="H10" s="3" t="s">
        <v>1557</v>
      </c>
      <c r="I10" s="2" t="s">
        <v>1540</v>
      </c>
      <c r="J10" s="2"/>
      <c r="K10" s="111"/>
      <c r="L10" s="156">
        <f>PACKAGING!E12</f>
        <v>50</v>
      </c>
      <c r="M10" s="1"/>
    </row>
    <row r="11" spans="1:13" x14ac:dyDescent="0.25">
      <c r="A11" s="3" t="s">
        <v>1557</v>
      </c>
      <c r="B11" s="2" t="s">
        <v>1540</v>
      </c>
      <c r="C11" s="2"/>
      <c r="D11" s="111"/>
      <c r="E11" s="156">
        <f>PACKAGING!E12</f>
        <v>50</v>
      </c>
      <c r="F11" s="1"/>
      <c r="H11" s="3" t="s">
        <v>1558</v>
      </c>
      <c r="I11" s="2"/>
      <c r="J11" s="2"/>
      <c r="K11" s="111"/>
      <c r="L11" s="157">
        <v>35</v>
      </c>
      <c r="M11" s="1"/>
    </row>
    <row r="12" spans="1:13" ht="16.5" thickBot="1" x14ac:dyDescent="0.3">
      <c r="A12" s="3" t="s">
        <v>1558</v>
      </c>
      <c r="B12" s="2"/>
      <c r="C12" s="2"/>
      <c r="D12" s="111"/>
      <c r="E12" s="157">
        <v>35</v>
      </c>
      <c r="F12" s="1"/>
      <c r="H12" s="128" t="s">
        <v>525</v>
      </c>
      <c r="I12" s="116"/>
      <c r="J12" s="116"/>
      <c r="K12" s="117"/>
      <c r="L12" s="158">
        <f>SUM(L3:L11)</f>
        <v>725.16667826556966</v>
      </c>
      <c r="M12" s="38"/>
    </row>
    <row r="13" spans="1:13" ht="19.5" thickBot="1" x14ac:dyDescent="0.3">
      <c r="A13" s="128" t="s">
        <v>525</v>
      </c>
      <c r="B13" s="116"/>
      <c r="C13" s="116"/>
      <c r="D13" s="117"/>
      <c r="E13" s="158" t="e">
        <f>SUM(E3:E12)</f>
        <v>#REF!</v>
      </c>
      <c r="F13" s="38"/>
      <c r="H13" s="129" t="s">
        <v>544</v>
      </c>
      <c r="I13" s="114"/>
      <c r="J13" s="114"/>
      <c r="K13" s="115"/>
      <c r="L13" s="115">
        <f>L12*2</f>
        <v>1450.3333565311393</v>
      </c>
      <c r="M13" s="119">
        <v>220</v>
      </c>
    </row>
    <row r="14" spans="1:13" ht="19.5" thickBot="1" x14ac:dyDescent="0.3">
      <c r="A14" s="129" t="s">
        <v>544</v>
      </c>
      <c r="B14" s="114"/>
      <c r="C14" s="114"/>
      <c r="D14" s="115"/>
      <c r="E14" s="115" t="e">
        <f>E13*2</f>
        <v>#REF!</v>
      </c>
      <c r="F14" s="192">
        <v>220</v>
      </c>
      <c r="H14" s="130" t="s">
        <v>1559</v>
      </c>
      <c r="I14" s="125"/>
      <c r="J14" s="125"/>
      <c r="K14" s="126"/>
      <c r="L14" s="126"/>
      <c r="M14" s="127">
        <f>M13*2</f>
        <v>440</v>
      </c>
    </row>
    <row r="15" spans="1:13" ht="16.5" thickBot="1" x14ac:dyDescent="0.3">
      <c r="A15" s="130" t="s">
        <v>1559</v>
      </c>
      <c r="B15" s="125"/>
      <c r="C15" s="125"/>
      <c r="D15" s="126"/>
      <c r="E15" s="126"/>
      <c r="F15" s="193">
        <f>F14*2</f>
        <v>440</v>
      </c>
    </row>
    <row r="17" spans="1:13" x14ac:dyDescent="0.25">
      <c r="A17" s="1601" t="s">
        <v>1560</v>
      </c>
      <c r="B17" s="1588"/>
      <c r="C17" s="1588"/>
      <c r="D17" s="1588"/>
      <c r="E17" s="1588"/>
      <c r="F17" s="1"/>
    </row>
    <row r="18" spans="1:13" x14ac:dyDescent="0.25">
      <c r="A18" s="183" t="s">
        <v>916</v>
      </c>
      <c r="B18" s="97" t="s">
        <v>743</v>
      </c>
      <c r="C18" s="76" t="s">
        <v>1547</v>
      </c>
      <c r="D18" s="108" t="s">
        <v>1035</v>
      </c>
      <c r="E18" s="77" t="s">
        <v>1549</v>
      </c>
      <c r="F18" s="1"/>
    </row>
    <row r="19" spans="1:13" x14ac:dyDescent="0.25">
      <c r="A19" s="1613" t="s">
        <v>1561</v>
      </c>
      <c r="B19" s="2"/>
      <c r="C19" s="107">
        <v>0.6</v>
      </c>
      <c r="D19" s="109">
        <f>'HILOS-CORDONES-TANZA-CUERO'!E4</f>
        <v>50.35</v>
      </c>
      <c r="E19" s="110">
        <f>D19*C19</f>
        <v>30.21</v>
      </c>
      <c r="F19" s="1"/>
    </row>
    <row r="20" spans="1:13" x14ac:dyDescent="0.25">
      <c r="A20" s="1615"/>
      <c r="B20" s="2"/>
      <c r="C20" s="107">
        <v>0.12</v>
      </c>
      <c r="D20" s="109">
        <f>'HILOS-CORDONES-TANZA-CUERO'!E4</f>
        <v>50.35</v>
      </c>
      <c r="E20" s="110">
        <f>D20*C20</f>
        <v>6.0419999999999998</v>
      </c>
      <c r="F20" s="1"/>
    </row>
    <row r="21" spans="1:13" x14ac:dyDescent="0.25">
      <c r="A21" s="104" t="s">
        <v>1498</v>
      </c>
      <c r="B21" s="2"/>
      <c r="C21" s="107">
        <v>6</v>
      </c>
      <c r="D21" s="109">
        <f>'RESINA - ACRILICOS'!D3</f>
        <v>1.2061016949152543</v>
      </c>
      <c r="E21" s="110">
        <f>D21*C21</f>
        <v>7.2366101694915255</v>
      </c>
      <c r="F21" s="1"/>
    </row>
    <row r="22" spans="1:13" x14ac:dyDescent="0.25">
      <c r="A22" s="104" t="s">
        <v>1562</v>
      </c>
      <c r="B22" s="2"/>
      <c r="C22" s="2">
        <v>1</v>
      </c>
      <c r="D22" s="109">
        <f>'RESINA - ACRILICOS'!D10</f>
        <v>0.91666666666666663</v>
      </c>
      <c r="E22" s="110">
        <f>D22*C22</f>
        <v>0.91666666666666663</v>
      </c>
      <c r="F22" s="1"/>
    </row>
    <row r="23" spans="1:13" x14ac:dyDescent="0.25">
      <c r="A23" s="104" t="s">
        <v>1563</v>
      </c>
      <c r="B23" s="98"/>
      <c r="C23" s="2">
        <v>4</v>
      </c>
      <c r="D23" s="109" t="e">
        <f>'INS VARIOS'!#REF!</f>
        <v>#REF!</v>
      </c>
      <c r="E23" s="110" t="e">
        <f>D23*C23</f>
        <v>#REF!</v>
      </c>
      <c r="F23" s="1"/>
    </row>
    <row r="24" spans="1:13" x14ac:dyDescent="0.25">
      <c r="A24" s="3" t="s">
        <v>1557</v>
      </c>
      <c r="B24" s="98"/>
      <c r="C24" s="2"/>
      <c r="D24" s="6"/>
      <c r="E24" s="39">
        <f>PACKAGING!E3</f>
        <v>150</v>
      </c>
      <c r="F24" s="1"/>
    </row>
    <row r="25" spans="1:13" x14ac:dyDescent="0.25">
      <c r="A25" s="3" t="s">
        <v>1558</v>
      </c>
      <c r="B25" s="98"/>
      <c r="C25" s="2"/>
      <c r="D25" s="6"/>
      <c r="E25" s="39">
        <v>35</v>
      </c>
      <c r="F25" s="1"/>
    </row>
    <row r="26" spans="1:13" ht="16.5" thickBot="1" x14ac:dyDescent="0.3">
      <c r="A26" s="79" t="s">
        <v>525</v>
      </c>
      <c r="B26" s="99"/>
      <c r="C26" s="70"/>
      <c r="D26" s="85"/>
      <c r="E26" s="51" t="e">
        <f>SUM(E19:E25)</f>
        <v>#REF!</v>
      </c>
      <c r="F26" s="1"/>
    </row>
    <row r="27" spans="1:13" ht="18.75" x14ac:dyDescent="0.25">
      <c r="A27" s="80" t="s">
        <v>544</v>
      </c>
      <c r="B27" s="100"/>
      <c r="C27" s="71"/>
      <c r="D27" s="71"/>
      <c r="E27" s="72" t="e">
        <f>E26*2</f>
        <v>#REF!</v>
      </c>
      <c r="F27" s="75">
        <v>190</v>
      </c>
    </row>
    <row r="28" spans="1:13" ht="19.5" thickBot="1" x14ac:dyDescent="0.3">
      <c r="A28" s="81" t="s">
        <v>1559</v>
      </c>
      <c r="B28" s="101"/>
      <c r="C28" s="73"/>
      <c r="D28" s="73"/>
      <c r="E28" s="73"/>
      <c r="F28" s="74">
        <f>F27*2</f>
        <v>380</v>
      </c>
    </row>
    <row r="31" spans="1:13" x14ac:dyDescent="0.25">
      <c r="A31" s="1601" t="s">
        <v>1564</v>
      </c>
      <c r="B31" s="1588"/>
      <c r="C31" s="1588"/>
      <c r="D31" s="1588"/>
      <c r="E31" s="1588"/>
      <c r="F31" s="188"/>
      <c r="H31" s="1601" t="s">
        <v>1565</v>
      </c>
      <c r="I31" s="1588"/>
      <c r="J31" s="1588"/>
      <c r="K31" s="1588"/>
      <c r="L31" s="1588"/>
      <c r="M31" s="188"/>
    </row>
    <row r="32" spans="1:13" x14ac:dyDescent="0.25">
      <c r="A32" s="35"/>
      <c r="B32" s="36" t="s">
        <v>742</v>
      </c>
      <c r="C32" s="64" t="s">
        <v>1566</v>
      </c>
      <c r="D32" s="64" t="s">
        <v>747</v>
      </c>
      <c r="E32" s="37" t="s">
        <v>1549</v>
      </c>
      <c r="F32" s="1"/>
      <c r="H32" s="35"/>
      <c r="I32" s="36" t="s">
        <v>1073</v>
      </c>
      <c r="J32" s="64" t="s">
        <v>1566</v>
      </c>
      <c r="K32" s="64" t="s">
        <v>747</v>
      </c>
      <c r="L32" s="37" t="s">
        <v>1549</v>
      </c>
      <c r="M32" s="1"/>
    </row>
    <row r="33" spans="1:13" x14ac:dyDescent="0.25">
      <c r="A33" s="3" t="s">
        <v>1567</v>
      </c>
      <c r="B33" s="2"/>
      <c r="C33" s="6">
        <v>1</v>
      </c>
      <c r="D33" s="66">
        <f>'AROS, CADENAS, DIJES, ETC'!D18</f>
        <v>106.5</v>
      </c>
      <c r="E33" s="39">
        <f t="shared" ref="E33:E39" si="1">D33*C33</f>
        <v>106.5</v>
      </c>
      <c r="F33" s="1"/>
      <c r="H33" s="3" t="s">
        <v>784</v>
      </c>
      <c r="I33" s="2" t="s">
        <v>792</v>
      </c>
      <c r="J33" s="6">
        <v>1</v>
      </c>
      <c r="K33" s="66">
        <f>'AROS, CADENAS, DIJES, ETC'!D10</f>
        <v>800</v>
      </c>
      <c r="L33" s="39">
        <f>K33</f>
        <v>800</v>
      </c>
      <c r="M33" s="1"/>
    </row>
    <row r="34" spans="1:13" x14ac:dyDescent="0.25">
      <c r="A34" s="3" t="s">
        <v>1198</v>
      </c>
      <c r="B34" s="2"/>
      <c r="C34" s="6">
        <v>3</v>
      </c>
      <c r="D34" s="66">
        <f>'INS VARIOS'!C47</f>
        <v>0.5</v>
      </c>
      <c r="E34" s="39">
        <f t="shared" si="1"/>
        <v>1.5</v>
      </c>
      <c r="F34" s="1"/>
      <c r="H34" s="3" t="s">
        <v>1568</v>
      </c>
      <c r="I34" s="2"/>
      <c r="J34" s="6">
        <v>1</v>
      </c>
      <c r="K34" s="66" t="e">
        <f>'AROS, CADENAS, DIJES, ETC'!#REF!</f>
        <v>#REF!</v>
      </c>
      <c r="L34" s="39" t="e">
        <f t="shared" ref="L34:L39" si="2">K34*J34</f>
        <v>#REF!</v>
      </c>
      <c r="M34" s="1"/>
    </row>
    <row r="35" spans="1:13" x14ac:dyDescent="0.25">
      <c r="A35" s="1613" t="s">
        <v>1569</v>
      </c>
      <c r="B35" s="2" t="s">
        <v>1307</v>
      </c>
      <c r="C35" s="6">
        <v>1</v>
      </c>
      <c r="D35" s="66" t="e">
        <f>PIEDRAS!#REF!</f>
        <v>#REF!</v>
      </c>
      <c r="E35" s="39" t="e">
        <f t="shared" si="1"/>
        <v>#REF!</v>
      </c>
      <c r="F35" s="1"/>
      <c r="H35" s="3" t="s">
        <v>1554</v>
      </c>
      <c r="I35" s="2"/>
      <c r="J35" s="6">
        <v>1</v>
      </c>
      <c r="K35" s="66">
        <f>FORNITURAS!D7</f>
        <v>52</v>
      </c>
      <c r="L35" s="39">
        <f t="shared" si="2"/>
        <v>52</v>
      </c>
      <c r="M35" s="1"/>
    </row>
    <row r="36" spans="1:13" x14ac:dyDescent="0.25">
      <c r="A36" s="1615"/>
      <c r="B36" s="2" t="s">
        <v>1570</v>
      </c>
      <c r="C36" s="6">
        <v>1</v>
      </c>
      <c r="D36" s="66" t="e">
        <f>PIEDRAS!#REF!</f>
        <v>#REF!</v>
      </c>
      <c r="E36" s="39" t="e">
        <f t="shared" si="1"/>
        <v>#REF!</v>
      </c>
      <c r="F36" s="1"/>
      <c r="H36" s="3" t="s">
        <v>1050</v>
      </c>
      <c r="I36" s="2"/>
      <c r="J36" s="6">
        <v>0.05</v>
      </c>
      <c r="K36" s="66">
        <f>FORNITURAS!W4</f>
        <v>1404.9107142857144</v>
      </c>
      <c r="L36" s="39">
        <f t="shared" si="2"/>
        <v>70.245535714285722</v>
      </c>
      <c r="M36" s="1"/>
    </row>
    <row r="37" spans="1:13" x14ac:dyDescent="0.25">
      <c r="A37" s="104" t="s">
        <v>1493</v>
      </c>
      <c r="B37" s="2" t="s">
        <v>1260</v>
      </c>
      <c r="C37" s="6">
        <v>1</v>
      </c>
      <c r="D37" s="66">
        <f>VIDRIOS!K4</f>
        <v>0</v>
      </c>
      <c r="E37" s="39">
        <f t="shared" si="1"/>
        <v>0</v>
      </c>
      <c r="F37" s="1"/>
      <c r="H37" s="3" t="s">
        <v>1571</v>
      </c>
      <c r="I37" s="2"/>
      <c r="J37" s="6">
        <v>1</v>
      </c>
      <c r="K37" s="66">
        <f>'INSUMOS VARIOS'!L3</f>
        <v>208.33333333333334</v>
      </c>
      <c r="L37" s="39">
        <f t="shared" si="2"/>
        <v>208.33333333333334</v>
      </c>
      <c r="M37" s="1"/>
    </row>
    <row r="38" spans="1:13" x14ac:dyDescent="0.25">
      <c r="A38" s="3" t="s">
        <v>1389</v>
      </c>
      <c r="B38" s="2"/>
      <c r="C38" s="6">
        <v>1</v>
      </c>
      <c r="D38" s="66">
        <f>'INS VARIOS'!T26</f>
        <v>2.9444444444444446</v>
      </c>
      <c r="E38" s="39">
        <f t="shared" si="1"/>
        <v>2.9444444444444446</v>
      </c>
      <c r="F38" s="1"/>
      <c r="H38" s="1613" t="s">
        <v>1572</v>
      </c>
      <c r="I38" s="2" t="s">
        <v>1556</v>
      </c>
      <c r="J38" s="6">
        <v>2</v>
      </c>
      <c r="K38" s="66">
        <f>FORNITURAS!D4</f>
        <v>48.7</v>
      </c>
      <c r="L38" s="39">
        <f t="shared" si="2"/>
        <v>97.4</v>
      </c>
      <c r="M38" s="1"/>
    </row>
    <row r="39" spans="1:13" x14ac:dyDescent="0.25">
      <c r="A39" s="3" t="s">
        <v>1050</v>
      </c>
      <c r="B39" s="2"/>
      <c r="C39" s="6">
        <v>0.08</v>
      </c>
      <c r="D39" s="66">
        <f>FORNITURAS!W5</f>
        <v>906.42857142857144</v>
      </c>
      <c r="E39" s="39">
        <f t="shared" si="1"/>
        <v>72.51428571428572</v>
      </c>
      <c r="F39" s="1"/>
      <c r="H39" s="1615"/>
      <c r="I39" s="2" t="s">
        <v>1573</v>
      </c>
      <c r="J39" s="6">
        <v>2</v>
      </c>
      <c r="K39" s="66">
        <f>FORNITURAS!D7</f>
        <v>52</v>
      </c>
      <c r="L39" s="39">
        <f t="shared" si="2"/>
        <v>104</v>
      </c>
      <c r="M39" s="1"/>
    </row>
    <row r="40" spans="1:13" x14ac:dyDescent="0.25">
      <c r="A40" s="3" t="s">
        <v>1557</v>
      </c>
      <c r="B40" s="2"/>
      <c r="C40" s="6"/>
      <c r="D40" s="66"/>
      <c r="E40" s="39">
        <f>PACKAGING!E3</f>
        <v>150</v>
      </c>
      <c r="F40" s="1"/>
      <c r="H40" s="3" t="s">
        <v>1557</v>
      </c>
      <c r="I40" s="2"/>
      <c r="J40" s="6"/>
      <c r="K40" s="66"/>
      <c r="L40" s="39">
        <f>PACKAGING!E3</f>
        <v>150</v>
      </c>
      <c r="M40" s="1"/>
    </row>
    <row r="41" spans="1:13" x14ac:dyDescent="0.25">
      <c r="A41" s="3" t="s">
        <v>1538</v>
      </c>
      <c r="B41" s="2"/>
      <c r="C41" s="6"/>
      <c r="D41" s="66"/>
      <c r="E41" s="39">
        <f>PACKAGING!E8</f>
        <v>420</v>
      </c>
      <c r="F41" s="1"/>
      <c r="H41" s="3" t="s">
        <v>1538</v>
      </c>
      <c r="I41" s="2"/>
      <c r="J41" s="6"/>
      <c r="K41" s="66"/>
      <c r="L41" s="39">
        <f>PACKAGING!E8</f>
        <v>420</v>
      </c>
      <c r="M41" s="1"/>
    </row>
    <row r="42" spans="1:13" x14ac:dyDescent="0.25">
      <c r="A42" s="3" t="s">
        <v>1558</v>
      </c>
      <c r="B42" s="2"/>
      <c r="C42" s="6"/>
      <c r="D42" s="66"/>
      <c r="E42" s="39">
        <v>25</v>
      </c>
      <c r="F42" s="1"/>
      <c r="H42" s="3" t="s">
        <v>1558</v>
      </c>
      <c r="I42" s="2"/>
      <c r="J42" s="6"/>
      <c r="K42" s="66"/>
      <c r="L42" s="39">
        <v>15</v>
      </c>
      <c r="M42" s="1"/>
    </row>
    <row r="43" spans="1:13" ht="16.5" thickBot="1" x14ac:dyDescent="0.3">
      <c r="A43" s="45" t="s">
        <v>525</v>
      </c>
      <c r="B43" s="46"/>
      <c r="C43" s="65"/>
      <c r="D43" s="65"/>
      <c r="E43" s="50" t="e">
        <f>SUM(E33:E42)</f>
        <v>#REF!</v>
      </c>
      <c r="F43" s="38"/>
      <c r="H43" s="45" t="s">
        <v>525</v>
      </c>
      <c r="I43" s="46"/>
      <c r="J43" s="65"/>
      <c r="K43" s="65"/>
      <c r="L43" s="50" t="e">
        <f>SUM(L33:L42)</f>
        <v>#REF!</v>
      </c>
      <c r="M43" s="38"/>
    </row>
    <row r="44" spans="1:13" x14ac:dyDescent="0.25">
      <c r="A44" s="47" t="s">
        <v>544</v>
      </c>
      <c r="B44" s="42"/>
      <c r="C44" s="42"/>
      <c r="D44" s="42"/>
      <c r="E44" s="55" t="e">
        <f>E43*2</f>
        <v>#REF!</v>
      </c>
      <c r="F44" s="49">
        <v>420</v>
      </c>
      <c r="H44" s="47" t="s">
        <v>544</v>
      </c>
      <c r="I44" s="42"/>
      <c r="J44" s="42"/>
      <c r="K44" s="42"/>
      <c r="L44" s="55" t="e">
        <f>L43*2</f>
        <v>#REF!</v>
      </c>
      <c r="M44" s="49">
        <v>730</v>
      </c>
    </row>
    <row r="45" spans="1:13" ht="16.5" thickBot="1" x14ac:dyDescent="0.3">
      <c r="A45" s="52" t="s">
        <v>1559</v>
      </c>
      <c r="B45" s="53"/>
      <c r="C45" s="53"/>
      <c r="D45" s="53"/>
      <c r="E45" s="57"/>
      <c r="F45" s="54">
        <f>F44*2</f>
        <v>840</v>
      </c>
      <c r="H45" s="52" t="s">
        <v>1559</v>
      </c>
      <c r="I45" s="53"/>
      <c r="J45" s="53"/>
      <c r="K45" s="53"/>
      <c r="L45" s="57"/>
      <c r="M45" s="54">
        <f>M44*2</f>
        <v>1460</v>
      </c>
    </row>
    <row r="47" spans="1:13" x14ac:dyDescent="0.25">
      <c r="A47" s="1601" t="s">
        <v>1574</v>
      </c>
      <c r="B47" s="1588"/>
      <c r="C47" s="1588"/>
      <c r="D47" s="1588"/>
      <c r="E47" s="1588"/>
      <c r="F47" s="23"/>
    </row>
    <row r="48" spans="1:13" x14ac:dyDescent="0.25">
      <c r="A48" s="35"/>
      <c r="B48" s="36" t="s">
        <v>1073</v>
      </c>
      <c r="C48" s="64" t="s">
        <v>1566</v>
      </c>
      <c r="D48" s="64" t="s">
        <v>747</v>
      </c>
      <c r="E48" s="37" t="s">
        <v>1549</v>
      </c>
      <c r="F48" s="194"/>
    </row>
    <row r="49" spans="1:6" x14ac:dyDescent="0.25">
      <c r="A49" s="3" t="s">
        <v>1575</v>
      </c>
      <c r="B49" s="2" t="s">
        <v>759</v>
      </c>
      <c r="C49" s="6">
        <v>1</v>
      </c>
      <c r="D49" s="66" t="e">
        <f>'AROS, CADENAS, DIJES, ETC'!#REF!</f>
        <v>#REF!</v>
      </c>
      <c r="E49" s="39" t="e">
        <f>D49*C49</f>
        <v>#REF!</v>
      </c>
      <c r="F49" s="1"/>
    </row>
    <row r="50" spans="1:6" x14ac:dyDescent="0.25">
      <c r="A50" s="3" t="s">
        <v>1576</v>
      </c>
      <c r="B50" s="2"/>
      <c r="C50" s="6">
        <v>1</v>
      </c>
      <c r="D50" s="66">
        <f>VIDRIOS!J47</f>
        <v>35</v>
      </c>
      <c r="E50" s="39">
        <f>D50*C50</f>
        <v>35</v>
      </c>
      <c r="F50" s="1"/>
    </row>
    <row r="51" spans="1:6" x14ac:dyDescent="0.25">
      <c r="A51" s="2" t="s">
        <v>1557</v>
      </c>
      <c r="B51" s="2"/>
      <c r="C51" s="6"/>
      <c r="D51" s="66"/>
      <c r="E51" s="39">
        <f>PACKAGING!E3</f>
        <v>150</v>
      </c>
      <c r="F51" s="1"/>
    </row>
    <row r="52" spans="1:6" x14ac:dyDescent="0.25">
      <c r="A52" s="2" t="s">
        <v>1538</v>
      </c>
      <c r="B52" s="2"/>
      <c r="C52" s="6"/>
      <c r="D52" s="66"/>
      <c r="E52" s="39">
        <f>PACKAGING!E8</f>
        <v>420</v>
      </c>
      <c r="F52" s="1"/>
    </row>
    <row r="53" spans="1:6" x14ac:dyDescent="0.25">
      <c r="A53" s="3" t="s">
        <v>1558</v>
      </c>
      <c r="B53" s="2"/>
      <c r="C53" s="6"/>
      <c r="D53" s="66"/>
      <c r="E53" s="39">
        <v>25</v>
      </c>
      <c r="F53" s="1"/>
    </row>
    <row r="54" spans="1:6" ht="16.5" thickBot="1" x14ac:dyDescent="0.3">
      <c r="A54" s="45" t="s">
        <v>525</v>
      </c>
      <c r="B54" s="46"/>
      <c r="C54" s="65"/>
      <c r="D54" s="65"/>
      <c r="E54" s="50" t="e">
        <f>SUM(E49:E53)</f>
        <v>#REF!</v>
      </c>
      <c r="F54" s="38"/>
    </row>
    <row r="55" spans="1:6" x14ac:dyDescent="0.25">
      <c r="A55" s="47" t="s">
        <v>544</v>
      </c>
      <c r="B55" s="42"/>
      <c r="C55" s="42"/>
      <c r="D55" s="42"/>
      <c r="E55" s="55" t="e">
        <f>E54*2</f>
        <v>#REF!</v>
      </c>
      <c r="F55" s="49">
        <v>440</v>
      </c>
    </row>
    <row r="56" spans="1:6" ht="16.5" thickBot="1" x14ac:dyDescent="0.3">
      <c r="A56" s="52" t="s">
        <v>1559</v>
      </c>
      <c r="B56" s="53"/>
      <c r="C56" s="53"/>
      <c r="D56" s="53"/>
      <c r="E56" s="57"/>
      <c r="F56" s="54">
        <f>F55*2</f>
        <v>880</v>
      </c>
    </row>
    <row r="58" spans="1:6" x14ac:dyDescent="0.25">
      <c r="A58" s="1601" t="s">
        <v>1577</v>
      </c>
      <c r="B58" s="1588"/>
      <c r="C58" s="1588"/>
      <c r="D58" s="1588"/>
      <c r="E58" s="1588"/>
      <c r="F58" s="188"/>
    </row>
    <row r="59" spans="1:6" x14ac:dyDescent="0.25">
      <c r="A59" s="35"/>
      <c r="B59" s="36" t="s">
        <v>1073</v>
      </c>
      <c r="C59" s="64" t="s">
        <v>1566</v>
      </c>
      <c r="D59" s="64" t="s">
        <v>747</v>
      </c>
      <c r="E59" s="37" t="s">
        <v>1549</v>
      </c>
      <c r="F59" s="1"/>
    </row>
    <row r="60" spans="1:6" x14ac:dyDescent="0.25">
      <c r="A60" s="3" t="s">
        <v>784</v>
      </c>
      <c r="B60" s="2" t="s">
        <v>789</v>
      </c>
      <c r="C60" s="6">
        <v>1</v>
      </c>
      <c r="D60" s="66">
        <f>'AROS, CADENAS, DIJES, ETC'!D9</f>
        <v>1500</v>
      </c>
      <c r="E60" s="39">
        <f>D60</f>
        <v>1500</v>
      </c>
      <c r="F60" s="1"/>
    </row>
    <row r="61" spans="1:6" x14ac:dyDescent="0.25">
      <c r="A61" s="3" t="s">
        <v>1578</v>
      </c>
      <c r="B61" s="2"/>
      <c r="C61" s="6">
        <v>1</v>
      </c>
      <c r="D61" s="66" t="e">
        <f>'AROS, CADENAS, DIJES, ETC'!#REF!</f>
        <v>#REF!</v>
      </c>
      <c r="E61" s="39" t="e">
        <f>D61*C61</f>
        <v>#REF!</v>
      </c>
      <c r="F61" s="1"/>
    </row>
    <row r="62" spans="1:6" x14ac:dyDescent="0.25">
      <c r="A62" s="184" t="s">
        <v>1579</v>
      </c>
      <c r="B62" s="2"/>
      <c r="C62" s="6">
        <v>1</v>
      </c>
      <c r="D62" s="66" t="e">
        <f>'AROS, CADENAS, DIJES, ETC'!#REF!</f>
        <v>#REF!</v>
      </c>
      <c r="E62" s="39" t="e">
        <f>D62*C62</f>
        <v>#REF!</v>
      </c>
      <c r="F62" s="1"/>
    </row>
    <row r="63" spans="1:6" x14ac:dyDescent="0.25">
      <c r="A63" s="1701" t="s">
        <v>1555</v>
      </c>
      <c r="B63" s="2" t="s">
        <v>1556</v>
      </c>
      <c r="C63" s="6">
        <v>2</v>
      </c>
      <c r="D63" s="66">
        <f>FORNITURAS!D4</f>
        <v>48.7</v>
      </c>
      <c r="E63" s="39">
        <f>D63*C63</f>
        <v>97.4</v>
      </c>
      <c r="F63" s="1"/>
    </row>
    <row r="64" spans="1:6" x14ac:dyDescent="0.25">
      <c r="A64" s="1702"/>
      <c r="B64" s="2" t="s">
        <v>1573</v>
      </c>
      <c r="C64" s="6">
        <v>1</v>
      </c>
      <c r="D64" s="66">
        <f>FORNITURAS!D7</f>
        <v>52</v>
      </c>
      <c r="E64" s="39">
        <f>D64*C64</f>
        <v>52</v>
      </c>
      <c r="F64" s="1"/>
    </row>
    <row r="65" spans="1:7" x14ac:dyDescent="0.25">
      <c r="A65" s="3" t="s">
        <v>1557</v>
      </c>
      <c r="B65" s="2"/>
      <c r="C65" s="6"/>
      <c r="D65" s="66"/>
      <c r="E65" s="39">
        <f>PACKAGING!E3</f>
        <v>150</v>
      </c>
      <c r="F65" s="1"/>
    </row>
    <row r="66" spans="1:7" x14ac:dyDescent="0.25">
      <c r="A66" s="2" t="s">
        <v>1538</v>
      </c>
      <c r="B66" s="2"/>
      <c r="C66" s="6"/>
      <c r="D66" s="66"/>
      <c r="E66" s="39">
        <f>PACKAGING!E8</f>
        <v>420</v>
      </c>
      <c r="F66" s="1"/>
    </row>
    <row r="67" spans="1:7" x14ac:dyDescent="0.25">
      <c r="A67" s="3" t="s">
        <v>1558</v>
      </c>
      <c r="B67" s="2"/>
      <c r="C67" s="6"/>
      <c r="D67" s="66"/>
      <c r="E67" s="39">
        <v>25</v>
      </c>
      <c r="F67" s="1"/>
    </row>
    <row r="68" spans="1:7" ht="16.5" thickBot="1" x14ac:dyDescent="0.3">
      <c r="A68" s="45" t="s">
        <v>525</v>
      </c>
      <c r="B68" s="46"/>
      <c r="C68" s="65"/>
      <c r="D68" s="65"/>
      <c r="E68" s="50" t="e">
        <f>SUM(E60:E67)</f>
        <v>#REF!</v>
      </c>
      <c r="F68" s="38"/>
    </row>
    <row r="69" spans="1:7" x14ac:dyDescent="0.25">
      <c r="A69" s="47" t="s">
        <v>544</v>
      </c>
      <c r="B69" s="42"/>
      <c r="C69" s="42"/>
      <c r="D69" s="42"/>
      <c r="E69" s="55" t="e">
        <f>E68*2</f>
        <v>#REF!</v>
      </c>
      <c r="F69" s="49">
        <v>690</v>
      </c>
    </row>
    <row r="70" spans="1:7" ht="16.5" thickBot="1" x14ac:dyDescent="0.3">
      <c r="A70" s="52" t="s">
        <v>1559</v>
      </c>
      <c r="B70" s="53"/>
      <c r="C70" s="53"/>
      <c r="D70" s="53"/>
      <c r="E70" s="57"/>
      <c r="F70" s="54">
        <f>F69*2</f>
        <v>1380</v>
      </c>
    </row>
    <row r="71" spans="1:7" ht="16.5" thickBot="1" x14ac:dyDescent="0.3"/>
    <row r="72" spans="1:7" ht="16.5" thickBot="1" x14ac:dyDescent="0.3">
      <c r="A72" s="1565" t="s">
        <v>1580</v>
      </c>
      <c r="B72" s="1566"/>
      <c r="C72" s="1566"/>
      <c r="D72" s="1566"/>
      <c r="E72" s="1566"/>
      <c r="F72" s="62"/>
      <c r="G72"/>
    </row>
    <row r="73" spans="1:7" x14ac:dyDescent="0.25">
      <c r="A73" s="183" t="s">
        <v>916</v>
      </c>
      <c r="B73" s="97" t="s">
        <v>743</v>
      </c>
      <c r="C73" s="97" t="s">
        <v>1566</v>
      </c>
      <c r="D73" s="76" t="s">
        <v>1035</v>
      </c>
      <c r="E73" s="77" t="s">
        <v>1549</v>
      </c>
      <c r="F73" s="194"/>
    </row>
    <row r="74" spans="1:7" x14ac:dyDescent="0.25">
      <c r="A74" s="1613" t="s">
        <v>1581</v>
      </c>
      <c r="B74" s="98" t="s">
        <v>1582</v>
      </c>
      <c r="C74" s="98">
        <v>7</v>
      </c>
      <c r="D74" s="102">
        <f>PERLAS!F4</f>
        <v>81</v>
      </c>
      <c r="E74" s="39">
        <f t="shared" ref="E74:E83" si="3">D74*C74</f>
        <v>567</v>
      </c>
      <c r="F74" s="1"/>
    </row>
    <row r="75" spans="1:7" x14ac:dyDescent="0.25">
      <c r="A75" s="1614"/>
      <c r="B75" s="98" t="s">
        <v>1583</v>
      </c>
      <c r="C75" s="98">
        <v>12</v>
      </c>
      <c r="D75" s="102" t="e">
        <f>PIEDRAS!#REF!</f>
        <v>#REF!</v>
      </c>
      <c r="E75" s="39" t="e">
        <f t="shared" si="3"/>
        <v>#REF!</v>
      </c>
      <c r="F75" s="1"/>
    </row>
    <row r="76" spans="1:7" x14ac:dyDescent="0.25">
      <c r="A76" s="1614"/>
      <c r="B76" s="98" t="s">
        <v>1584</v>
      </c>
      <c r="C76" s="98">
        <v>16</v>
      </c>
      <c r="D76" s="102" t="e">
        <f>PIEDRAS!#REF!</f>
        <v>#REF!</v>
      </c>
      <c r="E76" s="39" t="e">
        <f t="shared" si="3"/>
        <v>#REF!</v>
      </c>
      <c r="F76" s="1"/>
    </row>
    <row r="77" spans="1:7" x14ac:dyDescent="0.25">
      <c r="A77" s="1615"/>
      <c r="B77" s="98" t="s">
        <v>1336</v>
      </c>
      <c r="C77" s="98">
        <v>2</v>
      </c>
      <c r="D77" s="102" t="e">
        <f>PIEDRAS!#REF!</f>
        <v>#REF!</v>
      </c>
      <c r="E77" s="39" t="e">
        <f t="shared" si="3"/>
        <v>#REF!</v>
      </c>
      <c r="F77" s="1"/>
    </row>
    <row r="78" spans="1:7" x14ac:dyDescent="0.25">
      <c r="A78" s="185" t="s">
        <v>1498</v>
      </c>
      <c r="B78" s="98"/>
      <c r="C78" s="98">
        <v>6</v>
      </c>
      <c r="D78" s="102">
        <f>'RESINA - ACRILICOS'!D3</f>
        <v>1.2061016949152543</v>
      </c>
      <c r="E78" s="39">
        <f t="shared" si="3"/>
        <v>7.2366101694915255</v>
      </c>
      <c r="F78" s="1"/>
    </row>
    <row r="79" spans="1:7" x14ac:dyDescent="0.25">
      <c r="A79" s="185" t="s">
        <v>1585</v>
      </c>
      <c r="B79" s="98"/>
      <c r="C79" s="98">
        <v>32</v>
      </c>
      <c r="D79" s="102">
        <f>'PALAIS DU BIJOU'!O17</f>
        <v>3.4375</v>
      </c>
      <c r="E79" s="39">
        <f t="shared" si="3"/>
        <v>110</v>
      </c>
      <c r="F79" s="1"/>
    </row>
    <row r="80" spans="1:7" x14ac:dyDescent="0.25">
      <c r="A80" s="185" t="s">
        <v>1424</v>
      </c>
      <c r="B80" s="98"/>
      <c r="C80" s="98">
        <v>0.42</v>
      </c>
      <c r="D80" s="102">
        <f>'HILOS-CORDONES-TANZA-CUERO'!L9</f>
        <v>30</v>
      </c>
      <c r="E80" s="39">
        <f t="shared" si="3"/>
        <v>12.6</v>
      </c>
      <c r="F80" s="1"/>
    </row>
    <row r="81" spans="1:12" x14ac:dyDescent="0.25">
      <c r="A81" s="185" t="s">
        <v>1586</v>
      </c>
      <c r="B81" s="98"/>
      <c r="C81" s="98">
        <v>2</v>
      </c>
      <c r="D81" s="102">
        <f>FORNITURAS!D17</f>
        <v>45.05</v>
      </c>
      <c r="E81" s="39">
        <f t="shared" si="3"/>
        <v>90.1</v>
      </c>
      <c r="F81" s="1"/>
    </row>
    <row r="82" spans="1:12" x14ac:dyDescent="0.25">
      <c r="A82" s="185" t="s">
        <v>908</v>
      </c>
      <c r="B82" s="98"/>
      <c r="C82" s="98">
        <v>0.1</v>
      </c>
      <c r="D82" s="102">
        <f>'AROS, CADENAS, DIJES, ETC'!I38</f>
        <v>3630</v>
      </c>
      <c r="E82" s="39">
        <f t="shared" si="3"/>
        <v>363</v>
      </c>
      <c r="F82" s="1"/>
    </row>
    <row r="83" spans="1:12" x14ac:dyDescent="0.25">
      <c r="A83" s="185" t="s">
        <v>1587</v>
      </c>
      <c r="B83" s="98"/>
      <c r="C83" s="98">
        <v>1</v>
      </c>
      <c r="D83" s="102" t="e">
        <f>'AROS, CADENAS, DIJES, ETC'!#REF!</f>
        <v>#REF!</v>
      </c>
      <c r="E83" s="39" t="e">
        <f t="shared" si="3"/>
        <v>#REF!</v>
      </c>
      <c r="F83" s="1"/>
    </row>
    <row r="84" spans="1:12" x14ac:dyDescent="0.25">
      <c r="A84" s="1613" t="s">
        <v>1588</v>
      </c>
      <c r="B84" s="98" t="s">
        <v>1589</v>
      </c>
      <c r="C84" s="98"/>
      <c r="D84" s="2"/>
      <c r="E84" s="39" t="e">
        <f>PACKAGING!#REF!</f>
        <v>#REF!</v>
      </c>
      <c r="F84" s="1"/>
    </row>
    <row r="85" spans="1:12" x14ac:dyDescent="0.25">
      <c r="A85" s="1615"/>
      <c r="B85" s="98" t="s">
        <v>1535</v>
      </c>
      <c r="C85" s="98"/>
      <c r="D85" s="2"/>
      <c r="E85" s="39">
        <f>PACKAGING!E4</f>
        <v>80</v>
      </c>
      <c r="F85" s="1"/>
    </row>
    <row r="86" spans="1:12" x14ac:dyDescent="0.25">
      <c r="A86" s="104" t="s">
        <v>1537</v>
      </c>
      <c r="B86" s="98"/>
      <c r="C86" s="98"/>
      <c r="D86" s="2"/>
      <c r="E86" s="39">
        <f>PACKAGING!E3</f>
        <v>150</v>
      </c>
      <c r="F86" s="1"/>
    </row>
    <row r="87" spans="1:12" x14ac:dyDescent="0.25">
      <c r="A87" s="3" t="s">
        <v>1590</v>
      </c>
      <c r="B87" s="98"/>
      <c r="C87" s="98"/>
      <c r="D87" s="2"/>
      <c r="E87" s="39">
        <v>60</v>
      </c>
      <c r="F87" s="1"/>
    </row>
    <row r="88" spans="1:12" x14ac:dyDescent="0.25">
      <c r="A88" s="3" t="s">
        <v>908</v>
      </c>
      <c r="B88" s="98"/>
      <c r="C88" s="98"/>
      <c r="D88" s="2"/>
      <c r="E88" s="39">
        <v>20</v>
      </c>
      <c r="F88" s="1"/>
    </row>
    <row r="89" spans="1:12" ht="16.5" thickBot="1" x14ac:dyDescent="0.3">
      <c r="A89" s="79" t="s">
        <v>525</v>
      </c>
      <c r="B89" s="99"/>
      <c r="C89" s="99"/>
      <c r="D89" s="70"/>
      <c r="E89" s="51" t="e">
        <f>SUM(E74:E88)</f>
        <v>#REF!</v>
      </c>
      <c r="F89" s="1"/>
    </row>
    <row r="90" spans="1:12" ht="18.75" x14ac:dyDescent="0.25">
      <c r="A90" s="80" t="s">
        <v>544</v>
      </c>
      <c r="B90" s="100"/>
      <c r="C90" s="100"/>
      <c r="D90" s="71"/>
      <c r="E90" s="72" t="e">
        <f>E89*2</f>
        <v>#REF!</v>
      </c>
      <c r="F90" s="75">
        <v>1340</v>
      </c>
    </row>
    <row r="91" spans="1:12" ht="19.5" thickBot="1" x14ac:dyDescent="0.3">
      <c r="A91" s="81" t="s">
        <v>1559</v>
      </c>
      <c r="B91" s="101"/>
      <c r="C91" s="101"/>
      <c r="D91" s="73"/>
      <c r="E91" s="73"/>
      <c r="F91" s="74">
        <f>F90*2</f>
        <v>2680</v>
      </c>
    </row>
    <row r="93" spans="1:12" x14ac:dyDescent="0.25">
      <c r="A93" s="1601" t="s">
        <v>1591</v>
      </c>
      <c r="B93" s="1588"/>
      <c r="C93" s="1588"/>
      <c r="D93" s="1588"/>
      <c r="E93" s="1588"/>
      <c r="F93" s="1"/>
      <c r="H93" s="1688" t="s">
        <v>1592</v>
      </c>
      <c r="I93" s="1571"/>
      <c r="J93" s="1571"/>
      <c r="K93" s="1571"/>
      <c r="L93" s="23"/>
    </row>
    <row r="94" spans="1:12" x14ac:dyDescent="0.25">
      <c r="A94" s="183" t="s">
        <v>916</v>
      </c>
      <c r="B94" s="97" t="s">
        <v>1089</v>
      </c>
      <c r="C94" s="76" t="s">
        <v>1547</v>
      </c>
      <c r="D94" s="108" t="s">
        <v>1035</v>
      </c>
      <c r="E94" s="77" t="s">
        <v>1549</v>
      </c>
      <c r="F94" s="1"/>
      <c r="H94" s="183" t="s">
        <v>916</v>
      </c>
      <c r="I94" s="76" t="s">
        <v>1547</v>
      </c>
      <c r="J94" s="108" t="s">
        <v>1035</v>
      </c>
      <c r="K94" s="77" t="s">
        <v>1549</v>
      </c>
      <c r="L94" s="194"/>
    </row>
    <row r="95" spans="1:12" x14ac:dyDescent="0.25">
      <c r="A95" s="1613" t="s">
        <v>1224</v>
      </c>
      <c r="B95" s="2"/>
      <c r="C95" s="107">
        <v>0.28000000000000003</v>
      </c>
      <c r="D95" s="109">
        <f>'HILOS-CORDONES-TANZA-CUERO'!E3</f>
        <v>50.35</v>
      </c>
      <c r="E95" s="110">
        <f>D95*C95</f>
        <v>14.098000000000003</v>
      </c>
      <c r="F95" s="1"/>
      <c r="H95" s="104" t="s">
        <v>1593</v>
      </c>
      <c r="I95" s="107">
        <v>7</v>
      </c>
      <c r="J95" s="109">
        <f>PIEDRAS!K24</f>
        <v>300</v>
      </c>
      <c r="K95" s="110">
        <f>I95*J95</f>
        <v>2100</v>
      </c>
      <c r="L95" s="1"/>
    </row>
    <row r="96" spans="1:12" x14ac:dyDescent="0.25">
      <c r="A96" s="1615"/>
      <c r="B96" s="2"/>
      <c r="C96" s="107">
        <v>0.1</v>
      </c>
      <c r="D96" s="109">
        <f>'HILOS-CORDONES-TANZA-CUERO'!E3</f>
        <v>50.35</v>
      </c>
      <c r="E96" s="110">
        <f>D96*C96</f>
        <v>5.0350000000000001</v>
      </c>
      <c r="F96" s="1"/>
      <c r="H96" s="189" t="s">
        <v>1198</v>
      </c>
      <c r="I96" s="2">
        <v>25</v>
      </c>
      <c r="J96" s="109">
        <f>'RESINA - ACRILICOS'!D12</f>
        <v>2.9411764705882355</v>
      </c>
      <c r="K96" s="110">
        <f>I96*J96</f>
        <v>73.529411764705884</v>
      </c>
      <c r="L96" s="1"/>
    </row>
    <row r="97" spans="1:12" x14ac:dyDescent="0.25">
      <c r="A97" s="104" t="s">
        <v>1374</v>
      </c>
      <c r="B97" s="2">
        <v>0.01</v>
      </c>
      <c r="C97" s="107">
        <v>2</v>
      </c>
      <c r="D97" s="109">
        <f>'PALAIS DU BIJOU'!N3</f>
        <v>170</v>
      </c>
      <c r="E97" s="110">
        <f>D97*C97*B97</f>
        <v>3.4</v>
      </c>
      <c r="F97" s="1"/>
      <c r="H97" s="104" t="s">
        <v>1594</v>
      </c>
      <c r="I97" s="2">
        <v>0.27</v>
      </c>
      <c r="J97" s="109">
        <f>'HILOS-CORDONES-TANZA-CUERO'!L5</f>
        <v>7.34</v>
      </c>
      <c r="K97" s="110">
        <f>I97*J97</f>
        <v>1.9818</v>
      </c>
      <c r="L97" s="1"/>
    </row>
    <row r="98" spans="1:12" x14ac:dyDescent="0.25">
      <c r="A98" s="104" t="s">
        <v>1498</v>
      </c>
      <c r="B98" s="2"/>
      <c r="C98" s="107">
        <v>7</v>
      </c>
      <c r="D98" s="109">
        <f>'RESINA - ACRILICOS'!D3</f>
        <v>1.2061016949152543</v>
      </c>
      <c r="E98" s="110">
        <f>D98*C98</f>
        <v>8.44271186440678</v>
      </c>
      <c r="F98" s="1"/>
      <c r="H98" s="3" t="s">
        <v>1557</v>
      </c>
      <c r="I98" s="2"/>
      <c r="J98" s="6"/>
      <c r="K98" s="39">
        <f>PACKAGING!E3</f>
        <v>150</v>
      </c>
      <c r="L98" s="1"/>
    </row>
    <row r="99" spans="1:12" x14ac:dyDescent="0.25">
      <c r="A99" s="104" t="s">
        <v>1018</v>
      </c>
      <c r="B99" s="2"/>
      <c r="C99" s="2">
        <v>2</v>
      </c>
      <c r="D99" s="109">
        <f>FORNITURAS!D26</f>
        <v>297.14285714285717</v>
      </c>
      <c r="E99" s="110">
        <f>D99*C99</f>
        <v>594.28571428571433</v>
      </c>
      <c r="F99" s="1"/>
      <c r="H99" s="3" t="s">
        <v>1558</v>
      </c>
      <c r="I99" s="2"/>
      <c r="J99" s="6"/>
      <c r="K99" s="39">
        <v>30</v>
      </c>
      <c r="L99" s="1"/>
    </row>
    <row r="100" spans="1:12" ht="16.5" thickBot="1" x14ac:dyDescent="0.3">
      <c r="A100" s="104" t="s">
        <v>1595</v>
      </c>
      <c r="B100" s="98"/>
      <c r="C100" s="2">
        <v>2</v>
      </c>
      <c r="D100" s="109">
        <f>FORNITURAS!D17</f>
        <v>45.05</v>
      </c>
      <c r="E100" s="110">
        <f>D100*C100</f>
        <v>90.1</v>
      </c>
      <c r="F100" s="1"/>
      <c r="H100" s="79" t="s">
        <v>525</v>
      </c>
      <c r="I100" s="70"/>
      <c r="J100" s="85"/>
      <c r="K100" s="51">
        <f>SUM(K95:K99)</f>
        <v>2355.5112117647059</v>
      </c>
      <c r="L100" s="1"/>
    </row>
    <row r="101" spans="1:12" ht="18.75" x14ac:dyDescent="0.25">
      <c r="A101" s="3" t="s">
        <v>1557</v>
      </c>
      <c r="B101" s="98"/>
      <c r="C101" s="2"/>
      <c r="D101" s="6"/>
      <c r="E101" s="39">
        <f>PACKAGING!E12</f>
        <v>50</v>
      </c>
      <c r="F101" s="1"/>
      <c r="H101" s="80" t="s">
        <v>544</v>
      </c>
      <c r="I101" s="71"/>
      <c r="J101" s="71"/>
      <c r="K101" s="72">
        <f>K100*2</f>
        <v>4711.0224235294118</v>
      </c>
      <c r="L101" s="75">
        <v>310</v>
      </c>
    </row>
    <row r="102" spans="1:12" ht="19.5" thickBot="1" x14ac:dyDescent="0.3">
      <c r="A102" s="3" t="s">
        <v>1558</v>
      </c>
      <c r="B102" s="98"/>
      <c r="C102" s="2"/>
      <c r="D102" s="6"/>
      <c r="E102" s="39">
        <v>35</v>
      </c>
      <c r="F102" s="1"/>
      <c r="H102" s="81" t="s">
        <v>1559</v>
      </c>
      <c r="I102" s="73"/>
      <c r="J102" s="73"/>
      <c r="K102" s="73"/>
      <c r="L102" s="74">
        <f>L101*2</f>
        <v>620</v>
      </c>
    </row>
    <row r="103" spans="1:12" ht="16.5" thickBot="1" x14ac:dyDescent="0.3">
      <c r="A103" s="79" t="s">
        <v>525</v>
      </c>
      <c r="B103" s="99"/>
      <c r="C103" s="70"/>
      <c r="D103" s="85"/>
      <c r="E103" s="51">
        <f>SUM(E95:E102)</f>
        <v>800.36142615012113</v>
      </c>
      <c r="F103" s="1"/>
    </row>
    <row r="104" spans="1:12" ht="18.75" x14ac:dyDescent="0.25">
      <c r="A104" s="80" t="s">
        <v>544</v>
      </c>
      <c r="B104" s="100"/>
      <c r="C104" s="71"/>
      <c r="D104" s="71"/>
      <c r="E104" s="72">
        <f>E103*2</f>
        <v>1600.7228523002423</v>
      </c>
      <c r="F104" s="75">
        <v>180</v>
      </c>
    </row>
    <row r="105" spans="1:12" ht="19.5" thickBot="1" x14ac:dyDescent="0.3">
      <c r="A105" s="81" t="s">
        <v>1559</v>
      </c>
      <c r="B105" s="101"/>
      <c r="C105" s="73"/>
      <c r="D105" s="73"/>
      <c r="E105" s="73"/>
      <c r="F105" s="74">
        <f>F104*2</f>
        <v>360</v>
      </c>
    </row>
    <row r="107" spans="1:12" ht="15.6" customHeight="1" x14ac:dyDescent="0.25">
      <c r="A107" s="1602" t="s">
        <v>1596</v>
      </c>
      <c r="B107" s="1600"/>
      <c r="C107" s="1600"/>
      <c r="D107" s="1600"/>
      <c r="E107" s="1600"/>
      <c r="F107" s="1600"/>
      <c r="G107" s="1"/>
    </row>
    <row r="108" spans="1:12" x14ac:dyDescent="0.25">
      <c r="A108" s="183" t="s">
        <v>916</v>
      </c>
      <c r="B108" s="97" t="s">
        <v>743</v>
      </c>
      <c r="C108" s="97" t="s">
        <v>1089</v>
      </c>
      <c r="D108" s="76" t="s">
        <v>1547</v>
      </c>
      <c r="E108" s="108" t="s">
        <v>1035</v>
      </c>
      <c r="F108" s="77" t="s">
        <v>1549</v>
      </c>
      <c r="G108" s="1"/>
    </row>
    <row r="109" spans="1:12" x14ac:dyDescent="0.25">
      <c r="A109" s="184" t="s">
        <v>1597</v>
      </c>
      <c r="B109" s="2" t="s">
        <v>1336</v>
      </c>
      <c r="C109" s="190"/>
      <c r="D109" s="107">
        <v>1</v>
      </c>
      <c r="E109" s="109" t="e">
        <f>PIEDRAS!#REF!</f>
        <v>#REF!</v>
      </c>
      <c r="F109" s="110" t="e">
        <f>D109*E109</f>
        <v>#REF!</v>
      </c>
      <c r="G109" s="1"/>
    </row>
    <row r="110" spans="1:12" x14ac:dyDescent="0.25">
      <c r="A110" s="1701" t="s">
        <v>1552</v>
      </c>
      <c r="B110" s="2">
        <v>0.39</v>
      </c>
      <c r="C110" s="190">
        <v>0.01</v>
      </c>
      <c r="D110" s="107">
        <v>2</v>
      </c>
      <c r="E110" s="109">
        <f>'PALAIS DU BIJOU'!N3</f>
        <v>170</v>
      </c>
      <c r="F110" s="110">
        <f>(E110*C110/B110)*D110</f>
        <v>8.7179487179487172</v>
      </c>
      <c r="G110" s="1"/>
    </row>
    <row r="111" spans="1:12" x14ac:dyDescent="0.25">
      <c r="A111" s="1711"/>
      <c r="B111" s="2">
        <v>0.39</v>
      </c>
      <c r="C111" s="190">
        <v>0.03</v>
      </c>
      <c r="D111" s="107">
        <v>2</v>
      </c>
      <c r="E111" s="109">
        <f>'PALAIS DU BIJOU'!N3</f>
        <v>170</v>
      </c>
      <c r="F111" s="110">
        <f>(E111*C111/B111)*D111</f>
        <v>26.15384615384615</v>
      </c>
      <c r="G111" s="1"/>
    </row>
    <row r="112" spans="1:12" x14ac:dyDescent="0.25">
      <c r="A112" s="1702"/>
      <c r="B112" s="2">
        <v>0.39</v>
      </c>
      <c r="C112" s="190">
        <v>3.5000000000000003E-2</v>
      </c>
      <c r="D112" s="107">
        <v>2</v>
      </c>
      <c r="E112" s="109">
        <f>'PALAIS DU BIJOU'!N3</f>
        <v>170</v>
      </c>
      <c r="F112" s="110">
        <f>(E112*C112/B112)*D112</f>
        <v>30.512820512820511</v>
      </c>
      <c r="G112" s="1"/>
    </row>
    <row r="113" spans="1:7" x14ac:dyDescent="0.25">
      <c r="A113" s="191" t="s">
        <v>1598</v>
      </c>
      <c r="B113" s="2"/>
      <c r="C113" s="2"/>
      <c r="D113" s="2">
        <v>4</v>
      </c>
      <c r="E113" s="109">
        <f>'INS VARIOS'!N25</f>
        <v>3.5</v>
      </c>
      <c r="F113" s="110">
        <f>D113*E113</f>
        <v>14</v>
      </c>
      <c r="G113" s="1"/>
    </row>
    <row r="114" spans="1:7" x14ac:dyDescent="0.25">
      <c r="A114" s="191" t="s">
        <v>1018</v>
      </c>
      <c r="B114" s="98"/>
      <c r="C114" s="98"/>
      <c r="D114" s="2">
        <v>2</v>
      </c>
      <c r="E114" s="109">
        <f>FORNITURAS!D26</f>
        <v>297.14285714285717</v>
      </c>
      <c r="F114" s="110">
        <f>E114*D114</f>
        <v>594.28571428571433</v>
      </c>
      <c r="G114" s="1"/>
    </row>
    <row r="115" spans="1:7" x14ac:dyDescent="0.25">
      <c r="A115" s="104" t="s">
        <v>1594</v>
      </c>
      <c r="B115" s="98"/>
      <c r="C115" s="98">
        <v>0.28999999999999998</v>
      </c>
      <c r="D115" s="2">
        <v>1</v>
      </c>
      <c r="E115" s="109">
        <f>'HILOS-CORDONES-TANZA-CUERO'!L5</f>
        <v>7.34</v>
      </c>
      <c r="F115" s="110">
        <f>E115*D115*C115</f>
        <v>2.1285999999999996</v>
      </c>
      <c r="G115" s="1"/>
    </row>
    <row r="116" spans="1:7" x14ac:dyDescent="0.25">
      <c r="A116" s="3" t="s">
        <v>1557</v>
      </c>
      <c r="B116" s="98"/>
      <c r="C116" s="98"/>
      <c r="D116" s="2"/>
      <c r="E116" s="6"/>
      <c r="F116" s="39">
        <f>PACKAGING!E12</f>
        <v>50</v>
      </c>
      <c r="G116" s="1"/>
    </row>
    <row r="117" spans="1:7" x14ac:dyDescent="0.25">
      <c r="A117" s="3" t="s">
        <v>1558</v>
      </c>
      <c r="B117" s="98"/>
      <c r="C117" s="98"/>
      <c r="D117" s="2"/>
      <c r="E117" s="6"/>
      <c r="F117" s="39">
        <v>50</v>
      </c>
      <c r="G117" s="1"/>
    </row>
    <row r="118" spans="1:7" ht="16.5" thickBot="1" x14ac:dyDescent="0.3">
      <c r="A118" s="79" t="s">
        <v>525</v>
      </c>
      <c r="B118" s="99"/>
      <c r="C118" s="99"/>
      <c r="D118" s="70"/>
      <c r="E118" s="85"/>
      <c r="F118" s="51" t="e">
        <f>SUM(F109:F117)</f>
        <v>#REF!</v>
      </c>
      <c r="G118" s="1"/>
    </row>
    <row r="119" spans="1:7" ht="18.75" x14ac:dyDescent="0.25">
      <c r="A119" s="80" t="s">
        <v>544</v>
      </c>
      <c r="B119" s="100"/>
      <c r="C119" s="100"/>
      <c r="D119" s="71"/>
      <c r="E119" s="71"/>
      <c r="F119" s="72" t="e">
        <f>F118*2</f>
        <v>#REF!</v>
      </c>
      <c r="G119" s="75">
        <v>420</v>
      </c>
    </row>
    <row r="120" spans="1:7" ht="19.5" thickBot="1" x14ac:dyDescent="0.3">
      <c r="A120" s="81" t="s">
        <v>1559</v>
      </c>
      <c r="B120" s="101"/>
      <c r="C120" s="101"/>
      <c r="D120" s="73"/>
      <c r="E120" s="73"/>
      <c r="F120" s="73"/>
      <c r="G120" s="74">
        <f>G119*2</f>
        <v>840</v>
      </c>
    </row>
    <row r="122" spans="1:7" x14ac:dyDescent="0.25">
      <c r="A122" s="1601" t="s">
        <v>1599</v>
      </c>
      <c r="B122" s="1588"/>
      <c r="C122" s="1588"/>
      <c r="D122" s="1588"/>
      <c r="E122" s="1588"/>
      <c r="F122" s="188"/>
    </row>
    <row r="123" spans="1:7" x14ac:dyDescent="0.25">
      <c r="A123" s="35"/>
      <c r="B123" s="36" t="s">
        <v>1073</v>
      </c>
      <c r="C123" s="64" t="s">
        <v>1566</v>
      </c>
      <c r="D123" s="64" t="s">
        <v>747</v>
      </c>
      <c r="E123" s="37" t="s">
        <v>1549</v>
      </c>
      <c r="F123" s="1"/>
    </row>
    <row r="124" spans="1:7" x14ac:dyDescent="0.25">
      <c r="A124" s="3" t="s">
        <v>1600</v>
      </c>
      <c r="B124" s="2"/>
      <c r="C124" s="6">
        <v>2</v>
      </c>
      <c r="D124" s="66">
        <f>'AROS, CADENAS, DIJES, ETC'!D120</f>
        <v>32</v>
      </c>
      <c r="E124" s="39">
        <f>D124*C124</f>
        <v>64</v>
      </c>
      <c r="F124" s="1"/>
    </row>
    <row r="125" spans="1:7" x14ac:dyDescent="0.25">
      <c r="A125" s="3" t="s">
        <v>1557</v>
      </c>
      <c r="B125" s="2"/>
      <c r="C125" s="6"/>
      <c r="D125" s="66"/>
      <c r="E125" s="39">
        <f>PACKAGING!E3</f>
        <v>150</v>
      </c>
      <c r="F125" s="1"/>
    </row>
    <row r="126" spans="1:7" x14ac:dyDescent="0.25">
      <c r="A126" s="3" t="s">
        <v>1538</v>
      </c>
      <c r="B126" s="2"/>
      <c r="C126" s="6"/>
      <c r="D126" s="66"/>
      <c r="E126" s="39">
        <f>PACKAGING!E8</f>
        <v>420</v>
      </c>
      <c r="F126" s="1"/>
    </row>
    <row r="127" spans="1:7" x14ac:dyDescent="0.25">
      <c r="A127" s="3" t="s">
        <v>1558</v>
      </c>
      <c r="B127" s="2"/>
      <c r="C127" s="6"/>
      <c r="D127" s="66"/>
      <c r="E127" s="39">
        <v>20</v>
      </c>
      <c r="F127" s="1"/>
    </row>
    <row r="128" spans="1:7" ht="16.5" thickBot="1" x14ac:dyDescent="0.3">
      <c r="A128" s="45" t="s">
        <v>525</v>
      </c>
      <c r="B128" s="46"/>
      <c r="C128" s="65"/>
      <c r="D128" s="65"/>
      <c r="E128" s="50">
        <f>SUM(E124:E127)</f>
        <v>654</v>
      </c>
      <c r="F128" s="38"/>
    </row>
    <row r="129" spans="1:7" x14ac:dyDescent="0.25">
      <c r="A129" s="47" t="s">
        <v>544</v>
      </c>
      <c r="B129" s="42"/>
      <c r="C129" s="42"/>
      <c r="D129" s="42"/>
      <c r="E129" s="55">
        <f>E128*2</f>
        <v>1308</v>
      </c>
      <c r="F129" s="49"/>
    </row>
    <row r="130" spans="1:7" ht="16.5" thickBot="1" x14ac:dyDescent="0.3">
      <c r="A130" s="52" t="s">
        <v>1559</v>
      </c>
      <c r="B130" s="53"/>
      <c r="C130" s="53"/>
      <c r="D130" s="53"/>
      <c r="E130" s="57"/>
      <c r="F130" s="54">
        <f>F129*2</f>
        <v>0</v>
      </c>
    </row>
    <row r="132" spans="1:7" x14ac:dyDescent="0.25">
      <c r="A132" s="1601" t="s">
        <v>1601</v>
      </c>
      <c r="B132" s="1588"/>
      <c r="C132" s="1588"/>
      <c r="D132" s="1588"/>
      <c r="E132" s="1588"/>
      <c r="F132" s="188"/>
    </row>
    <row r="133" spans="1:7" x14ac:dyDescent="0.25">
      <c r="A133" s="35"/>
      <c r="B133" s="36" t="s">
        <v>1073</v>
      </c>
      <c r="C133" s="64" t="s">
        <v>1566</v>
      </c>
      <c r="D133" s="64" t="s">
        <v>747</v>
      </c>
      <c r="E133" s="37" t="s">
        <v>1549</v>
      </c>
      <c r="F133" s="1"/>
    </row>
    <row r="134" spans="1:7" x14ac:dyDescent="0.25">
      <c r="A134" s="3" t="s">
        <v>965</v>
      </c>
      <c r="B134" s="2"/>
      <c r="C134" s="6">
        <v>1</v>
      </c>
      <c r="D134" s="66">
        <f>'AROS, CADENAS, DIJES, ETC'!B87</f>
        <v>0</v>
      </c>
      <c r="E134" s="39">
        <f>D134*C134</f>
        <v>0</v>
      </c>
      <c r="F134" s="1"/>
    </row>
    <row r="135" spans="1:7" x14ac:dyDescent="0.25">
      <c r="A135" s="3" t="s">
        <v>1557</v>
      </c>
      <c r="B135" s="2"/>
      <c r="C135" s="6"/>
      <c r="D135" s="66"/>
      <c r="E135" s="39">
        <f>PACKAGING!E3</f>
        <v>150</v>
      </c>
      <c r="F135" s="1"/>
    </row>
    <row r="136" spans="1:7" ht="16.5" thickBot="1" x14ac:dyDescent="0.3">
      <c r="A136" s="45" t="s">
        <v>525</v>
      </c>
      <c r="B136" s="46"/>
      <c r="C136" s="65"/>
      <c r="D136" s="65"/>
      <c r="E136" s="50">
        <f>SUM(E134:E135)</f>
        <v>150</v>
      </c>
      <c r="F136" s="38"/>
    </row>
    <row r="137" spans="1:7" x14ac:dyDescent="0.25">
      <c r="A137" s="47" t="s">
        <v>544</v>
      </c>
      <c r="B137" s="42"/>
      <c r="C137" s="42"/>
      <c r="D137" s="42"/>
      <c r="E137" s="55">
        <f>E136*2</f>
        <v>300</v>
      </c>
      <c r="F137" s="49"/>
    </row>
    <row r="138" spans="1:7" ht="16.5" thickBot="1" x14ac:dyDescent="0.3">
      <c r="A138" s="52" t="s">
        <v>1559</v>
      </c>
      <c r="B138" s="53"/>
      <c r="C138" s="53"/>
      <c r="D138" s="53"/>
      <c r="E138" s="57"/>
      <c r="F138" s="54">
        <f>F137*2</f>
        <v>0</v>
      </c>
    </row>
    <row r="142" spans="1:7" x14ac:dyDescent="0.25">
      <c r="A142" s="1602" t="s">
        <v>1602</v>
      </c>
      <c r="B142" s="1600"/>
      <c r="C142" s="1600"/>
      <c r="D142" s="1600"/>
      <c r="E142" s="1600"/>
      <c r="F142" s="1600"/>
    </row>
    <row r="143" spans="1:7" x14ac:dyDescent="0.25">
      <c r="A143" s="183" t="s">
        <v>916</v>
      </c>
      <c r="B143" s="97" t="s">
        <v>743</v>
      </c>
      <c r="C143" s="97" t="s">
        <v>1194</v>
      </c>
      <c r="D143" s="97" t="s">
        <v>1603</v>
      </c>
      <c r="E143" s="76" t="s">
        <v>1035</v>
      </c>
      <c r="F143" s="77" t="s">
        <v>1549</v>
      </c>
      <c r="G143" s="1"/>
    </row>
    <row r="144" spans="1:7" x14ac:dyDescent="0.25">
      <c r="A144" s="184" t="s">
        <v>1581</v>
      </c>
      <c r="B144" s="98" t="s">
        <v>1582</v>
      </c>
      <c r="C144" s="98">
        <v>0.35</v>
      </c>
      <c r="D144" s="98">
        <v>0.24</v>
      </c>
      <c r="E144" s="102">
        <f>PERLAS!E4</f>
        <v>6480</v>
      </c>
      <c r="F144" s="39">
        <f>E144*D144/C144</f>
        <v>4443.4285714285716</v>
      </c>
      <c r="G144" s="1"/>
    </row>
    <row r="145" spans="1:7" x14ac:dyDescent="0.25">
      <c r="A145" s="184" t="s">
        <v>1604</v>
      </c>
      <c r="B145" s="98" t="s">
        <v>1605</v>
      </c>
      <c r="C145" s="98"/>
      <c r="D145" s="98">
        <v>1</v>
      </c>
      <c r="E145" s="102" t="e">
        <f>'AROS, CADENAS, DIJES, ETC'!#REF!</f>
        <v>#REF!</v>
      </c>
      <c r="F145" s="39" t="e">
        <f>D145*E145</f>
        <v>#REF!</v>
      </c>
      <c r="G145" s="1"/>
    </row>
    <row r="146" spans="1:7" x14ac:dyDescent="0.25">
      <c r="A146" s="184" t="s">
        <v>1594</v>
      </c>
      <c r="B146" s="98"/>
      <c r="C146" s="98"/>
      <c r="D146" s="98">
        <v>0.34</v>
      </c>
      <c r="E146" s="102">
        <f>'HILOS-CORDONES-TANZA-CUERO'!L5</f>
        <v>7.34</v>
      </c>
      <c r="F146" s="39">
        <f>D146*E146</f>
        <v>2.4956</v>
      </c>
      <c r="G146" s="1"/>
    </row>
    <row r="147" spans="1:7" x14ac:dyDescent="0.25">
      <c r="A147" s="3" t="s">
        <v>1557</v>
      </c>
      <c r="B147" s="98"/>
      <c r="C147" s="98"/>
      <c r="D147" s="98"/>
      <c r="E147" s="102"/>
      <c r="F147" s="39">
        <f>PACKAGING!E12</f>
        <v>50</v>
      </c>
      <c r="G147" s="1"/>
    </row>
    <row r="148" spans="1:7" x14ac:dyDescent="0.25">
      <c r="A148" s="104" t="s">
        <v>1590</v>
      </c>
      <c r="B148" s="98"/>
      <c r="C148" s="98"/>
      <c r="D148" s="98"/>
      <c r="E148" s="2"/>
      <c r="F148" s="39">
        <v>40</v>
      </c>
      <c r="G148" s="1"/>
    </row>
    <row r="149" spans="1:7" ht="16.5" thickBot="1" x14ac:dyDescent="0.3">
      <c r="A149" s="79" t="s">
        <v>525</v>
      </c>
      <c r="B149" s="99"/>
      <c r="C149" s="99"/>
      <c r="D149" s="99"/>
      <c r="E149" s="70"/>
      <c r="F149" s="51" t="e">
        <f>SUM(F144:F148)</f>
        <v>#REF!</v>
      </c>
      <c r="G149" s="1"/>
    </row>
    <row r="150" spans="1:7" x14ac:dyDescent="0.25">
      <c r="A150" s="80" t="s">
        <v>544</v>
      </c>
      <c r="B150" s="100"/>
      <c r="C150" s="100"/>
      <c r="D150" s="100"/>
      <c r="E150" s="71"/>
      <c r="F150" s="72" t="e">
        <f>F149*2</f>
        <v>#REF!</v>
      </c>
      <c r="G150" s="203">
        <v>740</v>
      </c>
    </row>
    <row r="151" spans="1:7" ht="16.5" thickBot="1" x14ac:dyDescent="0.3">
      <c r="A151" s="81" t="s">
        <v>1559</v>
      </c>
      <c r="B151" s="101"/>
      <c r="C151" s="101"/>
      <c r="D151" s="101"/>
      <c r="E151" s="73"/>
      <c r="F151" s="73"/>
      <c r="G151" s="204">
        <f>G150*2</f>
        <v>1480</v>
      </c>
    </row>
    <row r="152" spans="1:7" ht="16.5" thickBot="1" x14ac:dyDescent="0.3"/>
    <row r="153" spans="1:7" ht="16.5" thickBot="1" x14ac:dyDescent="0.3">
      <c r="A153" s="1565" t="s">
        <v>1606</v>
      </c>
      <c r="B153" s="1566"/>
      <c r="C153" s="1566"/>
      <c r="D153" s="1566"/>
      <c r="E153" s="1566"/>
      <c r="F153" s="1567"/>
      <c r="G153"/>
    </row>
    <row r="154" spans="1:7" ht="15.95" customHeight="1" x14ac:dyDescent="0.25">
      <c r="A154" s="183" t="s">
        <v>916</v>
      </c>
      <c r="B154" s="97" t="s">
        <v>1194</v>
      </c>
      <c r="C154" s="97" t="s">
        <v>1607</v>
      </c>
      <c r="D154" s="97" t="s">
        <v>1566</v>
      </c>
      <c r="E154" s="76" t="s">
        <v>1035</v>
      </c>
      <c r="F154" s="77" t="s">
        <v>1549</v>
      </c>
      <c r="G154" s="1"/>
    </row>
    <row r="155" spans="1:7" x14ac:dyDescent="0.25">
      <c r="A155" s="3" t="s">
        <v>1585</v>
      </c>
      <c r="B155" s="98">
        <v>0.5</v>
      </c>
      <c r="C155" s="98">
        <v>0.11</v>
      </c>
      <c r="D155" s="98">
        <v>2</v>
      </c>
      <c r="E155" s="102">
        <f>'PALAIS DU BIJOU'!N17</f>
        <v>1100</v>
      </c>
      <c r="F155" s="39">
        <f>E155*C155*D155/B155</f>
        <v>484</v>
      </c>
      <c r="G155" s="1"/>
    </row>
    <row r="156" spans="1:7" x14ac:dyDescent="0.25">
      <c r="A156" s="184" t="s">
        <v>1597</v>
      </c>
      <c r="B156" s="98"/>
      <c r="C156" s="98"/>
      <c r="D156" s="98">
        <v>1</v>
      </c>
      <c r="E156" s="102" t="e">
        <f>PIEDRAS!#REF!</f>
        <v>#REF!</v>
      </c>
      <c r="F156" s="39" t="e">
        <f>D156*E156</f>
        <v>#REF!</v>
      </c>
      <c r="G156" s="1"/>
    </row>
    <row r="157" spans="1:7" x14ac:dyDescent="0.25">
      <c r="A157" s="184" t="s">
        <v>1608</v>
      </c>
      <c r="B157" s="98"/>
      <c r="C157" s="98">
        <v>0.1</v>
      </c>
      <c r="D157" s="98">
        <v>1</v>
      </c>
      <c r="E157" s="102">
        <f>'AROS, CADENAS, DIJES, ETC'!I38</f>
        <v>3630</v>
      </c>
      <c r="F157" s="39">
        <f>E157*C157/D157</f>
        <v>363</v>
      </c>
      <c r="G157" s="1"/>
    </row>
    <row r="158" spans="1:7" x14ac:dyDescent="0.25">
      <c r="A158" s="184" t="s">
        <v>1424</v>
      </c>
      <c r="B158" s="98"/>
      <c r="C158" s="98">
        <v>0.3</v>
      </c>
      <c r="D158" s="98">
        <v>1</v>
      </c>
      <c r="E158" s="102">
        <f>'HILOS-CORDONES-TANZA-CUERO'!L9</f>
        <v>30</v>
      </c>
      <c r="F158" s="39">
        <f>E158*C158/D158</f>
        <v>9</v>
      </c>
      <c r="G158" s="1"/>
    </row>
    <row r="159" spans="1:7" x14ac:dyDescent="0.25">
      <c r="A159" s="184" t="s">
        <v>1587</v>
      </c>
      <c r="B159" s="98"/>
      <c r="C159" s="98">
        <v>0.05</v>
      </c>
      <c r="D159" s="98">
        <v>1</v>
      </c>
      <c r="E159" s="102">
        <f>FORNITURAS!W3</f>
        <v>2284</v>
      </c>
      <c r="F159" s="39">
        <f>E159*C159/D159</f>
        <v>114.2</v>
      </c>
      <c r="G159" s="1"/>
    </row>
    <row r="160" spans="1:7" x14ac:dyDescent="0.25">
      <c r="A160" s="184" t="s">
        <v>1012</v>
      </c>
      <c r="B160" s="98"/>
      <c r="C160" s="98"/>
      <c r="D160" s="98">
        <v>2</v>
      </c>
      <c r="E160" s="102">
        <f>'INSUMOS VARIOS'!R23</f>
        <v>0.5</v>
      </c>
      <c r="F160" s="39">
        <f>E160*D160</f>
        <v>1</v>
      </c>
      <c r="G160" s="1"/>
    </row>
    <row r="161" spans="1:13" x14ac:dyDescent="0.25">
      <c r="A161" s="184" t="s">
        <v>1572</v>
      </c>
      <c r="B161" s="98" t="s">
        <v>1556</v>
      </c>
      <c r="C161" s="98"/>
      <c r="D161" s="98">
        <v>1</v>
      </c>
      <c r="E161" s="102">
        <f>FORNITURAS!D4</f>
        <v>48.7</v>
      </c>
      <c r="F161" s="39">
        <f>E161*D161</f>
        <v>48.7</v>
      </c>
      <c r="G161" s="1"/>
    </row>
    <row r="162" spans="1:13" x14ac:dyDescent="0.25">
      <c r="A162" s="185" t="s">
        <v>1557</v>
      </c>
      <c r="B162" s="98"/>
      <c r="C162" s="98"/>
      <c r="D162" s="98"/>
      <c r="E162" s="102"/>
      <c r="F162" s="39">
        <f>PACKAGING!E12</f>
        <v>50</v>
      </c>
      <c r="G162" s="1"/>
    </row>
    <row r="163" spans="1:13" x14ac:dyDescent="0.25">
      <c r="A163" s="3" t="s">
        <v>1590</v>
      </c>
      <c r="B163" s="98"/>
      <c r="C163" s="98"/>
      <c r="D163" s="98"/>
      <c r="E163" s="2"/>
      <c r="F163" s="39">
        <v>60</v>
      </c>
      <c r="G163" s="1"/>
    </row>
    <row r="164" spans="1:13" x14ac:dyDescent="0.25">
      <c r="A164" s="3" t="s">
        <v>908</v>
      </c>
      <c r="B164" s="98"/>
      <c r="C164" s="98"/>
      <c r="D164" s="98"/>
      <c r="E164" s="2"/>
      <c r="F164" s="39">
        <v>20</v>
      </c>
      <c r="G164" s="1"/>
    </row>
    <row r="165" spans="1:13" ht="16.5" thickBot="1" x14ac:dyDescent="0.3">
      <c r="A165" s="79" t="s">
        <v>525</v>
      </c>
      <c r="B165" s="99"/>
      <c r="C165" s="99"/>
      <c r="D165" s="99"/>
      <c r="E165" s="70"/>
      <c r="F165" s="51" t="e">
        <f>SUM(F155:F164)</f>
        <v>#REF!</v>
      </c>
      <c r="G165" s="1"/>
    </row>
    <row r="166" spans="1:13" ht="18.75" x14ac:dyDescent="0.25">
      <c r="A166" s="80" t="s">
        <v>544</v>
      </c>
      <c r="B166" s="100"/>
      <c r="C166" s="100"/>
      <c r="D166" s="100"/>
      <c r="E166" s="71"/>
      <c r="F166" s="72" t="e">
        <f>F165*2</f>
        <v>#REF!</v>
      </c>
      <c r="G166" s="75">
        <v>360</v>
      </c>
    </row>
    <row r="167" spans="1:13" ht="19.5" thickBot="1" x14ac:dyDescent="0.3">
      <c r="A167" s="81" t="s">
        <v>1559</v>
      </c>
      <c r="B167" s="101"/>
      <c r="C167" s="101"/>
      <c r="D167" s="101"/>
      <c r="E167" s="73"/>
      <c r="F167" s="73"/>
      <c r="G167" s="74">
        <f>G166*2</f>
        <v>720</v>
      </c>
    </row>
    <row r="169" spans="1:13" x14ac:dyDescent="0.25">
      <c r="A169" s="1601" t="s">
        <v>1609</v>
      </c>
      <c r="B169" s="1588"/>
      <c r="C169" s="1588"/>
      <c r="D169" s="1588"/>
      <c r="E169" s="1588"/>
      <c r="F169" s="23"/>
    </row>
    <row r="170" spans="1:13" x14ac:dyDescent="0.25">
      <c r="A170" s="35"/>
      <c r="B170" s="36" t="s">
        <v>1194</v>
      </c>
      <c r="C170" s="64" t="s">
        <v>1566</v>
      </c>
      <c r="D170" s="64" t="s">
        <v>747</v>
      </c>
      <c r="E170" s="37" t="s">
        <v>1549</v>
      </c>
      <c r="F170" s="194"/>
    </row>
    <row r="171" spans="1:13" x14ac:dyDescent="0.25">
      <c r="A171" s="3" t="s">
        <v>1610</v>
      </c>
      <c r="B171" s="2" t="s">
        <v>950</v>
      </c>
      <c r="C171" s="6">
        <v>1</v>
      </c>
      <c r="D171" s="66">
        <f>'AROS, CADENAS, DIJES, ETC'!I31</f>
        <v>200</v>
      </c>
      <c r="E171" s="39">
        <f>D171*C171</f>
        <v>200</v>
      </c>
      <c r="F171" s="1"/>
      <c r="H171" s="1601" t="s">
        <v>1611</v>
      </c>
      <c r="I171" s="1588"/>
      <c r="J171" s="1588"/>
      <c r="K171" s="1588"/>
      <c r="L171" s="1588"/>
      <c r="M171" s="23"/>
    </row>
    <row r="172" spans="1:13" x14ac:dyDescent="0.25">
      <c r="A172" s="3" t="s">
        <v>1612</v>
      </c>
      <c r="B172" s="2"/>
      <c r="C172" s="6">
        <v>1</v>
      </c>
      <c r="D172" s="66">
        <f>'AROS, CADENAS, DIJES, ETC'!O8</f>
        <v>72</v>
      </c>
      <c r="E172" s="39">
        <f>D172*C172</f>
        <v>72</v>
      </c>
      <c r="F172" s="1"/>
      <c r="H172" s="35"/>
      <c r="I172" s="36" t="s">
        <v>1194</v>
      </c>
      <c r="J172" s="64" t="s">
        <v>1566</v>
      </c>
      <c r="K172" s="64" t="s">
        <v>747</v>
      </c>
      <c r="L172" s="37" t="s">
        <v>1549</v>
      </c>
      <c r="M172" s="194"/>
    </row>
    <row r="173" spans="1:13" x14ac:dyDescent="0.25">
      <c r="A173" s="1701" t="s">
        <v>1557</v>
      </c>
      <c r="B173" s="2"/>
      <c r="C173" s="6"/>
      <c r="D173" s="66"/>
      <c r="E173" s="39" t="e">
        <f>PACKAGING!#REF!</f>
        <v>#REF!</v>
      </c>
      <c r="F173" s="1"/>
      <c r="G173" s="217"/>
      <c r="H173" s="3" t="s">
        <v>908</v>
      </c>
      <c r="I173" s="2" t="s">
        <v>959</v>
      </c>
      <c r="J173" s="6">
        <v>1</v>
      </c>
      <c r="K173" s="66" t="e">
        <f>'AROS, CADENAS, DIJES, ETC'!#REF!</f>
        <v>#REF!</v>
      </c>
      <c r="L173" s="39" t="e">
        <f>K173*J173</f>
        <v>#REF!</v>
      </c>
      <c r="M173" s="1"/>
    </row>
    <row r="174" spans="1:13" x14ac:dyDescent="0.25">
      <c r="A174" s="1702"/>
      <c r="B174" s="2"/>
      <c r="C174" s="6"/>
      <c r="D174" s="66"/>
      <c r="E174" s="39">
        <f>PACKAGING!E4</f>
        <v>80</v>
      </c>
      <c r="F174" s="1"/>
      <c r="G174" s="217"/>
      <c r="H174" s="3" t="s">
        <v>1612</v>
      </c>
      <c r="I174" s="2"/>
      <c r="J174" s="6">
        <v>1</v>
      </c>
      <c r="K174" s="66">
        <f>'AROS, CADENAS, DIJES, ETC'!O8</f>
        <v>72</v>
      </c>
      <c r="L174" s="39">
        <f>K174*J174</f>
        <v>72</v>
      </c>
      <c r="M174" s="1"/>
    </row>
    <row r="175" spans="1:13" x14ac:dyDescent="0.25">
      <c r="A175" s="189" t="s">
        <v>1555</v>
      </c>
      <c r="B175" s="2" t="s">
        <v>1573</v>
      </c>
      <c r="C175" s="6"/>
      <c r="D175" s="66"/>
      <c r="E175" s="39">
        <f>FORNITURAS!D7</f>
        <v>52</v>
      </c>
      <c r="F175" s="1"/>
      <c r="G175" s="217"/>
      <c r="H175" s="1703" t="s">
        <v>1557</v>
      </c>
      <c r="I175" s="2"/>
      <c r="J175" s="6"/>
      <c r="K175" s="66"/>
      <c r="L175" s="39" t="e">
        <f>PACKAGING!#REF!</f>
        <v>#REF!</v>
      </c>
      <c r="M175" s="1"/>
    </row>
    <row r="176" spans="1:13" x14ac:dyDescent="0.25">
      <c r="A176" s="191" t="s">
        <v>1537</v>
      </c>
      <c r="B176" s="2"/>
      <c r="C176" s="6"/>
      <c r="D176" s="66"/>
      <c r="E176" s="39">
        <f>PACKAGING!E7</f>
        <v>170</v>
      </c>
      <c r="F176" s="1"/>
      <c r="G176" s="217"/>
      <c r="H176" s="1704"/>
      <c r="I176" s="2"/>
      <c r="J176" s="6"/>
      <c r="K176" s="66"/>
      <c r="L176" s="39">
        <f>PACKAGING!E4</f>
        <v>80</v>
      </c>
      <c r="M176" s="1"/>
    </row>
    <row r="177" spans="1:13" x14ac:dyDescent="0.25">
      <c r="A177" s="191" t="s">
        <v>1538</v>
      </c>
      <c r="B177" s="2"/>
      <c r="C177" s="6"/>
      <c r="D177" s="66"/>
      <c r="E177" s="39">
        <f>PACKAGING!E8</f>
        <v>420</v>
      </c>
      <c r="F177" s="1"/>
      <c r="G177" s="217"/>
      <c r="H177" s="145" t="s">
        <v>1555</v>
      </c>
      <c r="I177" s="2" t="s">
        <v>1573</v>
      </c>
      <c r="J177" s="6"/>
      <c r="K177" s="66"/>
      <c r="L177" s="39">
        <f>FORNITURAS!D7</f>
        <v>52</v>
      </c>
      <c r="M177" s="1"/>
    </row>
    <row r="178" spans="1:13" x14ac:dyDescent="0.25">
      <c r="A178" s="3" t="s">
        <v>1558</v>
      </c>
      <c r="B178" s="2"/>
      <c r="C178" s="6"/>
      <c r="D178" s="66"/>
      <c r="E178" s="39">
        <v>15</v>
      </c>
      <c r="F178" s="1"/>
      <c r="G178" s="217"/>
      <c r="H178" s="202" t="s">
        <v>1537</v>
      </c>
      <c r="I178" s="2"/>
      <c r="J178" s="6"/>
      <c r="K178" s="66"/>
      <c r="L178" s="39">
        <f>PACKAGING!E7</f>
        <v>170</v>
      </c>
      <c r="M178" s="1"/>
    </row>
    <row r="179" spans="1:13" ht="16.5" thickBot="1" x14ac:dyDescent="0.3">
      <c r="A179" s="45" t="s">
        <v>525</v>
      </c>
      <c r="B179" s="46"/>
      <c r="C179" s="65"/>
      <c r="D179" s="65"/>
      <c r="E179" s="50" t="e">
        <f>SUM(E171:E178)</f>
        <v>#REF!</v>
      </c>
      <c r="F179" s="38"/>
      <c r="G179" s="217"/>
      <c r="H179" s="202" t="s">
        <v>1538</v>
      </c>
      <c r="I179" s="2"/>
      <c r="J179" s="6"/>
      <c r="K179" s="66"/>
      <c r="L179" s="39">
        <f>PACKAGING!E8</f>
        <v>420</v>
      </c>
      <c r="M179" s="1"/>
    </row>
    <row r="180" spans="1:13" x14ac:dyDescent="0.25">
      <c r="A180" s="47" t="s">
        <v>544</v>
      </c>
      <c r="B180" s="42"/>
      <c r="C180" s="42"/>
      <c r="D180" s="42"/>
      <c r="E180" s="55" t="e">
        <f>E179*2</f>
        <v>#REF!</v>
      </c>
      <c r="F180" s="49">
        <v>660</v>
      </c>
      <c r="H180" s="98" t="s">
        <v>1558</v>
      </c>
      <c r="I180" s="2"/>
      <c r="J180" s="6"/>
      <c r="K180" s="66"/>
      <c r="L180" s="39">
        <v>15</v>
      </c>
      <c r="M180" s="1"/>
    </row>
    <row r="181" spans="1:13" ht="16.5" thickBot="1" x14ac:dyDescent="0.3">
      <c r="A181" s="52" t="s">
        <v>1559</v>
      </c>
      <c r="B181" s="53"/>
      <c r="C181" s="53"/>
      <c r="D181" s="53"/>
      <c r="E181" s="57"/>
      <c r="F181" s="54">
        <f>F180*2</f>
        <v>1320</v>
      </c>
      <c r="H181" s="216" t="s">
        <v>525</v>
      </c>
      <c r="I181" s="46"/>
      <c r="J181" s="65"/>
      <c r="K181" s="65"/>
      <c r="L181" s="50" t="e">
        <f>SUM(L173:L180)</f>
        <v>#REF!</v>
      </c>
      <c r="M181" s="38"/>
    </row>
    <row r="182" spans="1:13" x14ac:dyDescent="0.25">
      <c r="H182" s="47" t="s">
        <v>544</v>
      </c>
      <c r="I182" s="42"/>
      <c r="J182" s="42"/>
      <c r="K182" s="42"/>
      <c r="L182" s="55" t="e">
        <f>L181*2</f>
        <v>#REF!</v>
      </c>
      <c r="M182" s="49">
        <v>600</v>
      </c>
    </row>
    <row r="183" spans="1:13" ht="16.5" thickBot="1" x14ac:dyDescent="0.3">
      <c r="A183" s="1602" t="s">
        <v>1613</v>
      </c>
      <c r="B183" s="1600"/>
      <c r="C183" s="1600"/>
      <c r="D183" s="1600"/>
      <c r="E183" s="1600"/>
      <c r="F183"/>
      <c r="H183" s="52" t="s">
        <v>1559</v>
      </c>
      <c r="I183" s="53"/>
      <c r="J183" s="53"/>
      <c r="K183" s="53"/>
      <c r="L183" s="57"/>
      <c r="M183" s="54">
        <f>M182*2</f>
        <v>1200</v>
      </c>
    </row>
    <row r="184" spans="1:13" x14ac:dyDescent="0.25">
      <c r="A184" s="78" t="s">
        <v>916</v>
      </c>
      <c r="B184" s="97" t="s">
        <v>742</v>
      </c>
      <c r="C184" s="97" t="s">
        <v>1566</v>
      </c>
      <c r="D184" s="76" t="s">
        <v>1035</v>
      </c>
      <c r="E184" s="77" t="s">
        <v>1549</v>
      </c>
      <c r="F184" s="1"/>
    </row>
    <row r="185" spans="1:13" x14ac:dyDescent="0.25">
      <c r="A185" s="3" t="s">
        <v>1614</v>
      </c>
      <c r="B185" s="98" t="s">
        <v>950</v>
      </c>
      <c r="C185" s="98">
        <v>1</v>
      </c>
      <c r="D185" s="102">
        <f>'AROS, CADENAS, DIJES, ETC'!I31</f>
        <v>200</v>
      </c>
      <c r="E185" s="39">
        <f>C185*D185</f>
        <v>200</v>
      </c>
      <c r="F185" s="1"/>
    </row>
    <row r="186" spans="1:13" x14ac:dyDescent="0.25">
      <c r="A186" s="184" t="s">
        <v>1615</v>
      </c>
      <c r="B186" s="98"/>
      <c r="C186" s="98">
        <v>1</v>
      </c>
      <c r="D186" s="102">
        <f>'AROS, CADENAS, DIJES, ETC'!O17</f>
        <v>92</v>
      </c>
      <c r="E186" s="39">
        <f>C186*D186</f>
        <v>92</v>
      </c>
      <c r="F186" s="1"/>
    </row>
    <row r="187" spans="1:13" x14ac:dyDescent="0.25">
      <c r="A187" s="184" t="s">
        <v>1616</v>
      </c>
      <c r="B187" s="98"/>
      <c r="C187" s="98">
        <v>3</v>
      </c>
      <c r="D187" s="102">
        <f>'INS VARIOS'!T26</f>
        <v>2.9444444444444446</v>
      </c>
      <c r="E187" s="39">
        <f>D187*C187</f>
        <v>8.8333333333333339</v>
      </c>
      <c r="F187" s="1"/>
    </row>
    <row r="188" spans="1:13" x14ac:dyDescent="0.25">
      <c r="A188" s="1701" t="s">
        <v>1572</v>
      </c>
      <c r="B188" s="98" t="s">
        <v>1556</v>
      </c>
      <c r="C188" s="98">
        <v>2</v>
      </c>
      <c r="D188" s="102">
        <f>FORNITURAS!D4</f>
        <v>48.7</v>
      </c>
      <c r="E188" s="39">
        <f>D188*C188</f>
        <v>97.4</v>
      </c>
      <c r="F188" s="1"/>
    </row>
    <row r="189" spans="1:13" x14ac:dyDescent="0.25">
      <c r="A189" s="1702"/>
      <c r="B189" s="98" t="s">
        <v>1573</v>
      </c>
      <c r="C189" s="98">
        <v>1</v>
      </c>
      <c r="D189" s="102">
        <f>FORNITURAS!D7</f>
        <v>52</v>
      </c>
      <c r="E189" s="39">
        <f>D189*C189</f>
        <v>52</v>
      </c>
      <c r="F189" s="1"/>
    </row>
    <row r="190" spans="1:13" x14ac:dyDescent="0.25">
      <c r="A190" s="3" t="s">
        <v>1617</v>
      </c>
      <c r="B190" s="98"/>
      <c r="C190" s="98">
        <v>1</v>
      </c>
      <c r="D190" s="102" t="e">
        <f>'AROS, CADENAS, DIJES, ETC'!#REF!</f>
        <v>#REF!</v>
      </c>
      <c r="E190" s="39" t="e">
        <f>D190*C190</f>
        <v>#REF!</v>
      </c>
      <c r="F190" s="1"/>
    </row>
    <row r="191" spans="1:13" x14ac:dyDescent="0.25">
      <c r="A191" s="189" t="s">
        <v>1050</v>
      </c>
      <c r="B191" s="98"/>
      <c r="C191" s="98">
        <v>7.0000000000000007E-2</v>
      </c>
      <c r="D191" s="102">
        <f>FORNITURAS!W5</f>
        <v>906.42857142857144</v>
      </c>
      <c r="E191" s="39">
        <f>D191*C191</f>
        <v>63.45000000000001</v>
      </c>
      <c r="F191" s="1"/>
    </row>
    <row r="192" spans="1:13" x14ac:dyDescent="0.25">
      <c r="A192" s="1613" t="s">
        <v>1588</v>
      </c>
      <c r="B192" s="98" t="s">
        <v>1589</v>
      </c>
      <c r="C192" s="98"/>
      <c r="D192" s="102"/>
      <c r="E192" s="39" t="e">
        <f>PACKAGING!#REF!</f>
        <v>#REF!</v>
      </c>
      <c r="F192" s="1"/>
    </row>
    <row r="193" spans="1:6" x14ac:dyDescent="0.25">
      <c r="A193" s="1615"/>
      <c r="B193" s="98" t="s">
        <v>1535</v>
      </c>
      <c r="C193" s="98"/>
      <c r="D193" s="2"/>
      <c r="E193" s="39">
        <f>PACKAGING!E4</f>
        <v>80</v>
      </c>
      <c r="F193" s="1"/>
    </row>
    <row r="194" spans="1:6" x14ac:dyDescent="0.25">
      <c r="A194" s="3" t="s">
        <v>1537</v>
      </c>
      <c r="B194" s="98"/>
      <c r="C194" s="98"/>
      <c r="D194" s="2"/>
      <c r="E194" s="39">
        <f>PACKAGING!E7</f>
        <v>170</v>
      </c>
      <c r="F194" s="1"/>
    </row>
    <row r="195" spans="1:6" x14ac:dyDescent="0.25">
      <c r="A195" s="3" t="s">
        <v>1538</v>
      </c>
      <c r="B195" s="98"/>
      <c r="C195" s="98"/>
      <c r="D195" s="2"/>
      <c r="E195" s="39">
        <f>PACKAGING!E8</f>
        <v>420</v>
      </c>
      <c r="F195" s="1"/>
    </row>
    <row r="196" spans="1:6" x14ac:dyDescent="0.25">
      <c r="A196" s="3" t="s">
        <v>1618</v>
      </c>
      <c r="B196" s="98"/>
      <c r="C196" s="98"/>
      <c r="D196" s="2"/>
      <c r="E196" s="39">
        <v>15</v>
      </c>
      <c r="F196" s="1"/>
    </row>
    <row r="197" spans="1:6" ht="16.5" thickBot="1" x14ac:dyDescent="0.3">
      <c r="A197" s="79" t="s">
        <v>525</v>
      </c>
      <c r="B197" s="99"/>
      <c r="C197" s="99"/>
      <c r="D197" s="70"/>
      <c r="E197" s="51" t="e">
        <f>SUM(E185:E196)</f>
        <v>#REF!</v>
      </c>
      <c r="F197" s="1"/>
    </row>
    <row r="198" spans="1:6" ht="18.75" x14ac:dyDescent="0.25">
      <c r="A198" s="80" t="s">
        <v>544</v>
      </c>
      <c r="B198" s="100"/>
      <c r="C198" s="100"/>
      <c r="D198" s="71"/>
      <c r="E198" s="72" t="e">
        <f>E197*2</f>
        <v>#REF!</v>
      </c>
      <c r="F198" s="75"/>
    </row>
    <row r="199" spans="1:6" ht="19.5" thickBot="1" x14ac:dyDescent="0.3">
      <c r="A199" s="81" t="s">
        <v>1559</v>
      </c>
      <c r="B199" s="101"/>
      <c r="C199" s="101"/>
      <c r="D199" s="73"/>
      <c r="E199" s="73"/>
      <c r="F199" s="74">
        <f>F198*2</f>
        <v>0</v>
      </c>
    </row>
    <row r="201" spans="1:6" x14ac:dyDescent="0.25">
      <c r="A201" s="1601" t="s">
        <v>1619</v>
      </c>
      <c r="B201" s="1588"/>
      <c r="C201" s="1588"/>
      <c r="D201" s="1588"/>
      <c r="E201" s="1588"/>
      <c r="F201" s="23"/>
    </row>
    <row r="202" spans="1:6" x14ac:dyDescent="0.25">
      <c r="A202" s="35"/>
      <c r="B202" s="36" t="s">
        <v>1073</v>
      </c>
      <c r="C202" s="64" t="s">
        <v>1566</v>
      </c>
      <c r="D202" s="64" t="s">
        <v>747</v>
      </c>
      <c r="E202" s="37" t="s">
        <v>1549</v>
      </c>
      <c r="F202" s="194"/>
    </row>
    <row r="203" spans="1:6" x14ac:dyDescent="0.25">
      <c r="A203" s="3" t="s">
        <v>1620</v>
      </c>
      <c r="B203" s="2"/>
      <c r="C203" s="6">
        <v>1</v>
      </c>
      <c r="D203" s="66" t="e">
        <f>'AROS, CADENAS, DIJES, ETC'!#REF!</f>
        <v>#REF!</v>
      </c>
      <c r="E203" s="39" t="e">
        <f>D203*C203</f>
        <v>#REF!</v>
      </c>
      <c r="F203" s="1"/>
    </row>
    <row r="204" spans="1:6" x14ac:dyDescent="0.25">
      <c r="A204" s="3" t="s">
        <v>1621</v>
      </c>
      <c r="B204" s="2"/>
      <c r="C204" s="6">
        <v>1</v>
      </c>
      <c r="D204" s="66">
        <f>VIDRIOS!K37</f>
        <v>37.700000000000003</v>
      </c>
      <c r="E204" s="39">
        <f>D204*C204</f>
        <v>37.700000000000003</v>
      </c>
      <c r="F204" s="1"/>
    </row>
    <row r="205" spans="1:6" x14ac:dyDescent="0.25">
      <c r="A205" s="2" t="s">
        <v>1557</v>
      </c>
      <c r="B205" s="2"/>
      <c r="C205" s="6"/>
      <c r="D205" s="66"/>
      <c r="E205" s="39">
        <f>PACKAGING!E3</f>
        <v>150</v>
      </c>
      <c r="F205" s="1"/>
    </row>
    <row r="206" spans="1:6" x14ac:dyDescent="0.25">
      <c r="A206" s="2" t="s">
        <v>1538</v>
      </c>
      <c r="B206" s="2"/>
      <c r="C206" s="6"/>
      <c r="D206" s="66"/>
      <c r="E206" s="39">
        <f>PACKAGING!E8</f>
        <v>420</v>
      </c>
      <c r="F206" s="1"/>
    </row>
    <row r="207" spans="1:6" x14ac:dyDescent="0.25">
      <c r="A207" s="3" t="s">
        <v>1558</v>
      </c>
      <c r="B207" s="2"/>
      <c r="C207" s="6"/>
      <c r="D207" s="66"/>
      <c r="E207" s="39">
        <v>25</v>
      </c>
      <c r="F207" s="1"/>
    </row>
    <row r="208" spans="1:6" ht="16.5" thickBot="1" x14ac:dyDescent="0.3">
      <c r="A208" s="45" t="s">
        <v>525</v>
      </c>
      <c r="B208" s="46"/>
      <c r="C208" s="65"/>
      <c r="D208" s="65"/>
      <c r="E208" s="50" t="e">
        <f>SUM(E203:E207)</f>
        <v>#REF!</v>
      </c>
      <c r="F208" s="38"/>
    </row>
    <row r="209" spans="1:6" x14ac:dyDescent="0.25">
      <c r="A209" s="47" t="s">
        <v>544</v>
      </c>
      <c r="B209" s="42"/>
      <c r="C209" s="42"/>
      <c r="D209" s="42"/>
      <c r="E209" s="55" t="e">
        <f>E208*2</f>
        <v>#REF!</v>
      </c>
      <c r="F209" s="49"/>
    </row>
    <row r="210" spans="1:6" ht="16.5" thickBot="1" x14ac:dyDescent="0.3">
      <c r="A210" s="52" t="s">
        <v>1559</v>
      </c>
      <c r="B210" s="53"/>
      <c r="C210" s="53"/>
      <c r="D210" s="53"/>
      <c r="E210" s="57"/>
      <c r="F210" s="54">
        <f>F209*2</f>
        <v>0</v>
      </c>
    </row>
    <row r="211" spans="1:6" ht="16.5" thickBot="1" x14ac:dyDescent="0.3"/>
    <row r="212" spans="1:6" ht="16.5" thickBot="1" x14ac:dyDescent="0.3">
      <c r="A212" s="1568" t="s">
        <v>1622</v>
      </c>
      <c r="B212" s="1569"/>
      <c r="C212" s="1569"/>
      <c r="D212" s="1569"/>
      <c r="E212" s="1570"/>
    </row>
    <row r="213" spans="1:6" x14ac:dyDescent="0.25">
      <c r="A213" s="224"/>
      <c r="B213" s="225" t="s">
        <v>742</v>
      </c>
      <c r="C213" s="226" t="s">
        <v>1547</v>
      </c>
      <c r="D213" s="226" t="s">
        <v>1035</v>
      </c>
      <c r="E213" s="227" t="s">
        <v>1549</v>
      </c>
      <c r="F213" s="1"/>
    </row>
    <row r="214" spans="1:6" x14ac:dyDescent="0.25">
      <c r="A214" s="3" t="s">
        <v>1623</v>
      </c>
      <c r="B214" s="2"/>
      <c r="C214" s="6">
        <v>3</v>
      </c>
      <c r="D214" s="66">
        <f>'RESINA - ACRILICOS'!D10</f>
        <v>0.91666666666666663</v>
      </c>
      <c r="E214" s="39">
        <f t="shared" ref="E214:E220" si="4">D214*C214</f>
        <v>2.75</v>
      </c>
      <c r="F214" s="1"/>
    </row>
    <row r="215" spans="1:6" x14ac:dyDescent="0.25">
      <c r="A215" s="3" t="s">
        <v>1624</v>
      </c>
      <c r="B215" s="2"/>
      <c r="C215" s="6">
        <v>6</v>
      </c>
      <c r="D215" s="66">
        <f>'RESINA - ACRILICOS'!D7</f>
        <v>2.6666666666666665</v>
      </c>
      <c r="E215" s="39">
        <f t="shared" si="4"/>
        <v>16</v>
      </c>
      <c r="F215" s="1"/>
    </row>
    <row r="216" spans="1:6" x14ac:dyDescent="0.25">
      <c r="A216" s="3" t="s">
        <v>1625</v>
      </c>
      <c r="B216" s="2"/>
      <c r="C216" s="6">
        <v>9</v>
      </c>
      <c r="D216" s="66">
        <f>'RESINA - ACRILICOS'!D4</f>
        <v>1</v>
      </c>
      <c r="E216" s="39">
        <f t="shared" si="4"/>
        <v>9</v>
      </c>
      <c r="F216" s="1"/>
    </row>
    <row r="217" spans="1:6" x14ac:dyDescent="0.25">
      <c r="A217" s="3" t="s">
        <v>1626</v>
      </c>
      <c r="B217" s="2"/>
      <c r="C217" s="6">
        <v>2</v>
      </c>
      <c r="D217" s="66">
        <f>VIDRIOS!E46</f>
        <v>3.8571428571428572</v>
      </c>
      <c r="E217" s="39">
        <f t="shared" si="4"/>
        <v>7.7142857142857144</v>
      </c>
      <c r="F217" s="1"/>
    </row>
    <row r="218" spans="1:6" x14ac:dyDescent="0.25">
      <c r="A218" s="3" t="s">
        <v>1198</v>
      </c>
      <c r="B218" s="2"/>
      <c r="C218" s="6">
        <v>9</v>
      </c>
      <c r="D218" s="66">
        <f>'RESINA - ACRILICOS'!D12</f>
        <v>2.9411764705882355</v>
      </c>
      <c r="E218" s="39">
        <f t="shared" si="4"/>
        <v>26.47058823529412</v>
      </c>
      <c r="F218" s="1"/>
    </row>
    <row r="219" spans="1:6" x14ac:dyDescent="0.25">
      <c r="A219" s="3" t="s">
        <v>1424</v>
      </c>
      <c r="B219" s="2"/>
      <c r="C219" s="6">
        <v>0.62</v>
      </c>
      <c r="D219" s="66">
        <f>'HILOS-CORDONES-TANZA-CUERO'!L9</f>
        <v>30</v>
      </c>
      <c r="E219" s="39">
        <f t="shared" si="4"/>
        <v>18.600000000000001</v>
      </c>
      <c r="F219" s="1"/>
    </row>
    <row r="220" spans="1:6" x14ac:dyDescent="0.25">
      <c r="A220" s="189" t="s">
        <v>1627</v>
      </c>
      <c r="B220" s="2"/>
      <c r="C220" s="6">
        <v>2</v>
      </c>
      <c r="D220" s="66" t="e">
        <f>'INS VARIOS'!#REF!</f>
        <v>#REF!</v>
      </c>
      <c r="E220" s="39" t="e">
        <f t="shared" si="4"/>
        <v>#REF!</v>
      </c>
      <c r="F220" s="1"/>
    </row>
    <row r="221" spans="1:6" x14ac:dyDescent="0.25">
      <c r="A221" s="1701" t="s">
        <v>1585</v>
      </c>
      <c r="B221" s="2">
        <v>0.5</v>
      </c>
      <c r="C221" s="6">
        <v>0.32500000000000001</v>
      </c>
      <c r="D221" s="66">
        <f>'PALAIS DU BIJOU'!N17</f>
        <v>1100</v>
      </c>
      <c r="E221" s="39">
        <f>D221*C221/B221</f>
        <v>715</v>
      </c>
      <c r="F221" s="1"/>
    </row>
    <row r="222" spans="1:6" x14ac:dyDescent="0.25">
      <c r="A222" s="1702"/>
      <c r="B222" s="2"/>
      <c r="C222" s="6">
        <v>10</v>
      </c>
      <c r="D222" s="66">
        <f>'PALAIS DU BIJOU'!O17</f>
        <v>3.4375</v>
      </c>
      <c r="E222" s="39">
        <f>D222*C222</f>
        <v>34.375</v>
      </c>
      <c r="F222" s="1"/>
    </row>
    <row r="223" spans="1:6" x14ac:dyDescent="0.25">
      <c r="A223" s="191" t="s">
        <v>1628</v>
      </c>
      <c r="B223" s="2"/>
      <c r="C223" s="6">
        <v>2</v>
      </c>
      <c r="D223" s="66">
        <f>'INSUMOS VARIOS'!T14</f>
        <v>4.83</v>
      </c>
      <c r="E223" s="39">
        <f>D223*C223</f>
        <v>9.66</v>
      </c>
      <c r="F223" s="1"/>
    </row>
    <row r="224" spans="1:6" x14ac:dyDescent="0.25">
      <c r="A224" s="3" t="s">
        <v>1572</v>
      </c>
      <c r="B224" s="2"/>
      <c r="C224" s="6">
        <v>2</v>
      </c>
      <c r="D224" s="66">
        <f>HOLDERS!D97</f>
        <v>1</v>
      </c>
      <c r="E224" s="39">
        <f>D224*C224</f>
        <v>2</v>
      </c>
      <c r="F224" s="1"/>
    </row>
    <row r="225" spans="1:6" x14ac:dyDescent="0.25">
      <c r="A225" s="3" t="s">
        <v>1629</v>
      </c>
      <c r="B225" s="2"/>
      <c r="C225" s="6">
        <v>2</v>
      </c>
      <c r="D225" s="66">
        <f>'INSUMOS VARIOS'!R23</f>
        <v>0.5</v>
      </c>
      <c r="E225" s="39">
        <f>D225*C225</f>
        <v>1</v>
      </c>
      <c r="F225" s="1"/>
    </row>
    <row r="226" spans="1:6" x14ac:dyDescent="0.25">
      <c r="A226" s="104" t="s">
        <v>1557</v>
      </c>
      <c r="B226" s="2"/>
      <c r="C226" s="6"/>
      <c r="D226" s="66"/>
      <c r="E226" s="39">
        <f>PACKAGING!E4</f>
        <v>80</v>
      </c>
      <c r="F226" s="1"/>
    </row>
    <row r="227" spans="1:6" x14ac:dyDescent="0.25">
      <c r="A227" s="191" t="s">
        <v>1537</v>
      </c>
      <c r="B227" s="2"/>
      <c r="C227" s="6"/>
      <c r="D227" s="66"/>
      <c r="E227" s="39">
        <f>PACKAGING!E7</f>
        <v>170</v>
      </c>
      <c r="F227" s="1"/>
    </row>
    <row r="228" spans="1:6" x14ac:dyDescent="0.25">
      <c r="A228" s="3" t="s">
        <v>1558</v>
      </c>
      <c r="B228" s="2"/>
      <c r="C228" s="6"/>
      <c r="D228" s="66"/>
      <c r="E228" s="39">
        <v>80</v>
      </c>
      <c r="F228" s="1"/>
    </row>
    <row r="229" spans="1:6" ht="16.5" thickBot="1" x14ac:dyDescent="0.3">
      <c r="A229" s="45" t="s">
        <v>1630</v>
      </c>
      <c r="B229" s="46"/>
      <c r="C229" s="65"/>
      <c r="D229" s="65"/>
      <c r="E229" s="50" t="e">
        <f>SUM(E214:E228)</f>
        <v>#REF!</v>
      </c>
      <c r="F229" s="134"/>
    </row>
    <row r="230" spans="1:6" ht="16.5" thickBot="1" x14ac:dyDescent="0.3">
      <c r="A230" s="47" t="s">
        <v>544</v>
      </c>
      <c r="B230" s="42"/>
      <c r="C230" s="42"/>
      <c r="D230" s="42"/>
      <c r="E230" s="208" t="e">
        <f>E229*2</f>
        <v>#REF!</v>
      </c>
      <c r="F230" s="207">
        <v>390</v>
      </c>
    </row>
    <row r="231" spans="1:6" ht="16.5" thickBot="1" x14ac:dyDescent="0.3">
      <c r="A231" s="52" t="s">
        <v>1559</v>
      </c>
      <c r="B231" s="53"/>
      <c r="C231" s="53"/>
      <c r="D231" s="53"/>
      <c r="E231" s="53"/>
      <c r="F231" s="237">
        <f>F230*2</f>
        <v>780</v>
      </c>
    </row>
    <row r="233" spans="1:6" x14ac:dyDescent="0.25">
      <c r="A233" s="1601" t="s">
        <v>1631</v>
      </c>
      <c r="B233" s="1588"/>
      <c r="C233" s="1588"/>
      <c r="D233" s="1588"/>
      <c r="E233" s="1588"/>
      <c r="F233" s="23"/>
    </row>
    <row r="234" spans="1:6" x14ac:dyDescent="0.25">
      <c r="A234" s="35"/>
      <c r="B234" s="36" t="s">
        <v>1073</v>
      </c>
      <c r="C234" s="64" t="s">
        <v>1566</v>
      </c>
      <c r="D234" s="64" t="s">
        <v>747</v>
      </c>
      <c r="E234" s="37" t="s">
        <v>1549</v>
      </c>
      <c r="F234" s="194"/>
    </row>
    <row r="235" spans="1:6" x14ac:dyDescent="0.25">
      <c r="A235" s="3" t="s">
        <v>1632</v>
      </c>
      <c r="B235" s="2" t="s">
        <v>950</v>
      </c>
      <c r="C235" s="6">
        <v>1</v>
      </c>
      <c r="D235" s="66">
        <f>'AROS, CADENAS, DIJES, ETC'!I23</f>
        <v>1100</v>
      </c>
      <c r="E235" s="39">
        <f>D235*C235</f>
        <v>1100</v>
      </c>
      <c r="F235" s="1"/>
    </row>
    <row r="236" spans="1:6" x14ac:dyDescent="0.25">
      <c r="A236" s="3" t="s">
        <v>1633</v>
      </c>
      <c r="B236" s="2"/>
      <c r="C236" s="6">
        <v>1</v>
      </c>
      <c r="D236" s="66">
        <f>'AROS, CADENAS, DIJES, ETC'!O33</f>
        <v>61</v>
      </c>
      <c r="E236" s="39">
        <f>D236*C236</f>
        <v>61</v>
      </c>
      <c r="F236" s="1"/>
    </row>
    <row r="237" spans="1:6" x14ac:dyDescent="0.25">
      <c r="A237" s="1703" t="s">
        <v>1557</v>
      </c>
      <c r="B237" s="2"/>
      <c r="C237" s="6"/>
      <c r="D237" s="66"/>
      <c r="E237" s="39" t="e">
        <f>PACKAGING!#REF!</f>
        <v>#REF!</v>
      </c>
      <c r="F237" s="1"/>
    </row>
    <row r="238" spans="1:6" x14ac:dyDescent="0.25">
      <c r="A238" s="1704"/>
      <c r="B238" s="2"/>
      <c r="C238" s="6"/>
      <c r="D238" s="66"/>
      <c r="E238" s="39">
        <f>PACKAGING!E4</f>
        <v>80</v>
      </c>
      <c r="F238" s="1"/>
    </row>
    <row r="239" spans="1:6" x14ac:dyDescent="0.25">
      <c r="A239" s="202" t="s">
        <v>1634</v>
      </c>
      <c r="B239" s="2"/>
      <c r="C239" s="6"/>
      <c r="D239" s="66"/>
      <c r="E239" s="39">
        <f>PACKAGING!E7</f>
        <v>170</v>
      </c>
      <c r="F239" s="1"/>
    </row>
    <row r="240" spans="1:6" x14ac:dyDescent="0.25">
      <c r="A240" s="2" t="s">
        <v>1538</v>
      </c>
      <c r="B240" s="2"/>
      <c r="C240" s="6"/>
      <c r="D240" s="66"/>
      <c r="E240" s="39">
        <f>PACKAGING!E8</f>
        <v>420</v>
      </c>
      <c r="F240" s="1"/>
    </row>
    <row r="241" spans="1:6" x14ac:dyDescent="0.25">
      <c r="A241" s="3" t="s">
        <v>1558</v>
      </c>
      <c r="B241" s="2"/>
      <c r="C241" s="6"/>
      <c r="D241" s="66"/>
      <c r="E241" s="39">
        <v>10</v>
      </c>
      <c r="F241" s="1"/>
    </row>
    <row r="242" spans="1:6" ht="16.5" thickBot="1" x14ac:dyDescent="0.3">
      <c r="A242" s="45" t="s">
        <v>525</v>
      </c>
      <c r="B242" s="46"/>
      <c r="C242" s="65"/>
      <c r="D242" s="65"/>
      <c r="E242" s="50" t="e">
        <f>SUM(E235:E241)</f>
        <v>#REF!</v>
      </c>
      <c r="F242" s="38"/>
    </row>
    <row r="243" spans="1:6" x14ac:dyDescent="0.25">
      <c r="A243" s="47" t="s">
        <v>544</v>
      </c>
      <c r="B243" s="42"/>
      <c r="C243" s="42"/>
      <c r="D243" s="42"/>
      <c r="E243" s="55" t="e">
        <f>E242*2</f>
        <v>#REF!</v>
      </c>
      <c r="F243" s="49">
        <v>660</v>
      </c>
    </row>
    <row r="244" spans="1:6" ht="16.5" thickBot="1" x14ac:dyDescent="0.3">
      <c r="A244" s="52" t="s">
        <v>1559</v>
      </c>
      <c r="B244" s="53"/>
      <c r="C244" s="53"/>
      <c r="D244" s="53"/>
      <c r="E244" s="57"/>
      <c r="F244" s="54">
        <f>F243*2</f>
        <v>1320</v>
      </c>
    </row>
    <row r="246" spans="1:6" x14ac:dyDescent="0.25">
      <c r="A246" s="1601" t="s">
        <v>1635</v>
      </c>
      <c r="B246" s="1588"/>
      <c r="C246" s="1588"/>
      <c r="D246" s="1588"/>
      <c r="E246" s="1588"/>
      <c r="F246" s="23"/>
    </row>
    <row r="247" spans="1:6" x14ac:dyDescent="0.25">
      <c r="A247" s="35"/>
      <c r="B247" s="36" t="s">
        <v>1073</v>
      </c>
      <c r="C247" s="64" t="s">
        <v>1566</v>
      </c>
      <c r="D247" s="64" t="s">
        <v>747</v>
      </c>
      <c r="E247" s="37" t="s">
        <v>1549</v>
      </c>
      <c r="F247" s="194"/>
    </row>
    <row r="248" spans="1:6" x14ac:dyDescent="0.25">
      <c r="A248" s="3" t="s">
        <v>1636</v>
      </c>
      <c r="B248" s="2"/>
      <c r="C248" s="6">
        <v>1</v>
      </c>
      <c r="D248" s="66">
        <f>'INS VARIOS'!C9</f>
        <v>237</v>
      </c>
      <c r="E248" s="39">
        <f>D248*C248</f>
        <v>237</v>
      </c>
      <c r="F248" s="1"/>
    </row>
    <row r="249" spans="1:6" x14ac:dyDescent="0.25">
      <c r="A249" s="3" t="s">
        <v>1587</v>
      </c>
      <c r="B249" s="2"/>
      <c r="C249" s="6">
        <v>1</v>
      </c>
      <c r="D249" s="66">
        <f>FORNITURAS!D18</f>
        <v>363</v>
      </c>
      <c r="E249" s="39">
        <f>D249*C249</f>
        <v>363</v>
      </c>
      <c r="F249" s="1"/>
    </row>
    <row r="250" spans="1:6" x14ac:dyDescent="0.25">
      <c r="A250" s="3" t="s">
        <v>1572</v>
      </c>
      <c r="B250" s="2"/>
      <c r="C250" s="6">
        <v>2</v>
      </c>
      <c r="D250" s="66">
        <f>FORNITURAS!D4</f>
        <v>48.7</v>
      </c>
      <c r="E250" s="39">
        <f>D250*C250</f>
        <v>97.4</v>
      </c>
      <c r="F250" s="1"/>
    </row>
    <row r="251" spans="1:6" x14ac:dyDescent="0.25">
      <c r="A251" s="2" t="s">
        <v>1557</v>
      </c>
      <c r="B251" s="2"/>
      <c r="C251" s="6"/>
      <c r="D251" s="66"/>
      <c r="E251" s="39">
        <f>PACKAGING!E3</f>
        <v>150</v>
      </c>
      <c r="F251" s="1"/>
    </row>
    <row r="252" spans="1:6" x14ac:dyDescent="0.25">
      <c r="A252" s="2" t="s">
        <v>1538</v>
      </c>
      <c r="B252" s="2"/>
      <c r="C252" s="6"/>
      <c r="D252" s="66"/>
      <c r="E252" s="39">
        <f>PACKAGING!E8</f>
        <v>420</v>
      </c>
      <c r="F252" s="1"/>
    </row>
    <row r="253" spans="1:6" x14ac:dyDescent="0.25">
      <c r="A253" s="3" t="s">
        <v>1558</v>
      </c>
      <c r="B253" s="2"/>
      <c r="C253" s="6"/>
      <c r="D253" s="66"/>
      <c r="E253" s="39">
        <v>50</v>
      </c>
      <c r="F253" s="1"/>
    </row>
    <row r="254" spans="1:6" ht="16.5" thickBot="1" x14ac:dyDescent="0.3">
      <c r="A254" s="45" t="s">
        <v>525</v>
      </c>
      <c r="B254" s="46"/>
      <c r="C254" s="65"/>
      <c r="D254" s="65"/>
      <c r="E254" s="50">
        <f>SUM(E248:E253)</f>
        <v>1317.4</v>
      </c>
      <c r="F254" s="38"/>
    </row>
    <row r="255" spans="1:6" x14ac:dyDescent="0.25">
      <c r="A255" s="47" t="s">
        <v>544</v>
      </c>
      <c r="B255" s="42"/>
      <c r="C255" s="42"/>
      <c r="D255" s="42"/>
      <c r="E255" s="55">
        <f>E254*2</f>
        <v>2634.8</v>
      </c>
      <c r="F255" s="49">
        <v>940</v>
      </c>
    </row>
    <row r="256" spans="1:6" ht="16.5" thickBot="1" x14ac:dyDescent="0.3">
      <c r="A256" s="52" t="s">
        <v>1559</v>
      </c>
      <c r="B256" s="53"/>
      <c r="C256" s="53"/>
      <c r="D256" s="53"/>
      <c r="E256" s="57"/>
      <c r="F256" s="54">
        <f>F255*2</f>
        <v>1880</v>
      </c>
    </row>
    <row r="258" spans="1:6" x14ac:dyDescent="0.25">
      <c r="A258" s="1601" t="s">
        <v>1637</v>
      </c>
      <c r="B258" s="1588"/>
      <c r="C258" s="1588"/>
      <c r="D258" s="1588"/>
      <c r="E258" s="1588"/>
      <c r="F258" s="23"/>
    </row>
    <row r="259" spans="1:6" x14ac:dyDescent="0.25">
      <c r="A259" s="35"/>
      <c r="B259" s="36" t="s">
        <v>1073</v>
      </c>
      <c r="C259" s="64" t="s">
        <v>1566</v>
      </c>
      <c r="D259" s="64" t="s">
        <v>747</v>
      </c>
      <c r="E259" s="37" t="s">
        <v>1549</v>
      </c>
      <c r="F259" s="194"/>
    </row>
    <row r="260" spans="1:6" x14ac:dyDescent="0.25">
      <c r="A260" s="3" t="s">
        <v>1638</v>
      </c>
      <c r="B260" s="2"/>
      <c r="C260" s="6">
        <v>0.1</v>
      </c>
      <c r="D260" s="66">
        <f>'PALAIS DU BIJOU'!F15</f>
        <v>272.22222222222223</v>
      </c>
      <c r="E260" s="39">
        <f>D260*C260</f>
        <v>27.222222222222225</v>
      </c>
      <c r="F260" s="1"/>
    </row>
    <row r="261" spans="1:6" x14ac:dyDescent="0.25">
      <c r="A261" s="3" t="s">
        <v>1628</v>
      </c>
      <c r="B261" s="2"/>
      <c r="C261" s="6">
        <v>2</v>
      </c>
      <c r="D261" s="66">
        <f>'INSUMOS VARIOS'!T16</f>
        <v>10.78</v>
      </c>
      <c r="E261" s="39">
        <f>D261*C261</f>
        <v>21.56</v>
      </c>
      <c r="F261" s="1"/>
    </row>
    <row r="262" spans="1:6" x14ac:dyDescent="0.25">
      <c r="A262" s="2" t="s">
        <v>1639</v>
      </c>
      <c r="B262" s="2"/>
      <c r="C262" s="6">
        <v>1</v>
      </c>
      <c r="D262" s="66">
        <f>'INSUMOS VARIOS'!T17</f>
        <v>12.5</v>
      </c>
      <c r="E262" s="39">
        <f>D262*C262</f>
        <v>12.5</v>
      </c>
      <c r="F262" s="1"/>
    </row>
    <row r="263" spans="1:6" x14ac:dyDescent="0.25">
      <c r="A263" s="2" t="s">
        <v>1640</v>
      </c>
      <c r="B263" s="2"/>
      <c r="C263" s="6">
        <v>1</v>
      </c>
      <c r="D263" s="66">
        <f>'INSUMOS VARIOS'!T19</f>
        <v>1</v>
      </c>
      <c r="E263" s="39">
        <f>D263*C263</f>
        <v>1</v>
      </c>
      <c r="F263" s="1"/>
    </row>
    <row r="264" spans="1:6" x14ac:dyDescent="0.25">
      <c r="A264" s="3" t="s">
        <v>1558</v>
      </c>
      <c r="B264" s="2"/>
      <c r="C264" s="6"/>
      <c r="D264" s="66"/>
      <c r="E264" s="39">
        <v>50</v>
      </c>
      <c r="F264" s="1"/>
    </row>
    <row r="265" spans="1:6" ht="16.5" thickBot="1" x14ac:dyDescent="0.3">
      <c r="A265" s="45" t="s">
        <v>525</v>
      </c>
      <c r="B265" s="46"/>
      <c r="C265" s="65"/>
      <c r="D265" s="65"/>
      <c r="E265" s="50">
        <f>SUM(E260:E264)</f>
        <v>112.28222222222223</v>
      </c>
      <c r="F265" s="38"/>
    </row>
    <row r="266" spans="1:6" x14ac:dyDescent="0.25">
      <c r="A266" s="47" t="s">
        <v>544</v>
      </c>
      <c r="B266" s="42"/>
      <c r="C266" s="42"/>
      <c r="D266" s="42"/>
      <c r="E266" s="55">
        <f>E265*2</f>
        <v>224.56444444444446</v>
      </c>
      <c r="F266" s="49"/>
    </row>
    <row r="267" spans="1:6" ht="16.5" thickBot="1" x14ac:dyDescent="0.3">
      <c r="A267" s="52" t="s">
        <v>1559</v>
      </c>
      <c r="B267" s="53"/>
      <c r="C267" s="53"/>
      <c r="D267" s="53"/>
      <c r="E267" s="57"/>
      <c r="F267" s="54">
        <f>F266*2</f>
        <v>0</v>
      </c>
    </row>
    <row r="269" spans="1:6" x14ac:dyDescent="0.25">
      <c r="A269" s="1601" t="s">
        <v>1641</v>
      </c>
      <c r="B269" s="1588"/>
      <c r="C269" s="1588"/>
      <c r="D269" s="1588"/>
      <c r="E269" s="1588"/>
      <c r="F269" s="23"/>
    </row>
    <row r="270" spans="1:6" x14ac:dyDescent="0.25">
      <c r="A270" s="35"/>
      <c r="B270" s="36" t="s">
        <v>1073</v>
      </c>
      <c r="C270" s="64" t="s">
        <v>1566</v>
      </c>
      <c r="D270" s="64" t="s">
        <v>747</v>
      </c>
      <c r="E270" s="37" t="s">
        <v>1549</v>
      </c>
      <c r="F270" s="194"/>
    </row>
    <row r="271" spans="1:6" x14ac:dyDescent="0.25">
      <c r="A271" s="3" t="s">
        <v>1642</v>
      </c>
      <c r="B271" s="2" t="s">
        <v>950</v>
      </c>
      <c r="C271" s="6">
        <v>1</v>
      </c>
      <c r="D271" s="66" t="e">
        <f>'AROS, CADENAS, DIJES, ETC'!#REF!</f>
        <v>#REF!</v>
      </c>
      <c r="E271" s="39" t="e">
        <f>D271*C271</f>
        <v>#REF!</v>
      </c>
      <c r="F271" s="1"/>
    </row>
    <row r="272" spans="1:6" x14ac:dyDescent="0.25">
      <c r="A272" s="3" t="s">
        <v>1617</v>
      </c>
      <c r="B272" s="2"/>
      <c r="C272" s="6">
        <v>1</v>
      </c>
      <c r="D272" s="66" t="e">
        <f>'AROS, CADENAS, DIJES, ETC'!#REF!</f>
        <v>#REF!</v>
      </c>
      <c r="E272" s="39" t="e">
        <f>D272*C272</f>
        <v>#REF!</v>
      </c>
      <c r="F272" s="1"/>
    </row>
    <row r="273" spans="1:7" x14ac:dyDescent="0.25">
      <c r="A273" s="3" t="s">
        <v>1557</v>
      </c>
      <c r="B273" s="2"/>
      <c r="C273" s="6"/>
      <c r="D273" s="66"/>
      <c r="E273" s="39">
        <f>PACKAGING!E4</f>
        <v>80</v>
      </c>
      <c r="F273" s="1"/>
    </row>
    <row r="274" spans="1:7" x14ac:dyDescent="0.25">
      <c r="A274" s="3" t="s">
        <v>1558</v>
      </c>
      <c r="B274" s="2"/>
      <c r="C274" s="6"/>
      <c r="D274" s="66"/>
      <c r="E274" s="39">
        <v>50</v>
      </c>
      <c r="F274" s="1"/>
    </row>
    <row r="275" spans="1:7" ht="16.5" thickBot="1" x14ac:dyDescent="0.3">
      <c r="A275" s="45" t="s">
        <v>525</v>
      </c>
      <c r="B275" s="46"/>
      <c r="C275" s="65"/>
      <c r="D275" s="65"/>
      <c r="E275" s="50" t="e">
        <f>SUM(E271:E274)</f>
        <v>#REF!</v>
      </c>
      <c r="F275" s="38"/>
    </row>
    <row r="276" spans="1:7" x14ac:dyDescent="0.25">
      <c r="A276" s="47" t="s">
        <v>544</v>
      </c>
      <c r="B276" s="42"/>
      <c r="C276" s="42"/>
      <c r="D276" s="42"/>
      <c r="E276" s="55" t="e">
        <f>E275*2</f>
        <v>#REF!</v>
      </c>
      <c r="F276" s="49">
        <v>550</v>
      </c>
    </row>
    <row r="277" spans="1:7" ht="16.5" thickBot="1" x14ac:dyDescent="0.3">
      <c r="A277" s="52" t="s">
        <v>1559</v>
      </c>
      <c r="B277" s="53"/>
      <c r="C277" s="53"/>
      <c r="D277" s="53"/>
      <c r="E277" s="57"/>
      <c r="F277" s="54">
        <f>F276*2</f>
        <v>1100</v>
      </c>
    </row>
    <row r="279" spans="1:7" x14ac:dyDescent="0.25">
      <c r="A279" s="1576" t="s">
        <v>1643</v>
      </c>
      <c r="B279" s="1577"/>
      <c r="C279" s="1577"/>
      <c r="D279" s="1577"/>
      <c r="E279" s="1577"/>
      <c r="F279" s="1577"/>
      <c r="G279" s="1"/>
    </row>
    <row r="280" spans="1:7" x14ac:dyDescent="0.25">
      <c r="A280" s="183" t="s">
        <v>916</v>
      </c>
      <c r="B280" s="97" t="s">
        <v>1194</v>
      </c>
      <c r="C280" s="97" t="s">
        <v>1089</v>
      </c>
      <c r="D280" s="76" t="s">
        <v>1547</v>
      </c>
      <c r="E280" s="108" t="s">
        <v>1035</v>
      </c>
      <c r="F280" s="77" t="s">
        <v>1549</v>
      </c>
      <c r="G280" s="1"/>
    </row>
    <row r="281" spans="1:7" x14ac:dyDescent="0.25">
      <c r="A281" s="104" t="s">
        <v>1644</v>
      </c>
      <c r="B281" s="148"/>
      <c r="C281" s="2"/>
      <c r="D281" s="107">
        <v>54</v>
      </c>
      <c r="E281" s="109">
        <f>VIDRIOS!E44</f>
        <v>20.833333333333332</v>
      </c>
      <c r="F281" s="110">
        <f>E281*D281</f>
        <v>1125</v>
      </c>
      <c r="G281" s="1"/>
    </row>
    <row r="282" spans="1:7" x14ac:dyDescent="0.25">
      <c r="A282" s="104" t="s">
        <v>1645</v>
      </c>
      <c r="B282" s="148"/>
      <c r="C282" s="2"/>
      <c r="D282" s="107">
        <v>1</v>
      </c>
      <c r="E282" s="109">
        <f>'INSUMOS VARIOS'!L8</f>
        <v>26.428571428571427</v>
      </c>
      <c r="F282" s="110">
        <f>E282*D282</f>
        <v>26.428571428571427</v>
      </c>
      <c r="G282" s="1"/>
    </row>
    <row r="283" spans="1:7" x14ac:dyDescent="0.25">
      <c r="A283" s="104" t="s">
        <v>1646</v>
      </c>
      <c r="B283" s="148"/>
      <c r="C283" s="2"/>
      <c r="D283" s="107">
        <v>1</v>
      </c>
      <c r="E283" s="109">
        <f>'AROS, CADENAS, DIJES, ETC'!O3</f>
        <v>206</v>
      </c>
      <c r="F283" s="110">
        <f>E283*D283</f>
        <v>206</v>
      </c>
      <c r="G283" s="1"/>
    </row>
    <row r="284" spans="1:7" x14ac:dyDescent="0.25">
      <c r="A284" s="104" t="s">
        <v>1018</v>
      </c>
      <c r="B284" s="148"/>
      <c r="C284" s="2"/>
      <c r="D284" s="107">
        <v>2</v>
      </c>
      <c r="E284" s="109">
        <f>FORNITURAS!D26</f>
        <v>297.14285714285717</v>
      </c>
      <c r="F284" s="110">
        <f>D284*E284</f>
        <v>594.28571428571433</v>
      </c>
      <c r="G284" s="1"/>
    </row>
    <row r="285" spans="1:7" x14ac:dyDescent="0.25">
      <c r="A285" s="104" t="s">
        <v>1555</v>
      </c>
      <c r="B285" s="148" t="s">
        <v>1556</v>
      </c>
      <c r="C285" s="2"/>
      <c r="D285" s="107">
        <v>1</v>
      </c>
      <c r="E285" s="109">
        <f>FORNITURAS!D4</f>
        <v>48.7</v>
      </c>
      <c r="F285" s="110">
        <f>D285*E285</f>
        <v>48.7</v>
      </c>
      <c r="G285" s="1"/>
    </row>
    <row r="286" spans="1:7" x14ac:dyDescent="0.25">
      <c r="A286" s="104" t="s">
        <v>1594</v>
      </c>
      <c r="B286" s="148"/>
      <c r="C286" s="98"/>
      <c r="D286" s="2">
        <v>0.28000000000000003</v>
      </c>
      <c r="E286" s="109">
        <f>'HILOS-CORDONES-TANZA-CUERO'!L5</f>
        <v>7.34</v>
      </c>
      <c r="F286" s="110">
        <f>E286*D286</f>
        <v>2.0552000000000001</v>
      </c>
      <c r="G286" s="1"/>
    </row>
    <row r="287" spans="1:7" x14ac:dyDescent="0.25">
      <c r="A287" s="3" t="s">
        <v>1557</v>
      </c>
      <c r="B287" s="98"/>
      <c r="C287" s="98"/>
      <c r="D287" s="2"/>
      <c r="E287" s="6"/>
      <c r="F287" s="39">
        <f>PACKAGING!E12</f>
        <v>50</v>
      </c>
      <c r="G287" s="1"/>
    </row>
    <row r="288" spans="1:7" ht="18.75" x14ac:dyDescent="0.25">
      <c r="A288" s="3" t="s">
        <v>1558</v>
      </c>
      <c r="B288" s="98"/>
      <c r="C288" s="98"/>
      <c r="D288" s="2"/>
      <c r="E288" s="6"/>
      <c r="F288" s="39">
        <v>35</v>
      </c>
      <c r="G288" s="96"/>
    </row>
    <row r="289" spans="1:7" ht="16.5" thickBot="1" x14ac:dyDescent="0.3">
      <c r="A289" s="79" t="s">
        <v>525</v>
      </c>
      <c r="B289" s="99"/>
      <c r="C289" s="99"/>
      <c r="D289" s="70"/>
      <c r="E289" s="85"/>
      <c r="F289" s="51">
        <f>SUM(F281:F288)</f>
        <v>2087.4694857142858</v>
      </c>
      <c r="G289" s="1"/>
    </row>
    <row r="290" spans="1:7" ht="18.75" x14ac:dyDescent="0.25">
      <c r="A290" s="80" t="s">
        <v>544</v>
      </c>
      <c r="B290" s="100"/>
      <c r="C290" s="100"/>
      <c r="D290" s="71"/>
      <c r="E290" s="71"/>
      <c r="F290" s="72">
        <f>F289*2</f>
        <v>4174.9389714285717</v>
      </c>
      <c r="G290" s="75">
        <v>460</v>
      </c>
    </row>
    <row r="291" spans="1:7" ht="19.5" thickBot="1" x14ac:dyDescent="0.3">
      <c r="A291" s="81" t="s">
        <v>1559</v>
      </c>
      <c r="B291" s="101"/>
      <c r="C291" s="101"/>
      <c r="D291" s="73"/>
      <c r="E291" s="73"/>
      <c r="F291" s="73"/>
      <c r="G291" s="74">
        <f>G290*2</f>
        <v>920</v>
      </c>
    </row>
    <row r="293" spans="1:7" x14ac:dyDescent="0.25">
      <c r="A293" s="1601" t="s">
        <v>1647</v>
      </c>
      <c r="B293" s="1588"/>
      <c r="C293" s="1588"/>
      <c r="D293" s="1588"/>
      <c r="E293" s="1588"/>
      <c r="F293" s="1588"/>
    </row>
    <row r="294" spans="1:7" x14ac:dyDescent="0.25">
      <c r="A294" s="289"/>
      <c r="B294" s="290" t="s">
        <v>1073</v>
      </c>
      <c r="C294" s="318" t="s">
        <v>1089</v>
      </c>
      <c r="D294" s="318" t="s">
        <v>1566</v>
      </c>
      <c r="E294" s="318" t="s">
        <v>747</v>
      </c>
      <c r="F294" s="291" t="s">
        <v>1549</v>
      </c>
      <c r="G294" s="194"/>
    </row>
    <row r="295" spans="1:7" x14ac:dyDescent="0.25">
      <c r="A295" s="3" t="s">
        <v>1648</v>
      </c>
      <c r="B295" s="2" t="s">
        <v>789</v>
      </c>
      <c r="C295" s="6"/>
      <c r="D295" s="6" t="s">
        <v>1649</v>
      </c>
      <c r="E295" s="66">
        <f>'AROS, CADENAS, DIJES, ETC'!C9</f>
        <v>3000</v>
      </c>
      <c r="F295" s="39">
        <f>E295</f>
        <v>3000</v>
      </c>
      <c r="G295" s="1"/>
    </row>
    <row r="296" spans="1:7" x14ac:dyDescent="0.25">
      <c r="A296" s="3" t="s">
        <v>1050</v>
      </c>
      <c r="B296" s="2" t="s">
        <v>1059</v>
      </c>
      <c r="C296" s="6">
        <v>0.05</v>
      </c>
      <c r="D296" s="6">
        <v>2</v>
      </c>
      <c r="E296" s="66">
        <f>FORNITURAS!W5</f>
        <v>906.42857142857144</v>
      </c>
      <c r="F296" s="39">
        <f>E296*D296*C296</f>
        <v>90.642857142857153</v>
      </c>
      <c r="G296" s="1"/>
    </row>
    <row r="297" spans="1:7" x14ac:dyDescent="0.25">
      <c r="A297" s="3" t="s">
        <v>1018</v>
      </c>
      <c r="B297" s="2"/>
      <c r="C297" s="6"/>
      <c r="D297" s="6">
        <v>2</v>
      </c>
      <c r="E297" s="66">
        <f>FORNITURAS!D26</f>
        <v>297.14285714285717</v>
      </c>
      <c r="F297" s="39">
        <f>E297*D297</f>
        <v>594.28571428571433</v>
      </c>
      <c r="G297" s="1"/>
    </row>
    <row r="298" spans="1:7" x14ac:dyDescent="0.25">
      <c r="A298" s="3" t="s">
        <v>1616</v>
      </c>
      <c r="B298" s="2"/>
      <c r="C298" s="6"/>
      <c r="D298" s="6">
        <v>2</v>
      </c>
      <c r="E298" s="66">
        <f>'INS VARIOS'!T26</f>
        <v>2.9444444444444446</v>
      </c>
      <c r="F298" s="39">
        <f>E298*D298</f>
        <v>5.8888888888888893</v>
      </c>
      <c r="G298" s="1"/>
    </row>
    <row r="299" spans="1:7" x14ac:dyDescent="0.25">
      <c r="A299" s="2" t="s">
        <v>1557</v>
      </c>
      <c r="B299" s="2"/>
      <c r="C299" s="6"/>
      <c r="D299" s="6"/>
      <c r="E299" s="66"/>
      <c r="F299" s="39">
        <f>PACKAGING!E3</f>
        <v>150</v>
      </c>
      <c r="G299" s="1"/>
    </row>
    <row r="300" spans="1:7" x14ac:dyDescent="0.25">
      <c r="A300" s="2" t="s">
        <v>1538</v>
      </c>
      <c r="B300" s="2"/>
      <c r="C300" s="6"/>
      <c r="D300" s="6"/>
      <c r="E300" s="66"/>
      <c r="F300" s="39">
        <f>PACKAGING!E8</f>
        <v>420</v>
      </c>
      <c r="G300" s="1"/>
    </row>
    <row r="301" spans="1:7" x14ac:dyDescent="0.25">
      <c r="A301" s="3" t="s">
        <v>1558</v>
      </c>
      <c r="B301" s="2"/>
      <c r="C301" s="6"/>
      <c r="D301" s="6"/>
      <c r="E301" s="66"/>
      <c r="F301" s="39">
        <v>40</v>
      </c>
      <c r="G301" s="1"/>
    </row>
    <row r="302" spans="1:7" ht="16.5" thickBot="1" x14ac:dyDescent="0.3">
      <c r="A302" s="292" t="s">
        <v>525</v>
      </c>
      <c r="B302" s="293"/>
      <c r="C302" s="304"/>
      <c r="D302" s="304"/>
      <c r="E302" s="304"/>
      <c r="F302" s="294">
        <f>SUM(F295:F301)</f>
        <v>4300.8174603174602</v>
      </c>
      <c r="G302" s="38"/>
    </row>
    <row r="303" spans="1:7" x14ac:dyDescent="0.25">
      <c r="A303" s="295" t="s">
        <v>544</v>
      </c>
      <c r="B303" s="296"/>
      <c r="C303" s="296"/>
      <c r="D303" s="296"/>
      <c r="E303" s="296"/>
      <c r="F303" s="297">
        <f>F302*2</f>
        <v>8601.6349206349205</v>
      </c>
      <c r="G303" s="298">
        <v>660</v>
      </c>
    </row>
    <row r="304" spans="1:7" ht="16.5" thickBot="1" x14ac:dyDescent="0.3">
      <c r="A304" s="299" t="s">
        <v>1559</v>
      </c>
      <c r="B304" s="300"/>
      <c r="C304" s="300"/>
      <c r="D304" s="300"/>
      <c r="E304" s="300"/>
      <c r="F304" s="301"/>
      <c r="G304" s="302">
        <f>G303*2</f>
        <v>1320</v>
      </c>
    </row>
    <row r="306" spans="1:6" x14ac:dyDescent="0.25">
      <c r="A306" s="1601" t="s">
        <v>1650</v>
      </c>
      <c r="B306" s="1588"/>
      <c r="C306" s="1588"/>
      <c r="D306" s="1588"/>
      <c r="E306" s="1588"/>
      <c r="F306" s="23"/>
    </row>
    <row r="307" spans="1:6" x14ac:dyDescent="0.25">
      <c r="A307" s="35"/>
      <c r="B307" s="36" t="s">
        <v>1073</v>
      </c>
      <c r="C307" s="64" t="s">
        <v>1566</v>
      </c>
      <c r="D307" s="64" t="s">
        <v>747</v>
      </c>
      <c r="E307" s="37" t="s">
        <v>1549</v>
      </c>
      <c r="F307" s="194"/>
    </row>
    <row r="308" spans="1:6" x14ac:dyDescent="0.25">
      <c r="A308" s="3" t="s">
        <v>808</v>
      </c>
      <c r="B308" s="2"/>
      <c r="C308" s="6"/>
      <c r="D308" s="66">
        <f>'AROS, CADENAS, DIJES, ETC'!C18</f>
        <v>213</v>
      </c>
      <c r="E308" s="39">
        <f>D308</f>
        <v>213</v>
      </c>
      <c r="F308" s="1"/>
    </row>
    <row r="309" spans="1:6" x14ac:dyDescent="0.25">
      <c r="A309" s="3" t="s">
        <v>1621</v>
      </c>
      <c r="B309" s="2"/>
      <c r="C309" s="6">
        <v>2</v>
      </c>
      <c r="D309" s="66">
        <f>PIEDRAS!K45</f>
        <v>75</v>
      </c>
      <c r="E309" s="39">
        <f>D309*C309</f>
        <v>150</v>
      </c>
      <c r="F309" s="1"/>
    </row>
    <row r="310" spans="1:6" x14ac:dyDescent="0.25">
      <c r="A310" s="2" t="s">
        <v>1557</v>
      </c>
      <c r="B310" s="2"/>
      <c r="C310" s="6"/>
      <c r="D310" s="66"/>
      <c r="E310" s="39">
        <f>PACKAGING!E3</f>
        <v>150</v>
      </c>
      <c r="F310" s="1"/>
    </row>
    <row r="311" spans="1:6" x14ac:dyDescent="0.25">
      <c r="A311" s="2" t="s">
        <v>1538</v>
      </c>
      <c r="B311" s="2"/>
      <c r="C311" s="6"/>
      <c r="D311" s="66"/>
      <c r="E311" s="39">
        <f>PACKAGING!E8</f>
        <v>420</v>
      </c>
      <c r="F311" s="1"/>
    </row>
    <row r="312" spans="1:6" x14ac:dyDescent="0.25">
      <c r="A312" s="3" t="s">
        <v>1558</v>
      </c>
      <c r="B312" s="2"/>
      <c r="C312" s="6"/>
      <c r="D312" s="66"/>
      <c r="E312" s="39">
        <v>15</v>
      </c>
      <c r="F312" s="1"/>
    </row>
    <row r="313" spans="1:6" ht="16.5" thickBot="1" x14ac:dyDescent="0.3">
      <c r="A313" s="45" t="s">
        <v>525</v>
      </c>
      <c r="B313" s="46"/>
      <c r="C313" s="65"/>
      <c r="D313" s="65"/>
      <c r="E313" s="50">
        <f>SUM(E308:E312)</f>
        <v>948</v>
      </c>
      <c r="F313" s="38"/>
    </row>
    <row r="314" spans="1:6" x14ac:dyDescent="0.25">
      <c r="A314" s="47" t="s">
        <v>544</v>
      </c>
      <c r="B314" s="42"/>
      <c r="C314" s="42"/>
      <c r="D314" s="42"/>
      <c r="E314" s="55">
        <f>E313*2</f>
        <v>1896</v>
      </c>
      <c r="F314" s="49">
        <v>990</v>
      </c>
    </row>
    <row r="315" spans="1:6" ht="16.5" thickBot="1" x14ac:dyDescent="0.3">
      <c r="A315" s="52" t="s">
        <v>1559</v>
      </c>
      <c r="B315" s="53"/>
      <c r="C315" s="53"/>
      <c r="D315" s="53"/>
      <c r="E315" s="57"/>
      <c r="F315" s="54">
        <f>F314*2</f>
        <v>1980</v>
      </c>
    </row>
    <row r="317" spans="1:6" x14ac:dyDescent="0.25">
      <c r="A317" s="1601" t="s">
        <v>1650</v>
      </c>
      <c r="B317" s="1588"/>
      <c r="C317" s="1588"/>
      <c r="D317" s="1588"/>
      <c r="E317" s="1588"/>
      <c r="F317" s="23"/>
    </row>
    <row r="318" spans="1:6" x14ac:dyDescent="0.25">
      <c r="A318" s="35"/>
      <c r="B318" s="36" t="s">
        <v>1073</v>
      </c>
      <c r="C318" s="64" t="s">
        <v>1566</v>
      </c>
      <c r="D318" s="64" t="s">
        <v>747</v>
      </c>
      <c r="E318" s="37" t="s">
        <v>1549</v>
      </c>
      <c r="F318" s="194"/>
    </row>
    <row r="319" spans="1:6" x14ac:dyDescent="0.25">
      <c r="A319" s="3" t="s">
        <v>784</v>
      </c>
      <c r="B319" s="2" t="s">
        <v>789</v>
      </c>
      <c r="C319" s="6"/>
      <c r="D319" s="66">
        <f>'AROS, CADENAS, DIJES, ETC'!C9</f>
        <v>3000</v>
      </c>
      <c r="E319" s="39">
        <f>D319</f>
        <v>3000</v>
      </c>
      <c r="F319" s="1"/>
    </row>
    <row r="320" spans="1:6" x14ac:dyDescent="0.25">
      <c r="A320" s="3" t="s">
        <v>1651</v>
      </c>
      <c r="B320" s="2"/>
      <c r="C320" s="6">
        <v>2</v>
      </c>
      <c r="D320" s="66" t="e">
        <f>'AROS, CADENAS, DIJES, ETC'!#REF!</f>
        <v>#REF!</v>
      </c>
      <c r="E320" s="39" t="e">
        <f>D320*C320</f>
        <v>#REF!</v>
      </c>
      <c r="F320" s="1"/>
    </row>
    <row r="321" spans="1:22" x14ac:dyDescent="0.25">
      <c r="A321" s="2" t="s">
        <v>1557</v>
      </c>
      <c r="B321" s="2"/>
      <c r="C321" s="6"/>
      <c r="D321" s="66"/>
      <c r="E321" s="39">
        <f>PACKAGING!E3</f>
        <v>150</v>
      </c>
      <c r="F321" s="1"/>
    </row>
    <row r="322" spans="1:22" x14ac:dyDescent="0.25">
      <c r="A322" s="2" t="s">
        <v>1538</v>
      </c>
      <c r="B322" s="2"/>
      <c r="C322" s="6"/>
      <c r="D322" s="66"/>
      <c r="E322" s="39">
        <f>PACKAGING!E8</f>
        <v>420</v>
      </c>
      <c r="F322" s="1"/>
    </row>
    <row r="323" spans="1:22" x14ac:dyDescent="0.25">
      <c r="A323" s="3" t="s">
        <v>1558</v>
      </c>
      <c r="B323" s="2"/>
      <c r="C323" s="6"/>
      <c r="D323" s="66"/>
      <c r="E323" s="39">
        <v>15</v>
      </c>
      <c r="F323" s="1"/>
    </row>
    <row r="324" spans="1:22" ht="16.5" thickBot="1" x14ac:dyDescent="0.3">
      <c r="A324" s="45" t="s">
        <v>525</v>
      </c>
      <c r="B324" s="46"/>
      <c r="C324" s="65"/>
      <c r="D324" s="65"/>
      <c r="E324" s="50" t="e">
        <f>SUM(E319:E323)</f>
        <v>#REF!</v>
      </c>
      <c r="F324" s="38"/>
    </row>
    <row r="325" spans="1:22" x14ac:dyDescent="0.25">
      <c r="A325" s="47" t="s">
        <v>544</v>
      </c>
      <c r="B325" s="42"/>
      <c r="C325" s="42"/>
      <c r="D325" s="42"/>
      <c r="E325" s="55" t="e">
        <f>E324*2</f>
        <v>#REF!</v>
      </c>
      <c r="F325" s="49">
        <v>1060</v>
      </c>
    </row>
    <row r="326" spans="1:22" ht="16.5" thickBot="1" x14ac:dyDescent="0.3">
      <c r="A326" s="52" t="s">
        <v>1559</v>
      </c>
      <c r="B326" s="53"/>
      <c r="C326" s="53"/>
      <c r="D326" s="53"/>
      <c r="E326" s="57"/>
      <c r="F326" s="54">
        <f>F325*2</f>
        <v>2120</v>
      </c>
    </row>
    <row r="328" spans="1:22" ht="15.6" customHeight="1" x14ac:dyDescent="0.25">
      <c r="A328" s="1602" t="s">
        <v>1652</v>
      </c>
      <c r="B328" s="1600"/>
      <c r="C328" s="1600"/>
      <c r="D328" s="1600"/>
      <c r="E328" s="1600"/>
      <c r="H328" s="1688" t="s">
        <v>1653</v>
      </c>
      <c r="I328" s="1571"/>
      <c r="J328" s="1571"/>
      <c r="K328" s="1571"/>
      <c r="L328" s="1571"/>
      <c r="M328" s="1571"/>
      <c r="P328" s="1688" t="s">
        <v>1654</v>
      </c>
      <c r="Q328" s="1571"/>
      <c r="R328" s="1571"/>
      <c r="S328" s="1571"/>
      <c r="T328" s="1571"/>
      <c r="U328" s="1571"/>
      <c r="V328" s="1"/>
    </row>
    <row r="329" spans="1:22" x14ac:dyDescent="0.25">
      <c r="A329" s="183" t="s">
        <v>916</v>
      </c>
      <c r="B329" s="97" t="s">
        <v>743</v>
      </c>
      <c r="C329" s="76" t="s">
        <v>1547</v>
      </c>
      <c r="D329" s="108" t="s">
        <v>747</v>
      </c>
      <c r="E329" s="77" t="s">
        <v>1549</v>
      </c>
      <c r="F329" s="1"/>
      <c r="H329" s="271" t="s">
        <v>916</v>
      </c>
      <c r="I329" s="272" t="s">
        <v>1073</v>
      </c>
      <c r="J329" s="273" t="s">
        <v>1089</v>
      </c>
      <c r="K329" s="273" t="s">
        <v>1547</v>
      </c>
      <c r="L329" s="273" t="s">
        <v>1035</v>
      </c>
      <c r="M329" s="274" t="s">
        <v>1549</v>
      </c>
      <c r="N329" s="1"/>
      <c r="P329" s="183"/>
      <c r="Q329" s="97" t="s">
        <v>742</v>
      </c>
      <c r="R329" s="97" t="s">
        <v>1547</v>
      </c>
      <c r="S329" s="76" t="s">
        <v>1089</v>
      </c>
      <c r="T329" s="108" t="s">
        <v>1035</v>
      </c>
      <c r="U329" s="77" t="s">
        <v>1549</v>
      </c>
      <c r="V329" s="1"/>
    </row>
    <row r="330" spans="1:22" x14ac:dyDescent="0.25">
      <c r="A330" s="3" t="s">
        <v>1655</v>
      </c>
      <c r="B330" s="98" t="s">
        <v>959</v>
      </c>
      <c r="C330" s="2">
        <v>1</v>
      </c>
      <c r="D330" s="66">
        <f>'AROS, CADENAS, DIJES, ETC'!I9</f>
        <v>435</v>
      </c>
      <c r="E330" s="39">
        <f>D330*C330</f>
        <v>435</v>
      </c>
      <c r="F330" s="1"/>
      <c r="H330" s="3" t="s">
        <v>784</v>
      </c>
      <c r="I330" s="2" t="s">
        <v>789</v>
      </c>
      <c r="J330" s="6"/>
      <c r="K330" s="6" t="s">
        <v>1649</v>
      </c>
      <c r="L330" s="66">
        <f>'AROS, CADENAS, DIJES, ETC'!C9</f>
        <v>3000</v>
      </c>
      <c r="M330" s="39">
        <f>L330</f>
        <v>3000</v>
      </c>
      <c r="N330" s="1"/>
      <c r="P330" s="104" t="s">
        <v>1232</v>
      </c>
      <c r="Q330" s="148"/>
      <c r="R330" s="148">
        <v>1</v>
      </c>
      <c r="S330" s="107">
        <v>0.08</v>
      </c>
      <c r="T330" s="109">
        <f>'HILOS-CORDONES-TANZA-CUERO'!L9</f>
        <v>30</v>
      </c>
      <c r="U330" s="110">
        <f>T330*S330</f>
        <v>2.4</v>
      </c>
      <c r="V330" s="1"/>
    </row>
    <row r="331" spans="1:22" x14ac:dyDescent="0.25">
      <c r="A331" s="3" t="s">
        <v>1656</v>
      </c>
      <c r="B331" s="98"/>
      <c r="C331" s="2">
        <v>1</v>
      </c>
      <c r="D331" s="66" t="e">
        <f>'AROS, CADENAS, DIJES, ETC'!#REF!</f>
        <v>#REF!</v>
      </c>
      <c r="E331" s="39" t="e">
        <f>D331*C331</f>
        <v>#REF!</v>
      </c>
      <c r="F331" s="1"/>
      <c r="H331" s="3" t="s">
        <v>1050</v>
      </c>
      <c r="I331" s="2" t="s">
        <v>1059</v>
      </c>
      <c r="J331" s="6">
        <v>0.04</v>
      </c>
      <c r="K331" s="6">
        <v>2</v>
      </c>
      <c r="L331" s="66">
        <f>FORNITURAS!W5</f>
        <v>906.42857142857144</v>
      </c>
      <c r="M331" s="39">
        <f>L331*K331*J331</f>
        <v>72.51428571428572</v>
      </c>
      <c r="N331" s="1"/>
      <c r="P331" s="331" t="s">
        <v>1012</v>
      </c>
      <c r="Q331" s="148"/>
      <c r="R331" s="148">
        <v>4</v>
      </c>
      <c r="S331" s="107"/>
      <c r="T331" s="109">
        <f>FORNITURAS!D17</f>
        <v>45.05</v>
      </c>
      <c r="U331" s="110">
        <f>T331*R331</f>
        <v>180.2</v>
      </c>
      <c r="V331" s="1"/>
    </row>
    <row r="332" spans="1:22" x14ac:dyDescent="0.25">
      <c r="A332" s="104" t="s">
        <v>1587</v>
      </c>
      <c r="B332" s="98"/>
      <c r="C332" s="2">
        <v>2</v>
      </c>
      <c r="D332" s="66">
        <f>FORNITURAS!D18</f>
        <v>363</v>
      </c>
      <c r="E332" s="39">
        <f>D332*C332</f>
        <v>726</v>
      </c>
      <c r="F332" s="1"/>
      <c r="H332" s="3" t="s">
        <v>1557</v>
      </c>
      <c r="I332" s="2"/>
      <c r="J332" s="6"/>
      <c r="K332" s="6"/>
      <c r="L332" s="66"/>
      <c r="M332" s="39">
        <f>PACKAGING!E3</f>
        <v>150</v>
      </c>
      <c r="N332" s="1"/>
      <c r="P332" s="1701" t="s">
        <v>1224</v>
      </c>
      <c r="Q332" s="2"/>
      <c r="R332" s="2">
        <v>2</v>
      </c>
      <c r="S332" s="2">
        <v>0.26</v>
      </c>
      <c r="T332" s="109" t="e">
        <f>'HILOS-CORDONES-TANZA-CUERO'!#REF!</f>
        <v>#REF!</v>
      </c>
      <c r="U332" s="110" t="e">
        <f>S332*T332*R332</f>
        <v>#REF!</v>
      </c>
      <c r="V332" s="1"/>
    </row>
    <row r="333" spans="1:22" x14ac:dyDescent="0.25">
      <c r="A333" s="104" t="s">
        <v>1050</v>
      </c>
      <c r="B333" s="98" t="s">
        <v>1059</v>
      </c>
      <c r="C333" s="2">
        <v>0.1</v>
      </c>
      <c r="D333" s="66">
        <f>FORNITURAS!W5</f>
        <v>906.42857142857144</v>
      </c>
      <c r="E333" s="39">
        <f>D333*C333</f>
        <v>90.642857142857153</v>
      </c>
      <c r="F333" s="1"/>
      <c r="H333" s="3" t="s">
        <v>1538</v>
      </c>
      <c r="I333" s="2"/>
      <c r="J333" s="6"/>
      <c r="K333" s="6"/>
      <c r="L333" s="66"/>
      <c r="M333" s="39">
        <f>PACKAGING!E8</f>
        <v>420</v>
      </c>
      <c r="N333" s="1"/>
      <c r="P333" s="1702"/>
      <c r="Q333" s="202"/>
      <c r="R333" s="202">
        <v>1</v>
      </c>
      <c r="S333" s="2">
        <v>0.1</v>
      </c>
      <c r="T333" s="109" t="e">
        <f>'HILOS-CORDONES-TANZA-CUERO'!#REF!</f>
        <v>#REF!</v>
      </c>
      <c r="U333" s="110" t="e">
        <f>S333*T333*R333</f>
        <v>#REF!</v>
      </c>
      <c r="V333" s="1"/>
    </row>
    <row r="334" spans="1:22" x14ac:dyDescent="0.25">
      <c r="A334" s="104" t="s">
        <v>1555</v>
      </c>
      <c r="B334" s="98" t="s">
        <v>1556</v>
      </c>
      <c r="C334" s="2">
        <v>2</v>
      </c>
      <c r="D334" s="66">
        <f>FORNITURAS!D4</f>
        <v>48.7</v>
      </c>
      <c r="E334" s="39">
        <f>D334*C334</f>
        <v>97.4</v>
      </c>
      <c r="F334" s="1"/>
      <c r="H334" s="3" t="s">
        <v>1558</v>
      </c>
      <c r="I334" s="2"/>
      <c r="J334" s="6"/>
      <c r="K334" s="6"/>
      <c r="L334" s="66"/>
      <c r="M334" s="39">
        <v>40</v>
      </c>
      <c r="N334" s="1"/>
      <c r="P334" s="3" t="s">
        <v>1557</v>
      </c>
      <c r="Q334" s="98"/>
      <c r="R334" s="98"/>
      <c r="S334" s="2"/>
      <c r="T334" s="6"/>
      <c r="U334" s="39">
        <f>PACKAGING!E12</f>
        <v>50</v>
      </c>
      <c r="V334" s="1"/>
    </row>
    <row r="335" spans="1:22" ht="16.5" thickBot="1" x14ac:dyDescent="0.3">
      <c r="A335" s="191" t="s">
        <v>1557</v>
      </c>
      <c r="B335" s="98" t="s">
        <v>1535</v>
      </c>
      <c r="C335" s="2"/>
      <c r="D335" s="6"/>
      <c r="E335" s="39">
        <f>PACKAGING!E4</f>
        <v>80</v>
      </c>
      <c r="H335" s="79" t="s">
        <v>525</v>
      </c>
      <c r="I335" s="70"/>
      <c r="J335" s="85"/>
      <c r="K335" s="85"/>
      <c r="L335" s="85"/>
      <c r="M335" s="51">
        <f>SUM(M330:M334)</f>
        <v>3682.5142857142855</v>
      </c>
      <c r="N335" s="134"/>
      <c r="P335" s="3" t="s">
        <v>1558</v>
      </c>
      <c r="Q335" s="98"/>
      <c r="R335" s="98"/>
      <c r="S335" s="2"/>
      <c r="T335" s="6"/>
      <c r="U335" s="39">
        <v>45</v>
      </c>
      <c r="V335" s="1"/>
    </row>
    <row r="336" spans="1:22" ht="16.5" thickBot="1" x14ac:dyDescent="0.3">
      <c r="A336" s="3" t="s">
        <v>1537</v>
      </c>
      <c r="B336" s="98"/>
      <c r="C336" s="2"/>
      <c r="D336" s="6"/>
      <c r="E336" s="39">
        <f>PACKAGING!E7</f>
        <v>170</v>
      </c>
      <c r="F336" s="1"/>
      <c r="H336" s="80" t="s">
        <v>544</v>
      </c>
      <c r="I336" s="220"/>
      <c r="J336" s="220"/>
      <c r="K336" s="220"/>
      <c r="L336" s="220"/>
      <c r="M336" s="267">
        <f>M335*2</f>
        <v>7365.028571428571</v>
      </c>
      <c r="N336" s="268">
        <v>630</v>
      </c>
      <c r="P336" s="79" t="s">
        <v>525</v>
      </c>
      <c r="Q336" s="99"/>
      <c r="R336" s="99"/>
      <c r="S336" s="70"/>
      <c r="T336" s="85"/>
      <c r="U336" s="51" t="e">
        <f>SUM(U330:U335)</f>
        <v>#REF!</v>
      </c>
      <c r="V336" s="1"/>
    </row>
    <row r="337" spans="1:22" ht="19.5" thickBot="1" x14ac:dyDescent="0.3">
      <c r="A337" s="3" t="s">
        <v>1538</v>
      </c>
      <c r="B337" s="98"/>
      <c r="C337" s="2"/>
      <c r="D337" s="6"/>
      <c r="E337" s="39">
        <f>PACKAGING!E8</f>
        <v>420</v>
      </c>
      <c r="F337" s="1"/>
      <c r="H337" s="275" t="s">
        <v>1559</v>
      </c>
      <c r="I337" s="269"/>
      <c r="J337" s="269"/>
      <c r="K337" s="269"/>
      <c r="L337" s="269"/>
      <c r="M337" s="270"/>
      <c r="N337" s="281">
        <f>N336*2</f>
        <v>1260</v>
      </c>
      <c r="P337" s="80" t="s">
        <v>544</v>
      </c>
      <c r="Q337" s="100"/>
      <c r="R337" s="100"/>
      <c r="S337" s="71"/>
      <c r="T337" s="71"/>
      <c r="U337" s="72" t="e">
        <f>U336*2</f>
        <v>#REF!</v>
      </c>
      <c r="V337" s="75">
        <v>240</v>
      </c>
    </row>
    <row r="338" spans="1:22" ht="19.5" thickBot="1" x14ac:dyDescent="0.3">
      <c r="A338" s="3" t="s">
        <v>1618</v>
      </c>
      <c r="B338" s="98"/>
      <c r="C338" s="2"/>
      <c r="D338" s="6"/>
      <c r="E338" s="39">
        <v>100</v>
      </c>
      <c r="F338" s="1"/>
      <c r="P338" s="81" t="s">
        <v>1559</v>
      </c>
      <c r="Q338" s="101"/>
      <c r="R338" s="101"/>
      <c r="S338" s="73"/>
      <c r="T338" s="73"/>
      <c r="U338" s="73"/>
      <c r="V338" s="74">
        <f>V337*2</f>
        <v>480</v>
      </c>
    </row>
    <row r="339" spans="1:22" ht="16.5" thickBot="1" x14ac:dyDescent="0.3">
      <c r="A339" s="79" t="s">
        <v>525</v>
      </c>
      <c r="B339" s="99"/>
      <c r="C339" s="70"/>
      <c r="D339" s="85"/>
      <c r="E339" s="51" t="e">
        <f>SUM(E330:E338)</f>
        <v>#REF!</v>
      </c>
      <c r="F339" s="1"/>
    </row>
    <row r="340" spans="1:22" x14ac:dyDescent="0.25">
      <c r="A340" s="80" t="s">
        <v>544</v>
      </c>
      <c r="B340" s="100"/>
      <c r="C340" s="71"/>
      <c r="D340" s="71"/>
      <c r="E340" s="72" t="e">
        <f>E339*2</f>
        <v>#REF!</v>
      </c>
      <c r="F340" s="203">
        <v>1170</v>
      </c>
    </row>
    <row r="341" spans="1:22" ht="16.5" thickBot="1" x14ac:dyDescent="0.3">
      <c r="A341" s="81" t="s">
        <v>1559</v>
      </c>
      <c r="B341" s="101"/>
      <c r="C341" s="73"/>
      <c r="D341" s="73"/>
      <c r="E341" s="73"/>
      <c r="F341" s="204">
        <f>F340*2</f>
        <v>2340</v>
      </c>
    </row>
    <row r="342" spans="1:22" ht="16.5" thickBot="1" x14ac:dyDescent="0.3"/>
    <row r="343" spans="1:22" ht="16.5" thickBot="1" x14ac:dyDescent="0.3">
      <c r="A343" s="1565" t="s">
        <v>1657</v>
      </c>
      <c r="B343" s="1566"/>
      <c r="C343" s="1566"/>
      <c r="D343" s="1566"/>
      <c r="E343" s="1566"/>
      <c r="F343" s="1567"/>
      <c r="G343"/>
      <c r="I343" s="1565" t="s">
        <v>1657</v>
      </c>
      <c r="J343" s="1566"/>
      <c r="K343" s="1566"/>
      <c r="L343" s="1566"/>
      <c r="M343" s="1566"/>
      <c r="N343" s="1567"/>
      <c r="O343"/>
    </row>
    <row r="344" spans="1:22" x14ac:dyDescent="0.25">
      <c r="A344" s="183" t="s">
        <v>916</v>
      </c>
      <c r="B344" s="97" t="s">
        <v>1194</v>
      </c>
      <c r="C344" s="97" t="s">
        <v>1607</v>
      </c>
      <c r="D344" s="97" t="s">
        <v>1566</v>
      </c>
      <c r="E344" s="76" t="s">
        <v>1035</v>
      </c>
      <c r="F344" s="77" t="s">
        <v>1549</v>
      </c>
      <c r="G344" s="1"/>
      <c r="I344" s="183" t="s">
        <v>916</v>
      </c>
      <c r="J344" s="97" t="s">
        <v>1194</v>
      </c>
      <c r="K344" s="97" t="s">
        <v>1607</v>
      </c>
      <c r="L344" s="97" t="s">
        <v>1566</v>
      </c>
      <c r="M344" s="76" t="s">
        <v>1035</v>
      </c>
      <c r="N344" s="77" t="s">
        <v>1549</v>
      </c>
      <c r="O344" s="1"/>
    </row>
    <row r="345" spans="1:22" x14ac:dyDescent="0.25">
      <c r="A345" s="3" t="s">
        <v>1585</v>
      </c>
      <c r="B345" s="98">
        <v>0.5</v>
      </c>
      <c r="C345" s="98">
        <v>0.7</v>
      </c>
      <c r="D345" s="98">
        <v>1</v>
      </c>
      <c r="E345" s="102">
        <f>'PALAIS DU BIJOU'!N17</f>
        <v>1100</v>
      </c>
      <c r="F345" s="39">
        <f>(E345*C345/B345)*D345</f>
        <v>1540</v>
      </c>
      <c r="G345" s="1"/>
      <c r="I345" s="3" t="s">
        <v>1498</v>
      </c>
      <c r="J345" s="98"/>
      <c r="K345" s="98"/>
      <c r="L345" s="98">
        <v>5</v>
      </c>
      <c r="M345" s="102">
        <f>'PALAIS DU BIJOU'!L12</f>
        <v>1</v>
      </c>
      <c r="N345" s="39">
        <f>M345*L345</f>
        <v>5</v>
      </c>
      <c r="O345" s="1"/>
    </row>
    <row r="346" spans="1:22" x14ac:dyDescent="0.25">
      <c r="A346" s="184" t="s">
        <v>970</v>
      </c>
      <c r="B346" s="98"/>
      <c r="C346" s="98"/>
      <c r="D346" s="98">
        <v>1</v>
      </c>
      <c r="E346" s="102">
        <f>'INSUMOS VARIOS'!E54</f>
        <v>177.5</v>
      </c>
      <c r="F346" s="39">
        <f>D346*E346</f>
        <v>177.5</v>
      </c>
      <c r="G346" s="1"/>
      <c r="I346" s="3" t="s">
        <v>1585</v>
      </c>
      <c r="J346" s="98">
        <v>0.5</v>
      </c>
      <c r="K346" s="98">
        <v>5.5E-2</v>
      </c>
      <c r="L346" s="98">
        <v>2</v>
      </c>
      <c r="M346" s="102">
        <f>'PALAIS DU BIJOU'!N17</f>
        <v>1100</v>
      </c>
      <c r="N346" s="39">
        <f>(M346*K346/J346)*L346</f>
        <v>242</v>
      </c>
      <c r="O346" s="1"/>
    </row>
    <row r="347" spans="1:22" x14ac:dyDescent="0.25">
      <c r="A347" s="184" t="s">
        <v>1424</v>
      </c>
      <c r="B347" s="98"/>
      <c r="C347" s="98">
        <v>0.8</v>
      </c>
      <c r="D347" s="98">
        <v>1</v>
      </c>
      <c r="E347" s="102">
        <f>'HILOS-CORDONES-TANZA-CUERO'!L9</f>
        <v>30</v>
      </c>
      <c r="F347" s="39">
        <f>E347*C347/D347</f>
        <v>24</v>
      </c>
      <c r="G347" s="1"/>
      <c r="I347" s="184" t="s">
        <v>1424</v>
      </c>
      <c r="J347" s="98"/>
      <c r="K347" s="98">
        <v>0.21</v>
      </c>
      <c r="L347" s="98">
        <v>1</v>
      </c>
      <c r="M347" s="102">
        <f>'HILOS-CORDONES-TANZA-CUERO'!L9</f>
        <v>30</v>
      </c>
      <c r="N347" s="39">
        <f>M347*K347/L347</f>
        <v>6.3</v>
      </c>
      <c r="O347" s="1"/>
    </row>
    <row r="348" spans="1:22" x14ac:dyDescent="0.25">
      <c r="A348" s="184" t="s">
        <v>1587</v>
      </c>
      <c r="B348" s="98"/>
      <c r="C348" s="98"/>
      <c r="D348" s="98">
        <v>1</v>
      </c>
      <c r="E348" s="102">
        <f>FORNITURAS!D18</f>
        <v>363</v>
      </c>
      <c r="F348" s="39">
        <f>E348*D348</f>
        <v>363</v>
      </c>
      <c r="G348" s="1"/>
      <c r="I348" s="184" t="s">
        <v>1587</v>
      </c>
      <c r="J348" s="98"/>
      <c r="K348" s="98"/>
      <c r="L348" s="98">
        <v>1</v>
      </c>
      <c r="M348" s="102">
        <f>FORNITURAS!D18</f>
        <v>363</v>
      </c>
      <c r="N348" s="39">
        <f t="shared" ref="N348:N353" si="5">M348*L348</f>
        <v>363</v>
      </c>
      <c r="O348" s="1"/>
    </row>
    <row r="349" spans="1:22" x14ac:dyDescent="0.25">
      <c r="A349" s="184" t="s">
        <v>1012</v>
      </c>
      <c r="B349" s="98"/>
      <c r="C349" s="98"/>
      <c r="D349" s="98">
        <v>2</v>
      </c>
      <c r="E349" s="102">
        <f>FORNITURAS!D17</f>
        <v>45.05</v>
      </c>
      <c r="F349" s="39">
        <f>E349*D349</f>
        <v>90.1</v>
      </c>
      <c r="G349" s="1"/>
      <c r="I349" s="184" t="s">
        <v>1608</v>
      </c>
      <c r="J349" s="98"/>
      <c r="K349" s="98"/>
      <c r="L349" s="98">
        <v>0.04</v>
      </c>
      <c r="M349" s="102">
        <f>'AROS, CADENAS, DIJES, ETC'!I38</f>
        <v>3630</v>
      </c>
      <c r="N349" s="39">
        <f t="shared" si="5"/>
        <v>145.20000000000002</v>
      </c>
      <c r="O349" s="1"/>
    </row>
    <row r="350" spans="1:22" x14ac:dyDescent="0.25">
      <c r="A350" s="1613" t="s">
        <v>1572</v>
      </c>
      <c r="B350" s="98" t="s">
        <v>1556</v>
      </c>
      <c r="C350" s="98"/>
      <c r="D350" s="98">
        <v>2</v>
      </c>
      <c r="E350" s="102">
        <f>FORNITURAS!D4</f>
        <v>48.7</v>
      </c>
      <c r="F350" s="39">
        <f>E350*D350</f>
        <v>97.4</v>
      </c>
      <c r="G350" s="1"/>
      <c r="I350" s="184" t="s">
        <v>1012</v>
      </c>
      <c r="J350" s="98"/>
      <c r="K350" s="98"/>
      <c r="L350" s="98">
        <v>2</v>
      </c>
      <c r="M350" s="102">
        <f>FORNITURAS!D17</f>
        <v>45.05</v>
      </c>
      <c r="N350" s="39">
        <f t="shared" si="5"/>
        <v>90.1</v>
      </c>
      <c r="O350" s="1"/>
    </row>
    <row r="351" spans="1:22" x14ac:dyDescent="0.25">
      <c r="A351" s="1614"/>
      <c r="B351" s="98" t="s">
        <v>1573</v>
      </c>
      <c r="C351" s="98"/>
      <c r="D351" s="98">
        <v>1</v>
      </c>
      <c r="E351" s="102">
        <f>FORNITURAS!D7</f>
        <v>52</v>
      </c>
      <c r="F351" s="39">
        <f>E351*D351</f>
        <v>52</v>
      </c>
      <c r="G351" s="1"/>
      <c r="I351" s="1701" t="s">
        <v>1572</v>
      </c>
      <c r="J351" s="98" t="s">
        <v>1556</v>
      </c>
      <c r="K351" s="98"/>
      <c r="L351" s="98">
        <v>2</v>
      </c>
      <c r="M351" s="102">
        <f>FORNITURAS!D4</f>
        <v>48.7</v>
      </c>
      <c r="N351" s="39">
        <f t="shared" si="5"/>
        <v>97.4</v>
      </c>
      <c r="O351" s="1"/>
    </row>
    <row r="352" spans="1:22" x14ac:dyDescent="0.25">
      <c r="A352" s="1615"/>
      <c r="B352" s="98" t="s">
        <v>1658</v>
      </c>
      <c r="C352" s="98"/>
      <c r="D352" s="98">
        <v>1</v>
      </c>
      <c r="E352" s="102">
        <f>FORNITURAS!D8</f>
        <v>192.77777777777777</v>
      </c>
      <c r="F352" s="39">
        <f>E352*D352</f>
        <v>192.77777777777777</v>
      </c>
      <c r="G352" s="1"/>
      <c r="I352" s="1702"/>
      <c r="J352" s="98" t="s">
        <v>1573</v>
      </c>
      <c r="K352" s="98"/>
      <c r="L352" s="98">
        <v>1</v>
      </c>
      <c r="M352" s="102">
        <f>FORNITURAS!D7</f>
        <v>52</v>
      </c>
      <c r="N352" s="39">
        <f t="shared" si="5"/>
        <v>52</v>
      </c>
      <c r="O352" s="1"/>
    </row>
    <row r="353" spans="1:15" x14ac:dyDescent="0.25">
      <c r="A353" s="185" t="s">
        <v>1557</v>
      </c>
      <c r="B353" s="98"/>
      <c r="C353" s="98"/>
      <c r="D353" s="98"/>
      <c r="E353" s="102"/>
      <c r="F353" s="39">
        <f>PACKAGING!E4</f>
        <v>80</v>
      </c>
      <c r="G353" s="1"/>
      <c r="I353" s="191" t="s">
        <v>1554</v>
      </c>
      <c r="J353" s="98" t="s">
        <v>777</v>
      </c>
      <c r="K353" s="98"/>
      <c r="L353" s="98">
        <v>3</v>
      </c>
      <c r="M353" s="102">
        <f>FORNITURAS!D26</f>
        <v>297.14285714285717</v>
      </c>
      <c r="N353" s="39">
        <f t="shared" si="5"/>
        <v>891.42857142857156</v>
      </c>
      <c r="O353" s="1"/>
    </row>
    <row r="354" spans="1:15" x14ac:dyDescent="0.25">
      <c r="A354" s="3" t="s">
        <v>1558</v>
      </c>
      <c r="B354" s="98"/>
      <c r="C354" s="98"/>
      <c r="D354" s="98"/>
      <c r="E354" s="2"/>
      <c r="F354" s="39">
        <v>480</v>
      </c>
      <c r="G354" s="1"/>
      <c r="I354" s="185" t="s">
        <v>1557</v>
      </c>
      <c r="J354" s="98"/>
      <c r="K354" s="98"/>
      <c r="L354" s="98"/>
      <c r="M354" s="102"/>
      <c r="N354" s="39">
        <f>PACKAGING!E4</f>
        <v>80</v>
      </c>
      <c r="O354" s="1"/>
    </row>
    <row r="355" spans="1:15" ht="16.5" thickBot="1" x14ac:dyDescent="0.3">
      <c r="A355" s="79" t="s">
        <v>525</v>
      </c>
      <c r="B355" s="99"/>
      <c r="C355" s="99"/>
      <c r="D355" s="99"/>
      <c r="E355" s="70"/>
      <c r="F355" s="51">
        <f>SUM(F345:F354)</f>
        <v>3096.7777777777778</v>
      </c>
      <c r="G355" s="1"/>
      <c r="I355" s="3" t="s">
        <v>1558</v>
      </c>
      <c r="J355" s="98"/>
      <c r="K355" s="98"/>
      <c r="L355" s="98"/>
      <c r="M355" s="2"/>
      <c r="N355" s="39">
        <v>120</v>
      </c>
      <c r="O355" s="1"/>
    </row>
    <row r="356" spans="1:15" ht="19.5" thickBot="1" x14ac:dyDescent="0.3">
      <c r="A356" s="80" t="s">
        <v>544</v>
      </c>
      <c r="B356" s="100"/>
      <c r="C356" s="100"/>
      <c r="D356" s="100"/>
      <c r="E356" s="71"/>
      <c r="F356" s="72">
        <f>F355*2</f>
        <v>6193.5555555555557</v>
      </c>
      <c r="G356" s="75">
        <v>1300</v>
      </c>
      <c r="I356" s="79" t="s">
        <v>525</v>
      </c>
      <c r="J356" s="99"/>
      <c r="K356" s="99"/>
      <c r="L356" s="99"/>
      <c r="M356" s="70"/>
      <c r="N356" s="51">
        <f>SUM(N345:N355)</f>
        <v>2092.4285714285716</v>
      </c>
      <c r="O356" s="1"/>
    </row>
    <row r="357" spans="1:15" ht="19.5" thickBot="1" x14ac:dyDescent="0.3">
      <c r="A357" s="81" t="s">
        <v>1559</v>
      </c>
      <c r="B357" s="101"/>
      <c r="C357" s="101"/>
      <c r="D357" s="101"/>
      <c r="E357" s="73"/>
      <c r="F357" s="73"/>
      <c r="G357" s="74">
        <f>G356*2</f>
        <v>2600</v>
      </c>
      <c r="I357" s="80" t="s">
        <v>544</v>
      </c>
      <c r="J357" s="100"/>
      <c r="K357" s="100"/>
      <c r="L357" s="100"/>
      <c r="M357" s="71"/>
      <c r="N357" s="72">
        <f>N356*2</f>
        <v>4184.8571428571431</v>
      </c>
      <c r="O357" s="75">
        <v>650</v>
      </c>
    </row>
    <row r="358" spans="1:15" ht="19.5" thickBot="1" x14ac:dyDescent="0.3">
      <c r="I358" s="81" t="s">
        <v>1559</v>
      </c>
      <c r="J358" s="101"/>
      <c r="K358" s="101"/>
      <c r="L358" s="101"/>
      <c r="M358" s="73"/>
      <c r="N358" s="73"/>
      <c r="O358" s="74">
        <f>O357*2</f>
        <v>1300</v>
      </c>
    </row>
    <row r="360" spans="1:15" ht="15.6" customHeight="1" x14ac:dyDescent="0.25">
      <c r="A360" s="1602" t="s">
        <v>1659</v>
      </c>
      <c r="B360" s="1600"/>
      <c r="C360" s="1600"/>
      <c r="D360" s="1600"/>
      <c r="E360" s="1600"/>
      <c r="F360" s="62"/>
      <c r="H360" s="1602" t="s">
        <v>1660</v>
      </c>
      <c r="I360" s="1600"/>
      <c r="J360" s="1600"/>
      <c r="K360" s="1600"/>
      <c r="L360" s="1600"/>
      <c r="M360" s="62"/>
    </row>
    <row r="361" spans="1:15" x14ac:dyDescent="0.25">
      <c r="A361" s="183" t="s">
        <v>916</v>
      </c>
      <c r="B361" s="97" t="s">
        <v>743</v>
      </c>
      <c r="C361" s="97" t="s">
        <v>1603</v>
      </c>
      <c r="D361" s="76" t="s">
        <v>1035</v>
      </c>
      <c r="E361" s="77" t="s">
        <v>1549</v>
      </c>
      <c r="F361" s="1"/>
      <c r="H361" s="183" t="s">
        <v>916</v>
      </c>
      <c r="I361" s="97" t="s">
        <v>743</v>
      </c>
      <c r="J361" s="97" t="s">
        <v>1603</v>
      </c>
      <c r="K361" s="76" t="s">
        <v>1035</v>
      </c>
      <c r="L361" s="77" t="s">
        <v>1549</v>
      </c>
      <c r="M361" s="1"/>
    </row>
    <row r="362" spans="1:15" x14ac:dyDescent="0.25">
      <c r="A362" s="1613" t="s">
        <v>1661</v>
      </c>
      <c r="B362" s="98"/>
      <c r="C362" s="98">
        <v>0.26</v>
      </c>
      <c r="D362" s="102" t="e">
        <f>'HILOS-CORDONES-TANZA-CUERO'!#REF!</f>
        <v>#REF!</v>
      </c>
      <c r="E362" s="39" t="e">
        <f>D362*C362</f>
        <v>#REF!</v>
      </c>
      <c r="F362" s="1"/>
      <c r="G362" s="217"/>
      <c r="H362" s="98" t="s">
        <v>1662</v>
      </c>
      <c r="I362" s="98" t="s">
        <v>1663</v>
      </c>
      <c r="J362" s="98">
        <v>0.17</v>
      </c>
      <c r="K362" s="102">
        <f>'PALAIS DU BIJOU'!L24</f>
        <v>110</v>
      </c>
      <c r="L362" s="39">
        <f>K362*J362</f>
        <v>18.700000000000003</v>
      </c>
      <c r="M362" s="1"/>
    </row>
    <row r="363" spans="1:15" x14ac:dyDescent="0.25">
      <c r="A363" s="1615"/>
      <c r="B363" s="98"/>
      <c r="C363" s="98">
        <v>0.12</v>
      </c>
      <c r="D363" s="102" t="e">
        <f>'HILOS-CORDONES-TANZA-CUERO'!#REF!</f>
        <v>#REF!</v>
      </c>
      <c r="E363" s="39" t="e">
        <f>D363*C363</f>
        <v>#REF!</v>
      </c>
      <c r="F363" s="1"/>
      <c r="G363" s="217"/>
      <c r="H363" s="98" t="s">
        <v>1594</v>
      </c>
      <c r="I363" s="98"/>
      <c r="J363" s="98">
        <v>0.27</v>
      </c>
      <c r="K363" s="102">
        <f>'HILOS-CORDONES-TANZA-CUERO'!L5</f>
        <v>7.34</v>
      </c>
      <c r="L363" s="39">
        <f>K363*J363</f>
        <v>1.9818</v>
      </c>
      <c r="M363" s="1"/>
    </row>
    <row r="364" spans="1:15" x14ac:dyDescent="0.25">
      <c r="A364" s="184" t="s">
        <v>1662</v>
      </c>
      <c r="B364" s="98" t="s">
        <v>1407</v>
      </c>
      <c r="C364" s="98">
        <v>5</v>
      </c>
      <c r="D364" s="102">
        <f>'PALAIS DU BIJOU'!M24</f>
        <v>0.55000000000000004</v>
      </c>
      <c r="E364" s="39">
        <f>C364*D364</f>
        <v>2.75</v>
      </c>
      <c r="F364" s="1"/>
      <c r="H364" s="184" t="s">
        <v>1604</v>
      </c>
      <c r="I364" s="98" t="s">
        <v>59</v>
      </c>
      <c r="J364" s="98">
        <v>1</v>
      </c>
      <c r="K364" s="102">
        <f>FORNITURAS!I8</f>
        <v>278</v>
      </c>
      <c r="L364" s="39">
        <f>J364*K364</f>
        <v>278</v>
      </c>
      <c r="M364" s="1"/>
    </row>
    <row r="365" spans="1:15" x14ac:dyDescent="0.25">
      <c r="A365" s="184" t="s">
        <v>1012</v>
      </c>
      <c r="B365" s="98"/>
      <c r="C365" s="98">
        <v>2</v>
      </c>
      <c r="D365" s="102">
        <f>FORNITURAS!D17</f>
        <v>45.05</v>
      </c>
      <c r="E365" s="39">
        <f>C365*D365</f>
        <v>90.1</v>
      </c>
      <c r="F365" s="1"/>
      <c r="H365" s="3" t="s">
        <v>1557</v>
      </c>
      <c r="I365" s="98"/>
      <c r="J365" s="98"/>
      <c r="K365" s="102"/>
      <c r="L365" s="39">
        <f>PACKAGING!E12</f>
        <v>50</v>
      </c>
      <c r="M365" s="1"/>
    </row>
    <row r="366" spans="1:15" x14ac:dyDescent="0.25">
      <c r="A366" s="3" t="s">
        <v>1557</v>
      </c>
      <c r="B366" s="98"/>
      <c r="C366" s="98"/>
      <c r="D366" s="102"/>
      <c r="E366" s="39">
        <f>PACKAGING!E12</f>
        <v>50</v>
      </c>
      <c r="F366" s="1"/>
      <c r="H366" s="104" t="s">
        <v>1590</v>
      </c>
      <c r="I366" s="98"/>
      <c r="J366" s="98"/>
      <c r="K366" s="2"/>
      <c r="L366" s="39">
        <v>70</v>
      </c>
      <c r="M366" s="1"/>
    </row>
    <row r="367" spans="1:15" ht="16.5" thickBot="1" x14ac:dyDescent="0.3">
      <c r="A367" s="104" t="s">
        <v>1590</v>
      </c>
      <c r="B367" s="98"/>
      <c r="C367" s="98"/>
      <c r="D367" s="2"/>
      <c r="E367" s="39">
        <v>35</v>
      </c>
      <c r="F367" s="1"/>
      <c r="H367" s="79" t="s">
        <v>525</v>
      </c>
      <c r="I367" s="99"/>
      <c r="J367" s="99"/>
      <c r="K367" s="70"/>
      <c r="L367" s="51">
        <f>SUM(L362:L366)</f>
        <v>418.68180000000001</v>
      </c>
      <c r="M367" s="1"/>
    </row>
    <row r="368" spans="1:15" ht="16.5" thickBot="1" x14ac:dyDescent="0.3">
      <c r="A368" s="79" t="s">
        <v>525</v>
      </c>
      <c r="B368" s="99"/>
      <c r="C368" s="99"/>
      <c r="D368" s="70"/>
      <c r="E368" s="51" t="e">
        <f>SUM(E362:E367)</f>
        <v>#REF!</v>
      </c>
      <c r="F368" s="1"/>
      <c r="H368" s="80" t="s">
        <v>544</v>
      </c>
      <c r="I368" s="100"/>
      <c r="J368" s="100"/>
      <c r="K368" s="71"/>
      <c r="L368" s="72">
        <f>L367*2</f>
        <v>837.36360000000002</v>
      </c>
      <c r="M368" s="203">
        <v>310</v>
      </c>
    </row>
    <row r="369" spans="1:13" ht="16.5" thickBot="1" x14ac:dyDescent="0.3">
      <c r="A369" s="80" t="s">
        <v>544</v>
      </c>
      <c r="B369" s="100"/>
      <c r="C369" s="100"/>
      <c r="D369" s="71"/>
      <c r="E369" s="72" t="e">
        <f>E368*2</f>
        <v>#REF!</v>
      </c>
      <c r="F369" s="203">
        <v>140</v>
      </c>
      <c r="H369" s="81" t="s">
        <v>1559</v>
      </c>
      <c r="I369" s="101"/>
      <c r="J369" s="101"/>
      <c r="K369" s="73"/>
      <c r="L369" s="73"/>
      <c r="M369" s="204">
        <f>M368*2</f>
        <v>620</v>
      </c>
    </row>
    <row r="370" spans="1:13" ht="16.5" thickBot="1" x14ac:dyDescent="0.3">
      <c r="A370" s="81" t="s">
        <v>1559</v>
      </c>
      <c r="B370" s="101"/>
      <c r="C370" s="101"/>
      <c r="D370" s="73"/>
      <c r="E370" s="73"/>
      <c r="F370" s="204">
        <f>F369*2</f>
        <v>280</v>
      </c>
    </row>
    <row r="372" spans="1:13" x14ac:dyDescent="0.25">
      <c r="A372" s="1688" t="s">
        <v>1664</v>
      </c>
      <c r="B372" s="1571"/>
      <c r="C372" s="1571"/>
      <c r="D372" s="1571"/>
      <c r="E372" s="1571"/>
      <c r="F372" s="1571"/>
    </row>
    <row r="373" spans="1:13" x14ac:dyDescent="0.25">
      <c r="A373" s="271" t="s">
        <v>916</v>
      </c>
      <c r="B373" s="272" t="s">
        <v>1073</v>
      </c>
      <c r="C373" s="273" t="s">
        <v>1089</v>
      </c>
      <c r="D373" s="273" t="s">
        <v>1547</v>
      </c>
      <c r="E373" s="273" t="s">
        <v>1035</v>
      </c>
      <c r="F373" s="274" t="s">
        <v>1549</v>
      </c>
      <c r="G373" s="1"/>
    </row>
    <row r="374" spans="1:13" x14ac:dyDescent="0.25">
      <c r="A374" s="3" t="s">
        <v>748</v>
      </c>
      <c r="B374" s="2" t="s">
        <v>754</v>
      </c>
      <c r="C374" s="6"/>
      <c r="D374" s="6" t="s">
        <v>1649</v>
      </c>
      <c r="E374" s="66">
        <f>'AROS, CADENAS, DIJES, ETC'!C4</f>
        <v>1200</v>
      </c>
      <c r="F374" s="39">
        <f>E374</f>
        <v>1200</v>
      </c>
      <c r="G374" s="1"/>
    </row>
    <row r="375" spans="1:13" x14ac:dyDescent="0.25">
      <c r="A375" s="3" t="s">
        <v>1665</v>
      </c>
      <c r="B375" s="2"/>
      <c r="C375" s="6"/>
      <c r="D375" s="6">
        <v>18</v>
      </c>
      <c r="E375" s="66">
        <f>PERLAS!F4</f>
        <v>81</v>
      </c>
      <c r="F375" s="39">
        <f>E375*D375</f>
        <v>1458</v>
      </c>
      <c r="G375" s="1"/>
    </row>
    <row r="376" spans="1:13" x14ac:dyDescent="0.25">
      <c r="A376" s="3" t="s">
        <v>1666</v>
      </c>
      <c r="B376" s="2"/>
      <c r="C376" s="6"/>
      <c r="D376" s="6">
        <v>2</v>
      </c>
      <c r="E376" s="66" t="e">
        <f>PIEDRAS!#REF!</f>
        <v>#REF!</v>
      </c>
      <c r="F376" s="39" t="e">
        <f>E376*D376</f>
        <v>#REF!</v>
      </c>
      <c r="G376" s="1"/>
    </row>
    <row r="377" spans="1:13" x14ac:dyDescent="0.25">
      <c r="A377" s="98" t="s">
        <v>1667</v>
      </c>
      <c r="B377" s="2" t="s">
        <v>799</v>
      </c>
      <c r="C377" s="6"/>
      <c r="D377" s="6">
        <v>1</v>
      </c>
      <c r="E377" s="66" t="e">
        <f>'AROS, CADENAS, DIJES, ETC'!#REF!</f>
        <v>#REF!</v>
      </c>
      <c r="F377" s="39" t="e">
        <f>E377*D377</f>
        <v>#REF!</v>
      </c>
      <c r="G377" s="1"/>
    </row>
    <row r="378" spans="1:13" x14ac:dyDescent="0.25">
      <c r="A378" s="1" t="s">
        <v>1012</v>
      </c>
      <c r="B378" s="2"/>
      <c r="C378" s="6"/>
      <c r="D378" s="6">
        <v>1</v>
      </c>
      <c r="E378" s="66">
        <f>FORNITURAS!D17</f>
        <v>45.05</v>
      </c>
      <c r="F378" s="39">
        <f>E378*D378</f>
        <v>45.05</v>
      </c>
      <c r="G378" s="1"/>
    </row>
    <row r="379" spans="1:13" x14ac:dyDescent="0.25">
      <c r="A379" s="185" t="s">
        <v>1050</v>
      </c>
      <c r="B379" s="2" t="s">
        <v>1059</v>
      </c>
      <c r="C379" s="6">
        <v>0.08</v>
      </c>
      <c r="D379" s="6">
        <v>2</v>
      </c>
      <c r="E379" s="66">
        <f>FORNITURAS!W5</f>
        <v>906.42857142857144</v>
      </c>
      <c r="F379" s="39">
        <f>E379*D379*C379</f>
        <v>145.02857142857144</v>
      </c>
      <c r="G379" s="1"/>
    </row>
    <row r="380" spans="1:13" x14ac:dyDescent="0.25">
      <c r="A380" s="3" t="s">
        <v>1557</v>
      </c>
      <c r="B380" s="2"/>
      <c r="C380" s="6"/>
      <c r="D380" s="6"/>
      <c r="E380" s="66"/>
      <c r="F380" s="39">
        <f>PACKAGING!E3</f>
        <v>150</v>
      </c>
      <c r="G380" s="1"/>
    </row>
    <row r="381" spans="1:13" x14ac:dyDescent="0.25">
      <c r="A381" s="3" t="s">
        <v>1538</v>
      </c>
      <c r="B381" s="2"/>
      <c r="C381" s="6"/>
      <c r="D381" s="6"/>
      <c r="E381" s="66"/>
      <c r="F381" s="39">
        <f>PACKAGING!E8</f>
        <v>420</v>
      </c>
      <c r="G381" s="1"/>
    </row>
    <row r="382" spans="1:13" x14ac:dyDescent="0.25">
      <c r="A382" s="3" t="s">
        <v>1558</v>
      </c>
      <c r="B382" s="2"/>
      <c r="C382" s="6"/>
      <c r="D382" s="6"/>
      <c r="E382" s="66"/>
      <c r="F382" s="66">
        <v>100</v>
      </c>
      <c r="G382" s="194"/>
    </row>
    <row r="383" spans="1:13" ht="16.5" thickBot="1" x14ac:dyDescent="0.3">
      <c r="A383" s="79" t="s">
        <v>525</v>
      </c>
      <c r="B383" s="70"/>
      <c r="C383" s="85"/>
      <c r="D383" s="85"/>
      <c r="E383" s="85"/>
      <c r="F383" s="51" t="e">
        <f>SUM(F374:F382)</f>
        <v>#REF!</v>
      </c>
    </row>
    <row r="384" spans="1:13" x14ac:dyDescent="0.25">
      <c r="A384" s="80" t="s">
        <v>544</v>
      </c>
      <c r="B384" s="220"/>
      <c r="C384" s="220"/>
      <c r="D384" s="220"/>
      <c r="E384" s="220"/>
      <c r="F384" s="267" t="e">
        <f>F383*2</f>
        <v>#REF!</v>
      </c>
      <c r="G384" s="268">
        <v>1310</v>
      </c>
    </row>
    <row r="385" spans="1:7" ht="16.5" thickBot="1" x14ac:dyDescent="0.3">
      <c r="A385" s="275" t="s">
        <v>1559</v>
      </c>
      <c r="B385" s="269"/>
      <c r="C385" s="269"/>
      <c r="D385" s="269"/>
      <c r="E385" s="269"/>
      <c r="F385" s="270"/>
      <c r="G385" s="281">
        <f>G384*2</f>
        <v>2620</v>
      </c>
    </row>
    <row r="387" spans="1:7" x14ac:dyDescent="0.25">
      <c r="A387" s="1576" t="s">
        <v>442</v>
      </c>
      <c r="B387" s="1577"/>
      <c r="C387" s="1577"/>
      <c r="D387" s="1577"/>
      <c r="E387" s="1577"/>
      <c r="F387" s="1577"/>
      <c r="G387" s="1"/>
    </row>
    <row r="388" spans="1:7" x14ac:dyDescent="0.25">
      <c r="A388" s="183" t="s">
        <v>916</v>
      </c>
      <c r="B388" s="97" t="s">
        <v>742</v>
      </c>
      <c r="C388" s="97" t="s">
        <v>1089</v>
      </c>
      <c r="D388" s="76" t="s">
        <v>1547</v>
      </c>
      <c r="E388" s="108" t="s">
        <v>1035</v>
      </c>
      <c r="F388" s="77" t="s">
        <v>1549</v>
      </c>
      <c r="G388" s="1"/>
    </row>
    <row r="389" spans="1:7" x14ac:dyDescent="0.25">
      <c r="A389" s="3" t="s">
        <v>1668</v>
      </c>
      <c r="B389" s="148"/>
      <c r="C389" s="148">
        <v>0.155</v>
      </c>
      <c r="D389" s="190">
        <v>1</v>
      </c>
      <c r="E389" s="109">
        <f>'AROS, CADENAS, DIJES, ETC'!I45</f>
        <v>2000</v>
      </c>
      <c r="F389" s="110">
        <f>E389*D389*C389</f>
        <v>310</v>
      </c>
      <c r="G389" s="1"/>
    </row>
    <row r="390" spans="1:7" x14ac:dyDescent="0.25">
      <c r="A390" s="3" t="s">
        <v>1608</v>
      </c>
      <c r="B390" s="148"/>
      <c r="C390" s="148">
        <v>4.4999999999999998E-2</v>
      </c>
      <c r="D390" s="190">
        <v>1</v>
      </c>
      <c r="E390" s="109">
        <f>'AROS, CADENAS, DIJES, ETC'!I46</f>
        <v>1390</v>
      </c>
      <c r="F390" s="110">
        <f>E390*D390*C390</f>
        <v>62.55</v>
      </c>
      <c r="G390" s="1"/>
    </row>
    <row r="391" spans="1:7" x14ac:dyDescent="0.25">
      <c r="A391" s="104" t="s">
        <v>1572</v>
      </c>
      <c r="B391" s="2" t="s">
        <v>1669</v>
      </c>
      <c r="C391" s="190"/>
      <c r="D391" s="107">
        <v>3</v>
      </c>
      <c r="E391" s="109">
        <f>FORNITURAS!D4</f>
        <v>48.7</v>
      </c>
      <c r="F391" s="110">
        <f>E391*D391</f>
        <v>146.10000000000002</v>
      </c>
      <c r="G391" s="1"/>
    </row>
    <row r="392" spans="1:7" x14ac:dyDescent="0.25">
      <c r="A392" s="104" t="s">
        <v>1554</v>
      </c>
      <c r="B392" s="2" t="s">
        <v>777</v>
      </c>
      <c r="C392" s="190"/>
      <c r="D392" s="107">
        <v>1</v>
      </c>
      <c r="E392" s="109">
        <f>FORNITURAS!D26</f>
        <v>297.14285714285717</v>
      </c>
      <c r="F392" s="110">
        <f>E392*D392</f>
        <v>297.14285714285717</v>
      </c>
      <c r="G392" s="1"/>
    </row>
    <row r="393" spans="1:7" x14ac:dyDescent="0.25">
      <c r="A393" s="104" t="s">
        <v>1587</v>
      </c>
      <c r="B393" s="2"/>
      <c r="C393" s="2"/>
      <c r="D393" s="2">
        <v>1</v>
      </c>
      <c r="E393" s="109" t="e">
        <f>'AROS, CADENAS, DIJES, ETC'!#REF!</f>
        <v>#REF!</v>
      </c>
      <c r="F393" s="110" t="e">
        <f>E393*D393</f>
        <v>#REF!</v>
      </c>
      <c r="G393" s="1"/>
    </row>
    <row r="394" spans="1:7" x14ac:dyDescent="0.25">
      <c r="A394" s="3" t="s">
        <v>1557</v>
      </c>
      <c r="B394" s="98"/>
      <c r="C394" s="98"/>
      <c r="D394" s="2"/>
      <c r="E394" s="6"/>
      <c r="F394" s="39">
        <f>PACKAGING!E3</f>
        <v>150</v>
      </c>
      <c r="G394" s="1"/>
    </row>
    <row r="395" spans="1:7" x14ac:dyDescent="0.25">
      <c r="A395" s="3" t="s">
        <v>1670</v>
      </c>
      <c r="B395" s="98"/>
      <c r="C395" s="98"/>
      <c r="D395" s="2"/>
      <c r="E395" s="6"/>
      <c r="F395" s="39">
        <f>PACKAGING!E8</f>
        <v>420</v>
      </c>
      <c r="G395" s="1"/>
    </row>
    <row r="396" spans="1:7" x14ac:dyDescent="0.25">
      <c r="A396" s="3" t="s">
        <v>1558</v>
      </c>
      <c r="B396" s="98"/>
      <c r="C396" s="98"/>
      <c r="D396" s="2"/>
      <c r="E396" s="6"/>
      <c r="F396" s="39">
        <v>40</v>
      </c>
      <c r="G396" s="1"/>
    </row>
    <row r="397" spans="1:7" ht="16.5" thickBot="1" x14ac:dyDescent="0.3">
      <c r="A397" s="79" t="s">
        <v>525</v>
      </c>
      <c r="B397" s="99"/>
      <c r="C397" s="99"/>
      <c r="D397" s="70"/>
      <c r="E397" s="85"/>
      <c r="F397" s="51" t="e">
        <f>SUM(F389:F396)</f>
        <v>#REF!</v>
      </c>
      <c r="G397" s="1"/>
    </row>
    <row r="398" spans="1:7" ht="18.75" x14ac:dyDescent="0.25">
      <c r="A398" s="80" t="s">
        <v>544</v>
      </c>
      <c r="B398" s="100"/>
      <c r="C398" s="100"/>
      <c r="D398" s="71"/>
      <c r="E398" s="71"/>
      <c r="F398" s="72" t="e">
        <f>F397*2</f>
        <v>#REF!</v>
      </c>
      <c r="G398" s="75">
        <v>1310</v>
      </c>
    </row>
    <row r="399" spans="1:7" ht="19.5" thickBot="1" x14ac:dyDescent="0.3">
      <c r="A399" s="81" t="s">
        <v>1559</v>
      </c>
      <c r="B399" s="101"/>
      <c r="C399" s="101"/>
      <c r="D399" s="73"/>
      <c r="E399" s="73"/>
      <c r="F399" s="73"/>
      <c r="G399" s="74">
        <f>G398*2</f>
        <v>2620</v>
      </c>
    </row>
    <row r="401" spans="1:6" ht="16.5" thickBot="1" x14ac:dyDescent="0.3">
      <c r="A401" s="1602" t="s">
        <v>1671</v>
      </c>
      <c r="B401" s="1600"/>
      <c r="C401" s="1600"/>
      <c r="D401" s="1600"/>
      <c r="E401" s="1600"/>
      <c r="F401"/>
    </row>
    <row r="402" spans="1:6" x14ac:dyDescent="0.25">
      <c r="A402" s="78" t="s">
        <v>916</v>
      </c>
      <c r="B402" s="97" t="s">
        <v>742</v>
      </c>
      <c r="C402" s="97" t="s">
        <v>1566</v>
      </c>
      <c r="D402" s="76" t="s">
        <v>1035</v>
      </c>
      <c r="E402" s="77" t="s">
        <v>1549</v>
      </c>
      <c r="F402" s="1"/>
    </row>
    <row r="403" spans="1:6" x14ac:dyDescent="0.25">
      <c r="A403" s="3" t="s">
        <v>990</v>
      </c>
      <c r="B403" s="98" t="s">
        <v>950</v>
      </c>
      <c r="C403" s="98">
        <v>1</v>
      </c>
      <c r="D403" s="102">
        <f>'AROS, CADENAS, DIJES, ETC'!I23</f>
        <v>1100</v>
      </c>
      <c r="E403" s="39">
        <f>C403*D403</f>
        <v>1100</v>
      </c>
      <c r="F403" s="1"/>
    </row>
    <row r="404" spans="1:6" x14ac:dyDescent="0.25">
      <c r="A404" s="184" t="s">
        <v>851</v>
      </c>
      <c r="B404" s="98"/>
      <c r="C404" s="98">
        <v>1</v>
      </c>
      <c r="D404" s="102" t="e">
        <f>'AROS, CADENAS, DIJES, ETC'!#REF!</f>
        <v>#REF!</v>
      </c>
      <c r="E404" s="39" t="e">
        <f>C404*D404</f>
        <v>#REF!</v>
      </c>
      <c r="F404" s="1"/>
    </row>
    <row r="405" spans="1:6" x14ac:dyDescent="0.25">
      <c r="A405" s="1705" t="s">
        <v>1555</v>
      </c>
      <c r="B405" s="98" t="s">
        <v>1556</v>
      </c>
      <c r="C405" s="98">
        <v>3</v>
      </c>
      <c r="D405" s="102">
        <f>FORNITURAS!D4</f>
        <v>48.7</v>
      </c>
      <c r="E405" s="39">
        <f>D405*C405</f>
        <v>146.10000000000002</v>
      </c>
      <c r="F405" s="1"/>
    </row>
    <row r="406" spans="1:6" x14ac:dyDescent="0.25">
      <c r="A406" s="1706"/>
      <c r="B406" s="98" t="s">
        <v>1573</v>
      </c>
      <c r="C406" s="98">
        <v>1</v>
      </c>
      <c r="D406" s="102">
        <f>FORNITURAS!D7</f>
        <v>52</v>
      </c>
      <c r="E406" s="39">
        <f>D406*C406</f>
        <v>52</v>
      </c>
      <c r="F406" s="1"/>
    </row>
    <row r="407" spans="1:6" x14ac:dyDescent="0.25">
      <c r="A407" s="20" t="s">
        <v>1587</v>
      </c>
      <c r="B407" s="98"/>
      <c r="C407" s="98">
        <v>1</v>
      </c>
      <c r="D407" s="102">
        <f>FORNITURAS!D18</f>
        <v>363</v>
      </c>
      <c r="E407" s="39">
        <f>D407*C407</f>
        <v>363</v>
      </c>
      <c r="F407" s="1"/>
    </row>
    <row r="408" spans="1:6" x14ac:dyDescent="0.25">
      <c r="A408" s="184" t="s">
        <v>1588</v>
      </c>
      <c r="B408" s="98"/>
      <c r="C408" s="98"/>
      <c r="D408" s="102"/>
      <c r="E408" s="39">
        <f>PACKAGING!E3</f>
        <v>150</v>
      </c>
      <c r="F408" s="1"/>
    </row>
    <row r="409" spans="1:6" x14ac:dyDescent="0.25">
      <c r="A409" s="3" t="s">
        <v>1537</v>
      </c>
      <c r="B409" s="98"/>
      <c r="C409" s="98"/>
      <c r="D409" s="2"/>
      <c r="E409" s="39">
        <f>PACKAGING!E7</f>
        <v>170</v>
      </c>
      <c r="F409" s="1"/>
    </row>
    <row r="410" spans="1:6" x14ac:dyDescent="0.25">
      <c r="A410" s="3" t="s">
        <v>1538</v>
      </c>
      <c r="B410" s="98"/>
      <c r="C410" s="98"/>
      <c r="D410" s="2"/>
      <c r="E410" s="39">
        <f>PACKAGING!E8</f>
        <v>420</v>
      </c>
      <c r="F410" s="1"/>
    </row>
    <row r="411" spans="1:6" x14ac:dyDescent="0.25">
      <c r="A411" s="3" t="s">
        <v>1618</v>
      </c>
      <c r="B411" s="98"/>
      <c r="C411" s="98"/>
      <c r="D411" s="2"/>
      <c r="E411" s="39">
        <v>20</v>
      </c>
      <c r="F411" s="1"/>
    </row>
    <row r="412" spans="1:6" ht="16.5" thickBot="1" x14ac:dyDescent="0.3">
      <c r="A412" s="79" t="s">
        <v>525</v>
      </c>
      <c r="B412" s="99"/>
      <c r="C412" s="99"/>
      <c r="D412" s="70"/>
      <c r="E412" s="51" t="e">
        <f>SUM(E403:E411)</f>
        <v>#REF!</v>
      </c>
      <c r="F412"/>
    </row>
    <row r="413" spans="1:6" ht="18.75" x14ac:dyDescent="0.25">
      <c r="A413" s="80" t="s">
        <v>544</v>
      </c>
      <c r="B413" s="100"/>
      <c r="C413" s="100"/>
      <c r="D413" s="71"/>
      <c r="E413" s="221" t="e">
        <f>E412*2</f>
        <v>#REF!</v>
      </c>
      <c r="F413" s="336">
        <v>780</v>
      </c>
    </row>
    <row r="414" spans="1:6" ht="19.5" thickBot="1" x14ac:dyDescent="0.3">
      <c r="A414" s="81" t="s">
        <v>1559</v>
      </c>
      <c r="B414" s="101"/>
      <c r="C414" s="101"/>
      <c r="D414" s="73"/>
      <c r="E414" s="222"/>
      <c r="F414" s="337">
        <f>F413*2</f>
        <v>1560</v>
      </c>
    </row>
    <row r="416" spans="1:6" ht="16.5" thickBot="1" x14ac:dyDescent="0.3">
      <c r="A416" s="1602" t="s">
        <v>1672</v>
      </c>
      <c r="B416" s="1600"/>
      <c r="C416" s="1600"/>
      <c r="D416" s="1600"/>
      <c r="E416" s="1600"/>
      <c r="F416"/>
    </row>
    <row r="417" spans="1:6" x14ac:dyDescent="0.25">
      <c r="A417" s="78" t="s">
        <v>916</v>
      </c>
      <c r="B417" s="97" t="s">
        <v>742</v>
      </c>
      <c r="C417" s="97" t="s">
        <v>1566</v>
      </c>
      <c r="D417" s="76" t="s">
        <v>1035</v>
      </c>
      <c r="E417" s="77" t="s">
        <v>1549</v>
      </c>
      <c r="F417" s="1"/>
    </row>
    <row r="418" spans="1:6" x14ac:dyDescent="0.25">
      <c r="A418" s="1613" t="s">
        <v>1224</v>
      </c>
      <c r="B418" s="98"/>
      <c r="C418" s="98">
        <v>0.8</v>
      </c>
      <c r="D418" s="102" t="e">
        <f>'HILOS-CORDONES-TANZA-CUERO'!#REF!</f>
        <v>#REF!</v>
      </c>
      <c r="E418" s="39" t="e">
        <f>C418*D418</f>
        <v>#REF!</v>
      </c>
      <c r="F418" s="1"/>
    </row>
    <row r="419" spans="1:6" x14ac:dyDescent="0.25">
      <c r="A419" s="1615"/>
      <c r="B419" s="98"/>
      <c r="C419" s="98">
        <v>0.12</v>
      </c>
      <c r="D419" s="102" t="e">
        <f>'HILOS-CORDONES-TANZA-CUERO'!#REF!</f>
        <v>#REF!</v>
      </c>
      <c r="E419" s="39"/>
      <c r="F419" s="1"/>
    </row>
    <row r="420" spans="1:6" x14ac:dyDescent="0.25">
      <c r="A420" s="184" t="s">
        <v>851</v>
      </c>
      <c r="B420" s="98"/>
      <c r="C420" s="98">
        <v>1</v>
      </c>
      <c r="D420" s="102" t="e">
        <f>'AROS, CADENAS, DIJES, ETC'!#REF!</f>
        <v>#REF!</v>
      </c>
      <c r="E420" s="39" t="e">
        <f>C420*D420</f>
        <v>#REF!</v>
      </c>
      <c r="F420" s="1"/>
    </row>
    <row r="421" spans="1:6" x14ac:dyDescent="0.25">
      <c r="A421" s="184" t="s">
        <v>1644</v>
      </c>
      <c r="B421" s="98"/>
      <c r="C421" s="98">
        <v>40</v>
      </c>
      <c r="D421" s="102">
        <f>VIDRIOS!E44</f>
        <v>20.833333333333332</v>
      </c>
      <c r="E421" s="39">
        <f t="shared" ref="E421:E426" si="6">D421*C421</f>
        <v>833.33333333333326</v>
      </c>
      <c r="F421" s="1"/>
    </row>
    <row r="422" spans="1:6" x14ac:dyDescent="0.25">
      <c r="A422" s="1705" t="s">
        <v>1555</v>
      </c>
      <c r="B422" s="98" t="s">
        <v>1556</v>
      </c>
      <c r="C422" s="98">
        <v>3</v>
      </c>
      <c r="D422" s="102">
        <f>FORNITURAS!D4</f>
        <v>48.7</v>
      </c>
      <c r="E422" s="39">
        <f t="shared" si="6"/>
        <v>146.10000000000002</v>
      </c>
      <c r="F422" s="1"/>
    </row>
    <row r="423" spans="1:6" x14ac:dyDescent="0.25">
      <c r="A423" s="1706"/>
      <c r="B423" s="98" t="s">
        <v>1573</v>
      </c>
      <c r="C423" s="98">
        <v>1</v>
      </c>
      <c r="D423" s="102">
        <f>FORNITURAS!D7</f>
        <v>52</v>
      </c>
      <c r="E423" s="39">
        <f t="shared" si="6"/>
        <v>52</v>
      </c>
      <c r="F423" s="1"/>
    </row>
    <row r="424" spans="1:6" x14ac:dyDescent="0.25">
      <c r="A424" s="375" t="s">
        <v>1554</v>
      </c>
      <c r="B424" s="98" t="s">
        <v>777</v>
      </c>
      <c r="C424" s="98">
        <v>2</v>
      </c>
      <c r="D424" s="102">
        <f>FORNITURAS!D26</f>
        <v>297.14285714285717</v>
      </c>
      <c r="E424" s="39">
        <f t="shared" si="6"/>
        <v>594.28571428571433</v>
      </c>
      <c r="F424" s="1"/>
    </row>
    <row r="425" spans="1:6" x14ac:dyDescent="0.25">
      <c r="A425" s="20" t="s">
        <v>1587</v>
      </c>
      <c r="B425" s="98"/>
      <c r="C425" s="98">
        <v>1</v>
      </c>
      <c r="D425" s="102">
        <f>FORNITURAS!D18</f>
        <v>363</v>
      </c>
      <c r="E425" s="39">
        <f t="shared" si="6"/>
        <v>363</v>
      </c>
      <c r="F425" s="1"/>
    </row>
    <row r="426" spans="1:6" x14ac:dyDescent="0.25">
      <c r="A426" s="191" t="s">
        <v>1050</v>
      </c>
      <c r="B426" s="98" t="s">
        <v>1056</v>
      </c>
      <c r="C426" s="98">
        <v>0.14000000000000001</v>
      </c>
      <c r="D426" s="102">
        <f>FORNITURAS!W4</f>
        <v>1404.9107142857144</v>
      </c>
      <c r="E426" s="39">
        <f t="shared" si="6"/>
        <v>196.68750000000003</v>
      </c>
      <c r="F426" s="1"/>
    </row>
    <row r="427" spans="1:6" x14ac:dyDescent="0.25">
      <c r="A427" s="184" t="s">
        <v>1588</v>
      </c>
      <c r="B427" s="98"/>
      <c r="C427" s="98"/>
      <c r="D427" s="102"/>
      <c r="E427" s="39">
        <f>PACKAGING!E4</f>
        <v>80</v>
      </c>
      <c r="F427" s="1"/>
    </row>
    <row r="428" spans="1:6" x14ac:dyDescent="0.25">
      <c r="A428" s="3" t="s">
        <v>1537</v>
      </c>
      <c r="B428" s="98"/>
      <c r="C428" s="98"/>
      <c r="D428" s="2"/>
      <c r="E428" s="39">
        <f>PACKAGING!E7</f>
        <v>170</v>
      </c>
      <c r="F428" s="1"/>
    </row>
    <row r="429" spans="1:6" x14ac:dyDescent="0.25">
      <c r="A429" s="3" t="s">
        <v>1538</v>
      </c>
      <c r="B429" s="98"/>
      <c r="C429" s="98"/>
      <c r="D429" s="2"/>
      <c r="E429" s="39">
        <f>PACKAGING!E8</f>
        <v>420</v>
      </c>
      <c r="F429" s="1"/>
    </row>
    <row r="430" spans="1:6" x14ac:dyDescent="0.25">
      <c r="A430" s="3" t="s">
        <v>1618</v>
      </c>
      <c r="B430" s="98"/>
      <c r="C430" s="98"/>
      <c r="D430" s="2"/>
      <c r="E430" s="39">
        <v>120</v>
      </c>
      <c r="F430" s="1"/>
    </row>
    <row r="431" spans="1:6" ht="16.5" thickBot="1" x14ac:dyDescent="0.3">
      <c r="A431" s="79" t="s">
        <v>525</v>
      </c>
      <c r="B431" s="99"/>
      <c r="C431" s="99"/>
      <c r="D431" s="70"/>
      <c r="E431" s="51" t="e">
        <f>SUM(E418:E430)</f>
        <v>#REF!</v>
      </c>
      <c r="F431"/>
    </row>
    <row r="432" spans="1:6" ht="18.75" x14ac:dyDescent="0.25">
      <c r="A432" s="80" t="s">
        <v>544</v>
      </c>
      <c r="B432" s="100"/>
      <c r="C432" s="100"/>
      <c r="D432" s="71"/>
      <c r="E432" s="221" t="e">
        <f>E431*2</f>
        <v>#REF!</v>
      </c>
      <c r="F432" s="336">
        <v>960</v>
      </c>
    </row>
    <row r="433" spans="1:6" ht="19.5" thickBot="1" x14ac:dyDescent="0.3">
      <c r="A433" s="81" t="s">
        <v>1559</v>
      </c>
      <c r="B433" s="101"/>
      <c r="C433" s="101"/>
      <c r="D433" s="73"/>
      <c r="E433" s="222"/>
      <c r="F433" s="337">
        <f>F432*2</f>
        <v>1920</v>
      </c>
    </row>
    <row r="435" spans="1:6" ht="16.5" thickBot="1" x14ac:dyDescent="0.3">
      <c r="A435" s="1602" t="s">
        <v>1673</v>
      </c>
      <c r="B435" s="1600"/>
      <c r="C435" s="1600"/>
      <c r="D435" s="1600"/>
      <c r="E435" s="1600"/>
      <c r="F435"/>
    </row>
    <row r="436" spans="1:6" x14ac:dyDescent="0.25">
      <c r="A436" s="78" t="s">
        <v>916</v>
      </c>
      <c r="B436" s="97" t="s">
        <v>742</v>
      </c>
      <c r="C436" s="97" t="s">
        <v>1566</v>
      </c>
      <c r="D436" s="76" t="s">
        <v>1035</v>
      </c>
      <c r="E436" s="77" t="s">
        <v>1549</v>
      </c>
      <c r="F436" s="1"/>
    </row>
    <row r="437" spans="1:6" x14ac:dyDescent="0.25">
      <c r="A437" s="3" t="s">
        <v>1674</v>
      </c>
      <c r="B437" s="98" t="s">
        <v>940</v>
      </c>
      <c r="C437" s="98">
        <v>1</v>
      </c>
      <c r="D437" s="102">
        <f>'AROS, CADENAS, DIJES, ETC'!I9</f>
        <v>435</v>
      </c>
      <c r="E437" s="39">
        <f>C437*D437</f>
        <v>435</v>
      </c>
      <c r="F437" s="1"/>
    </row>
    <row r="438" spans="1:6" x14ac:dyDescent="0.25">
      <c r="A438" s="184" t="s">
        <v>851</v>
      </c>
      <c r="B438" s="98"/>
      <c r="C438" s="98">
        <v>1</v>
      </c>
      <c r="D438" s="102" t="e">
        <f>'AROS, CADENAS, DIJES, ETC'!#REF!</f>
        <v>#REF!</v>
      </c>
      <c r="E438" s="39" t="e">
        <f>C438*D438</f>
        <v>#REF!</v>
      </c>
      <c r="F438" s="1"/>
    </row>
    <row r="439" spans="1:6" x14ac:dyDescent="0.25">
      <c r="A439" s="184" t="s">
        <v>1644</v>
      </c>
      <c r="B439" s="98"/>
      <c r="C439" s="98">
        <v>40</v>
      </c>
      <c r="D439" s="102">
        <f>VIDRIOS!E44</f>
        <v>20.833333333333332</v>
      </c>
      <c r="E439" s="39">
        <f>D439*C439</f>
        <v>833.33333333333326</v>
      </c>
      <c r="F439" s="1"/>
    </row>
    <row r="440" spans="1:6" x14ac:dyDescent="0.25">
      <c r="A440" s="1705" t="s">
        <v>1555</v>
      </c>
      <c r="B440" s="98" t="s">
        <v>1556</v>
      </c>
      <c r="C440" s="98">
        <v>3</v>
      </c>
      <c r="D440" s="102">
        <f>FORNITURAS!D4</f>
        <v>48.7</v>
      </c>
      <c r="E440" s="39">
        <f>D440*C440</f>
        <v>146.10000000000002</v>
      </c>
      <c r="F440" s="1"/>
    </row>
    <row r="441" spans="1:6" x14ac:dyDescent="0.25">
      <c r="A441" s="1706"/>
      <c r="B441" s="98" t="s">
        <v>1573</v>
      </c>
      <c r="C441" s="98">
        <v>1</v>
      </c>
      <c r="D441" s="102">
        <f>FORNITURAS!D7</f>
        <v>52</v>
      </c>
      <c r="E441" s="39">
        <f>D441*C441</f>
        <v>52</v>
      </c>
      <c r="F441" s="1"/>
    </row>
    <row r="442" spans="1:6" x14ac:dyDescent="0.25">
      <c r="A442" s="20" t="s">
        <v>1587</v>
      </c>
      <c r="B442" s="98"/>
      <c r="C442" s="98">
        <v>1</v>
      </c>
      <c r="D442" s="102">
        <f>FORNITURAS!D18</f>
        <v>363</v>
      </c>
      <c r="E442" s="39">
        <f>D442*C442</f>
        <v>363</v>
      </c>
      <c r="F442" s="1"/>
    </row>
    <row r="443" spans="1:6" x14ac:dyDescent="0.25">
      <c r="A443" s="191" t="s">
        <v>1050</v>
      </c>
      <c r="B443" s="98" t="s">
        <v>1056</v>
      </c>
      <c r="C443" s="98">
        <v>0.14000000000000001</v>
      </c>
      <c r="D443" s="102">
        <f>FORNITURAS!W4</f>
        <v>1404.9107142857144</v>
      </c>
      <c r="E443" s="39">
        <f>D443*C443</f>
        <v>196.68750000000003</v>
      </c>
      <c r="F443" s="1"/>
    </row>
    <row r="444" spans="1:6" x14ac:dyDescent="0.25">
      <c r="A444" s="184" t="s">
        <v>1588</v>
      </c>
      <c r="B444" s="98"/>
      <c r="C444" s="98"/>
      <c r="D444" s="102"/>
      <c r="E444" s="39">
        <f>PACKAGING!E4</f>
        <v>80</v>
      </c>
      <c r="F444" s="1"/>
    </row>
    <row r="445" spans="1:6" x14ac:dyDescent="0.25">
      <c r="A445" s="3" t="s">
        <v>1537</v>
      </c>
      <c r="B445" s="98"/>
      <c r="C445" s="98"/>
      <c r="D445" s="2"/>
      <c r="E445" s="39">
        <f>PACKAGING!E7</f>
        <v>170</v>
      </c>
      <c r="F445" s="1"/>
    </row>
    <row r="446" spans="1:6" x14ac:dyDescent="0.25">
      <c r="A446" s="3" t="s">
        <v>1538</v>
      </c>
      <c r="B446" s="98"/>
      <c r="C446" s="98"/>
      <c r="D446" s="2"/>
      <c r="E446" s="39">
        <f>PACKAGING!E8</f>
        <v>420</v>
      </c>
      <c r="F446" s="1"/>
    </row>
    <row r="447" spans="1:6" x14ac:dyDescent="0.25">
      <c r="A447" s="3" t="s">
        <v>1618</v>
      </c>
      <c r="B447" s="98"/>
      <c r="C447" s="98"/>
      <c r="D447" s="2"/>
      <c r="E447" s="39">
        <v>120</v>
      </c>
      <c r="F447" s="1"/>
    </row>
    <row r="448" spans="1:6" ht="16.5" thickBot="1" x14ac:dyDescent="0.3">
      <c r="A448" s="79" t="s">
        <v>525</v>
      </c>
      <c r="B448" s="99"/>
      <c r="C448" s="99"/>
      <c r="D448" s="70"/>
      <c r="E448" s="51" t="e">
        <f>SUM(E437:E447)</f>
        <v>#REF!</v>
      </c>
      <c r="F448"/>
    </row>
    <row r="449" spans="1:6" ht="18.75" x14ac:dyDescent="0.25">
      <c r="A449" s="80" t="s">
        <v>544</v>
      </c>
      <c r="B449" s="100"/>
      <c r="C449" s="100"/>
      <c r="D449" s="71"/>
      <c r="E449" s="221" t="e">
        <f>E448*2</f>
        <v>#REF!</v>
      </c>
      <c r="F449" s="336">
        <v>1340</v>
      </c>
    </row>
    <row r="450" spans="1:6" ht="19.5" thickBot="1" x14ac:dyDescent="0.3">
      <c r="A450" s="81" t="s">
        <v>1559</v>
      </c>
      <c r="B450" s="101"/>
      <c r="C450" s="101"/>
      <c r="D450" s="73"/>
      <c r="E450" s="222"/>
      <c r="F450" s="337">
        <f>F449*2</f>
        <v>2680</v>
      </c>
    </row>
    <row r="451" spans="1:6" ht="16.5" thickBot="1" x14ac:dyDescent="0.3"/>
    <row r="452" spans="1:6" ht="16.5" thickBot="1" x14ac:dyDescent="0.3">
      <c r="A452" s="1568" t="s">
        <v>1675</v>
      </c>
      <c r="B452" s="1569"/>
      <c r="C452" s="1569"/>
      <c r="D452" s="1569"/>
      <c r="E452" s="1570"/>
    </row>
    <row r="453" spans="1:6" x14ac:dyDescent="0.25">
      <c r="A453" s="224"/>
      <c r="B453" s="225" t="s">
        <v>742</v>
      </c>
      <c r="C453" s="226" t="s">
        <v>1547</v>
      </c>
      <c r="D453" s="226" t="s">
        <v>1035</v>
      </c>
      <c r="E453" s="227" t="s">
        <v>1549</v>
      </c>
      <c r="F453" s="1"/>
    </row>
    <row r="454" spans="1:6" x14ac:dyDescent="0.25">
      <c r="A454" s="3" t="s">
        <v>1623</v>
      </c>
      <c r="B454" s="2"/>
      <c r="C454" s="6">
        <v>4</v>
      </c>
      <c r="D454" s="66">
        <f>'RESINA - ACRILICOS'!D10</f>
        <v>0.91666666666666663</v>
      </c>
      <c r="E454" s="39">
        <f t="shared" ref="E454:E460" si="7">D454*C454</f>
        <v>3.6666666666666665</v>
      </c>
      <c r="F454" s="1"/>
    </row>
    <row r="455" spans="1:6" x14ac:dyDescent="0.25">
      <c r="A455" s="3" t="s">
        <v>1676</v>
      </c>
      <c r="B455" s="2"/>
      <c r="C455" s="6">
        <v>5</v>
      </c>
      <c r="D455" s="66">
        <f>'RESINA - ACRILICOS'!D3</f>
        <v>1.2061016949152543</v>
      </c>
      <c r="E455" s="39">
        <f t="shared" si="7"/>
        <v>6.0305084745762718</v>
      </c>
      <c r="F455" s="1"/>
    </row>
    <row r="456" spans="1:6" x14ac:dyDescent="0.25">
      <c r="A456" s="3" t="s">
        <v>1624</v>
      </c>
      <c r="B456" s="2"/>
      <c r="C456" s="6">
        <v>7</v>
      </c>
      <c r="D456" s="66">
        <f>'RESINA - ACRILICOS'!D7</f>
        <v>2.6666666666666665</v>
      </c>
      <c r="E456" s="39">
        <f t="shared" si="7"/>
        <v>18.666666666666664</v>
      </c>
      <c r="F456" s="1"/>
    </row>
    <row r="457" spans="1:6" x14ac:dyDescent="0.25">
      <c r="A457" s="3" t="s">
        <v>1626</v>
      </c>
      <c r="B457" s="2"/>
      <c r="C457" s="6">
        <v>3</v>
      </c>
      <c r="D457" s="66">
        <f>VIDRIOS!E46</f>
        <v>3.8571428571428572</v>
      </c>
      <c r="E457" s="39">
        <f t="shared" si="7"/>
        <v>11.571428571428571</v>
      </c>
      <c r="F457" s="1"/>
    </row>
    <row r="458" spans="1:6" x14ac:dyDescent="0.25">
      <c r="A458" s="3" t="s">
        <v>1198</v>
      </c>
      <c r="B458" s="2"/>
      <c r="C458" s="6">
        <v>8</v>
      </c>
      <c r="D458" s="66">
        <f>'RESINA - ACRILICOS'!D12</f>
        <v>2.9411764705882355</v>
      </c>
      <c r="E458" s="39">
        <f t="shared" si="7"/>
        <v>23.529411764705884</v>
      </c>
      <c r="F458" s="1"/>
    </row>
    <row r="459" spans="1:6" x14ac:dyDescent="0.25">
      <c r="A459" s="3" t="s">
        <v>1424</v>
      </c>
      <c r="B459" s="2"/>
      <c r="C459" s="6">
        <v>0.62</v>
      </c>
      <c r="D459" s="66">
        <f>'HILOS-CORDONES-TANZA-CUERO'!L9</f>
        <v>30</v>
      </c>
      <c r="E459" s="39">
        <f t="shared" si="7"/>
        <v>18.600000000000001</v>
      </c>
      <c r="F459" s="1"/>
    </row>
    <row r="460" spans="1:6" x14ac:dyDescent="0.25">
      <c r="A460" s="189" t="s">
        <v>1627</v>
      </c>
      <c r="B460" s="2"/>
      <c r="C460" s="6">
        <v>2</v>
      </c>
      <c r="D460" s="66">
        <f>'INSUMOS VARIOS'!R23</f>
        <v>0.5</v>
      </c>
      <c r="E460" s="39">
        <f t="shared" si="7"/>
        <v>1</v>
      </c>
      <c r="F460" s="1"/>
    </row>
    <row r="461" spans="1:6" x14ac:dyDescent="0.25">
      <c r="A461" s="1701" t="s">
        <v>1585</v>
      </c>
      <c r="B461" s="2">
        <v>0.5</v>
      </c>
      <c r="C461" s="6">
        <v>0.32500000000000001</v>
      </c>
      <c r="D461" s="66">
        <f>'PALAIS DU BIJOU'!N17</f>
        <v>1100</v>
      </c>
      <c r="E461" s="39">
        <f>D461*C461/B461</f>
        <v>715</v>
      </c>
      <c r="F461" s="1"/>
    </row>
    <row r="462" spans="1:6" x14ac:dyDescent="0.25">
      <c r="A462" s="1702"/>
      <c r="B462" s="2"/>
      <c r="C462" s="6">
        <v>7</v>
      </c>
      <c r="D462" s="66">
        <f>'PALAIS DU BIJOU'!O17</f>
        <v>3.4375</v>
      </c>
      <c r="E462" s="39">
        <f>D462*C462</f>
        <v>24.0625</v>
      </c>
      <c r="F462" s="1"/>
    </row>
    <row r="463" spans="1:6" x14ac:dyDescent="0.25">
      <c r="A463" s="191" t="s">
        <v>1628</v>
      </c>
      <c r="B463" s="2"/>
      <c r="C463" s="6">
        <v>2</v>
      </c>
      <c r="D463" s="66">
        <f>'INSUMOS VARIOS'!T14</f>
        <v>4.83</v>
      </c>
      <c r="E463" s="39">
        <f>D463*C463</f>
        <v>9.66</v>
      </c>
      <c r="F463" s="1"/>
    </row>
    <row r="464" spans="1:6" x14ac:dyDescent="0.25">
      <c r="A464" s="3" t="s">
        <v>1572</v>
      </c>
      <c r="B464" s="2"/>
      <c r="C464" s="6">
        <v>2</v>
      </c>
      <c r="D464" s="66">
        <v>1</v>
      </c>
      <c r="E464" s="39">
        <f>D464*C464</f>
        <v>2</v>
      </c>
      <c r="F464" s="1"/>
    </row>
    <row r="465" spans="1:6" x14ac:dyDescent="0.25">
      <c r="A465" s="3" t="s">
        <v>1629</v>
      </c>
      <c r="B465" s="2"/>
      <c r="C465" s="6">
        <v>2</v>
      </c>
      <c r="D465" s="66">
        <f>'INSUMOS VARIOS'!R23</f>
        <v>0.5</v>
      </c>
      <c r="E465" s="39">
        <f>D465*C465</f>
        <v>1</v>
      </c>
      <c r="F465" s="1"/>
    </row>
    <row r="466" spans="1:6" x14ac:dyDescent="0.25">
      <c r="A466" s="104" t="s">
        <v>1557</v>
      </c>
      <c r="B466" s="2"/>
      <c r="C466" s="6"/>
      <c r="D466" s="66"/>
      <c r="E466" s="39">
        <f>PACKAGING!E4</f>
        <v>80</v>
      </c>
      <c r="F466" s="1"/>
    </row>
    <row r="467" spans="1:6" x14ac:dyDescent="0.25">
      <c r="A467" s="191" t="s">
        <v>1537</v>
      </c>
      <c r="B467" s="2"/>
      <c r="C467" s="6"/>
      <c r="D467" s="66"/>
      <c r="E467" s="39">
        <f>PACKAGING!E7</f>
        <v>170</v>
      </c>
      <c r="F467" s="1"/>
    </row>
    <row r="468" spans="1:6" x14ac:dyDescent="0.25">
      <c r="A468" s="3" t="s">
        <v>1558</v>
      </c>
      <c r="B468" s="2"/>
      <c r="C468" s="6"/>
      <c r="D468" s="66"/>
      <c r="E468" s="39">
        <v>80</v>
      </c>
      <c r="F468" s="1"/>
    </row>
    <row r="469" spans="1:6" ht="16.5" thickBot="1" x14ac:dyDescent="0.3">
      <c r="A469" s="45" t="s">
        <v>1630</v>
      </c>
      <c r="B469" s="46"/>
      <c r="C469" s="65"/>
      <c r="D469" s="65"/>
      <c r="E469" s="50">
        <f>SUM(E454:E468)</f>
        <v>1164.787182144044</v>
      </c>
      <c r="F469" s="134"/>
    </row>
    <row r="470" spans="1:6" ht="16.5" thickBot="1" x14ac:dyDescent="0.3">
      <c r="A470" s="47" t="s">
        <v>544</v>
      </c>
      <c r="B470" s="42"/>
      <c r="C470" s="42"/>
      <c r="D470" s="42"/>
      <c r="E470" s="208">
        <f>E469*2</f>
        <v>2329.574364288088</v>
      </c>
      <c r="F470" s="207">
        <v>420</v>
      </c>
    </row>
    <row r="471" spans="1:6" ht="16.5" thickBot="1" x14ac:dyDescent="0.3">
      <c r="A471" s="52" t="s">
        <v>1559</v>
      </c>
      <c r="B471" s="53"/>
      <c r="C471" s="53"/>
      <c r="D471" s="53"/>
      <c r="E471" s="53"/>
      <c r="F471" s="237">
        <f>F470*2</f>
        <v>840</v>
      </c>
    </row>
    <row r="472" spans="1:6" ht="16.5" thickBot="1" x14ac:dyDescent="0.3"/>
    <row r="473" spans="1:6" x14ac:dyDescent="0.25">
      <c r="A473" s="1589" t="s">
        <v>1677</v>
      </c>
      <c r="B473" s="1596"/>
      <c r="C473" s="1596"/>
      <c r="D473" s="1596"/>
      <c r="E473" s="1590"/>
      <c r="F473" s="23"/>
    </row>
    <row r="474" spans="1:6" x14ac:dyDescent="0.25">
      <c r="A474" s="271" t="s">
        <v>916</v>
      </c>
      <c r="B474" s="272" t="s">
        <v>1073</v>
      </c>
      <c r="C474" s="273" t="s">
        <v>1547</v>
      </c>
      <c r="D474" s="273" t="s">
        <v>1035</v>
      </c>
      <c r="E474" s="274" t="s">
        <v>1549</v>
      </c>
      <c r="F474" s="1"/>
    </row>
    <row r="475" spans="1:6" x14ac:dyDescent="0.25">
      <c r="A475" s="3" t="s">
        <v>1678</v>
      </c>
      <c r="B475" s="2"/>
      <c r="C475" s="6">
        <v>1</v>
      </c>
      <c r="D475" s="66">
        <f>'AROS, CADENAS, DIJES, ETC'!C183</f>
        <v>3181</v>
      </c>
      <c r="E475" s="39">
        <f>D475</f>
        <v>3181</v>
      </c>
      <c r="F475" s="1"/>
    </row>
    <row r="476" spans="1:6" x14ac:dyDescent="0.25">
      <c r="A476" s="3" t="s">
        <v>1679</v>
      </c>
      <c r="B476" s="2"/>
      <c r="C476" s="6">
        <v>1</v>
      </c>
      <c r="D476" s="66">
        <f>'AROS, CADENAS, DIJES, ETC'!C112</f>
        <v>255</v>
      </c>
      <c r="E476" s="39">
        <f>D476</f>
        <v>255</v>
      </c>
      <c r="F476" s="1"/>
    </row>
    <row r="477" spans="1:6" x14ac:dyDescent="0.25">
      <c r="A477" s="3" t="s">
        <v>1632</v>
      </c>
      <c r="B477" s="2" t="s">
        <v>940</v>
      </c>
      <c r="C477" s="6">
        <v>1</v>
      </c>
      <c r="D477" s="66">
        <f>'AROS, CADENAS, DIJES, ETC'!I25</f>
        <v>1100</v>
      </c>
      <c r="E477" s="39">
        <f>D477</f>
        <v>1100</v>
      </c>
      <c r="F477" s="1"/>
    </row>
    <row r="478" spans="1:6" x14ac:dyDescent="0.25">
      <c r="A478" s="3" t="s">
        <v>904</v>
      </c>
      <c r="B478" s="2"/>
      <c r="C478" s="6">
        <v>1</v>
      </c>
      <c r="D478" s="66">
        <f>'AROS, CADENAS, DIJES, ETC'!O122</f>
        <v>116</v>
      </c>
      <c r="E478" s="39">
        <f>D478</f>
        <v>116</v>
      </c>
      <c r="F478" s="1"/>
    </row>
    <row r="479" spans="1:6" x14ac:dyDescent="0.25">
      <c r="A479" s="3" t="s">
        <v>1555</v>
      </c>
      <c r="B479" s="2" t="s">
        <v>1556</v>
      </c>
      <c r="C479" s="6">
        <v>4</v>
      </c>
      <c r="D479" s="66">
        <f>FORNITURAS!D4</f>
        <v>48.7</v>
      </c>
      <c r="E479" s="39">
        <f>D479</f>
        <v>48.7</v>
      </c>
      <c r="F479" s="1"/>
    </row>
    <row r="480" spans="1:6" x14ac:dyDescent="0.25">
      <c r="A480" s="3" t="s">
        <v>1557</v>
      </c>
      <c r="B480" s="2"/>
      <c r="C480" s="6"/>
      <c r="D480" s="66"/>
      <c r="E480" s="39">
        <f>PACKAGING!E3</f>
        <v>150</v>
      </c>
      <c r="F480" s="1"/>
    </row>
    <row r="481" spans="1:6" x14ac:dyDescent="0.25">
      <c r="A481" s="3" t="s">
        <v>1538</v>
      </c>
      <c r="B481" s="2"/>
      <c r="C481" s="6"/>
      <c r="D481" s="66"/>
      <c r="E481" s="39">
        <f>PACKAGING!E8</f>
        <v>420</v>
      </c>
      <c r="F481" s="1"/>
    </row>
    <row r="482" spans="1:6" x14ac:dyDescent="0.25">
      <c r="A482" s="3" t="s">
        <v>1558</v>
      </c>
      <c r="B482" s="2"/>
      <c r="C482" s="6"/>
      <c r="D482" s="66"/>
      <c r="E482" s="39">
        <v>140</v>
      </c>
      <c r="F482" s="1"/>
    </row>
    <row r="483" spans="1:6" ht="16.5" thickBot="1" x14ac:dyDescent="0.3">
      <c r="A483" s="79" t="s">
        <v>525</v>
      </c>
      <c r="B483" s="70"/>
      <c r="C483" s="85"/>
      <c r="D483" s="85"/>
      <c r="E483" s="51">
        <f>SUM(E475:E482)</f>
        <v>5410.7</v>
      </c>
      <c r="F483" s="134"/>
    </row>
    <row r="484" spans="1:6" x14ac:dyDescent="0.25">
      <c r="A484" s="80" t="s">
        <v>544</v>
      </c>
      <c r="B484" s="220"/>
      <c r="C484" s="220"/>
      <c r="D484" s="220"/>
      <c r="E484" s="267">
        <f>E483*2</f>
        <v>10821.4</v>
      </c>
      <c r="F484" s="268">
        <v>2350</v>
      </c>
    </row>
    <row r="485" spans="1:6" ht="16.5" thickBot="1" x14ac:dyDescent="0.3">
      <c r="A485" s="275" t="s">
        <v>1559</v>
      </c>
      <c r="B485" s="269"/>
      <c r="C485" s="269"/>
      <c r="D485" s="269"/>
      <c r="E485" s="270"/>
      <c r="F485" s="281">
        <f>F484*2</f>
        <v>4700</v>
      </c>
    </row>
    <row r="487" spans="1:6" ht="16.5" thickBot="1" x14ac:dyDescent="0.3">
      <c r="A487" s="1579" t="s">
        <v>282</v>
      </c>
      <c r="B487" s="1580"/>
      <c r="C487" s="1580"/>
      <c r="D487" s="1580"/>
      <c r="E487" s="1580"/>
      <c r="F487"/>
    </row>
    <row r="488" spans="1:6" x14ac:dyDescent="0.25">
      <c r="A488" s="183" t="s">
        <v>916</v>
      </c>
      <c r="B488" s="97" t="s">
        <v>743</v>
      </c>
      <c r="C488" s="97" t="s">
        <v>1566</v>
      </c>
      <c r="D488" s="76" t="s">
        <v>1035</v>
      </c>
      <c r="E488" s="77" t="s">
        <v>1549</v>
      </c>
      <c r="F488" s="1"/>
    </row>
    <row r="489" spans="1:6" x14ac:dyDescent="0.25">
      <c r="A489" s="3" t="s">
        <v>978</v>
      </c>
      <c r="B489" s="98"/>
      <c r="C489" s="98">
        <v>1</v>
      </c>
      <c r="D489" s="102">
        <f>'AROS, CADENAS, DIJES, ETC'!I19</f>
        <v>290</v>
      </c>
      <c r="E489" s="39">
        <f>C489*D489</f>
        <v>290</v>
      </c>
      <c r="F489" s="1"/>
    </row>
    <row r="490" spans="1:6" x14ac:dyDescent="0.25">
      <c r="A490" s="3" t="s">
        <v>1617</v>
      </c>
      <c r="B490" s="98"/>
      <c r="C490" s="98">
        <v>1</v>
      </c>
      <c r="D490" s="102" t="e">
        <f>'AROS, CADENAS, DIJES, ETC'!#REF!</f>
        <v>#REF!</v>
      </c>
      <c r="E490" s="39" t="e">
        <f>C490*D490</f>
        <v>#REF!</v>
      </c>
      <c r="F490" s="1"/>
    </row>
    <row r="491" spans="1:6" x14ac:dyDescent="0.25">
      <c r="A491" s="104" t="s">
        <v>1555</v>
      </c>
      <c r="B491" s="98" t="s">
        <v>1573</v>
      </c>
      <c r="C491" s="98"/>
      <c r="D491" s="2"/>
      <c r="E491" s="39">
        <f>FORNITURAS!D7</f>
        <v>52</v>
      </c>
      <c r="F491" s="1"/>
    </row>
    <row r="492" spans="1:6" x14ac:dyDescent="0.25">
      <c r="A492" s="3" t="s">
        <v>1537</v>
      </c>
      <c r="B492" s="98"/>
      <c r="C492" s="98"/>
      <c r="D492" s="2"/>
      <c r="E492" s="39">
        <f>PACKAGING!E7</f>
        <v>170</v>
      </c>
      <c r="F492" s="1"/>
    </row>
    <row r="493" spans="1:6" ht="16.5" thickBot="1" x14ac:dyDescent="0.3">
      <c r="A493" s="79" t="s">
        <v>525</v>
      </c>
      <c r="B493" s="99"/>
      <c r="C493" s="99"/>
      <c r="D493" s="70"/>
      <c r="E493" s="51" t="e">
        <f>SUM(E489:E492)</f>
        <v>#REF!</v>
      </c>
      <c r="F493" s="1"/>
    </row>
    <row r="494" spans="1:6" ht="18.75" x14ac:dyDescent="0.25">
      <c r="A494" s="80" t="s">
        <v>544</v>
      </c>
      <c r="B494" s="100"/>
      <c r="C494" s="100"/>
      <c r="D494" s="71"/>
      <c r="E494" s="72" t="e">
        <f>E493*2</f>
        <v>#REF!</v>
      </c>
      <c r="F494" s="75">
        <v>660</v>
      </c>
    </row>
    <row r="495" spans="1:6" ht="19.5" thickBot="1" x14ac:dyDescent="0.3">
      <c r="A495" s="81" t="s">
        <v>1559</v>
      </c>
      <c r="B495" s="101"/>
      <c r="C495" s="101"/>
      <c r="D495" s="73"/>
      <c r="E495" s="73"/>
      <c r="F495" s="74">
        <f>F494*2</f>
        <v>1320</v>
      </c>
    </row>
    <row r="496" spans="1:6" ht="16.5" thickBot="1" x14ac:dyDescent="0.3"/>
    <row r="497" spans="1:6" ht="16.5" thickBot="1" x14ac:dyDescent="0.3">
      <c r="A497" s="1565" t="s">
        <v>1680</v>
      </c>
      <c r="B497" s="1566"/>
      <c r="C497" s="1566"/>
      <c r="D497" s="1566"/>
      <c r="E497" s="1567"/>
      <c r="F497"/>
    </row>
    <row r="498" spans="1:6" x14ac:dyDescent="0.25">
      <c r="A498" s="183" t="s">
        <v>916</v>
      </c>
      <c r="B498" s="97" t="s">
        <v>743</v>
      </c>
      <c r="C498" s="97" t="s">
        <v>1566</v>
      </c>
      <c r="D498" s="76" t="s">
        <v>1035</v>
      </c>
      <c r="E498" s="77" t="s">
        <v>1549</v>
      </c>
      <c r="F498" s="1"/>
    </row>
    <row r="499" spans="1:6" x14ac:dyDescent="0.25">
      <c r="A499" s="185" t="s">
        <v>1153</v>
      </c>
      <c r="B499" s="98" t="s">
        <v>1681</v>
      </c>
      <c r="C499" s="98">
        <v>13</v>
      </c>
      <c r="D499" s="102">
        <f>'INSUMOS VARIOS'!E60</f>
        <v>16.8</v>
      </c>
      <c r="E499" s="39">
        <f>D499*C499</f>
        <v>218.4</v>
      </c>
      <c r="F499" s="1"/>
    </row>
    <row r="500" spans="1:6" x14ac:dyDescent="0.25">
      <c r="A500" s="185" t="s">
        <v>1153</v>
      </c>
      <c r="B500" s="98" t="s">
        <v>1682</v>
      </c>
      <c r="C500" s="98">
        <v>2</v>
      </c>
      <c r="D500" s="102">
        <f>'INSUMOS VARIOS'!E59</f>
        <v>6.3</v>
      </c>
      <c r="E500" s="39">
        <f>D500*C500</f>
        <v>12.6</v>
      </c>
      <c r="F500" s="1"/>
    </row>
    <row r="501" spans="1:6" x14ac:dyDescent="0.25">
      <c r="A501" s="1613" t="s">
        <v>1224</v>
      </c>
      <c r="B501" s="98">
        <v>1</v>
      </c>
      <c r="C501" s="98">
        <v>2</v>
      </c>
      <c r="D501" s="102" t="e">
        <f>'HILOS-CORDONES-TANZA-CUERO'!#REF!</f>
        <v>#REF!</v>
      </c>
      <c r="E501" s="39" t="e">
        <f>D501*C501*B501</f>
        <v>#REF!</v>
      </c>
      <c r="F501" s="1"/>
    </row>
    <row r="502" spans="1:6" x14ac:dyDescent="0.25">
      <c r="A502" s="1615"/>
      <c r="B502" s="98">
        <v>0.12</v>
      </c>
      <c r="C502" s="98">
        <v>1</v>
      </c>
      <c r="D502" s="102" t="e">
        <f>D501</f>
        <v>#REF!</v>
      </c>
      <c r="E502" s="39" t="e">
        <f>D502*C502*B502</f>
        <v>#REF!</v>
      </c>
      <c r="F502" s="1"/>
    </row>
    <row r="503" spans="1:6" x14ac:dyDescent="0.25">
      <c r="A503" s="104" t="s">
        <v>1557</v>
      </c>
      <c r="B503" s="98"/>
      <c r="C503" s="98"/>
      <c r="D503" s="2"/>
      <c r="E503" s="39">
        <f>PACKAGING!E4</f>
        <v>80</v>
      </c>
      <c r="F503" s="1"/>
    </row>
    <row r="504" spans="1:6" x14ac:dyDescent="0.25">
      <c r="A504" s="104" t="s">
        <v>1590</v>
      </c>
      <c r="B504" s="98"/>
      <c r="C504" s="98"/>
      <c r="D504" s="2"/>
      <c r="E504" s="39">
        <v>120</v>
      </c>
      <c r="F504" s="1"/>
    </row>
    <row r="505" spans="1:6" ht="16.5" thickBot="1" x14ac:dyDescent="0.3">
      <c r="A505" s="79" t="s">
        <v>525</v>
      </c>
      <c r="B505" s="99"/>
      <c r="C505" s="99"/>
      <c r="D505" s="70"/>
      <c r="E505" s="51" t="e">
        <f>SUM(E499:E504)</f>
        <v>#REF!</v>
      </c>
      <c r="F505" s="1"/>
    </row>
    <row r="506" spans="1:6" ht="18.75" x14ac:dyDescent="0.25">
      <c r="A506" s="80" t="s">
        <v>544</v>
      </c>
      <c r="B506" s="100"/>
      <c r="C506" s="100"/>
      <c r="D506" s="71"/>
      <c r="E506" s="72" t="e">
        <f>E505*2</f>
        <v>#REF!</v>
      </c>
      <c r="F506" s="75">
        <v>920</v>
      </c>
    </row>
    <row r="507" spans="1:6" ht="19.5" thickBot="1" x14ac:dyDescent="0.3">
      <c r="A507" s="81" t="s">
        <v>1559</v>
      </c>
      <c r="B507" s="101"/>
      <c r="C507" s="101"/>
      <c r="D507" s="73"/>
      <c r="E507" s="73"/>
      <c r="F507" s="74">
        <f>F506*2</f>
        <v>1840</v>
      </c>
    </row>
    <row r="509" spans="1:6" x14ac:dyDescent="0.25">
      <c r="A509" s="1601" t="s">
        <v>1683</v>
      </c>
      <c r="B509" s="1588"/>
      <c r="C509" s="1588"/>
      <c r="D509" s="1588"/>
      <c r="E509" s="1588"/>
      <c r="F509" s="1"/>
    </row>
    <row r="510" spans="1:6" x14ac:dyDescent="0.25">
      <c r="A510" s="183" t="s">
        <v>916</v>
      </c>
      <c r="B510" s="97" t="s">
        <v>743</v>
      </c>
      <c r="C510" s="76" t="s">
        <v>1547</v>
      </c>
      <c r="D510" s="108" t="s">
        <v>1035</v>
      </c>
      <c r="E510" s="77" t="s">
        <v>1549</v>
      </c>
      <c r="F510" s="1"/>
    </row>
    <row r="511" spans="1:6" x14ac:dyDescent="0.25">
      <c r="A511" s="1613" t="s">
        <v>1684</v>
      </c>
      <c r="B511" s="2">
        <v>0.22</v>
      </c>
      <c r="C511" s="107">
        <v>2</v>
      </c>
      <c r="D511" s="109">
        <f>'HILOS-CORDONES-TANZA-CUERO'!E5</f>
        <v>50.35</v>
      </c>
      <c r="E511" s="110">
        <f>D511*B511*C511</f>
        <v>22.154</v>
      </c>
      <c r="F511" s="1"/>
    </row>
    <row r="512" spans="1:6" x14ac:dyDescent="0.25">
      <c r="A512" s="1615"/>
      <c r="B512" s="2">
        <v>0.12</v>
      </c>
      <c r="C512" s="2">
        <v>1</v>
      </c>
      <c r="D512" s="109">
        <f>D511</f>
        <v>50.35</v>
      </c>
      <c r="E512" s="110">
        <f>D512*B512*C512</f>
        <v>6.0419999999999998</v>
      </c>
      <c r="F512" s="1"/>
    </row>
    <row r="513" spans="1:7" x14ac:dyDescent="0.25">
      <c r="A513" s="104" t="s">
        <v>1685</v>
      </c>
      <c r="B513" s="98"/>
      <c r="C513" s="2">
        <v>1</v>
      </c>
      <c r="D513" s="109" t="e">
        <f>'AROS, CADENAS, DIJES, ETC'!#REF!</f>
        <v>#REF!</v>
      </c>
      <c r="E513" s="110" t="e">
        <f>C513*D513</f>
        <v>#REF!</v>
      </c>
      <c r="F513" s="1"/>
    </row>
    <row r="514" spans="1:7" x14ac:dyDescent="0.25">
      <c r="A514" s="104" t="s">
        <v>1012</v>
      </c>
      <c r="B514" s="98"/>
      <c r="C514" s="2">
        <v>4</v>
      </c>
      <c r="D514" s="109">
        <f>FORNITURAS!D17</f>
        <v>45.05</v>
      </c>
      <c r="E514" s="110">
        <f>D514*C514</f>
        <v>180.2</v>
      </c>
      <c r="F514" s="1"/>
    </row>
    <row r="515" spans="1:7" x14ac:dyDescent="0.25">
      <c r="A515" s="3" t="s">
        <v>1588</v>
      </c>
      <c r="B515" s="98"/>
      <c r="C515" s="2"/>
      <c r="D515" s="6"/>
      <c r="E515" s="39">
        <f>PACKAGING!E12</f>
        <v>50</v>
      </c>
      <c r="F515" s="1"/>
    </row>
    <row r="516" spans="1:7" x14ac:dyDescent="0.25">
      <c r="A516" s="3" t="s">
        <v>1558</v>
      </c>
      <c r="B516" s="98"/>
      <c r="C516" s="2"/>
      <c r="D516" s="6"/>
      <c r="E516" s="39">
        <v>45</v>
      </c>
      <c r="F516" s="1"/>
    </row>
    <row r="517" spans="1:7" ht="16.5" thickBot="1" x14ac:dyDescent="0.3">
      <c r="A517" s="79" t="s">
        <v>525</v>
      </c>
      <c r="B517" s="99"/>
      <c r="C517" s="70"/>
      <c r="D517" s="85"/>
      <c r="E517" s="51" t="e">
        <f>SUM(E511:E516)</f>
        <v>#REF!</v>
      </c>
      <c r="F517" s="1"/>
    </row>
    <row r="518" spans="1:7" ht="18.75" x14ac:dyDescent="0.25">
      <c r="A518" s="80" t="s">
        <v>544</v>
      </c>
      <c r="B518" s="100"/>
      <c r="C518" s="71"/>
      <c r="D518" s="71"/>
      <c r="E518" s="72" t="e">
        <f>E517*2</f>
        <v>#REF!</v>
      </c>
      <c r="F518" s="75">
        <v>530</v>
      </c>
    </row>
    <row r="519" spans="1:7" ht="19.5" thickBot="1" x14ac:dyDescent="0.3">
      <c r="A519" s="81" t="s">
        <v>1559</v>
      </c>
      <c r="B519" s="101"/>
      <c r="C519" s="73"/>
      <c r="D519" s="73"/>
      <c r="E519" s="73"/>
      <c r="F519" s="74">
        <f>F518*2</f>
        <v>1060</v>
      </c>
    </row>
    <row r="521" spans="1:7" x14ac:dyDescent="0.25">
      <c r="A521" s="1602" t="s">
        <v>1686</v>
      </c>
      <c r="B521" s="1600"/>
      <c r="C521" s="1600"/>
      <c r="D521" s="1600"/>
      <c r="E521" s="1600"/>
      <c r="F521" s="1600"/>
    </row>
    <row r="522" spans="1:7" x14ac:dyDescent="0.25">
      <c r="A522" s="183" t="s">
        <v>916</v>
      </c>
      <c r="B522" s="97" t="s">
        <v>743</v>
      </c>
      <c r="C522" s="97" t="s">
        <v>1607</v>
      </c>
      <c r="D522" s="76" t="s">
        <v>1547</v>
      </c>
      <c r="E522" s="108" t="s">
        <v>747</v>
      </c>
      <c r="F522" s="77" t="s">
        <v>1549</v>
      </c>
      <c r="G522" s="1"/>
    </row>
    <row r="523" spans="1:7" x14ac:dyDescent="0.25">
      <c r="A523" s="3" t="s">
        <v>1687</v>
      </c>
      <c r="B523" s="98"/>
      <c r="C523" s="98"/>
      <c r="D523" s="2">
        <v>1</v>
      </c>
      <c r="E523" s="66">
        <f>'AROS, CADENAS, DIJES, ETC'!T7</f>
        <v>790</v>
      </c>
      <c r="F523" s="39">
        <f>E523*D523</f>
        <v>790</v>
      </c>
      <c r="G523" s="1"/>
    </row>
    <row r="524" spans="1:7" x14ac:dyDescent="0.25">
      <c r="A524" s="3" t="s">
        <v>1688</v>
      </c>
      <c r="B524" s="98"/>
      <c r="C524" s="98"/>
      <c r="D524" s="2">
        <v>30</v>
      </c>
      <c r="E524" s="66">
        <f>PERLAS!F7</f>
        <v>90.857142857142861</v>
      </c>
      <c r="F524" s="39">
        <f t="shared" ref="F524:F530" si="8">E524*D524</f>
        <v>2725.7142857142858</v>
      </c>
      <c r="G524" s="1"/>
    </row>
    <row r="525" spans="1:7" x14ac:dyDescent="0.25">
      <c r="A525" s="104" t="s">
        <v>1689</v>
      </c>
      <c r="B525" s="98" t="s">
        <v>1690</v>
      </c>
      <c r="C525" s="98"/>
      <c r="D525" s="2">
        <v>18</v>
      </c>
      <c r="E525" s="66">
        <f>PERLAS!F16</f>
        <v>126.92307692307692</v>
      </c>
      <c r="F525" s="39">
        <f t="shared" si="8"/>
        <v>2284.6153846153848</v>
      </c>
      <c r="G525" s="1"/>
    </row>
    <row r="526" spans="1:7" x14ac:dyDescent="0.25">
      <c r="A526" s="104" t="s">
        <v>1691</v>
      </c>
      <c r="B526" s="98"/>
      <c r="C526" s="98"/>
      <c r="D526" s="2">
        <v>1</v>
      </c>
      <c r="E526" s="66">
        <f>PERLAS!F26</f>
        <v>57.692307692307693</v>
      </c>
      <c r="F526" s="39">
        <f t="shared" si="8"/>
        <v>57.692307692307693</v>
      </c>
      <c r="G526" s="1"/>
    </row>
    <row r="527" spans="1:7" x14ac:dyDescent="0.25">
      <c r="A527" s="104" t="s">
        <v>1585</v>
      </c>
      <c r="B527" s="98"/>
      <c r="C527" s="98">
        <v>0.5</v>
      </c>
      <c r="D527" s="2">
        <v>0.1</v>
      </c>
      <c r="E527" s="66">
        <f>'PALAIS DU BIJOU'!N19</f>
        <v>1100</v>
      </c>
      <c r="F527" s="39">
        <f>E527*D527/C527</f>
        <v>220</v>
      </c>
      <c r="G527" s="1"/>
    </row>
    <row r="528" spans="1:7" x14ac:dyDescent="0.25">
      <c r="A528" s="104" t="s">
        <v>1692</v>
      </c>
      <c r="B528" s="98"/>
      <c r="C528" s="98"/>
      <c r="D528" s="2">
        <v>3</v>
      </c>
      <c r="E528" s="66">
        <f>'PALAIS DU BIJOU'!E46</f>
        <v>18.059999999999999</v>
      </c>
      <c r="F528" s="39">
        <f t="shared" si="8"/>
        <v>54.179999999999993</v>
      </c>
      <c r="G528" s="1"/>
    </row>
    <row r="529" spans="1:7" x14ac:dyDescent="0.25">
      <c r="A529" s="104" t="s">
        <v>1693</v>
      </c>
      <c r="B529" s="98"/>
      <c r="C529" s="98"/>
      <c r="D529" s="2">
        <v>8</v>
      </c>
      <c r="E529" s="66">
        <f>'AROS, CADENAS, DIJES, ETC'!O44</f>
        <v>569</v>
      </c>
      <c r="F529" s="39">
        <f t="shared" si="8"/>
        <v>4552</v>
      </c>
      <c r="G529" s="1"/>
    </row>
    <row r="530" spans="1:7" x14ac:dyDescent="0.25">
      <c r="A530" s="104" t="s">
        <v>1694</v>
      </c>
      <c r="B530" s="98"/>
      <c r="C530" s="98"/>
      <c r="D530" s="2">
        <v>7</v>
      </c>
      <c r="E530" s="66">
        <f>'INSUMOS VARIOS'!K20</f>
        <v>1.7998046875</v>
      </c>
      <c r="F530" s="39">
        <f t="shared" si="8"/>
        <v>12.5986328125</v>
      </c>
      <c r="G530" s="1"/>
    </row>
    <row r="531" spans="1:7" x14ac:dyDescent="0.25">
      <c r="A531" s="104" t="s">
        <v>1695</v>
      </c>
      <c r="B531" s="98"/>
      <c r="C531" s="98">
        <v>0.5</v>
      </c>
      <c r="D531" s="2">
        <v>0.1</v>
      </c>
      <c r="E531" s="66">
        <f>CADENAS!AC19</f>
        <v>780</v>
      </c>
      <c r="F531" s="39">
        <f>E531*D531/C531</f>
        <v>156</v>
      </c>
      <c r="G531" s="1"/>
    </row>
    <row r="532" spans="1:7" x14ac:dyDescent="0.25">
      <c r="A532" s="104" t="s">
        <v>1696</v>
      </c>
      <c r="B532" s="98"/>
      <c r="C532" s="98">
        <v>0.6</v>
      </c>
      <c r="D532" s="2">
        <v>0.45</v>
      </c>
      <c r="E532" s="66">
        <f>'AROS, CADENAS, DIJES, ETC'!I41</f>
        <v>765</v>
      </c>
      <c r="F532" s="39">
        <f>E532*D532/C532</f>
        <v>573.75</v>
      </c>
      <c r="G532" s="1"/>
    </row>
    <row r="533" spans="1:7" x14ac:dyDescent="0.25">
      <c r="A533" s="104" t="s">
        <v>1050</v>
      </c>
      <c r="B533" s="98" t="s">
        <v>1059</v>
      </c>
      <c r="C533" s="98">
        <v>0.15</v>
      </c>
      <c r="D533" s="2">
        <v>2</v>
      </c>
      <c r="E533" s="66">
        <f>FORNITURAS!W5</f>
        <v>906.42857142857144</v>
      </c>
      <c r="F533" s="39">
        <f>E533*D533*C533</f>
        <v>271.92857142857144</v>
      </c>
      <c r="G533" s="1"/>
    </row>
    <row r="534" spans="1:7" x14ac:dyDescent="0.25">
      <c r="A534" s="104" t="s">
        <v>1555</v>
      </c>
      <c r="B534" s="98" t="s">
        <v>1556</v>
      </c>
      <c r="C534" s="98"/>
      <c r="D534" s="2">
        <v>12</v>
      </c>
      <c r="E534" s="66">
        <f>FORNITURAS!D4</f>
        <v>48.7</v>
      </c>
      <c r="F534" s="39">
        <f>E534*D534</f>
        <v>584.40000000000009</v>
      </c>
      <c r="G534" s="1"/>
    </row>
    <row r="535" spans="1:7" x14ac:dyDescent="0.25">
      <c r="A535" s="104" t="s">
        <v>1424</v>
      </c>
      <c r="B535" s="98"/>
      <c r="C535" s="98"/>
      <c r="D535" s="2">
        <v>0.7</v>
      </c>
      <c r="E535" s="66">
        <f>'HILOS-CORDONES-TANZA-CUERO'!L9</f>
        <v>30</v>
      </c>
      <c r="F535" s="39">
        <f>E535*D535</f>
        <v>21</v>
      </c>
      <c r="G535" s="1"/>
    </row>
    <row r="536" spans="1:7" x14ac:dyDescent="0.25">
      <c r="A536" s="104" t="s">
        <v>1697</v>
      </c>
      <c r="B536" s="98" t="s">
        <v>777</v>
      </c>
      <c r="C536" s="98"/>
      <c r="D536" s="2">
        <v>4</v>
      </c>
      <c r="E536" s="66">
        <f>FORNITURAS!D26</f>
        <v>297.14285714285717</v>
      </c>
      <c r="F536" s="39">
        <f>E536*D536</f>
        <v>1188.5714285714287</v>
      </c>
      <c r="G536" s="1"/>
    </row>
    <row r="537" spans="1:7" x14ac:dyDescent="0.25">
      <c r="A537" s="331" t="s">
        <v>1012</v>
      </c>
      <c r="B537" s="98"/>
      <c r="C537" s="98"/>
      <c r="D537" s="2">
        <v>4</v>
      </c>
      <c r="E537" s="66">
        <f>FORNITURAS!D17</f>
        <v>45.05</v>
      </c>
      <c r="F537" s="39">
        <f>E537*D537</f>
        <v>180.2</v>
      </c>
      <c r="G537" s="1"/>
    </row>
    <row r="538" spans="1:7" x14ac:dyDescent="0.25">
      <c r="A538" s="448" t="s">
        <v>1587</v>
      </c>
      <c r="B538" s="98"/>
      <c r="C538" s="98"/>
      <c r="D538" s="2">
        <v>1</v>
      </c>
      <c r="E538" s="66">
        <v>70</v>
      </c>
      <c r="F538" s="39">
        <f>E538*D538</f>
        <v>70</v>
      </c>
      <c r="G538" s="1"/>
    </row>
    <row r="539" spans="1:7" x14ac:dyDescent="0.25">
      <c r="A539" s="20" t="s">
        <v>1557</v>
      </c>
      <c r="B539" s="98" t="s">
        <v>1535</v>
      </c>
      <c r="C539" s="98"/>
      <c r="D539" s="2"/>
      <c r="E539" s="6"/>
      <c r="F539" s="39">
        <f>PACKAGING!E3</f>
        <v>150</v>
      </c>
    </row>
    <row r="540" spans="1:7" x14ac:dyDescent="0.25">
      <c r="A540" s="145" t="s">
        <v>1698</v>
      </c>
      <c r="B540" s="98"/>
      <c r="C540" s="98"/>
      <c r="D540" s="2"/>
      <c r="E540" s="6"/>
      <c r="F540" s="39">
        <v>8</v>
      </c>
    </row>
    <row r="541" spans="1:7" x14ac:dyDescent="0.25">
      <c r="A541" s="3" t="s">
        <v>1699</v>
      </c>
      <c r="B541" s="98"/>
      <c r="C541" s="98"/>
      <c r="D541" s="2"/>
      <c r="E541" s="6"/>
      <c r="F541" s="39">
        <v>35</v>
      </c>
      <c r="G541" s="1"/>
    </row>
    <row r="542" spans="1:7" x14ac:dyDescent="0.25">
      <c r="A542" s="3" t="s">
        <v>1618</v>
      </c>
      <c r="B542" s="98"/>
      <c r="C542" s="98"/>
      <c r="D542" s="2"/>
      <c r="E542" s="6"/>
      <c r="F542" s="39">
        <v>720</v>
      </c>
      <c r="G542" s="1"/>
    </row>
    <row r="543" spans="1:7" ht="16.5" thickBot="1" x14ac:dyDescent="0.3">
      <c r="A543" s="79" t="s">
        <v>525</v>
      </c>
      <c r="B543" s="99"/>
      <c r="C543" s="99"/>
      <c r="D543" s="70"/>
      <c r="E543" s="85"/>
      <c r="F543" s="51">
        <f>SUM(F523:F542)</f>
        <v>14655.650610834478</v>
      </c>
      <c r="G543" s="1"/>
    </row>
    <row r="544" spans="1:7" x14ac:dyDescent="0.25">
      <c r="A544" s="80" t="s">
        <v>544</v>
      </c>
      <c r="B544" s="100"/>
      <c r="C544" s="100"/>
      <c r="D544" s="71"/>
      <c r="E544" s="71"/>
      <c r="F544" s="72">
        <f>F543*2</f>
        <v>29311.301221668957</v>
      </c>
      <c r="G544" s="203"/>
    </row>
    <row r="545" spans="1:7" ht="16.5" thickBot="1" x14ac:dyDescent="0.3">
      <c r="A545" s="81" t="s">
        <v>1559</v>
      </c>
      <c r="B545" s="101"/>
      <c r="C545" s="101"/>
      <c r="D545" s="73"/>
      <c r="E545" s="73"/>
      <c r="F545" s="73"/>
      <c r="G545" s="204">
        <v>11980</v>
      </c>
    </row>
    <row r="547" spans="1:7" ht="16.5" thickBot="1" x14ac:dyDescent="0.3"/>
    <row r="548" spans="1:7" ht="16.5" thickBot="1" x14ac:dyDescent="0.3">
      <c r="A548" s="1565" t="s">
        <v>1700</v>
      </c>
      <c r="B548" s="1566"/>
      <c r="C548" s="1566"/>
      <c r="D548" s="1566"/>
      <c r="E548" s="1566"/>
      <c r="F548" s="1567"/>
      <c r="G548"/>
    </row>
    <row r="549" spans="1:7" x14ac:dyDescent="0.25">
      <c r="A549" s="183" t="s">
        <v>916</v>
      </c>
      <c r="B549" s="97" t="s">
        <v>1194</v>
      </c>
      <c r="C549" s="97" t="s">
        <v>1607</v>
      </c>
      <c r="D549" s="97" t="s">
        <v>1566</v>
      </c>
      <c r="E549" s="76" t="s">
        <v>1035</v>
      </c>
      <c r="F549" s="77" t="s">
        <v>1549</v>
      </c>
      <c r="G549" s="1"/>
    </row>
    <row r="550" spans="1:7" x14ac:dyDescent="0.25">
      <c r="A550" s="3" t="s">
        <v>1585</v>
      </c>
      <c r="B550" s="98">
        <v>0.5</v>
      </c>
      <c r="C550" s="98">
        <v>0.08</v>
      </c>
      <c r="D550" s="98">
        <v>2</v>
      </c>
      <c r="E550" s="102">
        <f>'PALAIS DU BIJOU'!N17</f>
        <v>1100</v>
      </c>
      <c r="F550" s="39">
        <f>(E550*D550*C550)/B550</f>
        <v>352</v>
      </c>
      <c r="G550" s="1"/>
    </row>
    <row r="551" spans="1:7" x14ac:dyDescent="0.25">
      <c r="A551" s="184" t="s">
        <v>1701</v>
      </c>
      <c r="B551" s="98"/>
      <c r="C551" s="98"/>
      <c r="D551" s="98">
        <v>1</v>
      </c>
      <c r="E551" s="102">
        <f>'PALAIS DU BIJOU'!E44</f>
        <v>154.37142857142857</v>
      </c>
      <c r="F551" s="39">
        <f>D551*E551</f>
        <v>154.37142857142857</v>
      </c>
      <c r="G551" s="1"/>
    </row>
    <row r="552" spans="1:7" x14ac:dyDescent="0.25">
      <c r="A552" s="184" t="s">
        <v>1608</v>
      </c>
      <c r="B552" s="98"/>
      <c r="C552" s="98">
        <v>5.5E-2</v>
      </c>
      <c r="D552" s="98">
        <v>1</v>
      </c>
      <c r="E552" s="102">
        <f>'AROS, CADENAS, DIJES, ETC'!I38</f>
        <v>3630</v>
      </c>
      <c r="F552" s="39">
        <f>E552*C552/D552</f>
        <v>199.65</v>
      </c>
      <c r="G552" s="1"/>
    </row>
    <row r="553" spans="1:7" x14ac:dyDescent="0.25">
      <c r="A553" s="184" t="s">
        <v>1424</v>
      </c>
      <c r="B553" s="98"/>
      <c r="C553" s="98">
        <v>0.28999999999999998</v>
      </c>
      <c r="D553" s="98">
        <v>1</v>
      </c>
      <c r="E553" s="102">
        <f>'HILOS-CORDONES-TANZA-CUERO'!L9</f>
        <v>30</v>
      </c>
      <c r="F553" s="39">
        <f>E553*C553/D553</f>
        <v>8.6999999999999993</v>
      </c>
      <c r="G553" s="1"/>
    </row>
    <row r="554" spans="1:7" x14ac:dyDescent="0.25">
      <c r="A554" s="184" t="s">
        <v>1587</v>
      </c>
      <c r="B554" s="98"/>
      <c r="C554" s="98"/>
      <c r="D554" s="98">
        <v>1</v>
      </c>
      <c r="E554" s="102">
        <f>FORNITURAS!D18</f>
        <v>363</v>
      </c>
      <c r="F554" s="39">
        <f>E554*D554</f>
        <v>363</v>
      </c>
      <c r="G554" s="1"/>
    </row>
    <row r="555" spans="1:7" x14ac:dyDescent="0.25">
      <c r="A555" s="184" t="s">
        <v>1012</v>
      </c>
      <c r="B555" s="98"/>
      <c r="C555" s="98"/>
      <c r="D555" s="98">
        <v>10</v>
      </c>
      <c r="E555" s="102">
        <f>FORNITURAS!D17</f>
        <v>45.05</v>
      </c>
      <c r="F555" s="39">
        <f>E555*D555</f>
        <v>450.5</v>
      </c>
      <c r="G555" s="1"/>
    </row>
    <row r="556" spans="1:7" x14ac:dyDescent="0.25">
      <c r="A556" s="184" t="s">
        <v>1572</v>
      </c>
      <c r="B556" s="98" t="s">
        <v>1556</v>
      </c>
      <c r="C556" s="98"/>
      <c r="D556" s="98">
        <v>3</v>
      </c>
      <c r="E556" s="102" t="e">
        <f>'AROS, CADENAS, DIJES, ETC'!#REF!</f>
        <v>#REF!</v>
      </c>
      <c r="F556" s="39" t="e">
        <f>E556*D556</f>
        <v>#REF!</v>
      </c>
      <c r="G556" s="1"/>
    </row>
    <row r="557" spans="1:7" x14ac:dyDescent="0.25">
      <c r="A557" s="185" t="s">
        <v>1557</v>
      </c>
      <c r="B557" s="98"/>
      <c r="C557" s="98"/>
      <c r="D557" s="98"/>
      <c r="E557" s="102"/>
      <c r="F557" s="39">
        <f>PACKAGING!E4</f>
        <v>80</v>
      </c>
      <c r="G557" s="1"/>
    </row>
    <row r="558" spans="1:7" x14ac:dyDescent="0.25">
      <c r="A558" s="3" t="s">
        <v>1590</v>
      </c>
      <c r="B558" s="98"/>
      <c r="C558" s="98"/>
      <c r="D558" s="98"/>
      <c r="E558" s="2"/>
      <c r="F558" s="39">
        <v>80</v>
      </c>
      <c r="G558" s="1"/>
    </row>
    <row r="559" spans="1:7" ht="16.5" thickBot="1" x14ac:dyDescent="0.3">
      <c r="A559" s="79" t="s">
        <v>525</v>
      </c>
      <c r="B559" s="99"/>
      <c r="C559" s="99"/>
      <c r="D559" s="99"/>
      <c r="E559" s="70"/>
      <c r="F559" s="51" t="e">
        <f>SUM(F550:F558)</f>
        <v>#REF!</v>
      </c>
      <c r="G559" s="1"/>
    </row>
    <row r="560" spans="1:7" ht="18.75" x14ac:dyDescent="0.25">
      <c r="A560" s="80" t="s">
        <v>544</v>
      </c>
      <c r="B560" s="100"/>
      <c r="C560" s="100"/>
      <c r="D560" s="100"/>
      <c r="E560" s="71"/>
      <c r="F560" s="72" t="e">
        <f>F559*2</f>
        <v>#REF!</v>
      </c>
      <c r="G560" s="75">
        <v>640</v>
      </c>
    </row>
    <row r="561" spans="1:13" ht="19.5" thickBot="1" x14ac:dyDescent="0.3">
      <c r="A561" s="81" t="s">
        <v>1559</v>
      </c>
      <c r="B561" s="101"/>
      <c r="C561" s="101"/>
      <c r="D561" s="101"/>
      <c r="E561" s="73"/>
      <c r="F561" s="73"/>
      <c r="G561" s="74">
        <f>G560*2</f>
        <v>1280</v>
      </c>
    </row>
    <row r="563" spans="1:13" x14ac:dyDescent="0.25">
      <c r="A563" s="1601" t="s">
        <v>1702</v>
      </c>
      <c r="B563" s="1588"/>
      <c r="C563" s="1588"/>
      <c r="D563" s="1588"/>
      <c r="E563" s="1588"/>
      <c r="F563" s="1"/>
      <c r="G563" s="1"/>
      <c r="H563" s="1601" t="s">
        <v>1703</v>
      </c>
      <c r="I563" s="1588"/>
      <c r="J563" s="1588"/>
      <c r="K563" s="1588"/>
      <c r="L563" s="1588"/>
      <c r="M563" s="1"/>
    </row>
    <row r="564" spans="1:13" x14ac:dyDescent="0.25">
      <c r="A564" s="183" t="s">
        <v>916</v>
      </c>
      <c r="B564" s="97" t="s">
        <v>743</v>
      </c>
      <c r="C564" s="76" t="s">
        <v>1547</v>
      </c>
      <c r="D564" s="108" t="s">
        <v>1035</v>
      </c>
      <c r="E564" s="77" t="s">
        <v>1549</v>
      </c>
      <c r="F564" s="1"/>
      <c r="G564" s="1"/>
      <c r="H564" s="183" t="s">
        <v>916</v>
      </c>
      <c r="I564" s="97" t="s">
        <v>743</v>
      </c>
      <c r="J564" s="76" t="s">
        <v>1547</v>
      </c>
      <c r="K564" s="108" t="s">
        <v>1035</v>
      </c>
      <c r="L564" s="77" t="s">
        <v>1549</v>
      </c>
      <c r="M564" s="1"/>
    </row>
    <row r="565" spans="1:13" x14ac:dyDescent="0.25">
      <c r="A565" s="1613" t="s">
        <v>1684</v>
      </c>
      <c r="B565" s="2">
        <v>0.32</v>
      </c>
      <c r="C565" s="107">
        <v>1</v>
      </c>
      <c r="D565" s="109">
        <f>'HILOS-CORDONES-TANZA-CUERO'!E5</f>
        <v>50.35</v>
      </c>
      <c r="E565" s="110">
        <f>D565*B565*C565</f>
        <v>16.112000000000002</v>
      </c>
      <c r="F565" s="1"/>
      <c r="G565" s="1"/>
      <c r="H565" s="1613" t="s">
        <v>1684</v>
      </c>
      <c r="I565" s="2">
        <v>0.32</v>
      </c>
      <c r="J565" s="107">
        <v>1</v>
      </c>
      <c r="K565" s="109">
        <f>'HILOS-CORDONES-TANZA-CUERO'!E5</f>
        <v>50.35</v>
      </c>
      <c r="L565" s="110">
        <f>K565*I565*J565</f>
        <v>16.112000000000002</v>
      </c>
      <c r="M565" s="1"/>
    </row>
    <row r="566" spans="1:13" x14ac:dyDescent="0.25">
      <c r="A566" s="1615"/>
      <c r="B566" s="2">
        <v>0.12</v>
      </c>
      <c r="C566" s="2">
        <v>1</v>
      </c>
      <c r="D566" s="109">
        <f>D565</f>
        <v>50.35</v>
      </c>
      <c r="E566" s="110">
        <f>D566*B566*C566</f>
        <v>6.0419999999999998</v>
      </c>
      <c r="F566" s="1"/>
      <c r="G566" s="1"/>
      <c r="H566" s="1615"/>
      <c r="I566" s="2">
        <v>0.12</v>
      </c>
      <c r="J566" s="2">
        <v>1</v>
      </c>
      <c r="K566" s="109">
        <f>K565</f>
        <v>50.35</v>
      </c>
      <c r="L566" s="110">
        <f>K566*I566*J566</f>
        <v>6.0419999999999998</v>
      </c>
      <c r="M566" s="1"/>
    </row>
    <row r="567" spans="1:13" x14ac:dyDescent="0.25">
      <c r="A567" s="104" t="s">
        <v>1704</v>
      </c>
      <c r="B567" s="98"/>
      <c r="C567" s="2">
        <v>1</v>
      </c>
      <c r="D567" s="109">
        <f>'PALAIS DU BIJOU'!E46</f>
        <v>18.059999999999999</v>
      </c>
      <c r="E567" s="110">
        <f>C567*D567</f>
        <v>18.059999999999999</v>
      </c>
      <c r="F567" s="1"/>
      <c r="G567" s="1"/>
      <c r="H567" s="104" t="s">
        <v>1705</v>
      </c>
      <c r="I567" s="98"/>
      <c r="J567" s="2">
        <v>1</v>
      </c>
      <c r="K567" s="109">
        <f>'RESINA - ACRILICOS'!D15</f>
        <v>2.2857142857142856</v>
      </c>
      <c r="L567" s="110">
        <f>J567*K567</f>
        <v>2.2857142857142856</v>
      </c>
      <c r="M567" s="1"/>
    </row>
    <row r="568" spans="1:13" x14ac:dyDescent="0.25">
      <c r="A568" s="104" t="s">
        <v>1706</v>
      </c>
      <c r="B568" s="98"/>
      <c r="C568" s="2">
        <v>2</v>
      </c>
      <c r="D568" s="109">
        <f>'INSUMOS VARIOS'!R23</f>
        <v>0.5</v>
      </c>
      <c r="E568" s="110">
        <f>C568*D568</f>
        <v>1</v>
      </c>
      <c r="F568" s="1"/>
      <c r="G568" s="1"/>
      <c r="H568" s="104" t="s">
        <v>1706</v>
      </c>
      <c r="I568" s="98"/>
      <c r="J568" s="2">
        <v>2</v>
      </c>
      <c r="K568" s="109">
        <f>'INSUMOS VARIOS'!R23</f>
        <v>0.5</v>
      </c>
      <c r="L568" s="110">
        <f>J568*K568</f>
        <v>1</v>
      </c>
      <c r="M568" s="1"/>
    </row>
    <row r="569" spans="1:13" x14ac:dyDescent="0.25">
      <c r="A569" s="3" t="s">
        <v>1588</v>
      </c>
      <c r="B569" s="98" t="s">
        <v>1540</v>
      </c>
      <c r="C569" s="2"/>
      <c r="D569" s="6"/>
      <c r="E569" s="39">
        <f>PACKAGING!E12</f>
        <v>50</v>
      </c>
      <c r="F569" s="1"/>
      <c r="G569" s="1"/>
      <c r="H569" s="3" t="s">
        <v>1588</v>
      </c>
      <c r="I569" s="98" t="s">
        <v>1540</v>
      </c>
      <c r="J569" s="2"/>
      <c r="K569" s="6"/>
      <c r="L569" s="110">
        <f>PACKAGING!E12</f>
        <v>50</v>
      </c>
      <c r="M569" s="1"/>
    </row>
    <row r="570" spans="1:13" x14ac:dyDescent="0.25">
      <c r="A570" s="3" t="s">
        <v>1558</v>
      </c>
      <c r="B570" s="98"/>
      <c r="C570" s="2"/>
      <c r="D570" s="6"/>
      <c r="E570" s="39">
        <v>50</v>
      </c>
      <c r="F570" s="1"/>
      <c r="G570" s="1"/>
      <c r="H570" s="3" t="s">
        <v>1558</v>
      </c>
      <c r="I570" s="98"/>
      <c r="J570" s="2"/>
      <c r="K570" s="6"/>
      <c r="L570" s="39">
        <v>50</v>
      </c>
      <c r="M570" s="1"/>
    </row>
    <row r="571" spans="1:13" ht="16.5" thickBot="1" x14ac:dyDescent="0.3">
      <c r="A571" s="79" t="s">
        <v>525</v>
      </c>
      <c r="B571" s="99"/>
      <c r="C571" s="70"/>
      <c r="D571" s="85"/>
      <c r="E571" s="51">
        <f>SUM(E565:E570)</f>
        <v>141.214</v>
      </c>
      <c r="F571" s="1"/>
      <c r="H571" s="79" t="s">
        <v>525</v>
      </c>
      <c r="I571" s="99"/>
      <c r="J571" s="70"/>
      <c r="K571" s="85"/>
      <c r="L571" s="51">
        <f>SUM(L565:L570)</f>
        <v>125.43971428571429</v>
      </c>
      <c r="M571" s="1"/>
    </row>
    <row r="572" spans="1:13" ht="18.75" x14ac:dyDescent="0.25">
      <c r="A572" s="80" t="s">
        <v>544</v>
      </c>
      <c r="B572" s="100"/>
      <c r="C572" s="71"/>
      <c r="D572" s="71"/>
      <c r="E572" s="72">
        <f>E571*2</f>
        <v>282.428</v>
      </c>
      <c r="F572" s="75">
        <v>200</v>
      </c>
      <c r="H572" s="80" t="s">
        <v>544</v>
      </c>
      <c r="I572" s="100"/>
      <c r="J572" s="71"/>
      <c r="K572" s="71"/>
      <c r="L572" s="72">
        <f>L571*2</f>
        <v>250.87942857142858</v>
      </c>
      <c r="M572" s="75">
        <v>180</v>
      </c>
    </row>
    <row r="573" spans="1:13" ht="19.5" thickBot="1" x14ac:dyDescent="0.3">
      <c r="A573" s="81" t="s">
        <v>1559</v>
      </c>
      <c r="B573" s="101"/>
      <c r="C573" s="73"/>
      <c r="D573" s="73"/>
      <c r="E573" s="73"/>
      <c r="F573" s="74"/>
      <c r="H573" s="81" t="s">
        <v>1559</v>
      </c>
      <c r="I573" s="101"/>
      <c r="J573" s="73"/>
      <c r="K573" s="73"/>
      <c r="L573" s="73"/>
      <c r="M573" s="74"/>
    </row>
    <row r="574" spans="1:13" ht="16.5" thickBot="1" x14ac:dyDescent="0.3"/>
    <row r="575" spans="1:13" x14ac:dyDescent="0.25">
      <c r="A575" s="1585" t="s">
        <v>441</v>
      </c>
      <c r="B575" s="1586"/>
      <c r="C575" s="1586"/>
      <c r="D575" s="1586"/>
      <c r="E575" s="1587"/>
    </row>
    <row r="576" spans="1:13" x14ac:dyDescent="0.25">
      <c r="A576" s="183" t="s">
        <v>916</v>
      </c>
      <c r="B576" s="97" t="s">
        <v>743</v>
      </c>
      <c r="C576" s="76" t="s">
        <v>1547</v>
      </c>
      <c r="D576" s="108" t="s">
        <v>1035</v>
      </c>
      <c r="E576" s="77" t="s">
        <v>1549</v>
      </c>
      <c r="F576" s="1"/>
    </row>
    <row r="577" spans="1:7" x14ac:dyDescent="0.25">
      <c r="A577" s="1613" t="s">
        <v>1224</v>
      </c>
      <c r="B577" s="1611" t="s">
        <v>1225</v>
      </c>
      <c r="C577" s="107">
        <v>1.6</v>
      </c>
      <c r="D577" s="109" t="e">
        <f>'HILOS-CORDONES-TANZA-CUERO'!#REF!</f>
        <v>#REF!</v>
      </c>
      <c r="E577" s="110" t="e">
        <f>D577*C577</f>
        <v>#REF!</v>
      </c>
      <c r="F577" s="1"/>
    </row>
    <row r="578" spans="1:7" x14ac:dyDescent="0.25">
      <c r="A578" s="1615"/>
      <c r="B578" s="1612"/>
      <c r="C578" s="107">
        <v>0.12</v>
      </c>
      <c r="D578" s="109" t="e">
        <f>D577</f>
        <v>#REF!</v>
      </c>
      <c r="E578" s="110" t="e">
        <f>D578*C578</f>
        <v>#REF!</v>
      </c>
      <c r="F578" s="1"/>
    </row>
    <row r="579" spans="1:7" x14ac:dyDescent="0.25">
      <c r="A579" s="189" t="s">
        <v>1707</v>
      </c>
      <c r="B579" s="2"/>
      <c r="C579" s="2">
        <v>1</v>
      </c>
      <c r="D579" s="109">
        <f>'INSUMOS VARIOS'!L10</f>
        <v>12.083333333333334</v>
      </c>
      <c r="E579" s="110">
        <f>D579*C579</f>
        <v>12.083333333333334</v>
      </c>
      <c r="F579" s="1"/>
    </row>
    <row r="580" spans="1:7" x14ac:dyDescent="0.25">
      <c r="A580" s="3" t="s">
        <v>1557</v>
      </c>
      <c r="B580" s="98"/>
      <c r="C580" s="2"/>
      <c r="D580" s="6"/>
      <c r="E580" s="39">
        <f>PACKAGING!E12</f>
        <v>50</v>
      </c>
      <c r="F580" s="1"/>
    </row>
    <row r="581" spans="1:7" x14ac:dyDescent="0.25">
      <c r="A581" s="3" t="s">
        <v>1558</v>
      </c>
      <c r="B581" s="98"/>
      <c r="C581" s="2"/>
      <c r="D581" s="6"/>
      <c r="E581" s="39">
        <v>150</v>
      </c>
      <c r="F581" s="1"/>
    </row>
    <row r="582" spans="1:7" ht="16.5" thickBot="1" x14ac:dyDescent="0.3">
      <c r="A582" s="348" t="s">
        <v>525</v>
      </c>
      <c r="B582" s="349"/>
      <c r="C582" s="350"/>
      <c r="D582" s="351"/>
      <c r="E582" s="352" t="e">
        <f>SUM(E577:E581)</f>
        <v>#REF!</v>
      </c>
      <c r="F582" s="1"/>
    </row>
    <row r="583" spans="1:7" ht="18.75" x14ac:dyDescent="0.25">
      <c r="A583" s="345" t="s">
        <v>544</v>
      </c>
      <c r="B583" s="346"/>
      <c r="C583" s="346"/>
      <c r="D583" s="346"/>
      <c r="E583" s="347" t="e">
        <f>E582*2</f>
        <v>#REF!</v>
      </c>
      <c r="F583" s="354">
        <v>490</v>
      </c>
    </row>
    <row r="584" spans="1:7" ht="19.5" thickBot="1" x14ac:dyDescent="0.3">
      <c r="A584" s="341" t="s">
        <v>1559</v>
      </c>
      <c r="B584" s="342"/>
      <c r="C584" s="343"/>
      <c r="D584" s="343"/>
      <c r="E584" s="353"/>
      <c r="F584" s="344">
        <f>F583*2</f>
        <v>980</v>
      </c>
    </row>
    <row r="586" spans="1:7" x14ac:dyDescent="0.25">
      <c r="A586" s="1576" t="s">
        <v>1708</v>
      </c>
      <c r="B586" s="1577"/>
      <c r="C586" s="1577"/>
      <c r="D586" s="1577"/>
      <c r="E586" s="1577"/>
      <c r="F586" s="1577"/>
      <c r="G586" s="1"/>
    </row>
    <row r="587" spans="1:7" x14ac:dyDescent="0.25">
      <c r="A587" s="183" t="s">
        <v>916</v>
      </c>
      <c r="B587" s="97" t="s">
        <v>742</v>
      </c>
      <c r="C587" s="97" t="s">
        <v>1089</v>
      </c>
      <c r="D587" s="76" t="s">
        <v>1547</v>
      </c>
      <c r="E587" s="108" t="s">
        <v>1035</v>
      </c>
      <c r="F587" s="77" t="s">
        <v>1549</v>
      </c>
      <c r="G587" s="1"/>
    </row>
    <row r="588" spans="1:7" x14ac:dyDescent="0.25">
      <c r="A588" s="1613" t="s">
        <v>1224</v>
      </c>
      <c r="B588" s="2" t="s">
        <v>1709</v>
      </c>
      <c r="C588" s="190">
        <v>0.27</v>
      </c>
      <c r="D588" s="107">
        <v>2</v>
      </c>
      <c r="E588" s="109" t="e">
        <f>'HILOS-CORDONES-TANZA-CUERO'!#REF!</f>
        <v>#REF!</v>
      </c>
      <c r="F588" s="110" t="e">
        <f>E588*D588*C588</f>
        <v>#REF!</v>
      </c>
      <c r="G588" s="1"/>
    </row>
    <row r="589" spans="1:7" x14ac:dyDescent="0.25">
      <c r="A589" s="1614"/>
      <c r="B589" s="2" t="s">
        <v>1710</v>
      </c>
      <c r="C589" s="2">
        <v>0.4</v>
      </c>
      <c r="D589" s="2">
        <v>2</v>
      </c>
      <c r="E589" s="109" t="e">
        <f>E588</f>
        <v>#REF!</v>
      </c>
      <c r="F589" s="110" t="e">
        <f>E589*D589*C589</f>
        <v>#REF!</v>
      </c>
      <c r="G589" s="1"/>
    </row>
    <row r="590" spans="1:7" x14ac:dyDescent="0.25">
      <c r="A590" s="1614"/>
      <c r="B590" s="98" t="s">
        <v>1711</v>
      </c>
      <c r="C590" s="98">
        <v>0.4</v>
      </c>
      <c r="D590" s="2">
        <v>4</v>
      </c>
      <c r="E590" s="109" t="e">
        <f>E589</f>
        <v>#REF!</v>
      </c>
      <c r="F590" s="110" t="e">
        <f>E590*D590*C590</f>
        <v>#REF!</v>
      </c>
      <c r="G590" s="1"/>
    </row>
    <row r="591" spans="1:7" x14ac:dyDescent="0.25">
      <c r="A591" s="1615"/>
      <c r="B591" s="98" t="s">
        <v>1712</v>
      </c>
      <c r="C591" s="98">
        <v>0.12</v>
      </c>
      <c r="D591" s="2">
        <v>1</v>
      </c>
      <c r="E591" s="109" t="e">
        <f>E590</f>
        <v>#REF!</v>
      </c>
      <c r="F591" s="110" t="e">
        <f>E591*D591*C591</f>
        <v>#REF!</v>
      </c>
      <c r="G591" s="1"/>
    </row>
    <row r="592" spans="1:7" x14ac:dyDescent="0.25">
      <c r="A592" s="3" t="s">
        <v>1558</v>
      </c>
      <c r="B592" s="98"/>
      <c r="C592" s="98"/>
      <c r="D592" s="2"/>
      <c r="E592" s="6"/>
      <c r="F592" s="39">
        <v>200</v>
      </c>
      <c r="G592" s="1"/>
    </row>
    <row r="593" spans="1:7" ht="16.5" thickBot="1" x14ac:dyDescent="0.3">
      <c r="A593" s="79" t="s">
        <v>525</v>
      </c>
      <c r="B593" s="99"/>
      <c r="C593" s="99"/>
      <c r="D593" s="70"/>
      <c r="E593" s="85"/>
      <c r="F593" s="51" t="e">
        <f>SUM(F588:F592)</f>
        <v>#REF!</v>
      </c>
      <c r="G593" s="1"/>
    </row>
    <row r="594" spans="1:7" ht="18.75" x14ac:dyDescent="0.25">
      <c r="A594" s="80" t="s">
        <v>544</v>
      </c>
      <c r="B594" s="100"/>
      <c r="C594" s="100"/>
      <c r="D594" s="71"/>
      <c r="E594" s="71"/>
      <c r="F594" s="72" t="e">
        <f>F593*2</f>
        <v>#REF!</v>
      </c>
      <c r="G594" s="75"/>
    </row>
    <row r="595" spans="1:7" ht="19.5" thickBot="1" x14ac:dyDescent="0.3">
      <c r="A595" s="81" t="s">
        <v>1559</v>
      </c>
      <c r="B595" s="101"/>
      <c r="C595" s="101"/>
      <c r="D595" s="73"/>
      <c r="E595" s="73"/>
      <c r="F595" s="73"/>
      <c r="G595" s="74">
        <f>G594*2</f>
        <v>0</v>
      </c>
    </row>
    <row r="597" spans="1:7" x14ac:dyDescent="0.25">
      <c r="A597" s="1576" t="s">
        <v>1708</v>
      </c>
      <c r="B597" s="1577"/>
      <c r="C597" s="1577"/>
      <c r="D597" s="1577"/>
      <c r="E597" s="1577"/>
      <c r="F597" s="1577"/>
      <c r="G597" s="1"/>
    </row>
    <row r="598" spans="1:7" x14ac:dyDescent="0.25">
      <c r="A598" s="183" t="s">
        <v>916</v>
      </c>
      <c r="B598" s="97" t="s">
        <v>742</v>
      </c>
      <c r="C598" s="97" t="s">
        <v>1089</v>
      </c>
      <c r="D598" s="76" t="s">
        <v>1547</v>
      </c>
      <c r="E598" s="108" t="s">
        <v>1035</v>
      </c>
      <c r="F598" s="77" t="s">
        <v>1549</v>
      </c>
      <c r="G598" s="1"/>
    </row>
    <row r="599" spans="1:7" x14ac:dyDescent="0.25">
      <c r="A599" s="1613" t="s">
        <v>1224</v>
      </c>
      <c r="B599" s="2" t="s">
        <v>1709</v>
      </c>
      <c r="C599" s="190">
        <v>0.32</v>
      </c>
      <c r="D599" s="107">
        <v>2</v>
      </c>
      <c r="E599" s="109">
        <f>'HILOS-CORDONES-TANZA-CUERO'!E7</f>
        <v>50.35</v>
      </c>
      <c r="F599" s="110">
        <f>E599*D599*C599</f>
        <v>32.224000000000004</v>
      </c>
      <c r="G599" s="1"/>
    </row>
    <row r="600" spans="1:7" x14ac:dyDescent="0.25">
      <c r="A600" s="1615"/>
      <c r="B600" s="98" t="s">
        <v>1712</v>
      </c>
      <c r="C600" s="98">
        <v>0.2</v>
      </c>
      <c r="D600" s="2">
        <v>1</v>
      </c>
      <c r="E600" s="109">
        <f>E599</f>
        <v>50.35</v>
      </c>
      <c r="F600" s="110">
        <f>E600*D600*C600</f>
        <v>10.07</v>
      </c>
      <c r="G600" s="1"/>
    </row>
    <row r="601" spans="1:7" x14ac:dyDescent="0.25">
      <c r="A601" s="104" t="s">
        <v>1713</v>
      </c>
      <c r="B601" s="98"/>
      <c r="C601" s="98"/>
      <c r="D601" s="2">
        <v>1</v>
      </c>
      <c r="E601" s="109">
        <f>'AROS, CADENAS, DIJES, ETC'!O162</f>
        <v>290</v>
      </c>
      <c r="F601" s="110">
        <f>D601*E601</f>
        <v>290</v>
      </c>
      <c r="G601" s="1"/>
    </row>
    <row r="602" spans="1:7" x14ac:dyDescent="0.25">
      <c r="A602" s="3" t="s">
        <v>1557</v>
      </c>
      <c r="B602" s="98"/>
      <c r="C602" s="98"/>
      <c r="D602" s="2"/>
      <c r="E602" s="6"/>
      <c r="F602" s="39">
        <f>PACKAGING!E12</f>
        <v>50</v>
      </c>
      <c r="G602" s="1"/>
    </row>
    <row r="603" spans="1:7" x14ac:dyDescent="0.25">
      <c r="A603" s="3" t="s">
        <v>1558</v>
      </c>
      <c r="B603" s="98"/>
      <c r="C603" s="98"/>
      <c r="D603" s="2"/>
      <c r="E603" s="6"/>
      <c r="F603" s="39">
        <v>100</v>
      </c>
      <c r="G603" s="1"/>
    </row>
    <row r="604" spans="1:7" ht="16.5" thickBot="1" x14ac:dyDescent="0.3">
      <c r="A604" s="79" t="s">
        <v>525</v>
      </c>
      <c r="B604" s="99"/>
      <c r="C604" s="99"/>
      <c r="D604" s="70"/>
      <c r="E604" s="85"/>
      <c r="F604" s="51">
        <f>SUM(F599:F603)</f>
        <v>482.29399999999998</v>
      </c>
      <c r="G604" s="1"/>
    </row>
    <row r="605" spans="1:7" ht="18.75" x14ac:dyDescent="0.25">
      <c r="A605" s="80" t="s">
        <v>544</v>
      </c>
      <c r="B605" s="100"/>
      <c r="C605" s="100"/>
      <c r="D605" s="71"/>
      <c r="E605" s="71"/>
      <c r="F605" s="72">
        <f>F604*2</f>
        <v>964.58799999999997</v>
      </c>
      <c r="G605" s="75">
        <v>1000</v>
      </c>
    </row>
    <row r="606" spans="1:7" ht="19.5" thickBot="1" x14ac:dyDescent="0.3">
      <c r="A606" s="81" t="s">
        <v>1559</v>
      </c>
      <c r="B606" s="101"/>
      <c r="C606" s="101"/>
      <c r="D606" s="73"/>
      <c r="E606" s="73"/>
      <c r="F606" s="73"/>
      <c r="G606" s="74">
        <f>G605*2</f>
        <v>2000</v>
      </c>
    </row>
    <row r="608" spans="1:7" ht="16.5" thickBot="1" x14ac:dyDescent="0.3">
      <c r="A608" s="1579" t="s">
        <v>282</v>
      </c>
      <c r="B608" s="1580"/>
      <c r="C608" s="1580"/>
      <c r="D608" s="1580"/>
      <c r="E608" s="1580"/>
      <c r="F608"/>
    </row>
    <row r="609" spans="1:8" x14ac:dyDescent="0.25">
      <c r="A609" s="183" t="s">
        <v>916</v>
      </c>
      <c r="B609" s="97" t="s">
        <v>743</v>
      </c>
      <c r="C609" s="97" t="s">
        <v>1566</v>
      </c>
      <c r="D609" s="76" t="s">
        <v>1035</v>
      </c>
      <c r="E609" s="77" t="s">
        <v>1549</v>
      </c>
      <c r="F609" s="1"/>
    </row>
    <row r="610" spans="1:8" x14ac:dyDescent="0.25">
      <c r="A610" s="3" t="s">
        <v>1714</v>
      </c>
      <c r="B610" s="98"/>
      <c r="C610" s="98">
        <v>1</v>
      </c>
      <c r="D610" s="102">
        <f>FORNITURAS!D18</f>
        <v>363</v>
      </c>
      <c r="E610" s="39">
        <f>C610*D610</f>
        <v>363</v>
      </c>
      <c r="F610" s="1"/>
    </row>
    <row r="611" spans="1:8" x14ac:dyDescent="0.25">
      <c r="A611" s="3" t="s">
        <v>1572</v>
      </c>
      <c r="B611" s="98"/>
      <c r="C611" s="98">
        <v>2</v>
      </c>
      <c r="D611" s="102" t="e">
        <f>'AROS, CADENAS, DIJES, ETC'!#REF!</f>
        <v>#REF!</v>
      </c>
      <c r="E611" s="39" t="e">
        <f>C611*D611</f>
        <v>#REF!</v>
      </c>
      <c r="F611" s="1"/>
    </row>
    <row r="612" spans="1:8" x14ac:dyDescent="0.25">
      <c r="A612" s="104" t="s">
        <v>1715</v>
      </c>
      <c r="B612" s="98"/>
      <c r="C612" s="98">
        <v>1</v>
      </c>
      <c r="D612" s="102">
        <f>'AROS, CADENAS, DIJES, ETC'!O17</f>
        <v>92</v>
      </c>
      <c r="E612" s="39">
        <f>C612*D612</f>
        <v>92</v>
      </c>
      <c r="F612" s="1"/>
    </row>
    <row r="613" spans="1:8" x14ac:dyDescent="0.25">
      <c r="A613" s="3" t="s">
        <v>1558</v>
      </c>
      <c r="B613" s="98"/>
      <c r="C613" s="98"/>
      <c r="D613" s="2"/>
      <c r="E613" s="39">
        <v>50</v>
      </c>
      <c r="F613" s="1"/>
    </row>
    <row r="614" spans="1:8" ht="16.5" thickBot="1" x14ac:dyDescent="0.3">
      <c r="A614" s="79" t="s">
        <v>525</v>
      </c>
      <c r="B614" s="99"/>
      <c r="C614" s="99"/>
      <c r="D614" s="70"/>
      <c r="E614" s="51" t="e">
        <f>SUM(E610:E613)</f>
        <v>#REF!</v>
      </c>
      <c r="F614" s="1"/>
    </row>
    <row r="615" spans="1:8" ht="18.75" x14ac:dyDescent="0.25">
      <c r="A615" s="80" t="s">
        <v>544</v>
      </c>
      <c r="B615" s="100"/>
      <c r="C615" s="100"/>
      <c r="D615" s="71"/>
      <c r="E615" s="51" t="e">
        <f>SUM(E611:E614)</f>
        <v>#REF!</v>
      </c>
      <c r="F615" s="75"/>
    </row>
    <row r="616" spans="1:8" ht="19.5" thickBot="1" x14ac:dyDescent="0.3">
      <c r="A616" s="81" t="s">
        <v>1559</v>
      </c>
      <c r="B616" s="101"/>
      <c r="C616" s="101"/>
      <c r="D616" s="73"/>
      <c r="E616" s="73"/>
      <c r="F616" s="74">
        <f>F615*2</f>
        <v>0</v>
      </c>
    </row>
    <row r="617" spans="1:8" ht="16.5" thickBot="1" x14ac:dyDescent="0.3"/>
    <row r="618" spans="1:8" ht="16.5" thickBot="1" x14ac:dyDescent="0.3">
      <c r="A618" s="1565"/>
      <c r="B618" s="1566"/>
      <c r="C618" s="1566"/>
      <c r="D618" s="1566"/>
      <c r="E618" s="1566"/>
      <c r="F618" s="1566"/>
      <c r="G618" s="1567"/>
      <c r="H618"/>
    </row>
    <row r="619" spans="1:8" x14ac:dyDescent="0.25">
      <c r="A619" s="183" t="s">
        <v>916</v>
      </c>
      <c r="B619" s="97" t="s">
        <v>743</v>
      </c>
      <c r="C619" s="97" t="s">
        <v>1716</v>
      </c>
      <c r="D619" s="97" t="s">
        <v>1607</v>
      </c>
      <c r="E619" s="97" t="s">
        <v>1566</v>
      </c>
      <c r="F619" s="76" t="s">
        <v>1035</v>
      </c>
      <c r="G619" s="77" t="s">
        <v>1549</v>
      </c>
      <c r="H619"/>
    </row>
    <row r="620" spans="1:8" x14ac:dyDescent="0.25">
      <c r="A620" s="185" t="s">
        <v>1374</v>
      </c>
      <c r="B620" s="98"/>
      <c r="C620" s="98">
        <v>0.39</v>
      </c>
      <c r="D620" s="98">
        <v>2.5000000000000001E-2</v>
      </c>
      <c r="E620" s="98">
        <v>8</v>
      </c>
      <c r="F620" s="102">
        <f>'PALAIS DU BIJOU'!N4</f>
        <v>170</v>
      </c>
      <c r="G620" s="39">
        <f>D620*F620/C620*E620</f>
        <v>87.179487179487182</v>
      </c>
      <c r="H620"/>
    </row>
    <row r="621" spans="1:8" x14ac:dyDescent="0.25">
      <c r="A621" s="184" t="s">
        <v>1581</v>
      </c>
      <c r="B621" s="98" t="s">
        <v>1717</v>
      </c>
      <c r="C621" s="98"/>
      <c r="D621" s="98"/>
      <c r="E621" s="98">
        <v>15</v>
      </c>
      <c r="F621" s="102">
        <f>PERLAS!F15</f>
        <v>124.52830188679245</v>
      </c>
      <c r="G621" s="39">
        <f t="shared" ref="G621:G626" si="9">F621*E621</f>
        <v>1867.9245283018868</v>
      </c>
      <c r="H621" s="1"/>
    </row>
    <row r="622" spans="1:8" x14ac:dyDescent="0.25">
      <c r="A622" s="1613" t="s">
        <v>1555</v>
      </c>
      <c r="B622" s="98" t="s">
        <v>1556</v>
      </c>
      <c r="C622" s="98"/>
      <c r="D622" s="98"/>
      <c r="E622" s="98">
        <v>2</v>
      </c>
      <c r="F622" s="102">
        <f>FORNITURAS!D4</f>
        <v>48.7</v>
      </c>
      <c r="G622" s="39">
        <f t="shared" si="9"/>
        <v>97.4</v>
      </c>
      <c r="H622" s="1"/>
    </row>
    <row r="623" spans="1:8" x14ac:dyDescent="0.25">
      <c r="A623" s="1615"/>
      <c r="B623" s="98" t="s">
        <v>1573</v>
      </c>
      <c r="C623" s="98"/>
      <c r="D623" s="98"/>
      <c r="E623" s="98">
        <v>1</v>
      </c>
      <c r="F623" s="102">
        <f>FORNITURAS!D7</f>
        <v>52</v>
      </c>
      <c r="G623" s="39">
        <f t="shared" si="9"/>
        <v>52</v>
      </c>
      <c r="H623" s="1"/>
    </row>
    <row r="624" spans="1:8" x14ac:dyDescent="0.25">
      <c r="A624" s="184" t="s">
        <v>1554</v>
      </c>
      <c r="B624" s="98" t="s">
        <v>777</v>
      </c>
      <c r="C624" s="98"/>
      <c r="D624" s="98"/>
      <c r="E624" s="98">
        <v>18</v>
      </c>
      <c r="F624" s="102">
        <f>FORNITURAS!D26</f>
        <v>297.14285714285717</v>
      </c>
      <c r="G624" s="39">
        <f t="shared" si="9"/>
        <v>5348.5714285714294</v>
      </c>
      <c r="H624" s="1"/>
    </row>
    <row r="625" spans="1:8" x14ac:dyDescent="0.25">
      <c r="A625" s="184" t="s">
        <v>1587</v>
      </c>
      <c r="B625" s="98"/>
      <c r="C625" s="98"/>
      <c r="D625" s="98"/>
      <c r="E625" s="98">
        <v>1</v>
      </c>
      <c r="F625" s="102">
        <f>FORNITURAS!D18</f>
        <v>363</v>
      </c>
      <c r="G625" s="39">
        <f t="shared" si="9"/>
        <v>363</v>
      </c>
      <c r="H625" s="1"/>
    </row>
    <row r="626" spans="1:8" x14ac:dyDescent="0.25">
      <c r="A626" s="184" t="s">
        <v>1012</v>
      </c>
      <c r="B626" s="98"/>
      <c r="C626" s="98"/>
      <c r="D626" s="98"/>
      <c r="E626" s="98">
        <v>2</v>
      </c>
      <c r="F626" s="102">
        <f>FORNITURAS!D17</f>
        <v>45.05</v>
      </c>
      <c r="G626" s="39">
        <f t="shared" si="9"/>
        <v>90.1</v>
      </c>
      <c r="H626" s="1"/>
    </row>
    <row r="627" spans="1:8" x14ac:dyDescent="0.25">
      <c r="A627" s="184" t="s">
        <v>1424</v>
      </c>
      <c r="B627" s="98"/>
      <c r="C627" s="98">
        <v>1</v>
      </c>
      <c r="D627" s="98">
        <v>0.47</v>
      </c>
      <c r="E627" s="98">
        <v>1</v>
      </c>
      <c r="F627" s="102">
        <f>'HILOS-CORDONES-TANZA-CUERO'!L9</f>
        <v>30</v>
      </c>
      <c r="G627" s="39">
        <f>(F627*D627/C627)*E627</f>
        <v>14.1</v>
      </c>
      <c r="H627" s="1"/>
    </row>
    <row r="628" spans="1:8" x14ac:dyDescent="0.25">
      <c r="A628" s="184" t="s">
        <v>1608</v>
      </c>
      <c r="B628" s="98"/>
      <c r="C628" s="98"/>
      <c r="D628" s="98">
        <v>0.1</v>
      </c>
      <c r="E628" s="98">
        <v>1</v>
      </c>
      <c r="F628" s="102">
        <f>'AROS, CADENAS, DIJES, ETC'!I38</f>
        <v>3630</v>
      </c>
      <c r="G628" s="39">
        <f>F628*D628*E628</f>
        <v>363</v>
      </c>
      <c r="H628" s="1"/>
    </row>
    <row r="629" spans="1:8" x14ac:dyDescent="0.25">
      <c r="A629" s="3" t="s">
        <v>1557</v>
      </c>
      <c r="B629" s="98"/>
      <c r="C629" s="98"/>
      <c r="D629" s="98"/>
      <c r="E629" s="98"/>
      <c r="F629" s="2"/>
      <c r="G629" s="39">
        <f>PACKAGING!E4</f>
        <v>80</v>
      </c>
      <c r="H629" s="1"/>
    </row>
    <row r="630" spans="1:8" x14ac:dyDescent="0.25">
      <c r="A630" s="104" t="s">
        <v>1634</v>
      </c>
      <c r="B630" s="98"/>
      <c r="C630" s="98"/>
      <c r="D630" s="98"/>
      <c r="E630" s="98"/>
      <c r="F630" s="2"/>
      <c r="G630" s="39">
        <f>PACKAGING!E7</f>
        <v>170</v>
      </c>
      <c r="H630" s="1"/>
    </row>
    <row r="631" spans="1:8" x14ac:dyDescent="0.25">
      <c r="A631" s="104" t="s">
        <v>1538</v>
      </c>
      <c r="B631" s="98"/>
      <c r="C631" s="98"/>
      <c r="D631" s="98"/>
      <c r="E631" s="98"/>
      <c r="F631" s="2"/>
      <c r="G631" s="39">
        <f>PACKAGING!E9</f>
        <v>450</v>
      </c>
      <c r="H631" s="1"/>
    </row>
    <row r="632" spans="1:8" x14ac:dyDescent="0.25">
      <c r="A632" s="104" t="s">
        <v>1558</v>
      </c>
      <c r="B632" s="98"/>
      <c r="C632" s="98"/>
      <c r="D632" s="98"/>
      <c r="E632" s="98"/>
      <c r="F632" s="2"/>
      <c r="G632" s="39">
        <v>80</v>
      </c>
      <c r="H632" s="1"/>
    </row>
    <row r="633" spans="1:8" ht="16.5" thickBot="1" x14ac:dyDescent="0.3">
      <c r="A633" s="79" t="s">
        <v>525</v>
      </c>
      <c r="B633" s="99"/>
      <c r="C633" s="99"/>
      <c r="D633" s="99"/>
      <c r="E633" s="99"/>
      <c r="F633" s="70"/>
      <c r="G633" s="51">
        <f>SUM(G620:G632)</f>
        <v>9063.2754440528042</v>
      </c>
      <c r="H633" s="1"/>
    </row>
    <row r="634" spans="1:8" ht="18.75" x14ac:dyDescent="0.25">
      <c r="A634" s="80" t="s">
        <v>544</v>
      </c>
      <c r="B634" s="100"/>
      <c r="C634" s="100"/>
      <c r="D634" s="100"/>
      <c r="E634" s="100"/>
      <c r="F634" s="71"/>
      <c r="G634" s="221">
        <f>G633*2</f>
        <v>18126.550888105608</v>
      </c>
      <c r="H634" s="75">
        <v>1620</v>
      </c>
    </row>
    <row r="635" spans="1:8" ht="19.5" thickBot="1" x14ac:dyDescent="0.3">
      <c r="A635" s="211" t="s">
        <v>1559</v>
      </c>
      <c r="B635" s="214"/>
      <c r="C635" s="214"/>
      <c r="D635" s="214"/>
      <c r="E635" s="214"/>
      <c r="F635" s="212"/>
      <c r="G635" s="372"/>
      <c r="H635" s="371">
        <f>H634*2</f>
        <v>3240</v>
      </c>
    </row>
    <row r="636" spans="1:8" ht="16.5" thickBot="1" x14ac:dyDescent="0.3"/>
    <row r="637" spans="1:8" ht="16.5" thickBot="1" x14ac:dyDescent="0.3">
      <c r="A637" s="1565" t="s">
        <v>1718</v>
      </c>
      <c r="B637" s="1566"/>
      <c r="C637" s="1566"/>
      <c r="D637" s="1566"/>
      <c r="E637" s="1566"/>
      <c r="F637" s="1567"/>
      <c r="G637"/>
    </row>
    <row r="638" spans="1:8" x14ac:dyDescent="0.25">
      <c r="A638" s="183" t="s">
        <v>916</v>
      </c>
      <c r="B638" s="97" t="s">
        <v>742</v>
      </c>
      <c r="C638" s="97" t="s">
        <v>1607</v>
      </c>
      <c r="D638" s="97" t="s">
        <v>1566</v>
      </c>
      <c r="E638" s="76" t="s">
        <v>1035</v>
      </c>
      <c r="F638" s="77" t="s">
        <v>1549</v>
      </c>
      <c r="G638" s="1"/>
    </row>
    <row r="639" spans="1:8" x14ac:dyDescent="0.25">
      <c r="A639" s="3" t="s">
        <v>1224</v>
      </c>
      <c r="B639" s="98"/>
      <c r="C639" s="98">
        <v>0.55000000000000004</v>
      </c>
      <c r="D639" s="98">
        <v>1</v>
      </c>
      <c r="E639" s="102">
        <f>'HILOS-CORDONES-TANZA-CUERO'!E5</f>
        <v>50.35</v>
      </c>
      <c r="F639" s="39">
        <f>C639*D639*E639</f>
        <v>27.692500000000003</v>
      </c>
      <c r="G639" s="1"/>
    </row>
    <row r="640" spans="1:8" x14ac:dyDescent="0.25">
      <c r="A640" s="1701" t="s">
        <v>1662</v>
      </c>
      <c r="B640" s="98" t="s">
        <v>1407</v>
      </c>
      <c r="C640" s="98"/>
      <c r="D640" s="98">
        <v>32</v>
      </c>
      <c r="E640" s="102">
        <f>'PALAIS DU BIJOU'!M24</f>
        <v>0.55000000000000004</v>
      </c>
      <c r="F640" s="39">
        <f t="shared" ref="F640:F645" si="10">E640*D640</f>
        <v>17.600000000000001</v>
      </c>
      <c r="G640" s="1"/>
    </row>
    <row r="641" spans="1:7" x14ac:dyDescent="0.25">
      <c r="A641" s="1702"/>
      <c r="B641" s="98" t="s">
        <v>1409</v>
      </c>
      <c r="C641" s="98"/>
      <c r="D641" s="98">
        <v>8</v>
      </c>
      <c r="E641" s="102">
        <f>'PALAIS DU BIJOU'!M25</f>
        <v>0.62142857142857144</v>
      </c>
      <c r="F641" s="39">
        <f t="shared" si="10"/>
        <v>4.9714285714285715</v>
      </c>
      <c r="G641" s="1"/>
    </row>
    <row r="642" spans="1:7" x14ac:dyDescent="0.25">
      <c r="A642" s="184" t="s">
        <v>1719</v>
      </c>
      <c r="B642" s="98" t="s">
        <v>781</v>
      </c>
      <c r="C642" s="98"/>
      <c r="D642" s="98">
        <v>3</v>
      </c>
      <c r="E642" s="102">
        <f>'INSUMOS VARIOS'!L13</f>
        <v>12.708333333333334</v>
      </c>
      <c r="F642" s="39">
        <f t="shared" si="10"/>
        <v>38.125</v>
      </c>
      <c r="G642" s="1"/>
    </row>
    <row r="643" spans="1:7" x14ac:dyDescent="0.25">
      <c r="A643" s="184" t="s">
        <v>1720</v>
      </c>
      <c r="B643" s="98" t="s">
        <v>781</v>
      </c>
      <c r="C643" s="98"/>
      <c r="D643" s="98">
        <v>10</v>
      </c>
      <c r="E643" s="102">
        <f>VIDRIOS!E46</f>
        <v>3.8571428571428572</v>
      </c>
      <c r="F643" s="39">
        <f t="shared" si="10"/>
        <v>38.571428571428569</v>
      </c>
      <c r="G643" s="1"/>
    </row>
    <row r="644" spans="1:7" x14ac:dyDescent="0.25">
      <c r="A644" s="184" t="s">
        <v>1616</v>
      </c>
      <c r="B644" s="98"/>
      <c r="C644" s="98"/>
      <c r="D644" s="98">
        <v>6</v>
      </c>
      <c r="E644" s="102" t="e">
        <f>#REF!</f>
        <v>#REF!</v>
      </c>
      <c r="F644" s="39" t="e">
        <f t="shared" si="10"/>
        <v>#REF!</v>
      </c>
      <c r="G644" s="1"/>
    </row>
    <row r="645" spans="1:7" x14ac:dyDescent="0.25">
      <c r="A645" s="184" t="s">
        <v>1676</v>
      </c>
      <c r="B645" s="2" t="s">
        <v>1392</v>
      </c>
      <c r="C645" s="98"/>
      <c r="D645" s="98">
        <v>5</v>
      </c>
      <c r="E645" s="102">
        <f>'PALAIS DU BIJOU'!L12</f>
        <v>1</v>
      </c>
      <c r="F645" s="39">
        <f t="shared" si="10"/>
        <v>5</v>
      </c>
      <c r="G645" s="1"/>
    </row>
    <row r="646" spans="1:7" x14ac:dyDescent="0.25">
      <c r="A646" s="184" t="s">
        <v>1721</v>
      </c>
      <c r="B646" s="98"/>
      <c r="C646" s="98"/>
      <c r="D646" s="98"/>
      <c r="E646" s="102"/>
      <c r="F646" s="39">
        <f>PACKAGING!E7</f>
        <v>170</v>
      </c>
      <c r="G646" s="1"/>
    </row>
    <row r="647" spans="1:7" x14ac:dyDescent="0.25">
      <c r="A647" s="184" t="s">
        <v>1557</v>
      </c>
      <c r="B647" s="98"/>
      <c r="C647" s="98"/>
      <c r="D647" s="98"/>
      <c r="E647" s="102"/>
      <c r="F647" s="39">
        <f>PACKAGING!E4</f>
        <v>80</v>
      </c>
      <c r="G647" s="1"/>
    </row>
    <row r="648" spans="1:7" x14ac:dyDescent="0.25">
      <c r="A648" s="3" t="s">
        <v>1558</v>
      </c>
      <c r="B648" s="98"/>
      <c r="C648" s="98"/>
      <c r="D648" s="98"/>
      <c r="E648" s="2"/>
      <c r="F648" s="39">
        <v>90</v>
      </c>
      <c r="G648" s="1"/>
    </row>
    <row r="649" spans="1:7" ht="16.5" thickBot="1" x14ac:dyDescent="0.3">
      <c r="A649" s="79" t="s">
        <v>525</v>
      </c>
      <c r="B649" s="99"/>
      <c r="C649" s="99"/>
      <c r="D649" s="99"/>
      <c r="E649" s="70"/>
      <c r="F649" s="51" t="e">
        <f>SUM(F639:F648)</f>
        <v>#REF!</v>
      </c>
      <c r="G649" s="1"/>
    </row>
    <row r="650" spans="1:7" ht="18.75" x14ac:dyDescent="0.25">
      <c r="A650" s="80" t="s">
        <v>544</v>
      </c>
      <c r="B650" s="100"/>
      <c r="C650" s="100"/>
      <c r="D650" s="100"/>
      <c r="E650" s="71"/>
      <c r="F650" s="72" t="e">
        <f>F649*2</f>
        <v>#REF!</v>
      </c>
      <c r="G650" s="75">
        <v>560</v>
      </c>
    </row>
    <row r="651" spans="1:7" ht="19.5" thickBot="1" x14ac:dyDescent="0.3">
      <c r="A651" s="81" t="s">
        <v>1559</v>
      </c>
      <c r="B651" s="101"/>
      <c r="C651" s="101"/>
      <c r="D651" s="101"/>
      <c r="E651" s="73"/>
      <c r="F651" s="73"/>
      <c r="G651" s="74">
        <f>G650*2</f>
        <v>1120</v>
      </c>
    </row>
    <row r="652" spans="1:7" ht="16.5" thickBot="1" x14ac:dyDescent="0.3"/>
    <row r="653" spans="1:7" ht="16.5" thickBot="1" x14ac:dyDescent="0.3">
      <c r="A653" s="1565" t="s">
        <v>1722</v>
      </c>
      <c r="B653" s="1566"/>
      <c r="C653" s="1566"/>
      <c r="D653" s="1566"/>
      <c r="E653" s="1567"/>
      <c r="F653"/>
    </row>
    <row r="654" spans="1:7" x14ac:dyDescent="0.25">
      <c r="A654" s="183" t="s">
        <v>916</v>
      </c>
      <c r="B654" s="97" t="s">
        <v>743</v>
      </c>
      <c r="C654" s="97" t="s">
        <v>1566</v>
      </c>
      <c r="D654" s="76" t="s">
        <v>1035</v>
      </c>
      <c r="E654" s="77" t="s">
        <v>1549</v>
      </c>
      <c r="F654" s="1"/>
    </row>
    <row r="655" spans="1:7" x14ac:dyDescent="0.25">
      <c r="A655" s="185" t="s">
        <v>1153</v>
      </c>
      <c r="B655" s="98"/>
      <c r="C655" s="98">
        <v>71</v>
      </c>
      <c r="D655" s="102">
        <f>'INSUMOS VARIOS'!E59</f>
        <v>6.3</v>
      </c>
      <c r="E655" s="39">
        <f>D655*C655</f>
        <v>447.3</v>
      </c>
      <c r="F655" s="1"/>
    </row>
    <row r="656" spans="1:7" x14ac:dyDescent="0.25">
      <c r="A656" s="184" t="s">
        <v>1160</v>
      </c>
      <c r="B656" s="98"/>
      <c r="C656" s="98">
        <v>110</v>
      </c>
      <c r="D656" s="102">
        <f>'INSUMOS VARIOS'!E57</f>
        <v>16.210526315789473</v>
      </c>
      <c r="E656" s="39">
        <f>D656*C656</f>
        <v>1783.1578947368421</v>
      </c>
      <c r="F656" s="1"/>
    </row>
    <row r="657" spans="1:6" x14ac:dyDescent="0.25">
      <c r="A657" s="3" t="s">
        <v>1224</v>
      </c>
      <c r="B657" s="98"/>
      <c r="C657" s="98">
        <v>5</v>
      </c>
      <c r="D657" s="102" t="e">
        <f>'HILOS-CORDONES-TANZA-CUERO'!#REF!</f>
        <v>#REF!</v>
      </c>
      <c r="E657" s="39" t="e">
        <f>D657*C657</f>
        <v>#REF!</v>
      </c>
      <c r="F657" s="1"/>
    </row>
    <row r="658" spans="1:6" x14ac:dyDescent="0.25">
      <c r="A658" s="3" t="s">
        <v>1723</v>
      </c>
      <c r="B658" s="98"/>
      <c r="C658" s="98">
        <v>2</v>
      </c>
      <c r="D658" s="102">
        <f>'HILOS-CORDONES-TANZA-CUERO'!L3</f>
        <v>6.8</v>
      </c>
      <c r="E658" s="39">
        <f>D658*C658</f>
        <v>13.6</v>
      </c>
      <c r="F658" s="1"/>
    </row>
    <row r="659" spans="1:6" x14ac:dyDescent="0.25">
      <c r="A659" s="104" t="s">
        <v>1557</v>
      </c>
      <c r="B659" s="98"/>
      <c r="C659" s="98"/>
      <c r="D659" s="2"/>
      <c r="E659" s="39">
        <f>PACKAGING!E4</f>
        <v>80</v>
      </c>
      <c r="F659" s="1"/>
    </row>
    <row r="660" spans="1:6" x14ac:dyDescent="0.25">
      <c r="A660" s="104" t="s">
        <v>1558</v>
      </c>
      <c r="B660" s="98"/>
      <c r="C660" s="98"/>
      <c r="D660" s="2"/>
      <c r="E660" s="39">
        <v>1500</v>
      </c>
      <c r="F660" s="1"/>
    </row>
    <row r="661" spans="1:6" ht="16.5" thickBot="1" x14ac:dyDescent="0.3">
      <c r="A661" s="79" t="s">
        <v>525</v>
      </c>
      <c r="B661" s="99"/>
      <c r="C661" s="99"/>
      <c r="D661" s="70"/>
      <c r="E661" s="51" t="e">
        <f>SUM(E655:E660)</f>
        <v>#REF!</v>
      </c>
      <c r="F661" s="1"/>
    </row>
    <row r="662" spans="1:6" ht="18.75" x14ac:dyDescent="0.25">
      <c r="A662" s="80" t="s">
        <v>544</v>
      </c>
      <c r="B662" s="100"/>
      <c r="C662" s="100"/>
      <c r="D662" s="71"/>
      <c r="E662" s="72" t="e">
        <f>E661*2</f>
        <v>#REF!</v>
      </c>
      <c r="F662" s="75"/>
    </row>
    <row r="663" spans="1:6" ht="19.5" thickBot="1" x14ac:dyDescent="0.3">
      <c r="A663" s="81" t="s">
        <v>1559</v>
      </c>
      <c r="B663" s="101"/>
      <c r="C663" s="101"/>
      <c r="D663" s="73"/>
      <c r="E663" s="73"/>
      <c r="F663" s="74">
        <v>7200</v>
      </c>
    </row>
    <row r="665" spans="1:6" ht="16.5" thickBot="1" x14ac:dyDescent="0.3">
      <c r="A665" s="1602" t="s">
        <v>276</v>
      </c>
      <c r="B665" s="1600"/>
      <c r="C665" s="1600"/>
      <c r="D665" s="1600"/>
      <c r="E665"/>
    </row>
    <row r="666" spans="1:6" x14ac:dyDescent="0.25">
      <c r="A666" s="78" t="s">
        <v>916</v>
      </c>
      <c r="B666" s="97" t="s">
        <v>743</v>
      </c>
      <c r="C666" s="76" t="s">
        <v>932</v>
      </c>
      <c r="D666" s="77" t="s">
        <v>1549</v>
      </c>
      <c r="E666" s="1"/>
    </row>
    <row r="667" spans="1:6" x14ac:dyDescent="0.25">
      <c r="A667" s="3" t="s">
        <v>908</v>
      </c>
      <c r="B667" s="98" t="s">
        <v>950</v>
      </c>
      <c r="C667" s="2"/>
      <c r="D667" s="39" t="e">
        <f>'AROS, CADENAS, DIJES, ETC'!#REF!</f>
        <v>#REF!</v>
      </c>
      <c r="E667" s="1"/>
    </row>
    <row r="668" spans="1:6" x14ac:dyDescent="0.25">
      <c r="A668" s="104" t="s">
        <v>1557</v>
      </c>
      <c r="B668" s="98" t="s">
        <v>1535</v>
      </c>
      <c r="C668" s="2"/>
      <c r="D668" s="39">
        <f>PACKAGING!E4</f>
        <v>80</v>
      </c>
      <c r="E668" s="1"/>
    </row>
    <row r="669" spans="1:6" x14ac:dyDescent="0.25">
      <c r="A669" s="3" t="s">
        <v>1537</v>
      </c>
      <c r="B669" s="98"/>
      <c r="C669" s="2"/>
      <c r="D669" s="39">
        <f>PACKAGING!E7</f>
        <v>170</v>
      </c>
      <c r="E669" s="1"/>
    </row>
    <row r="670" spans="1:6" x14ac:dyDescent="0.25">
      <c r="A670" s="3" t="s">
        <v>1538</v>
      </c>
      <c r="B670" s="98"/>
      <c r="C670" s="2"/>
      <c r="D670" s="39">
        <f>PACKAGING!E8</f>
        <v>420</v>
      </c>
      <c r="E670" s="1"/>
    </row>
    <row r="671" spans="1:6" x14ac:dyDescent="0.25">
      <c r="A671" s="3" t="s">
        <v>1618</v>
      </c>
      <c r="B671" s="98"/>
      <c r="C671" s="2"/>
      <c r="D671" s="39">
        <v>25</v>
      </c>
      <c r="E671" s="1"/>
    </row>
    <row r="672" spans="1:6" ht="16.5" thickBot="1" x14ac:dyDescent="0.3">
      <c r="A672" s="79" t="s">
        <v>525</v>
      </c>
      <c r="B672" s="99"/>
      <c r="C672" s="70"/>
      <c r="D672" s="51" t="e">
        <f>SUM(D667:D671)</f>
        <v>#REF!</v>
      </c>
      <c r="E672" s="1"/>
    </row>
    <row r="673" spans="1:7" ht="18.75" x14ac:dyDescent="0.25">
      <c r="A673" s="80" t="s">
        <v>544</v>
      </c>
      <c r="B673" s="100"/>
      <c r="C673" s="71"/>
      <c r="D673" s="72" t="e">
        <f>D672*2</f>
        <v>#REF!</v>
      </c>
      <c r="E673" s="75">
        <v>1870</v>
      </c>
    </row>
    <row r="674" spans="1:7" ht="19.5" thickBot="1" x14ac:dyDescent="0.3">
      <c r="A674" s="81" t="s">
        <v>1559</v>
      </c>
      <c r="B674" s="101"/>
      <c r="C674" s="73"/>
      <c r="D674" s="73"/>
      <c r="E674" s="74">
        <f>E673*2</f>
        <v>3740</v>
      </c>
    </row>
    <row r="676" spans="1:7" ht="16.5" thickBot="1" x14ac:dyDescent="0.3">
      <c r="A676" s="1602" t="s">
        <v>1724</v>
      </c>
      <c r="B676" s="1600"/>
      <c r="C676" s="1600"/>
      <c r="D676" s="1600"/>
      <c r="E676" s="1600"/>
      <c r="F676"/>
      <c r="G676"/>
    </row>
    <row r="677" spans="1:7" x14ac:dyDescent="0.25">
      <c r="A677" s="78" t="s">
        <v>916</v>
      </c>
      <c r="B677" s="97" t="s">
        <v>742</v>
      </c>
      <c r="C677" s="97" t="s">
        <v>1566</v>
      </c>
      <c r="D677" s="76" t="s">
        <v>1035</v>
      </c>
      <c r="E677" s="77" t="s">
        <v>1549</v>
      </c>
      <c r="F677" s="1"/>
      <c r="G677"/>
    </row>
    <row r="678" spans="1:7" x14ac:dyDescent="0.25">
      <c r="A678" s="3" t="s">
        <v>990</v>
      </c>
      <c r="B678" s="98" t="s">
        <v>950</v>
      </c>
      <c r="C678" s="98">
        <v>1</v>
      </c>
      <c r="D678" s="102">
        <f>'AROS, CADENAS, DIJES, ETC'!I23</f>
        <v>1100</v>
      </c>
      <c r="E678" s="39">
        <f>C678*D678</f>
        <v>1100</v>
      </c>
      <c r="F678" s="1"/>
      <c r="G678"/>
    </row>
    <row r="679" spans="1:7" x14ac:dyDescent="0.25">
      <c r="A679" s="184" t="s">
        <v>851</v>
      </c>
      <c r="B679" s="98"/>
      <c r="C679" s="98">
        <v>1</v>
      </c>
      <c r="D679" s="102">
        <f>'AROS, CADENAS, DIJES, ETC'!O45</f>
        <v>333</v>
      </c>
      <c r="E679" s="39">
        <f>C679*D679</f>
        <v>333</v>
      </c>
      <c r="F679" s="1"/>
      <c r="G679"/>
    </row>
    <row r="680" spans="1:7" x14ac:dyDescent="0.25">
      <c r="A680" s="1705" t="s">
        <v>1555</v>
      </c>
      <c r="B680" s="98" t="s">
        <v>1556</v>
      </c>
      <c r="C680" s="98">
        <v>1</v>
      </c>
      <c r="D680" s="102">
        <f>FORNITURAS!D4</f>
        <v>48.7</v>
      </c>
      <c r="E680" s="39">
        <f>D680*C680</f>
        <v>48.7</v>
      </c>
      <c r="F680" s="1"/>
      <c r="G680"/>
    </row>
    <row r="681" spans="1:7" x14ac:dyDescent="0.25">
      <c r="A681" s="1706"/>
      <c r="B681" s="98" t="s">
        <v>1573</v>
      </c>
      <c r="C681" s="98">
        <v>1</v>
      </c>
      <c r="D681" s="102">
        <f>FORNITURAS!D7</f>
        <v>52</v>
      </c>
      <c r="E681" s="39">
        <f>D681*C681</f>
        <v>52</v>
      </c>
      <c r="F681" s="1"/>
      <c r="G681"/>
    </row>
    <row r="682" spans="1:7" x14ac:dyDescent="0.25">
      <c r="A682" s="184" t="s">
        <v>1588</v>
      </c>
      <c r="B682" s="98"/>
      <c r="C682" s="98"/>
      <c r="D682" s="102"/>
      <c r="E682" s="39">
        <f>PACKAGING!E4</f>
        <v>80</v>
      </c>
      <c r="F682" s="1"/>
      <c r="G682"/>
    </row>
    <row r="683" spans="1:7" x14ac:dyDescent="0.25">
      <c r="A683" s="3" t="s">
        <v>1537</v>
      </c>
      <c r="B683" s="98"/>
      <c r="C683" s="98"/>
      <c r="D683" s="2"/>
      <c r="E683" s="39">
        <f>PACKAGING!E7</f>
        <v>170</v>
      </c>
      <c r="F683" s="1"/>
      <c r="G683"/>
    </row>
    <row r="684" spans="1:7" x14ac:dyDescent="0.25">
      <c r="A684" s="3" t="s">
        <v>1538</v>
      </c>
      <c r="B684" s="98"/>
      <c r="C684" s="98"/>
      <c r="D684" s="2"/>
      <c r="E684" s="39">
        <f>PACKAGING!E8</f>
        <v>420</v>
      </c>
      <c r="F684" s="1"/>
      <c r="G684"/>
    </row>
    <row r="685" spans="1:7" x14ac:dyDescent="0.25">
      <c r="A685" s="3" t="s">
        <v>1618</v>
      </c>
      <c r="B685" s="98"/>
      <c r="C685" s="98"/>
      <c r="D685" s="2"/>
      <c r="E685" s="39">
        <v>25</v>
      </c>
      <c r="F685" s="1"/>
      <c r="G685"/>
    </row>
    <row r="686" spans="1:7" ht="16.5" thickBot="1" x14ac:dyDescent="0.3">
      <c r="A686" s="79" t="s">
        <v>525</v>
      </c>
      <c r="B686" s="99"/>
      <c r="C686" s="99"/>
      <c r="D686" s="70"/>
      <c r="E686" s="51">
        <f>SUM(E678:E685)</f>
        <v>2228.6999999999998</v>
      </c>
      <c r="F686"/>
      <c r="G686" s="422" t="s">
        <v>1725</v>
      </c>
    </row>
    <row r="687" spans="1:7" ht="18.75" x14ac:dyDescent="0.25">
      <c r="A687" s="80" t="s">
        <v>544</v>
      </c>
      <c r="B687" s="100"/>
      <c r="C687" s="100"/>
      <c r="D687" s="71"/>
      <c r="E687" s="221">
        <f>E686*2</f>
        <v>4457.3999999999996</v>
      </c>
      <c r="F687" s="336">
        <v>770</v>
      </c>
      <c r="G687" s="423">
        <v>830</v>
      </c>
    </row>
    <row r="688" spans="1:7" ht="19.5" thickBot="1" x14ac:dyDescent="0.3">
      <c r="A688" s="81" t="s">
        <v>1559</v>
      </c>
      <c r="B688" s="101"/>
      <c r="C688" s="101"/>
      <c r="D688" s="73"/>
      <c r="E688" s="222"/>
      <c r="F688" s="337"/>
      <c r="G688"/>
    </row>
    <row r="690" spans="1:7" ht="16.5" thickBot="1" x14ac:dyDescent="0.3">
      <c r="A690" s="1602" t="s">
        <v>1724</v>
      </c>
      <c r="B690" s="1600"/>
      <c r="C690" s="1600"/>
      <c r="D690" s="1600"/>
      <c r="E690" s="1600"/>
      <c r="F690"/>
      <c r="G690"/>
    </row>
    <row r="691" spans="1:7" x14ac:dyDescent="0.25">
      <c r="A691" s="78" t="s">
        <v>916</v>
      </c>
      <c r="B691" s="97" t="s">
        <v>742</v>
      </c>
      <c r="C691" s="97" t="s">
        <v>1566</v>
      </c>
      <c r="D691" s="76" t="s">
        <v>1035</v>
      </c>
      <c r="E691" s="77" t="s">
        <v>1549</v>
      </c>
      <c r="F691" s="1"/>
      <c r="G691"/>
    </row>
    <row r="692" spans="1:7" x14ac:dyDescent="0.25">
      <c r="A692" s="3" t="s">
        <v>1608</v>
      </c>
      <c r="B692" s="98" t="s">
        <v>950</v>
      </c>
      <c r="C692" s="98">
        <v>0.1</v>
      </c>
      <c r="D692" s="102">
        <f>'AROS, CADENAS, DIJES, ETC'!I38</f>
        <v>3630</v>
      </c>
      <c r="E692" s="39">
        <f>C692*D692</f>
        <v>363</v>
      </c>
      <c r="F692" s="1"/>
      <c r="G692"/>
    </row>
    <row r="693" spans="1:7" x14ac:dyDescent="0.25">
      <c r="A693" s="184" t="s">
        <v>1587</v>
      </c>
      <c r="B693" s="98"/>
      <c r="C693" s="98">
        <v>1</v>
      </c>
      <c r="D693" s="102">
        <f>FORNITURAS!D18</f>
        <v>363</v>
      </c>
      <c r="E693" s="39">
        <f>C693*D693</f>
        <v>363</v>
      </c>
      <c r="F693" s="1"/>
      <c r="G693"/>
    </row>
    <row r="694" spans="1:7" x14ac:dyDescent="0.25">
      <c r="A694" s="24" t="s">
        <v>1012</v>
      </c>
      <c r="B694" s="98"/>
      <c r="C694" s="98">
        <v>2</v>
      </c>
      <c r="D694" s="102">
        <f>FORNITURAS!D17</f>
        <v>45.05</v>
      </c>
      <c r="E694" s="39">
        <f>C694*D694</f>
        <v>90.1</v>
      </c>
      <c r="F694" s="1"/>
      <c r="G694"/>
    </row>
    <row r="695" spans="1:7" x14ac:dyDescent="0.25">
      <c r="A695" s="24" t="s">
        <v>1554</v>
      </c>
      <c r="B695" s="98"/>
      <c r="C695" s="98">
        <v>2</v>
      </c>
      <c r="D695" s="102">
        <f>FORNITURAS!D26</f>
        <v>297.14285714285717</v>
      </c>
      <c r="E695" s="39">
        <f>C695*D695</f>
        <v>594.28571428571433</v>
      </c>
      <c r="F695" s="1"/>
      <c r="G695"/>
    </row>
    <row r="696" spans="1:7" x14ac:dyDescent="0.25">
      <c r="A696" s="334" t="s">
        <v>1555</v>
      </c>
      <c r="B696" s="98" t="s">
        <v>1556</v>
      </c>
      <c r="C696" s="98">
        <v>2</v>
      </c>
      <c r="D696" s="102">
        <f>FORNITURAS!D4</f>
        <v>48.7</v>
      </c>
      <c r="E696" s="39">
        <f>D696*C696</f>
        <v>97.4</v>
      </c>
      <c r="F696" s="1"/>
      <c r="G696"/>
    </row>
    <row r="697" spans="1:7" x14ac:dyDescent="0.25">
      <c r="A697" s="3" t="s">
        <v>1537</v>
      </c>
      <c r="B697" s="98"/>
      <c r="C697" s="98"/>
      <c r="D697" s="2"/>
      <c r="E697" s="39">
        <f>PACKAGING!E27</f>
        <v>0</v>
      </c>
      <c r="F697" s="1"/>
      <c r="G697"/>
    </row>
    <row r="698" spans="1:7" x14ac:dyDescent="0.25">
      <c r="A698" s="3" t="s">
        <v>1618</v>
      </c>
      <c r="B698" s="98"/>
      <c r="C698" s="98"/>
      <c r="D698" s="2"/>
      <c r="E698" s="39"/>
      <c r="F698" s="1"/>
      <c r="G698"/>
    </row>
    <row r="699" spans="1:7" ht="16.5" thickBot="1" x14ac:dyDescent="0.3">
      <c r="A699" s="79" t="s">
        <v>525</v>
      </c>
      <c r="B699" s="99"/>
      <c r="C699" s="99"/>
      <c r="D699" s="70"/>
      <c r="E699" s="51">
        <f>SUM(E692:E698)</f>
        <v>1507.7857142857144</v>
      </c>
      <c r="F699"/>
      <c r="G699" s="422" t="s">
        <v>1725</v>
      </c>
    </row>
    <row r="700" spans="1:7" ht="18.75" x14ac:dyDescent="0.25">
      <c r="A700" s="80" t="s">
        <v>544</v>
      </c>
      <c r="B700" s="100"/>
      <c r="C700" s="100"/>
      <c r="D700" s="71"/>
      <c r="E700" s="221">
        <f>E699*2</f>
        <v>3015.5714285714289</v>
      </c>
      <c r="F700" s="336">
        <v>770</v>
      </c>
      <c r="G700" s="423">
        <v>830</v>
      </c>
    </row>
    <row r="701" spans="1:7" ht="19.5" thickBot="1" x14ac:dyDescent="0.3">
      <c r="A701" s="81" t="s">
        <v>1559</v>
      </c>
      <c r="B701" s="101"/>
      <c r="C701" s="101"/>
      <c r="D701" s="73"/>
      <c r="E701" s="222"/>
      <c r="F701" s="337"/>
      <c r="G701"/>
    </row>
    <row r="702" spans="1:7" ht="16.5" thickBot="1" x14ac:dyDescent="0.3"/>
    <row r="703" spans="1:7" ht="16.5" thickBot="1" x14ac:dyDescent="0.3">
      <c r="A703" s="1565" t="s">
        <v>1726</v>
      </c>
      <c r="B703" s="1566"/>
      <c r="C703" s="1566"/>
      <c r="D703" s="1566"/>
      <c r="E703" s="1566"/>
      <c r="F703" s="1567"/>
      <c r="G703"/>
    </row>
    <row r="704" spans="1:7" x14ac:dyDescent="0.25">
      <c r="A704" s="183" t="s">
        <v>916</v>
      </c>
      <c r="B704" s="97" t="s">
        <v>742</v>
      </c>
      <c r="C704" s="97" t="s">
        <v>1607</v>
      </c>
      <c r="D704" s="97" t="s">
        <v>1566</v>
      </c>
      <c r="E704" s="76" t="s">
        <v>1035</v>
      </c>
      <c r="F704" s="77" t="s">
        <v>1549</v>
      </c>
      <c r="G704" s="1"/>
    </row>
    <row r="705" spans="1:7" x14ac:dyDescent="0.25">
      <c r="A705" s="3" t="s">
        <v>1224</v>
      </c>
      <c r="B705" s="98"/>
      <c r="C705" s="98">
        <v>0.7</v>
      </c>
      <c r="D705" s="98">
        <v>1</v>
      </c>
      <c r="E705" s="102" t="e">
        <f>'HILOS-CORDONES-TANZA-CUERO'!#REF!</f>
        <v>#REF!</v>
      </c>
      <c r="F705" s="39" t="e">
        <f>C705*D705*E705</f>
        <v>#REF!</v>
      </c>
      <c r="G705" s="1"/>
    </row>
    <row r="706" spans="1:7" x14ac:dyDescent="0.25">
      <c r="A706" s="184" t="s">
        <v>1554</v>
      </c>
      <c r="B706" s="98"/>
      <c r="C706" s="98"/>
      <c r="D706" s="98">
        <v>1</v>
      </c>
      <c r="E706" s="102">
        <f>FORNITURAS!D26</f>
        <v>297.14285714285717</v>
      </c>
      <c r="F706" s="39">
        <f>E706*D706</f>
        <v>297.14285714285717</v>
      </c>
      <c r="G706" s="1"/>
    </row>
    <row r="707" spans="1:7" x14ac:dyDescent="0.25">
      <c r="A707" s="3" t="s">
        <v>1558</v>
      </c>
      <c r="B707" s="98"/>
      <c r="C707" s="98"/>
      <c r="D707" s="98"/>
      <c r="E707" s="2"/>
      <c r="F707" s="39">
        <v>50</v>
      </c>
      <c r="G707" s="1"/>
    </row>
    <row r="708" spans="1:7" ht="16.5" thickBot="1" x14ac:dyDescent="0.3">
      <c r="A708" s="79" t="s">
        <v>525</v>
      </c>
      <c r="B708" s="99"/>
      <c r="C708" s="99"/>
      <c r="D708" s="99"/>
      <c r="E708" s="70"/>
      <c r="F708" s="51" t="e">
        <f>SUM(F705:F707)</f>
        <v>#REF!</v>
      </c>
      <c r="G708" s="1"/>
    </row>
    <row r="709" spans="1:7" ht="18.75" x14ac:dyDescent="0.25">
      <c r="A709" s="80" t="s">
        <v>544</v>
      </c>
      <c r="B709" s="100"/>
      <c r="C709" s="100"/>
      <c r="D709" s="100"/>
      <c r="E709" s="71"/>
      <c r="F709" s="72" t="e">
        <f>F708*2</f>
        <v>#REF!</v>
      </c>
      <c r="G709" s="75" t="e">
        <f>F709+F709*25%</f>
        <v>#REF!</v>
      </c>
    </row>
    <row r="710" spans="1:7" ht="19.5" thickBot="1" x14ac:dyDescent="0.3">
      <c r="A710" s="81" t="s">
        <v>1559</v>
      </c>
      <c r="B710" s="101"/>
      <c r="C710" s="101"/>
      <c r="D710" s="101"/>
      <c r="E710" s="73"/>
      <c r="F710" s="73"/>
      <c r="G710" s="74" t="e">
        <f>G709*2</f>
        <v>#REF!</v>
      </c>
    </row>
    <row r="712" spans="1:7" x14ac:dyDescent="0.25">
      <c r="A712" s="1688" t="s">
        <v>1727</v>
      </c>
      <c r="B712" s="1571"/>
      <c r="C712" s="1571"/>
      <c r="D712" s="1571"/>
      <c r="E712" s="1571"/>
      <c r="F712" s="1571"/>
    </row>
    <row r="713" spans="1:7" x14ac:dyDescent="0.25">
      <c r="A713" s="271" t="s">
        <v>916</v>
      </c>
      <c r="B713" s="272" t="s">
        <v>1073</v>
      </c>
      <c r="C713" s="273" t="s">
        <v>1089</v>
      </c>
      <c r="D713" s="273" t="s">
        <v>1547</v>
      </c>
      <c r="E713" s="273" t="s">
        <v>1035</v>
      </c>
      <c r="F713" s="274" t="s">
        <v>1549</v>
      </c>
      <c r="G713" s="1"/>
    </row>
    <row r="714" spans="1:7" x14ac:dyDescent="0.25">
      <c r="A714" s="3" t="s">
        <v>784</v>
      </c>
      <c r="B714" s="2" t="s">
        <v>785</v>
      </c>
      <c r="C714" s="6"/>
      <c r="D714" s="6" t="s">
        <v>1649</v>
      </c>
      <c r="E714" s="66">
        <f>'AROS, CADENAS, DIJES, ETC'!C8</f>
        <v>2800</v>
      </c>
      <c r="F714" s="39">
        <f>E714</f>
        <v>2800</v>
      </c>
      <c r="G714" s="1"/>
    </row>
    <row r="715" spans="1:7" x14ac:dyDescent="0.25">
      <c r="A715" s="3" t="s">
        <v>1728</v>
      </c>
      <c r="B715" s="2"/>
      <c r="C715" s="6"/>
      <c r="D715" s="6">
        <v>2</v>
      </c>
      <c r="E715" s="66">
        <f>'AROS, CADENAS, DIJES, ETC'!O5</f>
        <v>72</v>
      </c>
      <c r="F715" s="39">
        <f>E715*D715</f>
        <v>144</v>
      </c>
      <c r="G715" s="1"/>
    </row>
    <row r="716" spans="1:7" x14ac:dyDescent="0.25">
      <c r="A716" s="1701" t="s">
        <v>1572</v>
      </c>
      <c r="B716" s="2"/>
      <c r="C716" s="6"/>
      <c r="D716" s="6">
        <v>2</v>
      </c>
      <c r="E716" s="66">
        <f>FORNITURAS!D4</f>
        <v>48.7</v>
      </c>
      <c r="F716" s="39">
        <f>E716*D716</f>
        <v>97.4</v>
      </c>
      <c r="G716" s="1"/>
    </row>
    <row r="717" spans="1:7" x14ac:dyDescent="0.25">
      <c r="A717" s="1702"/>
      <c r="B717" s="2"/>
      <c r="C717" s="6"/>
      <c r="D717" s="6">
        <v>2</v>
      </c>
      <c r="E717" s="66">
        <f>FORNITURAS!D5</f>
        <v>46.8</v>
      </c>
      <c r="F717" s="39">
        <f>E717*D717</f>
        <v>93.6</v>
      </c>
      <c r="G717" s="1"/>
    </row>
    <row r="718" spans="1:7" x14ac:dyDescent="0.25">
      <c r="A718" s="3" t="s">
        <v>1557</v>
      </c>
      <c r="B718" s="2"/>
      <c r="C718" s="6"/>
      <c r="D718" s="6"/>
      <c r="E718" s="66"/>
      <c r="F718" s="39">
        <f>PACKAGING!E3</f>
        <v>150</v>
      </c>
      <c r="G718" s="1"/>
    </row>
    <row r="719" spans="1:7" x14ac:dyDescent="0.25">
      <c r="A719" s="3" t="s">
        <v>1538</v>
      </c>
      <c r="B719" s="2"/>
      <c r="C719" s="6"/>
      <c r="D719" s="6"/>
      <c r="E719" s="66"/>
      <c r="F719" s="39">
        <f>PACKAGING!E8</f>
        <v>420</v>
      </c>
      <c r="G719" s="1"/>
    </row>
    <row r="720" spans="1:7" x14ac:dyDescent="0.25">
      <c r="A720" s="3" t="s">
        <v>1558</v>
      </c>
      <c r="B720" s="2"/>
      <c r="C720" s="6"/>
      <c r="D720" s="6"/>
      <c r="E720" s="66"/>
      <c r="F720" s="39">
        <v>50</v>
      </c>
      <c r="G720" s="1"/>
    </row>
    <row r="721" spans="1:7" ht="16.5" thickBot="1" x14ac:dyDescent="0.3">
      <c r="A721" s="79" t="s">
        <v>525</v>
      </c>
      <c r="B721" s="70"/>
      <c r="C721" s="85"/>
      <c r="D721" s="85"/>
      <c r="E721" s="85"/>
      <c r="F721" s="51">
        <f>SUM(F714:F720)</f>
        <v>3755</v>
      </c>
      <c r="G721" s="134"/>
    </row>
    <row r="722" spans="1:7" x14ac:dyDescent="0.25">
      <c r="A722" s="80" t="s">
        <v>544</v>
      </c>
      <c r="B722" s="220"/>
      <c r="C722" s="220"/>
      <c r="D722" s="220"/>
      <c r="E722" s="220"/>
      <c r="F722" s="267">
        <f>F721*2</f>
        <v>7510</v>
      </c>
      <c r="G722" s="268">
        <v>1290</v>
      </c>
    </row>
    <row r="723" spans="1:7" ht="16.5" thickBot="1" x14ac:dyDescent="0.3">
      <c r="A723" s="275" t="s">
        <v>1559</v>
      </c>
      <c r="B723" s="269"/>
      <c r="C723" s="269"/>
      <c r="D723" s="269"/>
      <c r="E723" s="269"/>
      <c r="F723" s="270"/>
      <c r="G723" s="281">
        <f>G722*2</f>
        <v>2580</v>
      </c>
    </row>
    <row r="724" spans="1:7" ht="16.5" thickBot="1" x14ac:dyDescent="0.3"/>
    <row r="725" spans="1:7" ht="16.5" thickBot="1" x14ac:dyDescent="0.3">
      <c r="A725" s="1565" t="s">
        <v>1729</v>
      </c>
      <c r="B725" s="1566"/>
      <c r="C725" s="1566"/>
      <c r="D725" s="1566"/>
      <c r="E725" s="1566"/>
      <c r="F725" s="1567"/>
      <c r="G725"/>
    </row>
    <row r="726" spans="1:7" x14ac:dyDescent="0.25">
      <c r="A726" s="183" t="s">
        <v>916</v>
      </c>
      <c r="B726" s="97" t="s">
        <v>742</v>
      </c>
      <c r="C726" s="97" t="s">
        <v>1607</v>
      </c>
      <c r="D726" s="97" t="s">
        <v>1566</v>
      </c>
      <c r="E726" s="76" t="s">
        <v>1035</v>
      </c>
      <c r="F726" s="77" t="s">
        <v>1549</v>
      </c>
      <c r="G726" s="1"/>
    </row>
    <row r="727" spans="1:7" x14ac:dyDescent="0.25">
      <c r="A727" s="3" t="s">
        <v>6</v>
      </c>
      <c r="B727" s="98"/>
      <c r="C727" s="98"/>
      <c r="D727" s="98">
        <v>1</v>
      </c>
      <c r="E727" s="102">
        <f>'AROS, CADENAS, DIJES, ETC'!J48</f>
        <v>50.95</v>
      </c>
      <c r="F727" s="39">
        <f>E727*D727</f>
        <v>50.95</v>
      </c>
      <c r="G727" s="1"/>
    </row>
    <row r="728" spans="1:7" x14ac:dyDescent="0.25">
      <c r="A728" s="1701" t="s">
        <v>1572</v>
      </c>
      <c r="B728" s="98" t="s">
        <v>777</v>
      </c>
      <c r="C728" s="98"/>
      <c r="D728" s="98">
        <v>1</v>
      </c>
      <c r="E728" s="102">
        <f>FORNITURAS!D3</f>
        <v>19.260000000000002</v>
      </c>
      <c r="F728" s="39">
        <f>E728*D728</f>
        <v>19.260000000000002</v>
      </c>
      <c r="G728" s="1"/>
    </row>
    <row r="729" spans="1:7" x14ac:dyDescent="0.25">
      <c r="A729" s="1702"/>
      <c r="B729" s="98" t="s">
        <v>1556</v>
      </c>
      <c r="C729" s="98"/>
      <c r="D729" s="98">
        <v>1</v>
      </c>
      <c r="E729" s="102">
        <f>FORNITURAS!D4</f>
        <v>48.7</v>
      </c>
      <c r="F729" s="39">
        <f>E729*D729</f>
        <v>48.7</v>
      </c>
      <c r="G729" s="1"/>
    </row>
    <row r="730" spans="1:7" x14ac:dyDescent="0.25">
      <c r="A730" s="3" t="s">
        <v>1558</v>
      </c>
      <c r="B730" s="98"/>
      <c r="C730" s="98"/>
      <c r="D730" s="98"/>
      <c r="E730" s="2"/>
      <c r="F730" s="39">
        <v>25</v>
      </c>
      <c r="G730" s="1"/>
    </row>
    <row r="731" spans="1:7" ht="16.5" thickBot="1" x14ac:dyDescent="0.3">
      <c r="A731" s="79" t="s">
        <v>525</v>
      </c>
      <c r="B731" s="99"/>
      <c r="C731" s="99"/>
      <c r="D731" s="99"/>
      <c r="E731" s="70"/>
      <c r="F731" s="51">
        <f>SUM(F727:F730)</f>
        <v>143.91000000000003</v>
      </c>
      <c r="G731" s="1"/>
    </row>
    <row r="732" spans="1:7" ht="18.75" x14ac:dyDescent="0.25">
      <c r="A732" s="80" t="s">
        <v>544</v>
      </c>
      <c r="B732" s="100"/>
      <c r="C732" s="100"/>
      <c r="D732" s="100"/>
      <c r="E732" s="71"/>
      <c r="F732" s="72">
        <f>F731*2</f>
        <v>287.82000000000005</v>
      </c>
      <c r="G732" s="75">
        <v>250</v>
      </c>
    </row>
    <row r="733" spans="1:7" ht="19.5" thickBot="1" x14ac:dyDescent="0.3">
      <c r="A733" s="81" t="s">
        <v>1559</v>
      </c>
      <c r="B733" s="101"/>
      <c r="C733" s="101"/>
      <c r="D733" s="101"/>
      <c r="E733" s="73"/>
      <c r="F733" s="73"/>
      <c r="G733" s="74">
        <f>G732*2</f>
        <v>500</v>
      </c>
    </row>
    <row r="735" spans="1:7" x14ac:dyDescent="0.25">
      <c r="A735" s="1602" t="s">
        <v>1730</v>
      </c>
      <c r="B735" s="1600"/>
      <c r="C735" s="1600"/>
      <c r="D735" s="1600"/>
      <c r="E735" s="1600"/>
    </row>
    <row r="736" spans="1:7" x14ac:dyDescent="0.25">
      <c r="A736" s="183" t="s">
        <v>916</v>
      </c>
      <c r="B736" s="97" t="s">
        <v>743</v>
      </c>
      <c r="C736" s="76" t="s">
        <v>1547</v>
      </c>
      <c r="D736" s="108" t="s">
        <v>747</v>
      </c>
      <c r="E736" s="77" t="s">
        <v>1549</v>
      </c>
      <c r="F736" s="1"/>
    </row>
    <row r="737" spans="1:7" x14ac:dyDescent="0.25">
      <c r="A737" s="3" t="s">
        <v>1632</v>
      </c>
      <c r="B737" s="98"/>
      <c r="C737" s="2">
        <v>1</v>
      </c>
      <c r="D737" s="66">
        <f>'AROS, CADENAS, DIJES, ETC'!I23</f>
        <v>1100</v>
      </c>
      <c r="E737" s="39">
        <f>D737*C737</f>
        <v>1100</v>
      </c>
      <c r="F737" s="1"/>
    </row>
    <row r="738" spans="1:7" x14ac:dyDescent="0.25">
      <c r="A738" s="3" t="s">
        <v>848</v>
      </c>
      <c r="B738" s="98"/>
      <c r="C738" s="2">
        <v>2</v>
      </c>
      <c r="D738" s="66">
        <f>'AROS, CADENAS, DIJES, ETC'!O110</f>
        <v>4410</v>
      </c>
      <c r="E738" s="39">
        <f>D738*C738</f>
        <v>8820</v>
      </c>
      <c r="F738" s="1"/>
    </row>
    <row r="739" spans="1:7" x14ac:dyDescent="0.25">
      <c r="A739" s="1703" t="s">
        <v>1555</v>
      </c>
      <c r="B739" s="98" t="s">
        <v>1556</v>
      </c>
      <c r="C739" s="2">
        <v>3</v>
      </c>
      <c r="D739" s="66">
        <f>FORNITURAS!D4</f>
        <v>48.7</v>
      </c>
      <c r="E739" s="39">
        <f>D739*C739</f>
        <v>146.10000000000002</v>
      </c>
      <c r="F739" s="1"/>
    </row>
    <row r="740" spans="1:7" x14ac:dyDescent="0.25">
      <c r="A740" s="1704"/>
      <c r="B740" s="98" t="s">
        <v>1573</v>
      </c>
      <c r="C740" s="2">
        <v>1</v>
      </c>
      <c r="D740" s="66">
        <f>FORNITURAS!D7</f>
        <v>52</v>
      </c>
      <c r="E740" s="39">
        <f>D740*C740</f>
        <v>52</v>
      </c>
      <c r="F740" s="1"/>
    </row>
    <row r="741" spans="1:7" x14ac:dyDescent="0.25">
      <c r="A741" s="20" t="s">
        <v>1557</v>
      </c>
      <c r="B741" s="98" t="s">
        <v>1535</v>
      </c>
      <c r="C741" s="2"/>
      <c r="D741" s="66"/>
      <c r="E741" s="39">
        <f>PACKAGING!E4</f>
        <v>80</v>
      </c>
    </row>
    <row r="742" spans="1:7" x14ac:dyDescent="0.25">
      <c r="A742" s="3" t="s">
        <v>1537</v>
      </c>
      <c r="B742" s="98"/>
      <c r="C742" s="2"/>
      <c r="D742" s="6"/>
      <c r="E742" s="39">
        <f>PACKAGING!E7</f>
        <v>170</v>
      </c>
      <c r="F742" s="1"/>
    </row>
    <row r="743" spans="1:7" x14ac:dyDescent="0.25">
      <c r="A743" s="3" t="s">
        <v>1538</v>
      </c>
      <c r="B743" s="98"/>
      <c r="C743" s="2"/>
      <c r="D743" s="6"/>
      <c r="E743" s="39">
        <f>PACKAGING!E8</f>
        <v>420</v>
      </c>
      <c r="F743" s="1"/>
    </row>
    <row r="744" spans="1:7" ht="16.5" thickBot="1" x14ac:dyDescent="0.3">
      <c r="A744" s="79" t="s">
        <v>525</v>
      </c>
      <c r="B744" s="99"/>
      <c r="C744" s="70"/>
      <c r="D744" s="85"/>
      <c r="E744" s="51">
        <f>SUM(E737:E743)</f>
        <v>10788.1</v>
      </c>
      <c r="F744" s="1"/>
    </row>
    <row r="745" spans="1:7" x14ac:dyDescent="0.25">
      <c r="A745" s="80" t="s">
        <v>544</v>
      </c>
      <c r="B745" s="100"/>
      <c r="C745" s="71"/>
      <c r="D745" s="71"/>
      <c r="E745" s="72">
        <f>E744*2</f>
        <v>21576.2</v>
      </c>
      <c r="F745" s="203">
        <v>2860</v>
      </c>
    </row>
    <row r="746" spans="1:7" ht="16.5" thickBot="1" x14ac:dyDescent="0.3">
      <c r="A746" s="81" t="s">
        <v>1559</v>
      </c>
      <c r="B746" s="101"/>
      <c r="C746" s="73"/>
      <c r="D746" s="73"/>
      <c r="E746" s="219">
        <f>E745+E745*25%</f>
        <v>26970.25</v>
      </c>
      <c r="F746" s="204">
        <f>F745*2</f>
        <v>5720</v>
      </c>
    </row>
    <row r="747" spans="1:7" ht="16.5" thickBot="1" x14ac:dyDescent="0.3"/>
    <row r="748" spans="1:7" x14ac:dyDescent="0.25">
      <c r="A748" s="1666" t="s">
        <v>1731</v>
      </c>
      <c r="B748" s="1667"/>
      <c r="C748" s="1667"/>
      <c r="D748" s="1667"/>
      <c r="E748" s="1668"/>
      <c r="G748"/>
    </row>
    <row r="749" spans="1:7" x14ac:dyDescent="0.25">
      <c r="A749" s="183" t="s">
        <v>916</v>
      </c>
      <c r="B749" s="97" t="s">
        <v>743</v>
      </c>
      <c r="C749" s="76" t="s">
        <v>1547</v>
      </c>
      <c r="D749" s="108" t="s">
        <v>747</v>
      </c>
      <c r="E749" s="77" t="s">
        <v>1549</v>
      </c>
      <c r="F749" s="1"/>
      <c r="G749"/>
    </row>
    <row r="750" spans="1:7" x14ac:dyDescent="0.25">
      <c r="A750" s="3" t="s">
        <v>1732</v>
      </c>
      <c r="B750" s="98" t="s">
        <v>959</v>
      </c>
      <c r="C750" s="2">
        <v>1</v>
      </c>
      <c r="D750" s="66">
        <f>'AROS, CADENAS, DIJES, ETC'!I9</f>
        <v>435</v>
      </c>
      <c r="E750" s="39">
        <f t="shared" ref="E750:E757" si="11">D750*C750</f>
        <v>435</v>
      </c>
      <c r="F750" s="1"/>
      <c r="G750"/>
    </row>
    <row r="751" spans="1:7" x14ac:dyDescent="0.25">
      <c r="A751" s="3" t="s">
        <v>1733</v>
      </c>
      <c r="B751" s="98"/>
      <c r="C751" s="98">
        <v>1</v>
      </c>
      <c r="D751" s="102">
        <f>'AROS, CADENAS, DIJES, ETC'!O17</f>
        <v>92</v>
      </c>
      <c r="E751" s="39">
        <f t="shared" si="11"/>
        <v>92</v>
      </c>
    </row>
    <row r="752" spans="1:7" x14ac:dyDescent="0.25">
      <c r="A752" s="3" t="s">
        <v>1050</v>
      </c>
      <c r="B752" s="98" t="s">
        <v>1059</v>
      </c>
      <c r="C752" s="98">
        <v>0.06</v>
      </c>
      <c r="D752" s="102">
        <f>FORNITURAS!W5</f>
        <v>906.42857142857144</v>
      </c>
      <c r="E752" s="39">
        <f t="shared" si="11"/>
        <v>54.385714285714286</v>
      </c>
    </row>
    <row r="753" spans="1:7" x14ac:dyDescent="0.25">
      <c r="A753" s="104" t="s">
        <v>1734</v>
      </c>
      <c r="B753" s="98"/>
      <c r="C753" s="2">
        <v>1</v>
      </c>
      <c r="D753" s="66" t="e">
        <f>#REF!</f>
        <v>#REF!</v>
      </c>
      <c r="E753" s="39" t="e">
        <f t="shared" si="11"/>
        <v>#REF!</v>
      </c>
      <c r="F753" s="1"/>
      <c r="G753"/>
    </row>
    <row r="754" spans="1:7" x14ac:dyDescent="0.25">
      <c r="A754" s="104" t="s">
        <v>1628</v>
      </c>
      <c r="B754" s="98"/>
      <c r="C754" s="98">
        <v>2</v>
      </c>
      <c r="D754" s="66">
        <f>FORNITURAS!D18</f>
        <v>363</v>
      </c>
      <c r="E754" s="39">
        <f t="shared" si="11"/>
        <v>726</v>
      </c>
      <c r="F754" s="1"/>
      <c r="G754"/>
    </row>
    <row r="755" spans="1:7" x14ac:dyDescent="0.25">
      <c r="A755" s="3" t="s">
        <v>1012</v>
      </c>
      <c r="B755" s="98"/>
      <c r="C755" s="98">
        <v>1</v>
      </c>
      <c r="D755" s="66">
        <f>FORNITURAS!D17</f>
        <v>45.05</v>
      </c>
      <c r="E755" s="39">
        <f t="shared" si="11"/>
        <v>45.05</v>
      </c>
      <c r="F755" s="1"/>
      <c r="G755"/>
    </row>
    <row r="756" spans="1:7" x14ac:dyDescent="0.25">
      <c r="A756" s="1701" t="s">
        <v>1555</v>
      </c>
      <c r="B756" s="98" t="s">
        <v>1556</v>
      </c>
      <c r="C756" s="98">
        <v>2</v>
      </c>
      <c r="D756" s="102">
        <f>FORNITURAS!D4</f>
        <v>48.7</v>
      </c>
      <c r="E756" s="39">
        <f t="shared" si="11"/>
        <v>97.4</v>
      </c>
    </row>
    <row r="757" spans="1:7" x14ac:dyDescent="0.25">
      <c r="A757" s="1702"/>
      <c r="B757" s="98" t="s">
        <v>1573</v>
      </c>
      <c r="C757" s="2">
        <v>1</v>
      </c>
      <c r="D757" s="66">
        <f>FORNITURAS!D7</f>
        <v>52</v>
      </c>
      <c r="E757" s="39">
        <f t="shared" si="11"/>
        <v>52</v>
      </c>
      <c r="F757" s="1"/>
      <c r="G757"/>
    </row>
    <row r="758" spans="1:7" x14ac:dyDescent="0.25">
      <c r="A758" s="189" t="s">
        <v>1557</v>
      </c>
      <c r="B758" s="98" t="s">
        <v>1535</v>
      </c>
      <c r="C758" s="2"/>
      <c r="D758" s="6"/>
      <c r="E758" s="39">
        <f>PACKAGING!E4</f>
        <v>80</v>
      </c>
      <c r="G758"/>
    </row>
    <row r="759" spans="1:7" x14ac:dyDescent="0.25">
      <c r="A759" s="3" t="s">
        <v>1537</v>
      </c>
      <c r="B759" s="98"/>
      <c r="C759" s="2"/>
      <c r="D759" s="6"/>
      <c r="E759" s="39">
        <f>PACKAGING!E7</f>
        <v>170</v>
      </c>
      <c r="F759" s="1"/>
      <c r="G759"/>
    </row>
    <row r="760" spans="1:7" x14ac:dyDescent="0.25">
      <c r="A760" s="3" t="s">
        <v>1538</v>
      </c>
      <c r="B760" s="98"/>
      <c r="C760" s="2"/>
      <c r="D760" s="6"/>
      <c r="E760" s="39">
        <f>PACKAGING!E8</f>
        <v>420</v>
      </c>
      <c r="F760" s="1"/>
      <c r="G760"/>
    </row>
    <row r="761" spans="1:7" x14ac:dyDescent="0.25">
      <c r="A761" s="3" t="s">
        <v>1558</v>
      </c>
      <c r="B761" s="98">
        <v>60</v>
      </c>
      <c r="C761" s="2">
        <v>15</v>
      </c>
      <c r="D761" s="66">
        <f>'INSUMOS VARIOS'!B3</f>
        <v>3500</v>
      </c>
      <c r="E761" s="39">
        <f>D761*C761/B761</f>
        <v>875</v>
      </c>
      <c r="F761" s="1"/>
      <c r="G761"/>
    </row>
    <row r="762" spans="1:7" ht="16.5" thickBot="1" x14ac:dyDescent="0.3">
      <c r="A762" s="79" t="s">
        <v>525</v>
      </c>
      <c r="B762" s="99"/>
      <c r="C762" s="70"/>
      <c r="D762" s="85"/>
      <c r="E762" s="51" t="e">
        <f>SUM(E750:E761)</f>
        <v>#REF!</v>
      </c>
      <c r="F762" s="1"/>
      <c r="G762"/>
    </row>
    <row r="763" spans="1:7" x14ac:dyDescent="0.25">
      <c r="A763" s="80" t="s">
        <v>544</v>
      </c>
      <c r="B763" s="100"/>
      <c r="C763" s="71"/>
      <c r="D763" s="71"/>
      <c r="E763" s="72" t="e">
        <f>E762*2</f>
        <v>#REF!</v>
      </c>
      <c r="F763" s="481" t="e">
        <f>E763+E763*25%</f>
        <v>#REF!</v>
      </c>
      <c r="G763" s="203">
        <v>1640</v>
      </c>
    </row>
    <row r="764" spans="1:7" ht="16.5" thickBot="1" x14ac:dyDescent="0.3">
      <c r="A764" s="81" t="s">
        <v>1559</v>
      </c>
      <c r="B764" s="101"/>
      <c r="C764" s="73"/>
      <c r="D764" s="73"/>
      <c r="E764" s="73"/>
      <c r="F764" s="482"/>
      <c r="G764" s="204">
        <f>G763*2</f>
        <v>3280</v>
      </c>
    </row>
    <row r="766" spans="1:7" x14ac:dyDescent="0.25">
      <c r="A766" s="1602" t="s">
        <v>1735</v>
      </c>
      <c r="B766" s="1600"/>
      <c r="C766" s="1600"/>
      <c r="D766" s="1600"/>
      <c r="E766" s="1600"/>
      <c r="F766" s="1600"/>
      <c r="G766"/>
    </row>
    <row r="767" spans="1:7" x14ac:dyDescent="0.25">
      <c r="A767" s="183" t="s">
        <v>916</v>
      </c>
      <c r="B767" s="97" t="s">
        <v>743</v>
      </c>
      <c r="C767" s="97" t="s">
        <v>1089</v>
      </c>
      <c r="D767" s="97" t="s">
        <v>1566</v>
      </c>
      <c r="E767" s="76" t="s">
        <v>1035</v>
      </c>
      <c r="F767" s="77" t="s">
        <v>1549</v>
      </c>
      <c r="G767" s="1"/>
    </row>
    <row r="768" spans="1:7" x14ac:dyDescent="0.25">
      <c r="A768" s="189" t="s">
        <v>908</v>
      </c>
      <c r="B768" s="98"/>
      <c r="C768" s="98"/>
      <c r="D768" s="98">
        <v>0.1</v>
      </c>
      <c r="E768" s="102">
        <f>'AROS, CADENAS, DIJES, ETC'!I38</f>
        <v>3630</v>
      </c>
      <c r="F768" s="39">
        <f>E768*D768</f>
        <v>363</v>
      </c>
      <c r="G768" s="1"/>
    </row>
    <row r="769" spans="1:8" x14ac:dyDescent="0.25">
      <c r="A769" s="184" t="s">
        <v>1485</v>
      </c>
      <c r="B769" s="98">
        <v>0.5</v>
      </c>
      <c r="C769" s="98">
        <v>0.36</v>
      </c>
      <c r="D769" s="98">
        <v>1</v>
      </c>
      <c r="E769" s="102">
        <f>VIDRIOS!D44</f>
        <v>2500</v>
      </c>
      <c r="F769" s="374">
        <f>(E769*C769/B769)*D769</f>
        <v>1800</v>
      </c>
      <c r="G769" s="1"/>
    </row>
    <row r="770" spans="1:8" x14ac:dyDescent="0.25">
      <c r="A770" s="184" t="s">
        <v>1736</v>
      </c>
      <c r="B770" s="98"/>
      <c r="C770" s="98"/>
      <c r="D770" s="98">
        <v>2</v>
      </c>
      <c r="E770" s="102">
        <f>FORNITURAS!I4</f>
        <v>66.099999999999994</v>
      </c>
      <c r="F770" s="39">
        <f>D770*E770</f>
        <v>132.19999999999999</v>
      </c>
      <c r="G770" s="1"/>
    </row>
    <row r="771" spans="1:8" x14ac:dyDescent="0.25">
      <c r="A771" s="184" t="s">
        <v>1737</v>
      </c>
      <c r="B771" s="98"/>
      <c r="C771" s="98"/>
      <c r="D771" s="98">
        <v>3</v>
      </c>
      <c r="E771" s="102">
        <f>'AROS, CADENAS, DIJES, ETC'!O44</f>
        <v>569</v>
      </c>
      <c r="F771" s="39">
        <f>D771*E771</f>
        <v>1707</v>
      </c>
      <c r="G771" s="1"/>
    </row>
    <row r="772" spans="1:8" x14ac:dyDescent="0.25">
      <c r="A772" s="1613" t="s">
        <v>1555</v>
      </c>
      <c r="B772" s="98" t="s">
        <v>1556</v>
      </c>
      <c r="C772" s="98"/>
      <c r="D772" s="98">
        <v>5</v>
      </c>
      <c r="E772" s="102">
        <f>FORNITURAS!D4</f>
        <v>48.7</v>
      </c>
      <c r="F772" s="39">
        <f t="shared" ref="F772:F777" si="12">E772*D772</f>
        <v>243.5</v>
      </c>
      <c r="G772" s="1"/>
    </row>
    <row r="773" spans="1:8" x14ac:dyDescent="0.25">
      <c r="A773" s="1615"/>
      <c r="B773" s="98" t="s">
        <v>1573</v>
      </c>
      <c r="C773" s="98"/>
      <c r="D773" s="98">
        <v>1</v>
      </c>
      <c r="E773" s="102">
        <f>FORNITURAS!D7</f>
        <v>52</v>
      </c>
      <c r="F773" s="39">
        <f t="shared" si="12"/>
        <v>52</v>
      </c>
      <c r="G773" s="1"/>
    </row>
    <row r="774" spans="1:8" x14ac:dyDescent="0.25">
      <c r="A774" s="331" t="s">
        <v>1587</v>
      </c>
      <c r="B774" s="98"/>
      <c r="C774" s="98"/>
      <c r="D774" s="98">
        <v>1</v>
      </c>
      <c r="E774" s="102">
        <f>FORNITURAS!D18</f>
        <v>363</v>
      </c>
      <c r="F774" s="39">
        <f t="shared" si="12"/>
        <v>363</v>
      </c>
      <c r="G774" s="1"/>
    </row>
    <row r="775" spans="1:8" x14ac:dyDescent="0.25">
      <c r="A775" s="184" t="s">
        <v>1018</v>
      </c>
      <c r="B775" s="98"/>
      <c r="C775" s="98"/>
      <c r="D775" s="98">
        <v>2</v>
      </c>
      <c r="E775" s="102">
        <f>FORNITURAS!D26</f>
        <v>297.14285714285717</v>
      </c>
      <c r="F775" s="39">
        <f t="shared" si="12"/>
        <v>594.28571428571433</v>
      </c>
      <c r="G775" s="1"/>
    </row>
    <row r="776" spans="1:8" x14ac:dyDescent="0.25">
      <c r="A776" s="184" t="s">
        <v>1424</v>
      </c>
      <c r="B776" s="98"/>
      <c r="C776" s="98"/>
      <c r="D776" s="98">
        <v>0.46</v>
      </c>
      <c r="E776" s="102">
        <f>'HILOS-CORDONES-TANZA-CUERO'!L9</f>
        <v>30</v>
      </c>
      <c r="F776" s="39">
        <f t="shared" si="12"/>
        <v>13.8</v>
      </c>
      <c r="G776" s="1"/>
    </row>
    <row r="777" spans="1:8" x14ac:dyDescent="0.25">
      <c r="A777" s="3" t="s">
        <v>1012</v>
      </c>
      <c r="B777" s="98"/>
      <c r="C777" s="98"/>
      <c r="D777" s="98">
        <v>2</v>
      </c>
      <c r="E777" s="102">
        <f>FORNITURAS!D17</f>
        <v>45.05</v>
      </c>
      <c r="F777" s="39">
        <f t="shared" si="12"/>
        <v>90.1</v>
      </c>
      <c r="G777" s="1"/>
    </row>
    <row r="778" spans="1:8" x14ac:dyDescent="0.25">
      <c r="A778" s="104" t="s">
        <v>1557</v>
      </c>
      <c r="B778" s="98" t="s">
        <v>1535</v>
      </c>
      <c r="C778" s="98"/>
      <c r="D778" s="98"/>
      <c r="E778" s="2"/>
      <c r="F778" s="39">
        <f>PACKAGING!E4</f>
        <v>80</v>
      </c>
      <c r="G778" s="1"/>
    </row>
    <row r="779" spans="1:8" x14ac:dyDescent="0.25">
      <c r="A779" s="104" t="s">
        <v>1634</v>
      </c>
      <c r="B779" s="98"/>
      <c r="C779" s="98"/>
      <c r="D779" s="98"/>
      <c r="E779" s="2"/>
      <c r="F779" s="39">
        <f>PACKAGING!E7</f>
        <v>170</v>
      </c>
      <c r="G779" s="1"/>
    </row>
    <row r="780" spans="1:8" x14ac:dyDescent="0.25">
      <c r="A780" s="104" t="s">
        <v>1670</v>
      </c>
      <c r="B780" s="98"/>
      <c r="C780" s="98"/>
      <c r="D780" s="98"/>
      <c r="E780" s="2"/>
      <c r="F780" s="39">
        <f>PACKAGING!E8</f>
        <v>420</v>
      </c>
      <c r="G780" s="1"/>
    </row>
    <row r="781" spans="1:8" x14ac:dyDescent="0.25">
      <c r="A781" s="3" t="s">
        <v>1618</v>
      </c>
      <c r="B781" s="98">
        <v>60</v>
      </c>
      <c r="C781" s="98">
        <v>40</v>
      </c>
      <c r="D781" s="98"/>
      <c r="E781" s="102">
        <f>'INSUMOS VARIOS'!B3</f>
        <v>3500</v>
      </c>
      <c r="F781" s="39">
        <f>E781*C781/B781</f>
        <v>2333.3333333333335</v>
      </c>
      <c r="G781" s="1"/>
    </row>
    <row r="782" spans="1:8" ht="16.5" thickBot="1" x14ac:dyDescent="0.3">
      <c r="A782" s="79" t="s">
        <v>525</v>
      </c>
      <c r="B782" s="99"/>
      <c r="C782" s="99"/>
      <c r="D782" s="99"/>
      <c r="E782" s="70"/>
      <c r="F782" s="51">
        <f>SUM(F768:F781)</f>
        <v>8362.2190476190481</v>
      </c>
      <c r="G782" s="1"/>
    </row>
    <row r="783" spans="1:8" x14ac:dyDescent="0.25">
      <c r="A783" s="80" t="s">
        <v>544</v>
      </c>
      <c r="B783" s="100"/>
      <c r="C783" s="100"/>
      <c r="D783" s="100"/>
      <c r="E783" s="71"/>
      <c r="F783" s="72">
        <f>F782*2</f>
        <v>16724.438095238096</v>
      </c>
      <c r="G783" s="481">
        <f>F783+F783*25%</f>
        <v>20905.547619047618</v>
      </c>
      <c r="H783" s="203">
        <v>2860</v>
      </c>
    </row>
    <row r="784" spans="1:8" ht="16.5" thickBot="1" x14ac:dyDescent="0.3">
      <c r="A784" s="81" t="s">
        <v>1559</v>
      </c>
      <c r="B784" s="101"/>
      <c r="C784" s="101"/>
      <c r="D784" s="101"/>
      <c r="E784" s="73"/>
      <c r="F784" s="73"/>
      <c r="G784" s="482"/>
      <c r="H784" s="204">
        <f>H783*2</f>
        <v>5720</v>
      </c>
    </row>
    <row r="786" spans="1:6" x14ac:dyDescent="0.25">
      <c r="A786" s="1602" t="s">
        <v>1738</v>
      </c>
      <c r="B786" s="1600"/>
      <c r="C786" s="1600"/>
      <c r="D786" s="1600"/>
      <c r="E786" s="1600"/>
    </row>
    <row r="787" spans="1:6" x14ac:dyDescent="0.25">
      <c r="A787" s="183" t="s">
        <v>916</v>
      </c>
      <c r="B787" s="97" t="s">
        <v>743</v>
      </c>
      <c r="C787" s="76" t="s">
        <v>1547</v>
      </c>
      <c r="D787" s="108" t="s">
        <v>747</v>
      </c>
      <c r="E787" s="77" t="s">
        <v>1549</v>
      </c>
      <c r="F787" s="1"/>
    </row>
    <row r="788" spans="1:6" x14ac:dyDescent="0.25">
      <c r="A788" s="3" t="s">
        <v>1739</v>
      </c>
      <c r="B788" s="98"/>
      <c r="C788" s="2">
        <v>1</v>
      </c>
      <c r="D788" s="66">
        <f>'AROS, CADENAS, DIJES, ETC'!I11</f>
        <v>956</v>
      </c>
      <c r="E788" s="39">
        <f>D788*C788</f>
        <v>956</v>
      </c>
      <c r="F788" s="1"/>
    </row>
    <row r="789" spans="1:6" x14ac:dyDescent="0.25">
      <c r="A789" s="3" t="s">
        <v>1137</v>
      </c>
      <c r="B789" s="98"/>
      <c r="C789" s="2">
        <v>1</v>
      </c>
      <c r="D789" s="66">
        <f>'AROS, CADENAS, DIJES, ETC'!O149</f>
        <v>3047</v>
      </c>
      <c r="E789" s="39">
        <f>D789*C789</f>
        <v>3047</v>
      </c>
      <c r="F789" s="1"/>
    </row>
    <row r="790" spans="1:6" x14ac:dyDescent="0.25">
      <c r="A790" s="1703" t="s">
        <v>1555</v>
      </c>
      <c r="B790" s="98" t="s">
        <v>1556</v>
      </c>
      <c r="C790" s="2">
        <v>1</v>
      </c>
      <c r="D790" s="66">
        <f>FORNITURAS!D4</f>
        <v>48.7</v>
      </c>
      <c r="E790" s="39">
        <f>D790*C790</f>
        <v>48.7</v>
      </c>
      <c r="F790" s="1"/>
    </row>
    <row r="791" spans="1:6" x14ac:dyDescent="0.25">
      <c r="A791" s="1704"/>
      <c r="B791" s="98" t="s">
        <v>1573</v>
      </c>
      <c r="C791" s="2">
        <v>1</v>
      </c>
      <c r="D791" s="66">
        <f>FORNITURAS!D7</f>
        <v>52</v>
      </c>
      <c r="E791" s="39">
        <f>D791*C791</f>
        <v>52</v>
      </c>
      <c r="F791" s="1"/>
    </row>
    <row r="792" spans="1:6" x14ac:dyDescent="0.25">
      <c r="A792" s="20" t="s">
        <v>1557</v>
      </c>
      <c r="B792" s="98" t="s">
        <v>1535</v>
      </c>
      <c r="C792" s="2"/>
      <c r="D792" s="66"/>
      <c r="E792" s="39">
        <f>PACKAGING!E4</f>
        <v>80</v>
      </c>
    </row>
    <row r="793" spans="1:6" x14ac:dyDescent="0.25">
      <c r="A793" s="3" t="s">
        <v>1537</v>
      </c>
      <c r="B793" s="98"/>
      <c r="C793" s="2"/>
      <c r="D793" s="6"/>
      <c r="E793" s="39">
        <f>PACKAGING!E7</f>
        <v>170</v>
      </c>
      <c r="F793" s="1"/>
    </row>
    <row r="794" spans="1:6" x14ac:dyDescent="0.25">
      <c r="A794" s="3" t="s">
        <v>1538</v>
      </c>
      <c r="B794" s="98"/>
      <c r="C794" s="2"/>
      <c r="D794" s="6"/>
      <c r="E794" s="39">
        <f>PACKAGING!E8</f>
        <v>420</v>
      </c>
      <c r="F794" s="1"/>
    </row>
    <row r="795" spans="1:6" ht="16.5" thickBot="1" x14ac:dyDescent="0.3">
      <c r="A795" s="79" t="s">
        <v>525</v>
      </c>
      <c r="B795" s="99"/>
      <c r="C795" s="70"/>
      <c r="D795" s="85"/>
      <c r="E795" s="51">
        <f>SUM(E788:E794)</f>
        <v>4773.7</v>
      </c>
      <c r="F795" s="1"/>
    </row>
    <row r="796" spans="1:6" x14ac:dyDescent="0.25">
      <c r="A796" s="80" t="s">
        <v>544</v>
      </c>
      <c r="B796" s="100"/>
      <c r="C796" s="71"/>
      <c r="D796" s="71"/>
      <c r="E796" s="72">
        <f>E795*2</f>
        <v>9547.4</v>
      </c>
      <c r="F796" s="203">
        <v>2090</v>
      </c>
    </row>
    <row r="797" spans="1:6" ht="16.5" thickBot="1" x14ac:dyDescent="0.3">
      <c r="A797" s="81" t="s">
        <v>1559</v>
      </c>
      <c r="B797" s="101"/>
      <c r="C797" s="73"/>
      <c r="D797" s="73"/>
      <c r="E797" s="219">
        <f>E796+E796*25%</f>
        <v>11934.25</v>
      </c>
      <c r="F797" s="204">
        <f>F796*2</f>
        <v>4180</v>
      </c>
    </row>
    <row r="799" spans="1:6" x14ac:dyDescent="0.25">
      <c r="A799" s="1602" t="s">
        <v>1740</v>
      </c>
      <c r="B799" s="1600"/>
      <c r="C799" s="1600"/>
      <c r="D799" s="1600"/>
      <c r="E799" s="1600"/>
    </row>
    <row r="800" spans="1:6" x14ac:dyDescent="0.25">
      <c r="A800" s="183" t="s">
        <v>916</v>
      </c>
      <c r="B800" s="97" t="s">
        <v>743</v>
      </c>
      <c r="C800" s="76" t="s">
        <v>1547</v>
      </c>
      <c r="D800" s="108" t="s">
        <v>747</v>
      </c>
      <c r="E800" s="77" t="s">
        <v>1549</v>
      </c>
      <c r="F800" s="1"/>
    </row>
    <row r="801" spans="1:7" x14ac:dyDescent="0.25">
      <c r="A801" s="3" t="s">
        <v>990</v>
      </c>
      <c r="B801" s="98" t="s">
        <v>950</v>
      </c>
      <c r="C801" s="2">
        <v>1</v>
      </c>
      <c r="D801" s="66">
        <f>'AROS, CADENAS, DIJES, ETC'!I25</f>
        <v>1100</v>
      </c>
      <c r="E801" s="39">
        <f>D801*C801</f>
        <v>1100</v>
      </c>
      <c r="F801" s="1"/>
    </row>
    <row r="802" spans="1:7" x14ac:dyDescent="0.25">
      <c r="A802" s="1703" t="s">
        <v>1555</v>
      </c>
      <c r="B802" s="98" t="s">
        <v>1556</v>
      </c>
      <c r="C802" s="2">
        <v>1</v>
      </c>
      <c r="D802" s="66">
        <f>FORNITURAS!D4</f>
        <v>48.7</v>
      </c>
      <c r="E802" s="39">
        <f>D802*C802</f>
        <v>48.7</v>
      </c>
      <c r="F802" s="1"/>
    </row>
    <row r="803" spans="1:7" x14ac:dyDescent="0.25">
      <c r="A803" s="1704"/>
      <c r="B803" s="98" t="s">
        <v>1573</v>
      </c>
      <c r="C803" s="2">
        <v>1</v>
      </c>
      <c r="D803" s="66">
        <f>FORNITURAS!D7</f>
        <v>52</v>
      </c>
      <c r="E803" s="39">
        <f>D803*C803</f>
        <v>52</v>
      </c>
      <c r="F803" s="1"/>
    </row>
    <row r="804" spans="1:7" x14ac:dyDescent="0.25">
      <c r="A804" s="20" t="s">
        <v>1557</v>
      </c>
      <c r="B804" s="98" t="s">
        <v>1535</v>
      </c>
      <c r="C804" s="2"/>
      <c r="D804" s="66"/>
      <c r="E804" s="39">
        <f>PACKAGING!E4</f>
        <v>80</v>
      </c>
    </row>
    <row r="805" spans="1:7" x14ac:dyDescent="0.25">
      <c r="A805" s="3" t="s">
        <v>1537</v>
      </c>
      <c r="B805" s="98"/>
      <c r="C805" s="2"/>
      <c r="D805" s="6"/>
      <c r="E805" s="39">
        <f>PACKAGING!E7</f>
        <v>170</v>
      </c>
      <c r="F805" s="1"/>
    </row>
    <row r="806" spans="1:7" x14ac:dyDescent="0.25">
      <c r="A806" s="3" t="s">
        <v>1538</v>
      </c>
      <c r="B806" s="98"/>
      <c r="C806" s="2"/>
      <c r="D806" s="6"/>
      <c r="E806" s="39">
        <f>PACKAGING!E8</f>
        <v>420</v>
      </c>
      <c r="F806" s="1"/>
    </row>
    <row r="807" spans="1:7" x14ac:dyDescent="0.25">
      <c r="A807" s="3" t="s">
        <v>1558</v>
      </c>
      <c r="B807" s="98">
        <v>60</v>
      </c>
      <c r="C807" s="2">
        <v>10</v>
      </c>
      <c r="D807" s="66">
        <f>'INSUMOS VARIOS'!B3</f>
        <v>3500</v>
      </c>
      <c r="E807" s="39">
        <f>D807*C807/B807</f>
        <v>583.33333333333337</v>
      </c>
      <c r="F807" s="1"/>
    </row>
    <row r="808" spans="1:7" ht="16.5" thickBot="1" x14ac:dyDescent="0.3">
      <c r="A808" s="79" t="s">
        <v>525</v>
      </c>
      <c r="B808" s="99"/>
      <c r="C808" s="70"/>
      <c r="D808" s="85"/>
      <c r="E808" s="51">
        <f>SUM(E801:E807)</f>
        <v>2454.0333333333333</v>
      </c>
      <c r="F808" s="1"/>
    </row>
    <row r="809" spans="1:7" x14ac:dyDescent="0.25">
      <c r="A809" s="80" t="s">
        <v>544</v>
      </c>
      <c r="B809" s="100"/>
      <c r="C809" s="71"/>
      <c r="D809" s="71"/>
      <c r="E809" s="221">
        <f>E808*2</f>
        <v>4908.0666666666666</v>
      </c>
      <c r="F809" s="548">
        <f>E809+E809*25%</f>
        <v>6135.083333333333</v>
      </c>
      <c r="G809" s="203">
        <v>910</v>
      </c>
    </row>
    <row r="810" spans="1:7" ht="16.5" thickBot="1" x14ac:dyDescent="0.3">
      <c r="A810" s="81" t="s">
        <v>1559</v>
      </c>
      <c r="B810" s="101"/>
      <c r="C810" s="73"/>
      <c r="D810" s="73"/>
      <c r="E810" s="223"/>
      <c r="F810" s="549"/>
      <c r="G810" s="204">
        <f>G809*2</f>
        <v>1820</v>
      </c>
    </row>
    <row r="812" spans="1:7" x14ac:dyDescent="0.25">
      <c r="A812" s="1602" t="s">
        <v>1741</v>
      </c>
      <c r="B812" s="1600"/>
      <c r="C812" s="1600"/>
      <c r="D812" s="1600"/>
      <c r="E812" s="1600"/>
    </row>
    <row r="813" spans="1:7" x14ac:dyDescent="0.25">
      <c r="A813" s="183" t="s">
        <v>916</v>
      </c>
      <c r="B813" s="97" t="s">
        <v>743</v>
      </c>
      <c r="C813" s="76" t="s">
        <v>1547</v>
      </c>
      <c r="D813" s="108" t="s">
        <v>747</v>
      </c>
      <c r="E813" s="77" t="s">
        <v>1549</v>
      </c>
      <c r="F813" s="1"/>
    </row>
    <row r="814" spans="1:7" x14ac:dyDescent="0.25">
      <c r="A814" s="3" t="s">
        <v>1742</v>
      </c>
      <c r="B814" s="98"/>
      <c r="C814" s="2">
        <v>1</v>
      </c>
      <c r="D814" s="66">
        <f>CADENAS!Q63</f>
        <v>1235.8620689655172</v>
      </c>
      <c r="E814" s="39">
        <f>D814*C814</f>
        <v>1235.8620689655172</v>
      </c>
      <c r="F814" s="1"/>
    </row>
    <row r="815" spans="1:7" x14ac:dyDescent="0.25">
      <c r="A815" s="625" t="s">
        <v>1743</v>
      </c>
      <c r="B815" s="98" t="s">
        <v>1744</v>
      </c>
      <c r="C815" s="2">
        <v>1</v>
      </c>
      <c r="D815" s="66">
        <f>FORNITURAS!D15</f>
        <v>142</v>
      </c>
      <c r="E815" s="39">
        <f>D815*C815</f>
        <v>142</v>
      </c>
      <c r="F815" s="1"/>
    </row>
    <row r="816" spans="1:7" x14ac:dyDescent="0.25">
      <c r="A816" s="20" t="s">
        <v>1555</v>
      </c>
      <c r="B816" s="98" t="s">
        <v>1054</v>
      </c>
      <c r="C816" s="2">
        <v>1</v>
      </c>
      <c r="D816" s="66">
        <f>FORNITURAS!D10</f>
        <v>32.628571428571426</v>
      </c>
      <c r="E816" s="39">
        <f>D816*C816</f>
        <v>32.628571428571426</v>
      </c>
    </row>
    <row r="817" spans="1:7" x14ac:dyDescent="0.25">
      <c r="A817" s="3" t="s">
        <v>1745</v>
      </c>
      <c r="B817" s="98"/>
      <c r="C817" s="2">
        <v>1</v>
      </c>
      <c r="D817" s="66">
        <f>'INSUMOS VARIOS'!B7</f>
        <v>5</v>
      </c>
      <c r="E817" s="39">
        <f>D817*C817</f>
        <v>5</v>
      </c>
      <c r="F817" s="1"/>
    </row>
    <row r="818" spans="1:7" x14ac:dyDescent="0.25">
      <c r="A818" s="3" t="s">
        <v>1746</v>
      </c>
      <c r="B818" s="98"/>
      <c r="C818" s="2"/>
      <c r="D818" s="6"/>
      <c r="E818" s="39">
        <v>3</v>
      </c>
      <c r="F818" s="1"/>
    </row>
    <row r="819" spans="1:7" x14ac:dyDescent="0.25">
      <c r="A819" s="3" t="s">
        <v>1558</v>
      </c>
      <c r="B819" s="98">
        <v>60</v>
      </c>
      <c r="C819" s="2">
        <v>10</v>
      </c>
      <c r="D819" s="66">
        <f>'INSUMOS VARIOS'!B3</f>
        <v>3500</v>
      </c>
      <c r="E819" s="39">
        <f>D819*C819/B819</f>
        <v>583.33333333333337</v>
      </c>
      <c r="F819" s="1"/>
    </row>
    <row r="820" spans="1:7" ht="16.5" thickBot="1" x14ac:dyDescent="0.3">
      <c r="A820" s="79" t="s">
        <v>525</v>
      </c>
      <c r="B820" s="99"/>
      <c r="C820" s="70"/>
      <c r="D820" s="85"/>
      <c r="E820" s="51">
        <f>SUM(E814:E819)</f>
        <v>2001.8239737274221</v>
      </c>
      <c r="F820" s="1"/>
    </row>
    <row r="821" spans="1:7" x14ac:dyDescent="0.25">
      <c r="A821" s="80" t="s">
        <v>544</v>
      </c>
      <c r="B821" s="100"/>
      <c r="C821" s="71"/>
      <c r="D821" s="71"/>
      <c r="E821" s="221">
        <f>E820*2</f>
        <v>4003.6479474548441</v>
      </c>
      <c r="F821" s="548">
        <f>E821+E821*25%</f>
        <v>5004.559934318555</v>
      </c>
      <c r="G821" s="203">
        <v>850</v>
      </c>
    </row>
    <row r="822" spans="1:7" ht="16.5" thickBot="1" x14ac:dyDescent="0.3">
      <c r="A822" s="81" t="s">
        <v>1559</v>
      </c>
      <c r="B822" s="101"/>
      <c r="C822" s="73"/>
      <c r="D822" s="73"/>
      <c r="E822" s="223"/>
      <c r="F822" s="549"/>
      <c r="G822" s="204">
        <f>G821*2</f>
        <v>1700</v>
      </c>
    </row>
    <row r="823" spans="1:7" ht="16.5" thickBot="1" x14ac:dyDescent="0.3"/>
    <row r="824" spans="1:7" ht="16.5" thickBot="1" x14ac:dyDescent="0.3">
      <c r="A824" s="1565" t="s">
        <v>137</v>
      </c>
      <c r="B824" s="1566"/>
      <c r="C824" s="1566"/>
      <c r="D824" s="1566"/>
      <c r="E824" s="1566"/>
      <c r="F824" s="1567"/>
    </row>
    <row r="825" spans="1:7" x14ac:dyDescent="0.25">
      <c r="A825" s="501" t="s">
        <v>916</v>
      </c>
      <c r="B825" s="502" t="s">
        <v>1073</v>
      </c>
      <c r="C825" s="503" t="s">
        <v>1089</v>
      </c>
      <c r="D825" s="503" t="s">
        <v>1547</v>
      </c>
      <c r="E825" s="503" t="s">
        <v>1035</v>
      </c>
      <c r="F825" s="504" t="s">
        <v>1549</v>
      </c>
      <c r="G825" s="1"/>
    </row>
    <row r="826" spans="1:7" x14ac:dyDescent="0.25">
      <c r="A826" s="184" t="s">
        <v>1747</v>
      </c>
      <c r="B826" s="2"/>
      <c r="C826" s="6"/>
      <c r="D826" s="6">
        <v>1</v>
      </c>
      <c r="E826" s="66">
        <f>'AROS, CADENAS, DIJES, ETC'!C117</f>
        <v>4027</v>
      </c>
      <c r="F826" s="39">
        <f>E826*D826</f>
        <v>4027</v>
      </c>
      <c r="G826" s="1"/>
    </row>
    <row r="827" spans="1:7" x14ac:dyDescent="0.25">
      <c r="A827" s="1613" t="s">
        <v>1748</v>
      </c>
      <c r="B827" s="2" t="s">
        <v>1323</v>
      </c>
      <c r="C827" s="6"/>
      <c r="D827" s="6">
        <v>6</v>
      </c>
      <c r="E827" s="66">
        <f>PERLAS!O5</f>
        <v>315.63636363636363</v>
      </c>
      <c r="F827" s="39">
        <f>E827*D827</f>
        <v>1893.8181818181818</v>
      </c>
      <c r="G827" s="1"/>
    </row>
    <row r="828" spans="1:7" x14ac:dyDescent="0.25">
      <c r="A828" s="1615"/>
      <c r="B828" s="230" t="s">
        <v>1749</v>
      </c>
      <c r="C828" s="6"/>
      <c r="D828" s="6">
        <v>2</v>
      </c>
      <c r="E828" s="66">
        <f>PERLAS!F7</f>
        <v>90.857142857142861</v>
      </c>
      <c r="F828" s="39">
        <f>E828*D828</f>
        <v>181.71428571428572</v>
      </c>
      <c r="G828" s="1"/>
    </row>
    <row r="829" spans="1:7" x14ac:dyDescent="0.25">
      <c r="A829" s="1613" t="s">
        <v>1050</v>
      </c>
      <c r="B829" s="1611" t="s">
        <v>1059</v>
      </c>
      <c r="C829" s="6"/>
      <c r="D829" s="6">
        <v>0.3</v>
      </c>
      <c r="E829" s="66">
        <f>FORNITURAS!W5</f>
        <v>906.42857142857144</v>
      </c>
      <c r="F829" s="39">
        <f>E829*D829</f>
        <v>271.92857142857144</v>
      </c>
      <c r="G829" s="1"/>
    </row>
    <row r="830" spans="1:7" x14ac:dyDescent="0.25">
      <c r="A830" s="1615"/>
      <c r="B830" s="1612"/>
      <c r="C830" s="6"/>
      <c r="D830" s="6">
        <v>0.06</v>
      </c>
      <c r="E830" s="66">
        <f>FORNITURAS!W5</f>
        <v>906.42857142857144</v>
      </c>
      <c r="F830" s="39">
        <f>E830*D830</f>
        <v>54.385714285714286</v>
      </c>
      <c r="G830" s="1"/>
    </row>
    <row r="831" spans="1:7" x14ac:dyDescent="0.25">
      <c r="A831" s="3" t="s">
        <v>1557</v>
      </c>
      <c r="B831" s="2"/>
      <c r="C831" s="6"/>
      <c r="D831" s="6"/>
      <c r="E831" s="66"/>
      <c r="F831" s="39">
        <f>PACKAGING!E3</f>
        <v>150</v>
      </c>
      <c r="G831" s="1"/>
    </row>
    <row r="832" spans="1:7" x14ac:dyDescent="0.25">
      <c r="A832" s="3" t="s">
        <v>1538</v>
      </c>
      <c r="B832" s="2"/>
      <c r="C832" s="6"/>
      <c r="D832" s="6"/>
      <c r="E832" s="66"/>
      <c r="F832" s="39">
        <f>PACKAGING!E8</f>
        <v>420</v>
      </c>
      <c r="G832" s="1"/>
    </row>
    <row r="833" spans="1:8" x14ac:dyDescent="0.25">
      <c r="A833" s="3" t="s">
        <v>1558</v>
      </c>
      <c r="B833" s="2">
        <v>60</v>
      </c>
      <c r="D833" s="6">
        <v>40</v>
      </c>
      <c r="E833" s="66">
        <f>'INSUMOS VARIOS'!B3</f>
        <v>3500</v>
      </c>
      <c r="F833" s="39">
        <f>E833*D833/B833</f>
        <v>2333.3333333333335</v>
      </c>
      <c r="G833" s="1"/>
    </row>
    <row r="834" spans="1:8" ht="16.5" thickBot="1" x14ac:dyDescent="0.3">
      <c r="A834" s="79" t="s">
        <v>525</v>
      </c>
      <c r="B834" s="70"/>
      <c r="C834" s="85"/>
      <c r="D834" s="85"/>
      <c r="E834" s="85"/>
      <c r="F834" s="640">
        <f>SUM(F826:F833)</f>
        <v>9332.1800865800869</v>
      </c>
      <c r="G834" s="1"/>
    </row>
    <row r="835" spans="1:8" ht="16.5" thickBot="1" x14ac:dyDescent="0.3">
      <c r="A835" s="79" t="s">
        <v>544</v>
      </c>
      <c r="B835" s="70"/>
      <c r="C835" s="85"/>
      <c r="D835" s="85"/>
      <c r="E835" s="85"/>
      <c r="F835" s="51">
        <f>F834*2</f>
        <v>18664.360173160174</v>
      </c>
      <c r="G835" s="609">
        <f>F835+F835*25%</f>
        <v>23330.450216450219</v>
      </c>
      <c r="H835" s="499">
        <v>5150</v>
      </c>
    </row>
    <row r="836" spans="1:8" ht="16.5" thickBot="1" x14ac:dyDescent="0.3">
      <c r="A836" s="275" t="s">
        <v>1559</v>
      </c>
      <c r="B836" s="269"/>
      <c r="C836" s="269"/>
      <c r="D836" s="269"/>
      <c r="E836" s="269"/>
      <c r="F836" s="608"/>
      <c r="G836" s="608"/>
      <c r="H836" s="608">
        <f>H835*2</f>
        <v>10300</v>
      </c>
    </row>
    <row r="838" spans="1:8" x14ac:dyDescent="0.25">
      <c r="A838" s="1602" t="s">
        <v>135</v>
      </c>
      <c r="B838" s="1600"/>
      <c r="C838" s="1600"/>
      <c r="D838" s="1600"/>
      <c r="E838" s="1600"/>
      <c r="F838" s="1600"/>
      <c r="G838" s="1"/>
      <c r="H838" s="1"/>
    </row>
    <row r="839" spans="1:8" x14ac:dyDescent="0.25">
      <c r="A839" s="183"/>
      <c r="B839" s="97" t="s">
        <v>742</v>
      </c>
      <c r="C839" s="97" t="s">
        <v>1547</v>
      </c>
      <c r="D839" s="76" t="s">
        <v>1089</v>
      </c>
      <c r="E839" s="108" t="s">
        <v>1035</v>
      </c>
      <c r="F839" s="77" t="s">
        <v>1549</v>
      </c>
      <c r="G839" s="1"/>
      <c r="H839" s="1"/>
    </row>
    <row r="840" spans="1:8" x14ac:dyDescent="0.25">
      <c r="A840" s="104" t="s">
        <v>1597</v>
      </c>
      <c r="B840" s="148"/>
      <c r="C840" s="148">
        <v>1</v>
      </c>
      <c r="D840" s="107"/>
      <c r="E840" s="109">
        <f>PERLAS!O23</f>
        <v>1524.4444444444443</v>
      </c>
      <c r="F840" s="110">
        <f>E840*C840</f>
        <v>1524.4444444444443</v>
      </c>
      <c r="G840" s="1"/>
      <c r="H840" s="1"/>
    </row>
    <row r="841" spans="1:8" x14ac:dyDescent="0.25">
      <c r="A841" s="104" t="s">
        <v>1050</v>
      </c>
      <c r="B841" s="148" t="s">
        <v>1059</v>
      </c>
      <c r="C841" s="148">
        <v>1</v>
      </c>
      <c r="D841" s="107">
        <v>0.12</v>
      </c>
      <c r="E841" s="109">
        <f>FORNITURAS!W5</f>
        <v>906.42857142857144</v>
      </c>
      <c r="F841" s="110">
        <f>E841*D841</f>
        <v>108.77142857142857</v>
      </c>
      <c r="G841" s="1"/>
      <c r="H841" s="1"/>
    </row>
    <row r="842" spans="1:8" x14ac:dyDescent="0.25">
      <c r="A842" s="104" t="s">
        <v>1586</v>
      </c>
      <c r="B842" s="148"/>
      <c r="C842" s="148">
        <v>4</v>
      </c>
      <c r="D842" s="107"/>
      <c r="E842" s="109">
        <f>FORNITURAS!D17</f>
        <v>45.05</v>
      </c>
      <c r="F842" s="110">
        <f>E842*C842</f>
        <v>180.2</v>
      </c>
      <c r="G842" s="1"/>
      <c r="H842" s="1"/>
    </row>
    <row r="843" spans="1:8" x14ac:dyDescent="0.25">
      <c r="A843" s="1701" t="s">
        <v>1224</v>
      </c>
      <c r="B843" s="2"/>
      <c r="C843" s="2">
        <v>2</v>
      </c>
      <c r="D843" s="2">
        <v>0.26</v>
      </c>
      <c r="E843" s="109">
        <f>'HILOS-CORDONES-TANZA-CUERO'!E5</f>
        <v>50.35</v>
      </c>
      <c r="F843" s="110">
        <f>D843*E843*C843</f>
        <v>26.182000000000002</v>
      </c>
      <c r="G843" s="1"/>
      <c r="H843" s="1"/>
    </row>
    <row r="844" spans="1:8" x14ac:dyDescent="0.25">
      <c r="A844" s="1702"/>
      <c r="B844" s="202"/>
      <c r="C844" s="202">
        <v>1</v>
      </c>
      <c r="D844" s="2">
        <v>0.1</v>
      </c>
      <c r="E844" s="109">
        <f>E843</f>
        <v>50.35</v>
      </c>
      <c r="F844" s="110">
        <f>D844*E844*C844</f>
        <v>5.0350000000000001</v>
      </c>
      <c r="G844" s="1"/>
      <c r="H844" s="1"/>
    </row>
    <row r="845" spans="1:8" x14ac:dyDescent="0.25">
      <c r="A845" s="3" t="s">
        <v>1557</v>
      </c>
      <c r="B845" s="98"/>
      <c r="C845" s="98"/>
      <c r="D845" s="2"/>
      <c r="E845" s="6"/>
      <c r="F845" s="39">
        <f>PACKAGING!E12</f>
        <v>50</v>
      </c>
      <c r="G845" s="1"/>
      <c r="H845" s="1"/>
    </row>
    <row r="846" spans="1:8" x14ac:dyDescent="0.25">
      <c r="A846" s="3" t="s">
        <v>1558</v>
      </c>
      <c r="B846" s="98">
        <v>60</v>
      </c>
      <c r="C846" s="98">
        <v>15</v>
      </c>
      <c r="D846" s="2"/>
      <c r="E846" s="66">
        <f>'INSUMOS VARIOS'!B3</f>
        <v>3500</v>
      </c>
      <c r="F846" s="39">
        <f>E846*C846/B846</f>
        <v>875</v>
      </c>
      <c r="G846" s="1"/>
      <c r="H846" s="1"/>
    </row>
    <row r="847" spans="1:8" x14ac:dyDescent="0.25">
      <c r="A847" s="3" t="s">
        <v>1750</v>
      </c>
      <c r="B847" s="98">
        <v>60</v>
      </c>
      <c r="C847" s="98">
        <v>10</v>
      </c>
      <c r="D847" s="2"/>
      <c r="E847" s="66">
        <f>E846</f>
        <v>3500</v>
      </c>
      <c r="F847" s="39">
        <f>E847*C847/B847</f>
        <v>583.33333333333337</v>
      </c>
      <c r="G847" s="1"/>
      <c r="H847" s="1"/>
    </row>
    <row r="848" spans="1:8" ht="16.5" thickBot="1" x14ac:dyDescent="0.3">
      <c r="A848" s="79" t="s">
        <v>525</v>
      </c>
      <c r="B848" s="99"/>
      <c r="C848" s="99"/>
      <c r="D848" s="70"/>
      <c r="E848" s="85"/>
      <c r="F848" s="51">
        <f>SUM(F840:F847)</f>
        <v>3352.9662063492065</v>
      </c>
      <c r="G848" s="1"/>
      <c r="H848" s="1"/>
    </row>
    <row r="849" spans="1:17" ht="18.75" x14ac:dyDescent="0.25">
      <c r="A849" s="80" t="s">
        <v>544</v>
      </c>
      <c r="B849" s="100"/>
      <c r="C849" s="100"/>
      <c r="D849" s="71"/>
      <c r="E849" s="71"/>
      <c r="F849" s="72">
        <f>F848*2</f>
        <v>6705.9324126984129</v>
      </c>
      <c r="G849" s="512">
        <f>F849+F849*25%</f>
        <v>8382.4155158730155</v>
      </c>
      <c r="H849" s="75">
        <v>1690</v>
      </c>
    </row>
    <row r="850" spans="1:17" ht="19.5" thickBot="1" x14ac:dyDescent="0.3">
      <c r="A850" s="81" t="s">
        <v>1559</v>
      </c>
      <c r="B850" s="101"/>
      <c r="C850" s="101"/>
      <c r="D850" s="73"/>
      <c r="E850" s="73"/>
      <c r="F850" s="73"/>
      <c r="G850" s="528"/>
      <c r="H850" s="74">
        <f>H849*2</f>
        <v>3380</v>
      </c>
    </row>
    <row r="851" spans="1:17" ht="16.5" thickBot="1" x14ac:dyDescent="0.3"/>
    <row r="852" spans="1:17" ht="16.5" thickBot="1" x14ac:dyDescent="0.3">
      <c r="A852" s="1565" t="s">
        <v>1751</v>
      </c>
      <c r="B852" s="1566"/>
      <c r="C852" s="1566"/>
      <c r="D852" s="1566"/>
      <c r="E852" s="1566"/>
      <c r="F852" s="1567"/>
      <c r="G852"/>
      <c r="H852"/>
      <c r="J852" s="1565" t="s">
        <v>1752</v>
      </c>
      <c r="K852" s="1566"/>
      <c r="L852" s="1566"/>
      <c r="M852" s="1566"/>
      <c r="N852" s="1566"/>
      <c r="O852" s="1567"/>
      <c r="P852"/>
      <c r="Q852"/>
    </row>
    <row r="853" spans="1:17" x14ac:dyDescent="0.25">
      <c r="A853" s="183" t="s">
        <v>916</v>
      </c>
      <c r="B853" s="97"/>
      <c r="C853" s="97" t="s">
        <v>1607</v>
      </c>
      <c r="D853" s="97" t="s">
        <v>1566</v>
      </c>
      <c r="E853" s="76" t="s">
        <v>1035</v>
      </c>
      <c r="F853" s="77" t="s">
        <v>1549</v>
      </c>
      <c r="G853" s="1"/>
      <c r="H853"/>
      <c r="J853" s="183" t="s">
        <v>916</v>
      </c>
      <c r="K853" s="97"/>
      <c r="L853" s="97" t="s">
        <v>1607</v>
      </c>
      <c r="M853" s="97" t="s">
        <v>1566</v>
      </c>
      <c r="N853" s="76" t="s">
        <v>1035</v>
      </c>
      <c r="O853" s="77" t="s">
        <v>1549</v>
      </c>
      <c r="P853" s="1"/>
      <c r="Q853"/>
    </row>
    <row r="854" spans="1:17" x14ac:dyDescent="0.25">
      <c r="A854" s="3" t="s">
        <v>1224</v>
      </c>
      <c r="B854" s="98"/>
      <c r="C854" s="98">
        <v>0.55000000000000004</v>
      </c>
      <c r="D854" s="98">
        <v>1</v>
      </c>
      <c r="E854" s="102" t="e">
        <f>'HILOS-CORDONES-TANZA-CUERO'!#REF!</f>
        <v>#REF!</v>
      </c>
      <c r="F854" s="39" t="e">
        <f>C854*D854*E854</f>
        <v>#REF!</v>
      </c>
      <c r="G854" s="1"/>
      <c r="H854"/>
      <c r="J854" s="3" t="s">
        <v>1224</v>
      </c>
      <c r="K854" s="98"/>
      <c r="L854" s="98">
        <v>0.55000000000000004</v>
      </c>
      <c r="M854" s="98">
        <v>1</v>
      </c>
      <c r="N854" s="102" t="e">
        <f>E854</f>
        <v>#REF!</v>
      </c>
      <c r="O854" s="39" t="e">
        <f>L854*M854*N854</f>
        <v>#REF!</v>
      </c>
      <c r="P854" s="1"/>
      <c r="Q854"/>
    </row>
    <row r="855" spans="1:17" x14ac:dyDescent="0.25">
      <c r="A855" s="1613" t="s">
        <v>1552</v>
      </c>
      <c r="B855" s="2">
        <v>0.39</v>
      </c>
      <c r="C855" s="98">
        <v>9.5000000000000001E-2</v>
      </c>
      <c r="D855" s="98">
        <v>1</v>
      </c>
      <c r="E855" s="102">
        <f>'PALAIS DU BIJOU'!N7</f>
        <v>250</v>
      </c>
      <c r="F855" s="39">
        <f>C855*D855*E855/B855</f>
        <v>60.897435897435898</v>
      </c>
      <c r="G855" s="1"/>
      <c r="H855"/>
      <c r="J855" s="1613" t="s">
        <v>1552</v>
      </c>
      <c r="K855" s="2">
        <v>0.39</v>
      </c>
      <c r="L855" s="98">
        <v>0.01</v>
      </c>
      <c r="M855" s="98">
        <v>3</v>
      </c>
      <c r="N855" s="102">
        <f>'PALAIS DU BIJOU'!N7</f>
        <v>250</v>
      </c>
      <c r="O855" s="39">
        <f>L855*M855*N855/K855</f>
        <v>19.23076923076923</v>
      </c>
      <c r="P855" s="1"/>
      <c r="Q855"/>
    </row>
    <row r="856" spans="1:17" x14ac:dyDescent="0.25">
      <c r="A856" s="1615"/>
      <c r="B856" s="2">
        <v>0.39</v>
      </c>
      <c r="C856" s="98">
        <v>3.5000000000000003E-2</v>
      </c>
      <c r="D856" s="98">
        <v>1</v>
      </c>
      <c r="E856" s="102">
        <f>E855</f>
        <v>250</v>
      </c>
      <c r="F856" s="39">
        <f>C856*D856*E856/B856</f>
        <v>22.435897435897434</v>
      </c>
      <c r="G856" s="1"/>
      <c r="H856"/>
      <c r="J856" s="1615"/>
      <c r="K856" s="2">
        <v>0.39</v>
      </c>
      <c r="L856" s="98">
        <v>0.16500000000000001</v>
      </c>
      <c r="M856" s="98">
        <v>1</v>
      </c>
      <c r="N856" s="102">
        <f>N855</f>
        <v>250</v>
      </c>
      <c r="O856" s="39">
        <f>L856*M856*N856/K856</f>
        <v>105.76923076923076</v>
      </c>
      <c r="P856" s="1"/>
      <c r="Q856"/>
    </row>
    <row r="857" spans="1:17" x14ac:dyDescent="0.25">
      <c r="A857" s="1701" t="s">
        <v>1662</v>
      </c>
      <c r="B857" s="98" t="s">
        <v>1409</v>
      </c>
      <c r="C857" s="98"/>
      <c r="D857" s="98">
        <v>6</v>
      </c>
      <c r="E857" s="102">
        <f>'PALAIS DU BIJOU'!M25</f>
        <v>0.62142857142857144</v>
      </c>
      <c r="F857" s="39">
        <f>D857*E857</f>
        <v>3.7285714285714286</v>
      </c>
      <c r="G857" s="1"/>
      <c r="H857"/>
      <c r="J857" s="1701" t="s">
        <v>1662</v>
      </c>
      <c r="K857" s="98" t="s">
        <v>1409</v>
      </c>
      <c r="L857" s="98"/>
      <c r="M857" s="98">
        <v>6</v>
      </c>
      <c r="N857" s="102">
        <f>'PALAIS DU BIJOU'!M25</f>
        <v>0.62142857142857144</v>
      </c>
      <c r="O857" s="39">
        <f>M857*N857</f>
        <v>3.7285714285714286</v>
      </c>
      <c r="P857" s="1"/>
      <c r="Q857"/>
    </row>
    <row r="858" spans="1:17" x14ac:dyDescent="0.25">
      <c r="A858" s="1702"/>
      <c r="B858" s="98" t="s">
        <v>1411</v>
      </c>
      <c r="C858" s="98"/>
      <c r="D858" s="98">
        <v>4</v>
      </c>
      <c r="E858" s="102">
        <f>'PALAIS DU BIJOU'!M26</f>
        <v>2.4333333333333331</v>
      </c>
      <c r="F858" s="39">
        <f>D858*E858</f>
        <v>9.7333333333333325</v>
      </c>
      <c r="G858" s="1"/>
      <c r="H858"/>
      <c r="J858" s="1702"/>
      <c r="K858" s="98" t="s">
        <v>1411</v>
      </c>
      <c r="L858" s="98"/>
      <c r="M858" s="98">
        <v>3</v>
      </c>
      <c r="N858" s="102">
        <f>'PALAIS DU BIJOU'!M26</f>
        <v>2.4333333333333331</v>
      </c>
      <c r="O858" s="39">
        <f>M858*N858</f>
        <v>7.2999999999999989</v>
      </c>
      <c r="P858" s="1"/>
      <c r="Q858"/>
    </row>
    <row r="859" spans="1:17" x14ac:dyDescent="0.25">
      <c r="A859" s="184" t="s">
        <v>1753</v>
      </c>
      <c r="B859" s="98"/>
      <c r="C859" s="98"/>
      <c r="D859" s="98">
        <v>3</v>
      </c>
      <c r="E859" s="102">
        <f>'INSUMOS VARIOS'!K45</f>
        <v>44.375</v>
      </c>
      <c r="F859" s="39">
        <f>E859*D859</f>
        <v>133.125</v>
      </c>
      <c r="G859" s="1"/>
      <c r="H859"/>
      <c r="J859" s="184" t="s">
        <v>1753</v>
      </c>
      <c r="K859" s="98"/>
      <c r="L859" s="98"/>
      <c r="M859" s="98">
        <v>2</v>
      </c>
      <c r="N859" s="102">
        <f>'INSUMOS VARIOS'!K43</f>
        <v>44.375</v>
      </c>
      <c r="O859" s="39">
        <f>N859*M859</f>
        <v>88.75</v>
      </c>
      <c r="P859" s="1"/>
      <c r="Q859"/>
    </row>
    <row r="860" spans="1:17" x14ac:dyDescent="0.25">
      <c r="A860" s="184" t="s">
        <v>1754</v>
      </c>
      <c r="B860" s="98"/>
      <c r="C860" s="98"/>
      <c r="D860" s="98">
        <v>3</v>
      </c>
      <c r="E860" s="102">
        <f>VIDRIOS!E13</f>
        <v>18.888888888888889</v>
      </c>
      <c r="F860" s="39">
        <f>E860*D860</f>
        <v>56.666666666666671</v>
      </c>
      <c r="G860" s="1"/>
      <c r="H860"/>
      <c r="J860" s="184" t="s">
        <v>1676</v>
      </c>
      <c r="K860" s="98"/>
      <c r="L860" s="98"/>
      <c r="M860" s="98">
        <v>5</v>
      </c>
      <c r="N860" s="102">
        <f>'INSUMOS VARIOS'!K18</f>
        <v>1.7992471769134253</v>
      </c>
      <c r="O860" s="39">
        <f>N860*M860</f>
        <v>8.9962358845671258</v>
      </c>
      <c r="P860" s="1"/>
      <c r="Q860"/>
    </row>
    <row r="861" spans="1:17" x14ac:dyDescent="0.25">
      <c r="A861" s="184" t="s">
        <v>1755</v>
      </c>
      <c r="B861" s="98"/>
      <c r="C861" s="98"/>
      <c r="D861" s="98">
        <v>1</v>
      </c>
      <c r="E861" s="102">
        <f>VIDRIOS!E5</f>
        <v>56.666666666666664</v>
      </c>
      <c r="F861" s="39">
        <f>E861*D861</f>
        <v>56.666666666666664</v>
      </c>
      <c r="G861" s="1"/>
      <c r="H861"/>
      <c r="J861" s="184" t="s">
        <v>1572</v>
      </c>
      <c r="K861" s="98"/>
      <c r="L861" s="98"/>
      <c r="M861" s="98">
        <v>2</v>
      </c>
      <c r="N861" s="102">
        <v>3</v>
      </c>
      <c r="O861" s="39">
        <f>N861*M861</f>
        <v>6</v>
      </c>
      <c r="P861" s="1"/>
      <c r="Q861"/>
    </row>
    <row r="862" spans="1:17" x14ac:dyDescent="0.25">
      <c r="A862" s="184" t="s">
        <v>1676</v>
      </c>
      <c r="B862" s="98"/>
      <c r="C862" s="98"/>
      <c r="D862" s="98">
        <v>5</v>
      </c>
      <c r="E862" s="102">
        <f>'INSUMOS VARIOS'!K19</f>
        <v>1.7992565055762082</v>
      </c>
      <c r="F862" s="39">
        <f>E862*D862</f>
        <v>8.996282527881041</v>
      </c>
      <c r="G862" s="1"/>
      <c r="H862"/>
      <c r="J862" s="184" t="s">
        <v>1557</v>
      </c>
      <c r="K862" s="98"/>
      <c r="L862" s="98"/>
      <c r="M862" s="98"/>
      <c r="N862" s="102"/>
      <c r="O862" s="39">
        <f>PACKAGING!E4</f>
        <v>80</v>
      </c>
      <c r="P862" s="1"/>
      <c r="Q862"/>
    </row>
    <row r="863" spans="1:17" x14ac:dyDescent="0.25">
      <c r="A863" s="184" t="s">
        <v>1572</v>
      </c>
      <c r="B863" s="98"/>
      <c r="C863" s="98"/>
      <c r="D863" s="98">
        <v>2</v>
      </c>
      <c r="E863" s="102">
        <v>3</v>
      </c>
      <c r="F863" s="39">
        <f>E863*D863</f>
        <v>6</v>
      </c>
      <c r="G863" s="1"/>
      <c r="H863"/>
      <c r="J863" s="184" t="s">
        <v>1721</v>
      </c>
      <c r="K863" s="98"/>
      <c r="L863" s="98"/>
      <c r="M863" s="98"/>
      <c r="N863" s="102"/>
      <c r="O863" s="39">
        <f>PACKAGING!E7</f>
        <v>170</v>
      </c>
      <c r="P863" s="1"/>
      <c r="Q863"/>
    </row>
    <row r="864" spans="1:17" x14ac:dyDescent="0.25">
      <c r="A864" s="184" t="s">
        <v>1557</v>
      </c>
      <c r="B864" s="98"/>
      <c r="C864" s="98"/>
      <c r="D864" s="98"/>
      <c r="E864" s="102"/>
      <c r="F864" s="39">
        <f>PACKAGING!E4</f>
        <v>80</v>
      </c>
      <c r="G864" s="1"/>
      <c r="H864"/>
      <c r="J864" s="3" t="s">
        <v>1558</v>
      </c>
      <c r="K864" s="98">
        <v>60</v>
      </c>
      <c r="L864" s="98"/>
      <c r="M864" s="98">
        <v>15</v>
      </c>
      <c r="N864" s="102">
        <f>'INSUMOS VARIOS'!B3</f>
        <v>3500</v>
      </c>
      <c r="O864" s="39">
        <f>N864*M864/K864</f>
        <v>875</v>
      </c>
      <c r="P864" s="1"/>
      <c r="Q864"/>
    </row>
    <row r="865" spans="1:17" ht="16.5" thickBot="1" x14ac:dyDescent="0.3">
      <c r="A865" s="184" t="s">
        <v>1721</v>
      </c>
      <c r="B865" s="98"/>
      <c r="C865" s="98"/>
      <c r="D865" s="98"/>
      <c r="E865" s="102"/>
      <c r="F865" s="39">
        <f>PACKAGING!E7</f>
        <v>170</v>
      </c>
      <c r="G865" s="1"/>
      <c r="H865"/>
      <c r="J865" s="79" t="s">
        <v>525</v>
      </c>
      <c r="K865" s="99"/>
      <c r="L865" s="99"/>
      <c r="M865" s="99"/>
      <c r="N865" s="70"/>
      <c r="O865" s="51" t="e">
        <f>SUM(O854:O864)</f>
        <v>#REF!</v>
      </c>
      <c r="P865" s="1"/>
      <c r="Q865"/>
    </row>
    <row r="866" spans="1:17" ht="18.75" x14ac:dyDescent="0.25">
      <c r="A866" s="3" t="s">
        <v>1558</v>
      </c>
      <c r="B866" s="98">
        <v>60</v>
      </c>
      <c r="C866" s="98"/>
      <c r="D866" s="98">
        <v>15</v>
      </c>
      <c r="E866" s="102">
        <f>E847</f>
        <v>3500</v>
      </c>
      <c r="F866" s="39">
        <f>E866*D866/B866</f>
        <v>875</v>
      </c>
      <c r="G866" s="1"/>
      <c r="H866"/>
      <c r="J866" s="80" t="s">
        <v>544</v>
      </c>
      <c r="K866" s="100"/>
      <c r="L866" s="100"/>
      <c r="M866" s="100"/>
      <c r="N866" s="71"/>
      <c r="O866" s="72" t="e">
        <f>O865*2</f>
        <v>#REF!</v>
      </c>
      <c r="P866" s="512" t="e">
        <f>O866+O866*25%</f>
        <v>#REF!</v>
      </c>
      <c r="Q866" s="75">
        <v>1250</v>
      </c>
    </row>
    <row r="867" spans="1:17" ht="19.5" thickBot="1" x14ac:dyDescent="0.3">
      <c r="A867" s="79" t="s">
        <v>525</v>
      </c>
      <c r="B867" s="99"/>
      <c r="C867" s="99"/>
      <c r="D867" s="99"/>
      <c r="E867" s="70"/>
      <c r="F867" s="51" t="e">
        <f>SUM(F854:F866)</f>
        <v>#REF!</v>
      </c>
      <c r="G867" s="1"/>
      <c r="H867"/>
      <c r="J867" s="81" t="s">
        <v>1559</v>
      </c>
      <c r="K867" s="101"/>
      <c r="L867" s="101"/>
      <c r="M867" s="101"/>
      <c r="N867" s="73"/>
      <c r="O867" s="73"/>
      <c r="P867" s="522"/>
      <c r="Q867" s="74">
        <f>Q866*2</f>
        <v>2500</v>
      </c>
    </row>
    <row r="868" spans="1:17" ht="18.75" x14ac:dyDescent="0.25">
      <c r="A868" s="80" t="s">
        <v>544</v>
      </c>
      <c r="B868" s="100"/>
      <c r="C868" s="100"/>
      <c r="D868" s="100"/>
      <c r="E868" s="71"/>
      <c r="F868" s="72" t="e">
        <f>F867*2</f>
        <v>#REF!</v>
      </c>
      <c r="G868" s="512" t="e">
        <f>F868+F868*25%</f>
        <v>#REF!</v>
      </c>
      <c r="H868" s="75">
        <v>1250</v>
      </c>
    </row>
    <row r="869" spans="1:17" ht="19.5" thickBot="1" x14ac:dyDescent="0.3">
      <c r="A869" s="81" t="s">
        <v>1559</v>
      </c>
      <c r="B869" s="101"/>
      <c r="C869" s="101"/>
      <c r="D869" s="101"/>
      <c r="E869" s="73"/>
      <c r="F869" s="73"/>
      <c r="G869" s="522"/>
      <c r="H869" s="74">
        <f>H868*2</f>
        <v>2500</v>
      </c>
    </row>
    <row r="871" spans="1:17" x14ac:dyDescent="0.25">
      <c r="A871" s="1602" t="s">
        <v>1756</v>
      </c>
      <c r="B871" s="1600"/>
      <c r="C871" s="1600"/>
      <c r="D871" s="1600"/>
      <c r="E871" s="1600"/>
      <c r="F871" s="1600"/>
      <c r="G871"/>
    </row>
    <row r="872" spans="1:17" x14ac:dyDescent="0.25">
      <c r="A872" s="183" t="s">
        <v>916</v>
      </c>
      <c r="B872" s="97" t="s">
        <v>743</v>
      </c>
      <c r="C872" s="97" t="s">
        <v>1089</v>
      </c>
      <c r="D872" s="97" t="s">
        <v>1566</v>
      </c>
      <c r="E872" s="76" t="s">
        <v>1035</v>
      </c>
      <c r="F872" s="77" t="s">
        <v>1549</v>
      </c>
      <c r="G872" s="1"/>
    </row>
    <row r="873" spans="1:17" x14ac:dyDescent="0.25">
      <c r="A873" s="189" t="s">
        <v>908</v>
      </c>
      <c r="B873" s="98"/>
      <c r="C873" s="98"/>
      <c r="D873" s="98">
        <v>0.1</v>
      </c>
      <c r="E873" s="102">
        <f>'AROS, CADENAS, DIJES, ETC'!I38</f>
        <v>3630</v>
      </c>
      <c r="F873" s="39">
        <f>E873*D873</f>
        <v>363</v>
      </c>
      <c r="G873" s="1"/>
    </row>
    <row r="874" spans="1:17" x14ac:dyDescent="0.25">
      <c r="A874" s="184" t="s">
        <v>1485</v>
      </c>
      <c r="B874" s="98">
        <v>0.5</v>
      </c>
      <c r="C874" s="98">
        <v>0.36</v>
      </c>
      <c r="D874" s="98">
        <v>1</v>
      </c>
      <c r="E874" s="102">
        <f>VIDRIOS!D43</f>
        <v>2500</v>
      </c>
      <c r="F874" s="374">
        <f>(E874*C874/B874)*D874</f>
        <v>1800</v>
      </c>
      <c r="G874" s="1"/>
    </row>
    <row r="875" spans="1:17" x14ac:dyDescent="0.25">
      <c r="A875" s="1613" t="s">
        <v>1555</v>
      </c>
      <c r="B875" s="98" t="s">
        <v>1556</v>
      </c>
      <c r="C875" s="98"/>
      <c r="D875" s="98">
        <v>2</v>
      </c>
      <c r="E875" s="102">
        <f>FORNITURAS!D4</f>
        <v>48.7</v>
      </c>
      <c r="F875" s="39">
        <f t="shared" ref="F875:F880" si="13">E875*D875</f>
        <v>97.4</v>
      </c>
      <c r="G875" s="1"/>
    </row>
    <row r="876" spans="1:17" x14ac:dyDescent="0.25">
      <c r="A876" s="1615"/>
      <c r="B876" s="98" t="s">
        <v>1573</v>
      </c>
      <c r="C876" s="98"/>
      <c r="D876" s="98">
        <v>1</v>
      </c>
      <c r="E876" s="102">
        <f>FORNITURAS!D7</f>
        <v>52</v>
      </c>
      <c r="F876" s="39">
        <f t="shared" si="13"/>
        <v>52</v>
      </c>
      <c r="G876" s="1"/>
    </row>
    <row r="877" spans="1:17" x14ac:dyDescent="0.25">
      <c r="A877" s="331" t="s">
        <v>1587</v>
      </c>
      <c r="B877" s="98"/>
      <c r="C877" s="98"/>
      <c r="D877" s="98">
        <v>1</v>
      </c>
      <c r="E877" s="102">
        <f>FORNITURAS!D18</f>
        <v>363</v>
      </c>
      <c r="F877" s="39">
        <f t="shared" si="13"/>
        <v>363</v>
      </c>
      <c r="G877" s="1"/>
    </row>
    <row r="878" spans="1:17" x14ac:dyDescent="0.25">
      <c r="A878" s="184" t="s">
        <v>1018</v>
      </c>
      <c r="B878" s="98"/>
      <c r="C878" s="98"/>
      <c r="D878" s="98">
        <v>2</v>
      </c>
      <c r="E878" s="102">
        <f>FORNITURAS!D26</f>
        <v>297.14285714285717</v>
      </c>
      <c r="F878" s="39">
        <f t="shared" si="13"/>
        <v>594.28571428571433</v>
      </c>
      <c r="G878" s="1"/>
    </row>
    <row r="879" spans="1:17" x14ac:dyDescent="0.25">
      <c r="A879" s="184" t="s">
        <v>1424</v>
      </c>
      <c r="B879" s="98"/>
      <c r="C879" s="98"/>
      <c r="D879" s="98">
        <v>0.46</v>
      </c>
      <c r="E879" s="102">
        <f>'HILOS-CORDONES-TANZA-CUERO'!L3</f>
        <v>6.8</v>
      </c>
      <c r="F879" s="39">
        <f t="shared" si="13"/>
        <v>3.1280000000000001</v>
      </c>
      <c r="G879" s="1"/>
    </row>
    <row r="880" spans="1:17" x14ac:dyDescent="0.25">
      <c r="A880" s="3" t="s">
        <v>1012</v>
      </c>
      <c r="B880" s="98"/>
      <c r="C880" s="98"/>
      <c r="D880" s="98">
        <v>2</v>
      </c>
      <c r="E880" s="102">
        <f>FORNITURAS!D17</f>
        <v>45.05</v>
      </c>
      <c r="F880" s="39">
        <f t="shared" si="13"/>
        <v>90.1</v>
      </c>
      <c r="G880" s="1"/>
    </row>
    <row r="881" spans="1:8" x14ac:dyDescent="0.25">
      <c r="A881" s="104" t="s">
        <v>1557</v>
      </c>
      <c r="B881" s="98" t="s">
        <v>1535</v>
      </c>
      <c r="C881" s="98"/>
      <c r="D881" s="98"/>
      <c r="E881" s="2"/>
      <c r="F881" s="39">
        <f>PACKAGING!E4</f>
        <v>80</v>
      </c>
      <c r="G881" s="1"/>
    </row>
    <row r="882" spans="1:8" x14ac:dyDescent="0.25">
      <c r="A882" s="104" t="s">
        <v>1634</v>
      </c>
      <c r="B882" s="98"/>
      <c r="C882" s="98"/>
      <c r="D882" s="98"/>
      <c r="E882" s="2"/>
      <c r="F882" s="39">
        <f>PACKAGING!E7</f>
        <v>170</v>
      </c>
      <c r="G882" s="1"/>
    </row>
    <row r="883" spans="1:8" x14ac:dyDescent="0.25">
      <c r="A883" s="104" t="s">
        <v>1670</v>
      </c>
      <c r="B883" s="98"/>
      <c r="C883" s="98"/>
      <c r="D883" s="98"/>
      <c r="E883" s="2"/>
      <c r="F883" s="39">
        <f>PACKAGING!E8</f>
        <v>420</v>
      </c>
      <c r="G883" s="1"/>
    </row>
    <row r="884" spans="1:8" x14ac:dyDescent="0.25">
      <c r="A884" s="3" t="s">
        <v>1618</v>
      </c>
      <c r="B884" s="98">
        <v>60</v>
      </c>
      <c r="C884" s="98">
        <v>30</v>
      </c>
      <c r="D884" s="98"/>
      <c r="E884" s="102">
        <f>'INSUMOS VARIOS'!B3</f>
        <v>3500</v>
      </c>
      <c r="F884" s="39">
        <f>E884*C884/B884</f>
        <v>1750</v>
      </c>
      <c r="G884" s="1"/>
    </row>
    <row r="885" spans="1:8" ht="16.5" thickBot="1" x14ac:dyDescent="0.3">
      <c r="A885" s="79" t="s">
        <v>525</v>
      </c>
      <c r="B885" s="99"/>
      <c r="C885" s="99"/>
      <c r="D885" s="99"/>
      <c r="E885" s="70"/>
      <c r="F885" s="51">
        <f>SUM(F873:F884)</f>
        <v>5782.9137142857144</v>
      </c>
      <c r="G885" s="1"/>
    </row>
    <row r="886" spans="1:8" x14ac:dyDescent="0.25">
      <c r="A886" s="80" t="s">
        <v>544</v>
      </c>
      <c r="B886" s="100"/>
      <c r="C886" s="100"/>
      <c r="D886" s="100"/>
      <c r="E886" s="71"/>
      <c r="F886" s="72">
        <f>F885*2</f>
        <v>11565.827428571429</v>
      </c>
      <c r="G886" s="481">
        <f>F886+F886*30%</f>
        <v>15035.575657142857</v>
      </c>
      <c r="H886" s="203">
        <v>3000</v>
      </c>
    </row>
    <row r="887" spans="1:8" ht="16.5" thickBot="1" x14ac:dyDescent="0.3">
      <c r="A887" s="81" t="s">
        <v>1559</v>
      </c>
      <c r="B887" s="101"/>
      <c r="C887" s="101"/>
      <c r="D887" s="101"/>
      <c r="E887" s="73"/>
      <c r="F887" s="73"/>
      <c r="G887" s="482"/>
      <c r="H887" s="204">
        <f>H886*2</f>
        <v>6000</v>
      </c>
    </row>
  </sheetData>
  <mergeCells count="125">
    <mergeCell ref="A565:A566"/>
    <mergeCell ref="A690:E690"/>
    <mergeCell ref="A676:E676"/>
    <mergeCell ref="A680:A681"/>
    <mergeCell ref="A665:D665"/>
    <mergeCell ref="A653:E653"/>
    <mergeCell ref="A608:E608"/>
    <mergeCell ref="A597:F597"/>
    <mergeCell ref="A599:A600"/>
    <mergeCell ref="A640:A641"/>
    <mergeCell ref="A586:F586"/>
    <mergeCell ref="A588:A591"/>
    <mergeCell ref="A637:F637"/>
    <mergeCell ref="A618:G618"/>
    <mergeCell ref="A622:A623"/>
    <mergeCell ref="H563:L563"/>
    <mergeCell ref="H565:H566"/>
    <mergeCell ref="A575:E575"/>
    <mergeCell ref="A577:A578"/>
    <mergeCell ref="B577:B578"/>
    <mergeCell ref="A563:E563"/>
    <mergeCell ref="A74:A77"/>
    <mergeCell ref="A72:E72"/>
    <mergeCell ref="A169:E169"/>
    <mergeCell ref="A142:F142"/>
    <mergeCell ref="A487:E487"/>
    <mergeCell ref="A473:E473"/>
    <mergeCell ref="A452:E452"/>
    <mergeCell ref="A461:A462"/>
    <mergeCell ref="A497:E497"/>
    <mergeCell ref="A501:A502"/>
    <mergeCell ref="A548:F548"/>
    <mergeCell ref="A521:F521"/>
    <mergeCell ref="H171:L171"/>
    <mergeCell ref="H93:K93"/>
    <mergeCell ref="A509:E509"/>
    <mergeCell ref="A511:A512"/>
    <mergeCell ref="A93:E93"/>
    <mergeCell ref="A343:F343"/>
    <mergeCell ref="A47:E47"/>
    <mergeCell ref="A84:A85"/>
    <mergeCell ref="A153:F153"/>
    <mergeCell ref="A122:E122"/>
    <mergeCell ref="A95:A96"/>
    <mergeCell ref="A107:F107"/>
    <mergeCell ref="A110:A112"/>
    <mergeCell ref="A132:E132"/>
    <mergeCell ref="A418:A419"/>
    <mergeCell ref="A173:A174"/>
    <mergeCell ref="A387:F387"/>
    <mergeCell ref="A401:E401"/>
    <mergeCell ref="A405:A406"/>
    <mergeCell ref="A416:E416"/>
    <mergeCell ref="A306:E306"/>
    <mergeCell ref="A269:E269"/>
    <mergeCell ref="A58:E58"/>
    <mergeCell ref="A63:A64"/>
    <mergeCell ref="A350:A352"/>
    <mergeCell ref="A279:F279"/>
    <mergeCell ref="A293:F293"/>
    <mergeCell ref="A317:E317"/>
    <mergeCell ref="A328:E328"/>
    <mergeCell ref="H1:L1"/>
    <mergeCell ref="H3:H4"/>
    <mergeCell ref="A17:E17"/>
    <mergeCell ref="H38:H39"/>
    <mergeCell ref="H31:L31"/>
    <mergeCell ref="A35:A36"/>
    <mergeCell ref="A31:E31"/>
    <mergeCell ref="A1:E1"/>
    <mergeCell ref="A3:A4"/>
    <mergeCell ref="A19:A20"/>
    <mergeCell ref="P332:P333"/>
    <mergeCell ref="A372:F372"/>
    <mergeCell ref="A360:E360"/>
    <mergeCell ref="A362:A363"/>
    <mergeCell ref="H360:L360"/>
    <mergeCell ref="P328:U328"/>
    <mergeCell ref="A440:A441"/>
    <mergeCell ref="H175:H176"/>
    <mergeCell ref="A258:E258"/>
    <mergeCell ref="A246:E246"/>
    <mergeCell ref="A233:E233"/>
    <mergeCell ref="A237:A238"/>
    <mergeCell ref="A212:E212"/>
    <mergeCell ref="A221:A222"/>
    <mergeCell ref="A201:E201"/>
    <mergeCell ref="A192:A193"/>
    <mergeCell ref="A188:A189"/>
    <mergeCell ref="A183:E183"/>
    <mergeCell ref="I343:N343"/>
    <mergeCell ref="I351:I352"/>
    <mergeCell ref="H328:M328"/>
    <mergeCell ref="A422:A423"/>
    <mergeCell ref="A435:E435"/>
    <mergeCell ref="A712:F712"/>
    <mergeCell ref="A716:A717"/>
    <mergeCell ref="A725:F725"/>
    <mergeCell ref="A728:A729"/>
    <mergeCell ref="A735:E735"/>
    <mergeCell ref="A703:F703"/>
    <mergeCell ref="A766:F766"/>
    <mergeCell ref="A772:A773"/>
    <mergeCell ref="A748:E748"/>
    <mergeCell ref="A756:A757"/>
    <mergeCell ref="A790:A791"/>
    <mergeCell ref="A739:A740"/>
    <mergeCell ref="A799:E799"/>
    <mergeCell ref="A802:A803"/>
    <mergeCell ref="A786:E786"/>
    <mergeCell ref="A838:F838"/>
    <mergeCell ref="A843:A844"/>
    <mergeCell ref="A824:F824"/>
    <mergeCell ref="A829:A830"/>
    <mergeCell ref="B829:B830"/>
    <mergeCell ref="A827:A828"/>
    <mergeCell ref="A871:F871"/>
    <mergeCell ref="A875:A876"/>
    <mergeCell ref="A852:F852"/>
    <mergeCell ref="A857:A858"/>
    <mergeCell ref="A855:A856"/>
    <mergeCell ref="J852:O852"/>
    <mergeCell ref="J855:J856"/>
    <mergeCell ref="J857:J858"/>
    <mergeCell ref="A812:E812"/>
  </mergeCells>
  <pageMargins left="0.7" right="0.7" top="0.75" bottom="0.75" header="0.3" footer="0.3"/>
  <pageSetup orientation="portrait" r:id="rId1"/>
  <ignoredErrors>
    <ignoredError sqref="L6 E97 E221 E461 F533 F531 F527" 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4"/>
  <dimension ref="A1:U131"/>
  <sheetViews>
    <sheetView topLeftCell="A100" zoomScale="85" zoomScaleNormal="85" workbookViewId="0">
      <selection activeCell="F117" sqref="F117"/>
    </sheetView>
  </sheetViews>
  <sheetFormatPr baseColWidth="10" defaultColWidth="10.85546875" defaultRowHeight="15.75" x14ac:dyDescent="0.25"/>
  <cols>
    <col min="1" max="1" width="21.140625" style="171" bestFit="1" customWidth="1"/>
    <col min="2" max="3" width="10.85546875" style="171"/>
    <col min="4" max="4" width="11.28515625" style="171" bestFit="1" customWidth="1"/>
    <col min="5" max="6" width="10.85546875" style="171"/>
    <col min="7" max="7" width="12.85546875" style="171" bestFit="1" customWidth="1"/>
    <col min="8" max="8" width="19.140625" style="171" bestFit="1" customWidth="1"/>
    <col min="9" max="9" width="23.85546875" style="171" customWidth="1"/>
    <col min="10" max="15" width="10.85546875" style="171"/>
    <col min="16" max="16" width="19.42578125" style="171" bestFit="1" customWidth="1"/>
    <col min="17" max="16384" width="10.85546875" style="171"/>
  </cols>
  <sheetData>
    <row r="1" spans="1:6" ht="16.5" thickBot="1" x14ac:dyDescent="0.3">
      <c r="A1" s="1712" t="s">
        <v>464</v>
      </c>
      <c r="B1" s="1713"/>
      <c r="C1" s="1713"/>
      <c r="D1" s="1713"/>
      <c r="E1" s="1714"/>
      <c r="F1" s="23"/>
    </row>
    <row r="2" spans="1:6" x14ac:dyDescent="0.25">
      <c r="A2" s="224"/>
      <c r="B2" s="225" t="s">
        <v>743</v>
      </c>
      <c r="C2" s="226" t="s">
        <v>1547</v>
      </c>
      <c r="D2" s="226" t="s">
        <v>1035</v>
      </c>
      <c r="E2" s="227" t="s">
        <v>1549</v>
      </c>
      <c r="F2" s="1"/>
    </row>
    <row r="3" spans="1:6" x14ac:dyDescent="0.25">
      <c r="A3" s="3" t="s">
        <v>1160</v>
      </c>
      <c r="B3" s="2">
        <v>1.5</v>
      </c>
      <c r="C3" s="6">
        <v>0.7</v>
      </c>
      <c r="D3" s="66">
        <f>'INSUMOS VARIOS'!D57</f>
        <v>1540</v>
      </c>
      <c r="E3" s="39">
        <f>D3*C3/B3</f>
        <v>718.66666666666663</v>
      </c>
      <c r="F3" s="1"/>
    </row>
    <row r="4" spans="1:6" x14ac:dyDescent="0.25">
      <c r="A4" s="3" t="s">
        <v>1629</v>
      </c>
      <c r="B4" s="2"/>
      <c r="C4" s="6">
        <v>6</v>
      </c>
      <c r="D4" s="66">
        <f>FORNITURAS!D17</f>
        <v>45.05</v>
      </c>
      <c r="E4" s="39">
        <f t="shared" ref="E4:E9" si="0">D4*C4</f>
        <v>270.29999999999995</v>
      </c>
      <c r="F4" s="1"/>
    </row>
    <row r="5" spans="1:6" x14ac:dyDescent="0.25">
      <c r="A5" s="189" t="s">
        <v>1757</v>
      </c>
      <c r="B5" s="2"/>
      <c r="C5" s="6">
        <v>2</v>
      </c>
      <c r="D5" s="66">
        <f>FORNITURAS!I4</f>
        <v>66.099999999999994</v>
      </c>
      <c r="E5" s="39">
        <f t="shared" si="0"/>
        <v>132.19999999999999</v>
      </c>
      <c r="F5" s="1"/>
    </row>
    <row r="6" spans="1:6" x14ac:dyDescent="0.25">
      <c r="A6" s="191" t="s">
        <v>1555</v>
      </c>
      <c r="B6" s="2"/>
      <c r="C6" s="6">
        <v>3</v>
      </c>
      <c r="D6" s="66">
        <f>FORNITURAS!D7</f>
        <v>52</v>
      </c>
      <c r="E6" s="39">
        <f t="shared" si="0"/>
        <v>156</v>
      </c>
      <c r="F6" s="1"/>
    </row>
    <row r="7" spans="1:6" x14ac:dyDescent="0.25">
      <c r="A7" s="191" t="s">
        <v>1587</v>
      </c>
      <c r="B7" s="2"/>
      <c r="C7" s="6">
        <v>2</v>
      </c>
      <c r="D7" s="66">
        <f>'INSUMOS VARIOS'!T16</f>
        <v>10.78</v>
      </c>
      <c r="E7" s="39">
        <f t="shared" si="0"/>
        <v>21.56</v>
      </c>
      <c r="F7" s="1"/>
    </row>
    <row r="8" spans="1:6" x14ac:dyDescent="0.25">
      <c r="A8" s="3" t="s">
        <v>1424</v>
      </c>
      <c r="B8" s="2"/>
      <c r="C8" s="6">
        <v>0.8</v>
      </c>
      <c r="D8" s="66">
        <f>'HILOS-CORDONES-TANZA-CUERO'!L9</f>
        <v>30</v>
      </c>
      <c r="E8" s="39">
        <f t="shared" si="0"/>
        <v>24</v>
      </c>
      <c r="F8" s="1"/>
    </row>
    <row r="9" spans="1:6" x14ac:dyDescent="0.25">
      <c r="A9" s="3" t="s">
        <v>1758</v>
      </c>
      <c r="B9" s="2"/>
      <c r="C9" s="6">
        <v>2</v>
      </c>
      <c r="D9" s="66">
        <f>'INSUMOS VARIOS'!T17</f>
        <v>12.5</v>
      </c>
      <c r="E9" s="39">
        <f t="shared" si="0"/>
        <v>25</v>
      </c>
      <c r="F9" s="1"/>
    </row>
    <row r="10" spans="1:6" x14ac:dyDescent="0.25">
      <c r="A10" s="191" t="s">
        <v>1557</v>
      </c>
      <c r="B10" s="2"/>
      <c r="C10" s="6"/>
      <c r="D10" s="66"/>
      <c r="E10" s="39">
        <f>PACKAGING!E4</f>
        <v>80</v>
      </c>
      <c r="F10" s="1"/>
    </row>
    <row r="11" spans="1:6" x14ac:dyDescent="0.25">
      <c r="A11" s="191" t="s">
        <v>1537</v>
      </c>
      <c r="B11" s="2"/>
      <c r="C11" s="6"/>
      <c r="D11" s="66"/>
      <c r="E11" s="39">
        <f>PACKAGING!E7</f>
        <v>170</v>
      </c>
      <c r="F11" s="1"/>
    </row>
    <row r="12" spans="1:6" x14ac:dyDescent="0.25">
      <c r="A12" s="3" t="s">
        <v>1558</v>
      </c>
      <c r="B12" s="2"/>
      <c r="C12" s="6"/>
      <c r="D12" s="66"/>
      <c r="E12" s="39">
        <v>70</v>
      </c>
      <c r="F12" s="1"/>
    </row>
    <row r="13" spans="1:6" ht="16.5" thickBot="1" x14ac:dyDescent="0.3">
      <c r="A13" s="45" t="s">
        <v>1630</v>
      </c>
      <c r="B13" s="46"/>
      <c r="C13" s="65"/>
      <c r="D13" s="65"/>
      <c r="E13" s="50">
        <f>SUM(E3:E12)</f>
        <v>1667.7266666666665</v>
      </c>
      <c r="F13" s="134"/>
    </row>
    <row r="14" spans="1:6" x14ac:dyDescent="0.25">
      <c r="A14" s="47" t="s">
        <v>544</v>
      </c>
      <c r="B14" s="42"/>
      <c r="C14" s="42"/>
      <c r="D14" s="42"/>
      <c r="E14" s="208">
        <f>E13*2</f>
        <v>3335.4533333333329</v>
      </c>
      <c r="F14" s="56">
        <v>760</v>
      </c>
    </row>
    <row r="15" spans="1:6" ht="16.5" thickBot="1" x14ac:dyDescent="0.3">
      <c r="A15" s="52" t="s">
        <v>1559</v>
      </c>
      <c r="B15" s="53"/>
      <c r="C15" s="53"/>
      <c r="D15" s="53"/>
      <c r="E15" s="209"/>
      <c r="F15" s="58">
        <f>F14*2</f>
        <v>1520</v>
      </c>
    </row>
    <row r="16" spans="1:6" ht="16.5" thickBot="1" x14ac:dyDescent="0.3"/>
    <row r="17" spans="1:14" ht="16.5" thickBot="1" x14ac:dyDescent="0.3">
      <c r="A17" s="1712" t="s">
        <v>1759</v>
      </c>
      <c r="B17" s="1713"/>
      <c r="C17" s="1713"/>
      <c r="D17" s="1713"/>
      <c r="E17" s="1714"/>
      <c r="F17" s="23"/>
      <c r="I17" s="1712" t="s">
        <v>1760</v>
      </c>
      <c r="J17" s="1713"/>
      <c r="K17" s="1713"/>
      <c r="L17" s="1713"/>
      <c r="M17" s="1714"/>
      <c r="N17" s="23"/>
    </row>
    <row r="18" spans="1:14" x14ac:dyDescent="0.25">
      <c r="A18" s="224"/>
      <c r="B18" s="225" t="s">
        <v>743</v>
      </c>
      <c r="C18" s="226" t="s">
        <v>1547</v>
      </c>
      <c r="D18" s="226" t="s">
        <v>1035</v>
      </c>
      <c r="E18" s="227" t="s">
        <v>1549</v>
      </c>
      <c r="F18" s="1"/>
      <c r="I18" s="224"/>
      <c r="J18" s="225" t="s">
        <v>743</v>
      </c>
      <c r="K18" s="226" t="s">
        <v>1547</v>
      </c>
      <c r="L18" s="226" t="s">
        <v>1035</v>
      </c>
      <c r="M18" s="227" t="s">
        <v>1549</v>
      </c>
      <c r="N18" s="1"/>
    </row>
    <row r="19" spans="1:14" x14ac:dyDescent="0.25">
      <c r="A19" s="3" t="s">
        <v>1761</v>
      </c>
      <c r="B19" s="2">
        <v>0.53</v>
      </c>
      <c r="C19" s="6">
        <v>2</v>
      </c>
      <c r="D19" s="66">
        <f>'INSUMOS VARIOS'!T3</f>
        <v>50</v>
      </c>
      <c r="E19" s="39">
        <f>D19*C19*B19</f>
        <v>53</v>
      </c>
      <c r="F19" s="1"/>
      <c r="I19" s="3" t="s">
        <v>1761</v>
      </c>
      <c r="J19" s="2">
        <v>0.55000000000000004</v>
      </c>
      <c r="K19" s="6">
        <v>1</v>
      </c>
      <c r="L19" s="66">
        <f>'INSUMOS VARIOS'!T3</f>
        <v>50</v>
      </c>
      <c r="M19" s="39">
        <f>L19*K19*J19</f>
        <v>27.500000000000004</v>
      </c>
      <c r="N19" s="1"/>
    </row>
    <row r="20" spans="1:14" x14ac:dyDescent="0.25">
      <c r="A20" s="104" t="s">
        <v>1762</v>
      </c>
      <c r="B20" s="2">
        <v>0.08</v>
      </c>
      <c r="C20" s="6">
        <v>2</v>
      </c>
      <c r="D20" s="66">
        <f>'INSUMOS VARIOS'!T10</f>
        <v>190</v>
      </c>
      <c r="E20" s="39">
        <f>D20*C20*B20</f>
        <v>30.400000000000002</v>
      </c>
      <c r="F20" s="1"/>
      <c r="I20" s="104" t="s">
        <v>1762</v>
      </c>
      <c r="J20" s="2">
        <v>0.06</v>
      </c>
      <c r="K20" s="6">
        <v>2</v>
      </c>
      <c r="L20" s="66">
        <f>'INSUMOS VARIOS'!T10</f>
        <v>190</v>
      </c>
      <c r="M20" s="39">
        <f>L20*K20*J20</f>
        <v>22.8</v>
      </c>
      <c r="N20" s="1"/>
    </row>
    <row r="21" spans="1:14" x14ac:dyDescent="0.25">
      <c r="A21" s="191" t="s">
        <v>1555</v>
      </c>
      <c r="B21" s="2"/>
      <c r="C21" s="6"/>
      <c r="D21" s="66"/>
      <c r="E21" s="39">
        <v>3</v>
      </c>
      <c r="F21" s="1"/>
      <c r="I21" s="104" t="s">
        <v>1685</v>
      </c>
      <c r="J21" s="2"/>
      <c r="K21" s="6">
        <v>1</v>
      </c>
      <c r="L21" s="66">
        <f>'INSUMOS VARIOS'!L4</f>
        <v>151.5151515151515</v>
      </c>
      <c r="M21" s="39">
        <f>L21*K21</f>
        <v>151.5151515151515</v>
      </c>
      <c r="N21" s="1"/>
    </row>
    <row r="22" spans="1:14" x14ac:dyDescent="0.25">
      <c r="A22" s="191" t="s">
        <v>1587</v>
      </c>
      <c r="B22" s="2"/>
      <c r="C22" s="6">
        <v>2</v>
      </c>
      <c r="D22" s="66">
        <f>'INSUMOS VARIOS'!T15</f>
        <v>10.78</v>
      </c>
      <c r="E22" s="39">
        <f>D22*C22</f>
        <v>21.56</v>
      </c>
      <c r="F22" s="1"/>
      <c r="I22" s="191" t="s">
        <v>1555</v>
      </c>
      <c r="J22" s="2"/>
      <c r="K22" s="6"/>
      <c r="L22" s="66"/>
      <c r="M22" s="39">
        <v>3</v>
      </c>
      <c r="N22" s="1"/>
    </row>
    <row r="23" spans="1:14" x14ac:dyDescent="0.25">
      <c r="A23" s="3" t="s">
        <v>1758</v>
      </c>
      <c r="B23" s="2"/>
      <c r="C23" s="6">
        <v>2</v>
      </c>
      <c r="D23" s="66">
        <f>'INSUMOS VARIOS'!T17</f>
        <v>12.5</v>
      </c>
      <c r="E23" s="39">
        <f>D23*C23</f>
        <v>25</v>
      </c>
      <c r="F23" s="1"/>
      <c r="I23" s="191" t="s">
        <v>1587</v>
      </c>
      <c r="J23" s="2"/>
      <c r="K23" s="6">
        <v>2</v>
      </c>
      <c r="L23" s="66">
        <f>'INSUMOS VARIOS'!T15</f>
        <v>10.78</v>
      </c>
      <c r="M23" s="39">
        <f>L23*K23</f>
        <v>21.56</v>
      </c>
      <c r="N23" s="1"/>
    </row>
    <row r="24" spans="1:14" x14ac:dyDescent="0.25">
      <c r="A24" s="191" t="s">
        <v>1557</v>
      </c>
      <c r="B24" s="2"/>
      <c r="C24" s="6"/>
      <c r="D24" s="66"/>
      <c r="E24" s="39">
        <f>PACKAGING!E4</f>
        <v>80</v>
      </c>
      <c r="F24" s="1"/>
      <c r="I24" s="3" t="s">
        <v>1758</v>
      </c>
      <c r="J24" s="2"/>
      <c r="K24" s="6">
        <v>2</v>
      </c>
      <c r="L24" s="66">
        <f>'INSUMOS VARIOS'!T17</f>
        <v>12.5</v>
      </c>
      <c r="M24" s="39">
        <f>L24*K24</f>
        <v>25</v>
      </c>
      <c r="N24" s="1"/>
    </row>
    <row r="25" spans="1:14" x14ac:dyDescent="0.25">
      <c r="A25" s="191" t="s">
        <v>1537</v>
      </c>
      <c r="B25" s="2"/>
      <c r="C25" s="6"/>
      <c r="D25" s="66"/>
      <c r="E25" s="39">
        <f>PACKAGING!E7</f>
        <v>170</v>
      </c>
      <c r="F25" s="1"/>
      <c r="I25" s="191" t="s">
        <v>1557</v>
      </c>
      <c r="J25" s="2"/>
      <c r="K25" s="6"/>
      <c r="L25" s="66"/>
      <c r="M25" s="39">
        <f>PACKAGING!E4</f>
        <v>80</v>
      </c>
      <c r="N25" s="1"/>
    </row>
    <row r="26" spans="1:14" x14ac:dyDescent="0.25">
      <c r="A26" s="3" t="s">
        <v>1558</v>
      </c>
      <c r="B26" s="2"/>
      <c r="C26" s="6"/>
      <c r="D26" s="66"/>
      <c r="E26" s="39">
        <v>60</v>
      </c>
      <c r="F26" s="1"/>
      <c r="I26" s="191" t="s">
        <v>1537</v>
      </c>
      <c r="J26" s="2"/>
      <c r="K26" s="6"/>
      <c r="L26" s="66"/>
      <c r="M26" s="39">
        <f>PACKAGING!E7</f>
        <v>170</v>
      </c>
      <c r="N26" s="1"/>
    </row>
    <row r="27" spans="1:14" ht="16.5" thickBot="1" x14ac:dyDescent="0.3">
      <c r="A27" s="45" t="s">
        <v>1630</v>
      </c>
      <c r="B27" s="46"/>
      <c r="C27" s="65"/>
      <c r="D27" s="65"/>
      <c r="E27" s="50">
        <f>SUM(E19:E26)</f>
        <v>442.96000000000004</v>
      </c>
      <c r="F27" s="134"/>
      <c r="I27" s="3" t="s">
        <v>1558</v>
      </c>
      <c r="J27" s="2"/>
      <c r="K27" s="6"/>
      <c r="L27" s="66"/>
      <c r="M27" s="39">
        <v>60</v>
      </c>
      <c r="N27" s="1"/>
    </row>
    <row r="28" spans="1:14" ht="16.5" thickBot="1" x14ac:dyDescent="0.3">
      <c r="A28" s="47" t="s">
        <v>544</v>
      </c>
      <c r="B28" s="42"/>
      <c r="C28" s="42"/>
      <c r="D28" s="42"/>
      <c r="E28" s="208">
        <f>E27*2</f>
        <v>885.92000000000007</v>
      </c>
      <c r="F28" s="56">
        <v>420</v>
      </c>
      <c r="I28" s="45" t="s">
        <v>1630</v>
      </c>
      <c r="J28" s="46"/>
      <c r="K28" s="65"/>
      <c r="L28" s="65"/>
      <c r="M28" s="50">
        <f>SUM(M19:M27)</f>
        <v>561.37515151515152</v>
      </c>
      <c r="N28" s="134"/>
    </row>
    <row r="29" spans="1:14" ht="16.5" thickBot="1" x14ac:dyDescent="0.3">
      <c r="A29" s="52" t="s">
        <v>1559</v>
      </c>
      <c r="B29" s="53"/>
      <c r="C29" s="53"/>
      <c r="D29" s="53"/>
      <c r="E29" s="209"/>
      <c r="F29" s="58">
        <f>F28*2</f>
        <v>840</v>
      </c>
      <c r="I29" s="47" t="s">
        <v>544</v>
      </c>
      <c r="J29" s="42"/>
      <c r="K29" s="42"/>
      <c r="L29" s="42"/>
      <c r="M29" s="208">
        <f>M28*2</f>
        <v>1122.750303030303</v>
      </c>
      <c r="N29" s="56">
        <v>420</v>
      </c>
    </row>
    <row r="30" spans="1:14" ht="16.5" thickBot="1" x14ac:dyDescent="0.3">
      <c r="I30" s="52" t="s">
        <v>1559</v>
      </c>
      <c r="J30" s="53"/>
      <c r="K30" s="53"/>
      <c r="L30" s="53"/>
      <c r="M30" s="209"/>
      <c r="N30" s="58">
        <f>N29*2</f>
        <v>840</v>
      </c>
    </row>
    <row r="31" spans="1:14" ht="16.5" thickBot="1" x14ac:dyDescent="0.3"/>
    <row r="32" spans="1:14" ht="16.5" thickBot="1" x14ac:dyDescent="0.3">
      <c r="A32" s="1712" t="s">
        <v>1763</v>
      </c>
      <c r="B32" s="1713"/>
      <c r="C32" s="1713"/>
      <c r="D32" s="1713"/>
      <c r="E32" s="1714"/>
      <c r="F32" s="23"/>
      <c r="G32" s="23"/>
      <c r="I32" s="1712" t="s">
        <v>1764</v>
      </c>
      <c r="J32" s="1713"/>
      <c r="K32" s="1713"/>
      <c r="L32" s="1713"/>
      <c r="M32" s="1714"/>
      <c r="N32" s="23"/>
    </row>
    <row r="33" spans="1:15" x14ac:dyDescent="0.25">
      <c r="A33" s="224"/>
      <c r="B33" s="225" t="s">
        <v>743</v>
      </c>
      <c r="C33" s="226" t="s">
        <v>1547</v>
      </c>
      <c r="D33" s="226" t="s">
        <v>1035</v>
      </c>
      <c r="E33" s="227" t="s">
        <v>1549</v>
      </c>
      <c r="F33" s="1"/>
      <c r="G33" s="1"/>
      <c r="I33" s="224"/>
      <c r="J33" s="225" t="s">
        <v>743</v>
      </c>
      <c r="K33" s="226" t="s">
        <v>1547</v>
      </c>
      <c r="L33" s="226" t="s">
        <v>1035</v>
      </c>
      <c r="M33" s="227" t="s">
        <v>1549</v>
      </c>
      <c r="N33" s="1"/>
    </row>
    <row r="34" spans="1:15" x14ac:dyDescent="0.25">
      <c r="A34" s="3" t="s">
        <v>1765</v>
      </c>
      <c r="B34" s="2"/>
      <c r="C34" s="6">
        <v>0.7</v>
      </c>
      <c r="D34" s="66">
        <f>'INSUMOS VARIOS'!T7</f>
        <v>171</v>
      </c>
      <c r="E34" s="39">
        <f>D34*C34</f>
        <v>119.69999999999999</v>
      </c>
      <c r="F34" s="1"/>
      <c r="G34" s="1"/>
      <c r="I34" s="3" t="s">
        <v>1766</v>
      </c>
      <c r="J34" s="2"/>
      <c r="K34" s="6">
        <v>0.7</v>
      </c>
      <c r="L34" s="66">
        <f>'INSUMOS VARIOS'!T4</f>
        <v>140</v>
      </c>
      <c r="M34" s="39">
        <f>L34*K34</f>
        <v>98</v>
      </c>
      <c r="N34" s="1"/>
    </row>
    <row r="35" spans="1:15" x14ac:dyDescent="0.25">
      <c r="A35" s="191" t="s">
        <v>1555</v>
      </c>
      <c r="B35" s="2"/>
      <c r="C35" s="6">
        <v>3</v>
      </c>
      <c r="D35" s="66">
        <f>FORNITURAS!D7</f>
        <v>52</v>
      </c>
      <c r="E35" s="39">
        <f>D35*C35</f>
        <v>156</v>
      </c>
      <c r="F35" s="1"/>
      <c r="G35" s="1"/>
      <c r="I35" s="191" t="s">
        <v>1555</v>
      </c>
      <c r="J35" s="2"/>
      <c r="K35" s="6">
        <v>3</v>
      </c>
      <c r="L35" s="66">
        <v>1</v>
      </c>
      <c r="M35" s="39">
        <f>L35*K35</f>
        <v>3</v>
      </c>
      <c r="N35" s="1"/>
    </row>
    <row r="36" spans="1:15" x14ac:dyDescent="0.25">
      <c r="A36" s="191" t="s">
        <v>1587</v>
      </c>
      <c r="B36" s="2"/>
      <c r="C36" s="6">
        <v>2</v>
      </c>
      <c r="D36" s="66">
        <f>'INSUMOS VARIOS'!T16</f>
        <v>10.78</v>
      </c>
      <c r="E36" s="39">
        <f>D36*C36</f>
        <v>21.56</v>
      </c>
      <c r="F36" s="1"/>
      <c r="G36" s="1"/>
      <c r="I36" s="191" t="s">
        <v>1587</v>
      </c>
      <c r="J36" s="2"/>
      <c r="K36" s="6">
        <v>2</v>
      </c>
      <c r="L36" s="66">
        <f>'INSUMOS VARIOS'!T16</f>
        <v>10.78</v>
      </c>
      <c r="M36" s="39">
        <f>L36*K36</f>
        <v>21.56</v>
      </c>
      <c r="N36" s="1"/>
    </row>
    <row r="37" spans="1:15" x14ac:dyDescent="0.25">
      <c r="A37" s="3" t="s">
        <v>1758</v>
      </c>
      <c r="B37" s="2"/>
      <c r="C37" s="6">
        <v>2</v>
      </c>
      <c r="D37" s="66">
        <f>'INSUMOS VARIOS'!T17</f>
        <v>12.5</v>
      </c>
      <c r="E37" s="39">
        <f>D37*C37</f>
        <v>25</v>
      </c>
      <c r="F37" s="1"/>
      <c r="G37" s="1"/>
      <c r="I37" s="3" t="s">
        <v>1758</v>
      </c>
      <c r="J37" s="2"/>
      <c r="K37" s="6">
        <v>2</v>
      </c>
      <c r="L37" s="66">
        <f>'INSUMOS VARIOS'!T17</f>
        <v>12.5</v>
      </c>
      <c r="M37" s="39">
        <f>L37*K37</f>
        <v>25</v>
      </c>
      <c r="N37" s="1"/>
    </row>
    <row r="38" spans="1:15" x14ac:dyDescent="0.25">
      <c r="A38" s="191" t="s">
        <v>1557</v>
      </c>
      <c r="B38" s="2"/>
      <c r="C38" s="6"/>
      <c r="D38" s="66"/>
      <c r="E38" s="39">
        <f>PACKAGING!E4</f>
        <v>80</v>
      </c>
      <c r="F38" s="1"/>
      <c r="G38" s="1"/>
      <c r="I38" s="191" t="s">
        <v>1557</v>
      </c>
      <c r="J38" s="2"/>
      <c r="K38" s="6"/>
      <c r="L38" s="66"/>
      <c r="M38" s="39">
        <f>PACKAGING!E4</f>
        <v>80</v>
      </c>
      <c r="N38" s="1"/>
    </row>
    <row r="39" spans="1:15" x14ac:dyDescent="0.25">
      <c r="A39" s="191" t="s">
        <v>1537</v>
      </c>
      <c r="B39" s="2"/>
      <c r="C39" s="6"/>
      <c r="D39" s="66"/>
      <c r="E39" s="39">
        <f>PACKAGING!E13</f>
        <v>6</v>
      </c>
      <c r="F39" s="1"/>
      <c r="G39" s="1"/>
      <c r="I39" s="191" t="s">
        <v>1537</v>
      </c>
      <c r="J39" s="2"/>
      <c r="K39" s="6"/>
      <c r="L39" s="66"/>
      <c r="M39" s="39">
        <f>PACKAGING!E13</f>
        <v>6</v>
      </c>
      <c r="N39" s="1"/>
    </row>
    <row r="40" spans="1:15" x14ac:dyDescent="0.25">
      <c r="A40" s="3" t="s">
        <v>1558</v>
      </c>
      <c r="B40" s="2"/>
      <c r="C40" s="6"/>
      <c r="D40" s="66"/>
      <c r="E40" s="39">
        <v>50</v>
      </c>
      <c r="F40" s="1"/>
      <c r="G40" s="1"/>
      <c r="I40" s="3" t="s">
        <v>1558</v>
      </c>
      <c r="J40" s="2"/>
      <c r="K40" s="6"/>
      <c r="L40" s="66"/>
      <c r="M40" s="39">
        <v>35</v>
      </c>
      <c r="N40" s="1"/>
    </row>
    <row r="41" spans="1:15" ht="16.5" thickBot="1" x14ac:dyDescent="0.3">
      <c r="A41" s="45" t="s">
        <v>1630</v>
      </c>
      <c r="B41" s="46"/>
      <c r="C41" s="65"/>
      <c r="D41" s="65"/>
      <c r="E41" s="50">
        <f>SUM(E34:E40)</f>
        <v>458.26</v>
      </c>
      <c r="F41" s="134"/>
      <c r="G41" s="1"/>
      <c r="I41" s="45" t="s">
        <v>1630</v>
      </c>
      <c r="J41" s="46"/>
      <c r="K41" s="65"/>
      <c r="L41" s="65"/>
      <c r="M41" s="50">
        <f>SUM(M34:M40)</f>
        <v>268.56</v>
      </c>
      <c r="N41" s="134"/>
    </row>
    <row r="42" spans="1:15" x14ac:dyDescent="0.25">
      <c r="A42" s="47" t="s">
        <v>544</v>
      </c>
      <c r="B42" s="42"/>
      <c r="C42" s="42"/>
      <c r="D42" s="42"/>
      <c r="E42" s="208">
        <f>E41*2</f>
        <v>916.52</v>
      </c>
      <c r="F42" s="56">
        <v>640</v>
      </c>
      <c r="G42" s="61"/>
      <c r="I42" s="47" t="s">
        <v>544</v>
      </c>
      <c r="J42" s="42"/>
      <c r="K42" s="42"/>
      <c r="L42" s="42"/>
      <c r="M42" s="208">
        <f>M41*2</f>
        <v>537.12</v>
      </c>
      <c r="N42" s="56">
        <v>470</v>
      </c>
    </row>
    <row r="43" spans="1:15" ht="16.5" thickBot="1" x14ac:dyDescent="0.3">
      <c r="A43" s="52" t="s">
        <v>1559</v>
      </c>
      <c r="B43" s="53"/>
      <c r="C43" s="53"/>
      <c r="D43" s="53"/>
      <c r="E43" s="209"/>
      <c r="F43" s="58">
        <f>F42*2</f>
        <v>1280</v>
      </c>
      <c r="G43" s="61"/>
      <c r="I43" s="52" t="s">
        <v>1559</v>
      </c>
      <c r="J43" s="53"/>
      <c r="K43" s="53"/>
      <c r="L43" s="53"/>
      <c r="M43" s="209"/>
      <c r="N43" s="58">
        <f>N42*2</f>
        <v>940</v>
      </c>
    </row>
    <row r="44" spans="1:15" ht="16.5" thickBot="1" x14ac:dyDescent="0.3">
      <c r="G44" s="61"/>
    </row>
    <row r="45" spans="1:15" ht="16.5" thickBot="1" x14ac:dyDescent="0.3">
      <c r="A45" s="1568" t="s">
        <v>1767</v>
      </c>
      <c r="B45" s="1569"/>
      <c r="C45" s="1569"/>
      <c r="D45" s="1569"/>
      <c r="E45" s="1569"/>
      <c r="F45" s="1570"/>
      <c r="I45" s="1568" t="s">
        <v>1768</v>
      </c>
      <c r="J45" s="1569"/>
      <c r="K45" s="1569"/>
      <c r="L45" s="1569"/>
      <c r="M45" s="1569"/>
      <c r="N45" s="1570"/>
    </row>
    <row r="46" spans="1:15" x14ac:dyDescent="0.25">
      <c r="A46" s="224"/>
      <c r="B46" s="225" t="s">
        <v>742</v>
      </c>
      <c r="C46" s="226" t="s">
        <v>1547</v>
      </c>
      <c r="D46" s="226" t="s">
        <v>743</v>
      </c>
      <c r="E46" s="226" t="s">
        <v>1035</v>
      </c>
      <c r="F46" s="227" t="s">
        <v>1549</v>
      </c>
      <c r="G46" s="1"/>
      <c r="I46" s="224"/>
      <c r="J46" s="225" t="s">
        <v>742</v>
      </c>
      <c r="K46" s="226" t="s">
        <v>1547</v>
      </c>
      <c r="L46" s="226" t="s">
        <v>743</v>
      </c>
      <c r="M46" s="226" t="s">
        <v>1035</v>
      </c>
      <c r="N46" s="227" t="s">
        <v>1549</v>
      </c>
      <c r="O46" s="1"/>
    </row>
    <row r="47" spans="1:15" x14ac:dyDescent="0.25">
      <c r="A47" s="3" t="s">
        <v>1769</v>
      </c>
      <c r="B47" s="2"/>
      <c r="C47" s="6">
        <v>2</v>
      </c>
      <c r="D47" s="6">
        <v>0.04</v>
      </c>
      <c r="E47" s="66">
        <f>'INSUMOS VARIOS'!K5</f>
        <v>1045</v>
      </c>
      <c r="F47" s="39">
        <f>E47*D47*C47</f>
        <v>83.600000000000009</v>
      </c>
      <c r="G47" s="1"/>
      <c r="I47" s="3" t="s">
        <v>1769</v>
      </c>
      <c r="J47" s="2"/>
      <c r="K47" s="6">
        <v>2</v>
      </c>
      <c r="L47" s="6">
        <v>0.01</v>
      </c>
      <c r="M47" s="66">
        <f>'INSUMOS VARIOS'!K4</f>
        <v>10000</v>
      </c>
      <c r="N47" s="39">
        <f>M47*L47*K47</f>
        <v>200</v>
      </c>
      <c r="O47" s="1"/>
    </row>
    <row r="48" spans="1:15" x14ac:dyDescent="0.25">
      <c r="A48" s="3" t="s">
        <v>1770</v>
      </c>
      <c r="B48" s="2"/>
      <c r="C48" s="6">
        <v>26</v>
      </c>
      <c r="D48" s="6"/>
      <c r="E48" s="66">
        <f>VIDRIOS!E44</f>
        <v>20.833333333333332</v>
      </c>
      <c r="F48" s="39">
        <f>E48*C48</f>
        <v>541.66666666666663</v>
      </c>
      <c r="G48" s="1"/>
      <c r="I48" s="3" t="s">
        <v>1771</v>
      </c>
      <c r="J48" s="2"/>
      <c r="K48" s="6">
        <v>2</v>
      </c>
      <c r="L48" s="6"/>
      <c r="M48" s="66">
        <f>FORNITURAS!I4</f>
        <v>66.099999999999994</v>
      </c>
      <c r="N48" s="39">
        <f>M48*K48</f>
        <v>132.19999999999999</v>
      </c>
      <c r="O48" s="1"/>
    </row>
    <row r="49" spans="1:15" x14ac:dyDescent="0.25">
      <c r="A49" s="3" t="s">
        <v>1585</v>
      </c>
      <c r="B49" s="2"/>
      <c r="C49" s="6">
        <v>6</v>
      </c>
      <c r="D49" s="6"/>
      <c r="E49" s="66">
        <f>'PALAIS DU BIJOU'!O17</f>
        <v>3.4375</v>
      </c>
      <c r="F49" s="39">
        <f t="shared" ref="F49:F57" si="1">E49*C49</f>
        <v>20.625</v>
      </c>
      <c r="G49" s="1"/>
      <c r="I49" s="3" t="s">
        <v>1160</v>
      </c>
      <c r="J49" s="2"/>
      <c r="K49" s="6">
        <v>2</v>
      </c>
      <c r="L49" s="6"/>
      <c r="M49" s="66">
        <f>'INSUMOS VARIOS'!E57</f>
        <v>16.210526315789473</v>
      </c>
      <c r="N49" s="39">
        <f>M49*K49</f>
        <v>32.421052631578945</v>
      </c>
      <c r="O49" s="1"/>
    </row>
    <row r="50" spans="1:15" x14ac:dyDescent="0.25">
      <c r="A50" s="3" t="s">
        <v>1198</v>
      </c>
      <c r="B50" s="2"/>
      <c r="C50" s="6">
        <v>4</v>
      </c>
      <c r="D50" s="6"/>
      <c r="E50" s="66">
        <f>'INS VARIOS'!C47</f>
        <v>0.5</v>
      </c>
      <c r="F50" s="39">
        <f t="shared" si="1"/>
        <v>2</v>
      </c>
      <c r="G50" s="1"/>
      <c r="I50" s="3" t="s">
        <v>1585</v>
      </c>
      <c r="J50" s="2">
        <v>0.5</v>
      </c>
      <c r="K50" s="6">
        <v>2</v>
      </c>
      <c r="L50" s="6">
        <v>0.03</v>
      </c>
      <c r="M50" s="66">
        <f>'PALAIS DU BIJOU'!N17</f>
        <v>1100</v>
      </c>
      <c r="N50" s="39">
        <f>((M50*L50)/J50)*K50</f>
        <v>132</v>
      </c>
      <c r="O50" s="1"/>
    </row>
    <row r="51" spans="1:15" x14ac:dyDescent="0.25">
      <c r="A51" s="3" t="s">
        <v>1772</v>
      </c>
      <c r="B51" s="2"/>
      <c r="C51" s="6">
        <v>2</v>
      </c>
      <c r="D51" s="6"/>
      <c r="E51" s="66">
        <f>FORNITURAS!D26</f>
        <v>297.14285714285717</v>
      </c>
      <c r="F51" s="39">
        <f t="shared" si="1"/>
        <v>594.28571428571433</v>
      </c>
      <c r="G51" s="1"/>
      <c r="I51" s="189" t="s">
        <v>1773</v>
      </c>
      <c r="J51" s="2"/>
      <c r="K51" s="6"/>
      <c r="L51" s="6">
        <v>0.56999999999999995</v>
      </c>
      <c r="M51" s="66">
        <f>'INSUMOS VARIOS'!T5</f>
        <v>45</v>
      </c>
      <c r="N51" s="39">
        <f>M51*L51</f>
        <v>25.65</v>
      </c>
      <c r="O51" s="1"/>
    </row>
    <row r="52" spans="1:15" x14ac:dyDescent="0.25">
      <c r="A52" s="189" t="s">
        <v>1773</v>
      </c>
      <c r="B52" s="2"/>
      <c r="C52" s="6"/>
      <c r="D52" s="6">
        <v>0.52</v>
      </c>
      <c r="E52" s="66">
        <f>'INSUMOS VARIOS'!T5</f>
        <v>45</v>
      </c>
      <c r="F52" s="39">
        <f>E52*D52</f>
        <v>23.400000000000002</v>
      </c>
      <c r="G52" s="1"/>
      <c r="I52" s="1701" t="s">
        <v>1555</v>
      </c>
      <c r="J52" s="2" t="s">
        <v>1556</v>
      </c>
      <c r="K52" s="6">
        <v>4</v>
      </c>
      <c r="L52" s="6"/>
      <c r="M52" s="66">
        <f>FORNITURAS!D4</f>
        <v>48.7</v>
      </c>
      <c r="N52" s="39">
        <f>M52*K52</f>
        <v>194.8</v>
      </c>
      <c r="O52" s="1"/>
    </row>
    <row r="53" spans="1:15" x14ac:dyDescent="0.25">
      <c r="A53" s="1701" t="s">
        <v>1555</v>
      </c>
      <c r="B53" s="2" t="s">
        <v>1556</v>
      </c>
      <c r="C53" s="6">
        <v>4</v>
      </c>
      <c r="D53" s="6"/>
      <c r="E53" s="66">
        <f>FORNITURAS!D4</f>
        <v>48.7</v>
      </c>
      <c r="F53" s="39">
        <f t="shared" si="1"/>
        <v>194.8</v>
      </c>
      <c r="G53" s="1"/>
      <c r="I53" s="1702"/>
      <c r="J53" s="2" t="s">
        <v>1573</v>
      </c>
      <c r="K53" s="6">
        <v>1</v>
      </c>
      <c r="L53" s="6"/>
      <c r="M53" s="66">
        <f>FORNITURAS!D7</f>
        <v>52</v>
      </c>
      <c r="N53" s="39">
        <f>M53*K53</f>
        <v>52</v>
      </c>
      <c r="O53" s="1"/>
    </row>
    <row r="54" spans="1:15" x14ac:dyDescent="0.25">
      <c r="A54" s="1702"/>
      <c r="B54" s="2" t="s">
        <v>1573</v>
      </c>
      <c r="C54" s="6">
        <v>1</v>
      </c>
      <c r="D54" s="6"/>
      <c r="E54" s="66">
        <f>FORNITURAS!D7</f>
        <v>52</v>
      </c>
      <c r="F54" s="39">
        <f t="shared" si="1"/>
        <v>52</v>
      </c>
      <c r="G54" s="1"/>
      <c r="I54" s="191" t="s">
        <v>1774</v>
      </c>
      <c r="J54" s="2"/>
      <c r="K54" s="6">
        <v>2</v>
      </c>
      <c r="L54" s="6"/>
      <c r="M54" s="66">
        <f>'INSUMOS VARIOS'!T16</f>
        <v>10.78</v>
      </c>
      <c r="N54" s="39">
        <f>M54*K54</f>
        <v>21.56</v>
      </c>
      <c r="O54" s="1"/>
    </row>
    <row r="55" spans="1:15" x14ac:dyDescent="0.25">
      <c r="A55" s="191" t="s">
        <v>1774</v>
      </c>
      <c r="B55" s="2"/>
      <c r="C55" s="6">
        <v>2</v>
      </c>
      <c r="D55" s="6"/>
      <c r="E55" s="66">
        <f>'INSUMOS VARIOS'!T16</f>
        <v>10.78</v>
      </c>
      <c r="F55" s="39">
        <f t="shared" si="1"/>
        <v>21.56</v>
      </c>
      <c r="G55" s="1"/>
      <c r="I55" s="3" t="s">
        <v>1758</v>
      </c>
      <c r="J55" s="2"/>
      <c r="K55" s="6">
        <v>2</v>
      </c>
      <c r="L55" s="6"/>
      <c r="M55" s="66">
        <f>'INSUMOS VARIOS'!T17</f>
        <v>12.5</v>
      </c>
      <c r="N55" s="39">
        <f>M55*K55</f>
        <v>25</v>
      </c>
      <c r="O55" s="1"/>
    </row>
    <row r="56" spans="1:15" x14ac:dyDescent="0.25">
      <c r="A56" s="3" t="s">
        <v>1758</v>
      </c>
      <c r="B56" s="2"/>
      <c r="C56" s="6">
        <v>2</v>
      </c>
      <c r="D56" s="6"/>
      <c r="E56" s="66">
        <f>'INSUMOS VARIOS'!T17</f>
        <v>12.5</v>
      </c>
      <c r="F56" s="39">
        <f t="shared" si="1"/>
        <v>25</v>
      </c>
      <c r="G56" s="1"/>
      <c r="I56" s="3" t="s">
        <v>1629</v>
      </c>
      <c r="J56" s="2"/>
      <c r="K56" s="6">
        <v>6</v>
      </c>
      <c r="L56" s="6"/>
      <c r="M56" s="66">
        <f>FORNITURAS!D17</f>
        <v>45.05</v>
      </c>
      <c r="N56" s="39">
        <f>M56*K56</f>
        <v>270.29999999999995</v>
      </c>
      <c r="O56" s="1"/>
    </row>
    <row r="57" spans="1:15" x14ac:dyDescent="0.25">
      <c r="A57" s="3" t="s">
        <v>1629</v>
      </c>
      <c r="B57" s="2"/>
      <c r="C57" s="6">
        <v>2</v>
      </c>
      <c r="D57" s="6"/>
      <c r="E57" s="66">
        <f>FORNITURAS!D17</f>
        <v>45.05</v>
      </c>
      <c r="F57" s="39">
        <f t="shared" si="1"/>
        <v>90.1</v>
      </c>
      <c r="G57" s="1"/>
      <c r="I57" s="104" t="s">
        <v>1424</v>
      </c>
      <c r="J57" s="2"/>
      <c r="K57" s="6">
        <v>2</v>
      </c>
      <c r="L57" s="6">
        <v>0.12</v>
      </c>
      <c r="M57" s="66">
        <f>'HILOS-CORDONES-TANZA-CUERO'!L9</f>
        <v>30</v>
      </c>
      <c r="N57" s="39">
        <f>M57*L57*K57</f>
        <v>7.1999999999999993</v>
      </c>
      <c r="O57" s="1"/>
    </row>
    <row r="58" spans="1:15" x14ac:dyDescent="0.25">
      <c r="A58" s="104" t="s">
        <v>1424</v>
      </c>
      <c r="B58" s="2"/>
      <c r="C58" s="6">
        <v>2</v>
      </c>
      <c r="D58" s="6">
        <v>0.12</v>
      </c>
      <c r="E58" s="66">
        <f>'HILOS-CORDONES-TANZA-CUERO'!L9</f>
        <v>30</v>
      </c>
      <c r="F58" s="39">
        <f>E58*D58*C58</f>
        <v>7.1999999999999993</v>
      </c>
      <c r="G58" s="1"/>
      <c r="I58" s="191" t="s">
        <v>1557</v>
      </c>
      <c r="J58" s="2"/>
      <c r="K58" s="6"/>
      <c r="L58" s="6"/>
      <c r="M58" s="66"/>
      <c r="N58" s="39">
        <f>PACKAGING!E4</f>
        <v>80</v>
      </c>
      <c r="O58" s="1"/>
    </row>
    <row r="59" spans="1:15" x14ac:dyDescent="0.25">
      <c r="A59" s="191" t="s">
        <v>1557</v>
      </c>
      <c r="B59" s="2"/>
      <c r="C59" s="6"/>
      <c r="D59" s="6"/>
      <c r="E59" s="66"/>
      <c r="F59" s="39">
        <f>PACKAGING!E4</f>
        <v>80</v>
      </c>
      <c r="G59" s="1"/>
      <c r="I59" s="191" t="s">
        <v>1537</v>
      </c>
      <c r="J59" s="2"/>
      <c r="K59" s="6"/>
      <c r="L59" s="6"/>
      <c r="M59" s="66"/>
      <c r="N59" s="39">
        <f>PACKAGING!E13</f>
        <v>6</v>
      </c>
      <c r="O59" s="1"/>
    </row>
    <row r="60" spans="1:15" x14ac:dyDescent="0.25">
      <c r="A60" s="191" t="s">
        <v>1537</v>
      </c>
      <c r="B60" s="2"/>
      <c r="C60" s="6"/>
      <c r="D60" s="6"/>
      <c r="E60" s="66"/>
      <c r="F60" s="39">
        <f>PACKAGING!E7</f>
        <v>170</v>
      </c>
      <c r="G60" s="1"/>
      <c r="I60" s="3" t="s">
        <v>1558</v>
      </c>
      <c r="J60" s="2"/>
      <c r="K60" s="6"/>
      <c r="L60" s="6"/>
      <c r="M60" s="66"/>
      <c r="N60" s="39">
        <v>65</v>
      </c>
      <c r="O60" s="1"/>
    </row>
    <row r="61" spans="1:15" ht="16.5" thickBot="1" x14ac:dyDescent="0.3">
      <c r="A61" s="3" t="s">
        <v>1558</v>
      </c>
      <c r="B61" s="2"/>
      <c r="C61" s="6"/>
      <c r="D61" s="6"/>
      <c r="E61" s="66"/>
      <c r="F61" s="39">
        <v>65</v>
      </c>
      <c r="G61" s="1"/>
      <c r="I61" s="45" t="s">
        <v>1630</v>
      </c>
      <c r="J61" s="46"/>
      <c r="K61" s="65"/>
      <c r="L61" s="65"/>
      <c r="M61" s="65"/>
      <c r="N61" s="50">
        <f>SUM(N47:N60)</f>
        <v>1244.131052631579</v>
      </c>
      <c r="O61" s="134"/>
    </row>
    <row r="62" spans="1:15" ht="16.5" thickBot="1" x14ac:dyDescent="0.3">
      <c r="A62" s="45" t="s">
        <v>1630</v>
      </c>
      <c r="B62" s="46"/>
      <c r="C62" s="65"/>
      <c r="D62" s="65"/>
      <c r="E62" s="65"/>
      <c r="F62" s="50">
        <f>SUM(F47:F61)</f>
        <v>1971.237380952381</v>
      </c>
      <c r="G62" s="134"/>
      <c r="I62" s="47" t="s">
        <v>544</v>
      </c>
      <c r="J62" s="42"/>
      <c r="K62" s="42"/>
      <c r="L62" s="42"/>
      <c r="M62" s="42"/>
      <c r="N62" s="208">
        <f>N61*2</f>
        <v>2488.262105263158</v>
      </c>
      <c r="O62" s="56">
        <v>690</v>
      </c>
    </row>
    <row r="63" spans="1:15" ht="16.5" thickBot="1" x14ac:dyDescent="0.3">
      <c r="A63" s="47" t="s">
        <v>544</v>
      </c>
      <c r="B63" s="42"/>
      <c r="C63" s="42"/>
      <c r="D63" s="42"/>
      <c r="E63" s="42"/>
      <c r="F63" s="208">
        <f>F62*2</f>
        <v>3942.4747619047621</v>
      </c>
      <c r="G63" s="56">
        <v>690</v>
      </c>
      <c r="I63" s="52" t="s">
        <v>1559</v>
      </c>
      <c r="J63" s="53"/>
      <c r="K63" s="53"/>
      <c r="L63" s="53"/>
      <c r="M63" s="53"/>
      <c r="N63" s="209"/>
      <c r="O63" s="58">
        <f>O62*2</f>
        <v>1380</v>
      </c>
    </row>
    <row r="64" spans="1:15" ht="16.5" thickBot="1" x14ac:dyDescent="0.3">
      <c r="A64" s="52" t="s">
        <v>1559</v>
      </c>
      <c r="B64" s="53"/>
      <c r="C64" s="53"/>
      <c r="D64" s="53"/>
      <c r="E64" s="53"/>
      <c r="F64" s="209"/>
      <c r="G64" s="58">
        <f>G63*2</f>
        <v>1380</v>
      </c>
    </row>
    <row r="65" spans="1:7" ht="16.5" thickBot="1" x14ac:dyDescent="0.3"/>
    <row r="66" spans="1:7" ht="16.5" thickBot="1" x14ac:dyDescent="0.3">
      <c r="A66" s="1568" t="s">
        <v>1775</v>
      </c>
      <c r="B66" s="1569"/>
      <c r="C66" s="1569"/>
      <c r="D66" s="1569"/>
      <c r="E66" s="1569"/>
      <c r="F66" s="1570"/>
    </row>
    <row r="67" spans="1:7" x14ac:dyDescent="0.25">
      <c r="A67" s="224"/>
      <c r="B67" s="225" t="s">
        <v>742</v>
      </c>
      <c r="C67" s="226" t="s">
        <v>1547</v>
      </c>
      <c r="D67" s="226" t="s">
        <v>743</v>
      </c>
      <c r="E67" s="226" t="s">
        <v>1035</v>
      </c>
      <c r="F67" s="227" t="s">
        <v>1549</v>
      </c>
      <c r="G67" s="1"/>
    </row>
    <row r="68" spans="1:7" x14ac:dyDescent="0.25">
      <c r="A68" s="1701" t="s">
        <v>1585</v>
      </c>
      <c r="B68" s="2">
        <v>0.5</v>
      </c>
      <c r="C68" s="6">
        <v>3</v>
      </c>
      <c r="D68" s="6">
        <v>0.03</v>
      </c>
      <c r="E68" s="66">
        <f>'PALAIS DU BIJOU'!N17</f>
        <v>1100</v>
      </c>
      <c r="F68" s="39">
        <f>((E68*D68)/B68)*C68</f>
        <v>198</v>
      </c>
      <c r="G68" s="1"/>
    </row>
    <row r="69" spans="1:7" x14ac:dyDescent="0.25">
      <c r="A69" s="1711"/>
      <c r="B69" s="2">
        <v>0.5</v>
      </c>
      <c r="C69" s="6">
        <v>1</v>
      </c>
      <c r="D69" s="6">
        <v>0.36</v>
      </c>
      <c r="E69" s="66">
        <f>'PALAIS DU BIJOU'!N17</f>
        <v>1100</v>
      </c>
      <c r="F69" s="39">
        <f>((E69*D69)/B69)*C69</f>
        <v>792</v>
      </c>
      <c r="G69" s="1"/>
    </row>
    <row r="70" spans="1:7" x14ac:dyDescent="0.25">
      <c r="A70" s="1702"/>
      <c r="B70" s="2"/>
      <c r="C70" s="6">
        <v>8</v>
      </c>
      <c r="D70" s="6"/>
      <c r="E70" s="66">
        <f>'PALAIS DU BIJOU'!O17</f>
        <v>3.4375</v>
      </c>
      <c r="F70" s="39">
        <f>E70*C70</f>
        <v>27.5</v>
      </c>
      <c r="G70" s="1"/>
    </row>
    <row r="71" spans="1:7" x14ac:dyDescent="0.25">
      <c r="A71" s="3" t="s">
        <v>1198</v>
      </c>
      <c r="B71" s="2"/>
      <c r="C71" s="6">
        <v>2</v>
      </c>
      <c r="D71" s="6"/>
      <c r="E71" s="66">
        <f>'INS VARIOS'!C47</f>
        <v>0.5</v>
      </c>
      <c r="F71" s="39">
        <f>E71*C71</f>
        <v>1</v>
      </c>
      <c r="G71" s="1"/>
    </row>
    <row r="72" spans="1:7" x14ac:dyDescent="0.25">
      <c r="A72" s="3" t="s">
        <v>1644</v>
      </c>
      <c r="B72" s="2"/>
      <c r="C72" s="6">
        <v>2</v>
      </c>
      <c r="D72" s="6"/>
      <c r="E72" s="66">
        <f>VIDRIOS!E44</f>
        <v>20.833333333333332</v>
      </c>
      <c r="F72" s="39">
        <f>E72*C72</f>
        <v>41.666666666666664</v>
      </c>
      <c r="G72" s="1"/>
    </row>
    <row r="73" spans="1:7" x14ac:dyDescent="0.25">
      <c r="A73" s="189" t="s">
        <v>1563</v>
      </c>
      <c r="B73" s="2"/>
      <c r="C73" s="6">
        <v>8</v>
      </c>
      <c r="D73" s="6"/>
      <c r="E73" s="66">
        <f>'INSUMOS VARIOS'!R23</f>
        <v>0.5</v>
      </c>
      <c r="F73" s="39">
        <f>E73*C73</f>
        <v>4</v>
      </c>
      <c r="G73" s="1"/>
    </row>
    <row r="74" spans="1:7" x14ac:dyDescent="0.25">
      <c r="A74" s="189" t="s">
        <v>1676</v>
      </c>
      <c r="B74" s="2"/>
      <c r="C74" s="6">
        <v>8</v>
      </c>
      <c r="D74" s="6"/>
      <c r="E74" s="66">
        <f>'INSUMOS VARIOS'!K17</f>
        <v>1.7993456924754634</v>
      </c>
      <c r="F74" s="39">
        <f>E74*C74</f>
        <v>14.394765539803707</v>
      </c>
      <c r="G74" s="1"/>
    </row>
    <row r="75" spans="1:7" x14ac:dyDescent="0.25">
      <c r="A75" s="189" t="s">
        <v>1572</v>
      </c>
      <c r="B75" s="2"/>
      <c r="C75" s="6"/>
      <c r="D75" s="6"/>
      <c r="E75" s="66"/>
      <c r="F75" s="39">
        <v>1</v>
      </c>
      <c r="G75" s="1"/>
    </row>
    <row r="76" spans="1:7" x14ac:dyDescent="0.25">
      <c r="A76" s="191" t="s">
        <v>1587</v>
      </c>
      <c r="B76" s="2" t="s">
        <v>1474</v>
      </c>
      <c r="C76" s="6">
        <v>2</v>
      </c>
      <c r="D76" s="6"/>
      <c r="E76" s="66">
        <f>'INSUMOS VARIOS'!T14</f>
        <v>4.83</v>
      </c>
      <c r="F76" s="39">
        <f>E76*C76</f>
        <v>9.66</v>
      </c>
      <c r="G76" s="1"/>
    </row>
    <row r="77" spans="1:7" x14ac:dyDescent="0.25">
      <c r="A77" s="3" t="s">
        <v>1629</v>
      </c>
      <c r="B77" s="2"/>
      <c r="C77" s="6">
        <v>2</v>
      </c>
      <c r="D77" s="6"/>
      <c r="E77" s="66">
        <f>'INSUMOS VARIOS'!R23</f>
        <v>0.5</v>
      </c>
      <c r="F77" s="39">
        <f>E77*C77</f>
        <v>1</v>
      </c>
      <c r="G77" s="1"/>
    </row>
    <row r="78" spans="1:7" x14ac:dyDescent="0.25">
      <c r="A78" s="104" t="s">
        <v>1424</v>
      </c>
      <c r="B78" s="2"/>
      <c r="C78" s="6">
        <v>1</v>
      </c>
      <c r="D78" s="6">
        <v>0.55000000000000004</v>
      </c>
      <c r="E78" s="66">
        <f>'HILOS-CORDONES-TANZA-CUERO'!L9</f>
        <v>30</v>
      </c>
      <c r="F78" s="39">
        <f>E78*D78*C78</f>
        <v>16.5</v>
      </c>
      <c r="G78" s="1"/>
    </row>
    <row r="79" spans="1:7" x14ac:dyDescent="0.25">
      <c r="A79" s="191" t="s">
        <v>1557</v>
      </c>
      <c r="B79" s="2"/>
      <c r="C79" s="6"/>
      <c r="D79" s="6"/>
      <c r="E79" s="66"/>
      <c r="F79" s="39">
        <f>PACKAGING!E4</f>
        <v>80</v>
      </c>
      <c r="G79" s="1"/>
    </row>
    <row r="80" spans="1:7" x14ac:dyDescent="0.25">
      <c r="A80" s="191" t="s">
        <v>1537</v>
      </c>
      <c r="B80" s="2"/>
      <c r="C80" s="6"/>
      <c r="D80" s="6"/>
      <c r="E80" s="66"/>
      <c r="F80" s="39">
        <f>PACKAGING!E7</f>
        <v>170</v>
      </c>
      <c r="G80" s="1"/>
    </row>
    <row r="81" spans="1:8" x14ac:dyDescent="0.25">
      <c r="A81" s="3" t="s">
        <v>1558</v>
      </c>
      <c r="B81" s="2"/>
      <c r="C81" s="6"/>
      <c r="D81" s="6"/>
      <c r="E81" s="66"/>
      <c r="F81" s="39">
        <v>100</v>
      </c>
      <c r="G81" s="1"/>
    </row>
    <row r="82" spans="1:8" ht="16.5" thickBot="1" x14ac:dyDescent="0.3">
      <c r="A82" s="45" t="s">
        <v>1630</v>
      </c>
      <c r="B82" s="46"/>
      <c r="C82" s="65"/>
      <c r="D82" s="65"/>
      <c r="E82" s="65"/>
      <c r="F82" s="50">
        <f>SUM(F68:F81)</f>
        <v>1456.7214322064706</v>
      </c>
      <c r="G82" s="134"/>
      <c r="H82" s="1"/>
    </row>
    <row r="83" spans="1:8" x14ac:dyDescent="0.25">
      <c r="A83" s="47" t="s">
        <v>544</v>
      </c>
      <c r="B83" s="42"/>
      <c r="C83" s="42"/>
      <c r="D83" s="42"/>
      <c r="E83" s="42"/>
      <c r="F83" s="208">
        <f>F82*2</f>
        <v>2913.4428644129412</v>
      </c>
      <c r="G83" s="235">
        <v>490</v>
      </c>
      <c r="H83" s="61"/>
    </row>
    <row r="84" spans="1:8" ht="16.5" thickBot="1" x14ac:dyDescent="0.3">
      <c r="A84" s="52" t="s">
        <v>1559</v>
      </c>
      <c r="B84" s="53"/>
      <c r="C84" s="53"/>
      <c r="D84" s="53"/>
      <c r="E84" s="53"/>
      <c r="F84" s="209"/>
      <c r="G84" s="236">
        <f>G83*2</f>
        <v>980</v>
      </c>
      <c r="H84" s="61"/>
    </row>
    <row r="85" spans="1:8" ht="16.5" thickBot="1" x14ac:dyDescent="0.3"/>
    <row r="86" spans="1:8" ht="16.5" thickBot="1" x14ac:dyDescent="0.3">
      <c r="A86" s="1568" t="s">
        <v>1675</v>
      </c>
      <c r="B86" s="1569"/>
      <c r="C86" s="1569"/>
      <c r="D86" s="1569"/>
      <c r="E86" s="1570"/>
    </row>
    <row r="87" spans="1:8" x14ac:dyDescent="0.25">
      <c r="A87" s="224"/>
      <c r="B87" s="225" t="s">
        <v>742</v>
      </c>
      <c r="C87" s="226" t="s">
        <v>1547</v>
      </c>
      <c r="D87" s="226" t="s">
        <v>1035</v>
      </c>
      <c r="E87" s="227" t="s">
        <v>1549</v>
      </c>
      <c r="F87" s="1"/>
    </row>
    <row r="88" spans="1:8" x14ac:dyDescent="0.25">
      <c r="A88" s="3" t="s">
        <v>1623</v>
      </c>
      <c r="B88" s="2"/>
      <c r="C88" s="6">
        <v>5</v>
      </c>
      <c r="D88" s="66">
        <f>'RESINA - ACRILICOS'!D10</f>
        <v>0.91666666666666663</v>
      </c>
      <c r="E88" s="39">
        <f t="shared" ref="E88:E93" si="2">D88*C88</f>
        <v>4.583333333333333</v>
      </c>
      <c r="F88" s="1"/>
    </row>
    <row r="89" spans="1:8" x14ac:dyDescent="0.25">
      <c r="A89" s="3" t="s">
        <v>1624</v>
      </c>
      <c r="B89" s="2"/>
      <c r="C89" s="6">
        <v>9</v>
      </c>
      <c r="D89" s="66">
        <f>'RESINA - ACRILICOS'!D7</f>
        <v>2.6666666666666665</v>
      </c>
      <c r="E89" s="39">
        <f t="shared" si="2"/>
        <v>24</v>
      </c>
      <c r="F89" s="1"/>
    </row>
    <row r="90" spans="1:8" x14ac:dyDescent="0.25">
      <c r="A90" s="3" t="s">
        <v>1626</v>
      </c>
      <c r="B90" s="2"/>
      <c r="C90" s="6">
        <v>4</v>
      </c>
      <c r="D90" s="66">
        <f>VIDRIOS!E46</f>
        <v>3.8571428571428572</v>
      </c>
      <c r="E90" s="39">
        <f t="shared" si="2"/>
        <v>15.428571428571429</v>
      </c>
      <c r="F90" s="1"/>
    </row>
    <row r="91" spans="1:8" x14ac:dyDescent="0.25">
      <c r="A91" s="3" t="s">
        <v>1198</v>
      </c>
      <c r="B91" s="2"/>
      <c r="C91" s="6">
        <v>9</v>
      </c>
      <c r="D91" s="66">
        <f>'RESINA - ACRILICOS'!D12</f>
        <v>2.9411764705882355</v>
      </c>
      <c r="E91" s="39">
        <f t="shared" si="2"/>
        <v>26.47058823529412</v>
      </c>
      <c r="F91" s="1"/>
    </row>
    <row r="92" spans="1:8" x14ac:dyDescent="0.25">
      <c r="A92" s="3" t="s">
        <v>1424</v>
      </c>
      <c r="B92" s="2"/>
      <c r="C92" s="6">
        <v>0.62</v>
      </c>
      <c r="D92" s="66">
        <f>'HILOS-CORDONES-TANZA-CUERO'!L9</f>
        <v>30</v>
      </c>
      <c r="E92" s="39">
        <f t="shared" si="2"/>
        <v>18.600000000000001</v>
      </c>
      <c r="F92" s="1"/>
    </row>
    <row r="93" spans="1:8" x14ac:dyDescent="0.25">
      <c r="A93" s="189" t="s">
        <v>1627</v>
      </c>
      <c r="B93" s="2"/>
      <c r="C93" s="6">
        <v>2</v>
      </c>
      <c r="D93" s="66">
        <f>'INSUMOS VARIOS'!R23</f>
        <v>0.5</v>
      </c>
      <c r="E93" s="39">
        <f t="shared" si="2"/>
        <v>1</v>
      </c>
      <c r="F93" s="1"/>
    </row>
    <row r="94" spans="1:8" x14ac:dyDescent="0.25">
      <c r="A94" s="1701" t="s">
        <v>1585</v>
      </c>
      <c r="B94" s="2">
        <v>0.5</v>
      </c>
      <c r="C94" s="6">
        <v>0.32500000000000001</v>
      </c>
      <c r="D94" s="66">
        <f>'PALAIS DU BIJOU'!N17</f>
        <v>1100</v>
      </c>
      <c r="E94" s="39">
        <f>D94*C94/B94</f>
        <v>715</v>
      </c>
      <c r="F94" s="1"/>
    </row>
    <row r="95" spans="1:8" x14ac:dyDescent="0.25">
      <c r="A95" s="1702"/>
      <c r="B95" s="2"/>
      <c r="C95" s="6">
        <v>10</v>
      </c>
      <c r="D95" s="66">
        <f>'PALAIS DU BIJOU'!O17</f>
        <v>3.4375</v>
      </c>
      <c r="E95" s="39">
        <f>D95*C95</f>
        <v>34.375</v>
      </c>
      <c r="F95" s="1"/>
    </row>
    <row r="96" spans="1:8" x14ac:dyDescent="0.25">
      <c r="A96" s="191" t="s">
        <v>1628</v>
      </c>
      <c r="B96" s="2"/>
      <c r="C96" s="6">
        <v>2</v>
      </c>
      <c r="D96" s="66">
        <f>'INSUMOS VARIOS'!T14</f>
        <v>4.83</v>
      </c>
      <c r="E96" s="39">
        <f>D96*C96</f>
        <v>9.66</v>
      </c>
      <c r="F96" s="1"/>
    </row>
    <row r="97" spans="1:21" x14ac:dyDescent="0.25">
      <c r="A97" s="3" t="s">
        <v>1572</v>
      </c>
      <c r="B97" s="2"/>
      <c r="C97" s="6">
        <v>2</v>
      </c>
      <c r="D97" s="66">
        <v>1</v>
      </c>
      <c r="E97" s="39">
        <f>D97*C97</f>
        <v>2</v>
      </c>
      <c r="F97" s="1"/>
    </row>
    <row r="98" spans="1:21" x14ac:dyDescent="0.25">
      <c r="A98" s="3" t="s">
        <v>1629</v>
      </c>
      <c r="B98" s="2"/>
      <c r="C98" s="6">
        <v>2</v>
      </c>
      <c r="D98" s="66">
        <f>'INSUMOS VARIOS'!R23</f>
        <v>0.5</v>
      </c>
      <c r="E98" s="39">
        <f>D98*C98</f>
        <v>1</v>
      </c>
      <c r="F98" s="1"/>
    </row>
    <row r="99" spans="1:21" x14ac:dyDescent="0.25">
      <c r="A99" s="104" t="s">
        <v>1557</v>
      </c>
      <c r="B99" s="2"/>
      <c r="C99" s="6"/>
      <c r="D99" s="66"/>
      <c r="E99" s="39">
        <f>PACKAGING!E4</f>
        <v>80</v>
      </c>
      <c r="F99" s="1"/>
    </row>
    <row r="100" spans="1:21" x14ac:dyDescent="0.25">
      <c r="A100" s="191" t="s">
        <v>1537</v>
      </c>
      <c r="B100" s="2"/>
      <c r="C100" s="6"/>
      <c r="D100" s="66"/>
      <c r="E100" s="39">
        <f>PACKAGING!E7</f>
        <v>170</v>
      </c>
      <c r="F100" s="1"/>
    </row>
    <row r="101" spans="1:21" x14ac:dyDescent="0.25">
      <c r="A101" s="3" t="s">
        <v>1558</v>
      </c>
      <c r="B101" s="2"/>
      <c r="C101" s="6"/>
      <c r="D101" s="66"/>
      <c r="E101" s="39">
        <v>80</v>
      </c>
      <c r="F101" s="1"/>
    </row>
    <row r="102" spans="1:21" ht="16.5" thickBot="1" x14ac:dyDescent="0.3">
      <c r="A102" s="45" t="s">
        <v>1630</v>
      </c>
      <c r="B102" s="46"/>
      <c r="C102" s="65"/>
      <c r="D102" s="65"/>
      <c r="E102" s="50">
        <f>SUM(E88:E101)</f>
        <v>1182.117492997199</v>
      </c>
      <c r="F102" s="134"/>
    </row>
    <row r="103" spans="1:21" ht="16.5" thickBot="1" x14ac:dyDescent="0.3">
      <c r="A103" s="47" t="s">
        <v>544</v>
      </c>
      <c r="B103" s="42"/>
      <c r="C103" s="42"/>
      <c r="D103" s="42"/>
      <c r="E103" s="208">
        <f>E102*2</f>
        <v>2364.2349859943979</v>
      </c>
      <c r="F103" s="207">
        <v>420</v>
      </c>
    </row>
    <row r="104" spans="1:21" ht="16.5" thickBot="1" x14ac:dyDescent="0.3">
      <c r="A104" s="52" t="s">
        <v>1559</v>
      </c>
      <c r="B104" s="53"/>
      <c r="C104" s="53"/>
      <c r="D104" s="53"/>
      <c r="E104" s="53"/>
      <c r="F104" s="237">
        <f>F103*2</f>
        <v>840</v>
      </c>
    </row>
    <row r="105" spans="1:21" ht="16.5" thickBot="1" x14ac:dyDescent="0.3"/>
    <row r="106" spans="1:21" ht="16.5" thickBot="1" x14ac:dyDescent="0.3">
      <c r="A106" s="1712" t="s">
        <v>528</v>
      </c>
      <c r="B106" s="1713"/>
      <c r="C106" s="1713"/>
      <c r="D106" s="1713"/>
      <c r="E106" s="1714"/>
      <c r="F106" s="23"/>
      <c r="G106" s="23"/>
      <c r="I106" s="1712" t="s">
        <v>526</v>
      </c>
      <c r="J106" s="1713"/>
      <c r="K106" s="1713"/>
      <c r="L106" s="1713"/>
      <c r="M106" s="1714"/>
      <c r="N106" s="23"/>
      <c r="P106" s="1712" t="s">
        <v>531</v>
      </c>
      <c r="Q106" s="1713"/>
      <c r="R106" s="1713"/>
      <c r="S106" s="1713"/>
      <c r="T106" s="1714"/>
      <c r="U106" s="23"/>
    </row>
    <row r="107" spans="1:21" x14ac:dyDescent="0.25">
      <c r="A107" s="224"/>
      <c r="B107" s="225" t="s">
        <v>743</v>
      </c>
      <c r="C107" s="226" t="s">
        <v>1547</v>
      </c>
      <c r="D107" s="226" t="s">
        <v>1035</v>
      </c>
      <c r="E107" s="227" t="s">
        <v>1549</v>
      </c>
      <c r="F107" s="1"/>
      <c r="G107" s="1"/>
      <c r="I107" s="224"/>
      <c r="J107" s="225" t="s">
        <v>743</v>
      </c>
      <c r="K107" s="226" t="s">
        <v>1547</v>
      </c>
      <c r="L107" s="226" t="s">
        <v>1035</v>
      </c>
      <c r="M107" s="227" t="s">
        <v>1549</v>
      </c>
      <c r="N107" s="1"/>
      <c r="P107" s="224"/>
      <c r="Q107" s="225" t="s">
        <v>743</v>
      </c>
      <c r="R107" s="226" t="s">
        <v>1547</v>
      </c>
      <c r="S107" s="226" t="s">
        <v>1035</v>
      </c>
      <c r="T107" s="227" t="s">
        <v>1549</v>
      </c>
      <c r="U107" s="1"/>
    </row>
    <row r="108" spans="1:21" x14ac:dyDescent="0.25">
      <c r="A108" s="3" t="s">
        <v>1776</v>
      </c>
      <c r="B108" s="2"/>
      <c r="C108" s="6">
        <v>0.62</v>
      </c>
      <c r="D108" s="66">
        <f>'PALAIS DU BIJOU'!F15</f>
        <v>272.22222222222223</v>
      </c>
      <c r="E108" s="39">
        <f>D108*C108</f>
        <v>168.77777777777777</v>
      </c>
      <c r="F108" s="1"/>
      <c r="G108" s="1"/>
      <c r="I108" s="3" t="s">
        <v>1777</v>
      </c>
      <c r="J108" s="2"/>
      <c r="K108" s="6">
        <v>0.62</v>
      </c>
      <c r="L108" s="66">
        <f>'PALAIS DU BIJOU'!F3</f>
        <v>163.33333333333334</v>
      </c>
      <c r="M108" s="39">
        <f>L108*K108</f>
        <v>101.26666666666667</v>
      </c>
      <c r="N108" s="1"/>
      <c r="P108" s="3" t="s">
        <v>1778</v>
      </c>
      <c r="Q108" s="2"/>
      <c r="R108" s="6">
        <v>0.62</v>
      </c>
      <c r="S108" s="66">
        <f>'PALAIS DU BIJOU'!F8</f>
        <v>408.33333333333331</v>
      </c>
      <c r="T108" s="39">
        <f>S108*R108</f>
        <v>253.16666666666666</v>
      </c>
      <c r="U108" s="1"/>
    </row>
    <row r="109" spans="1:21" x14ac:dyDescent="0.25">
      <c r="A109" s="191" t="s">
        <v>1572</v>
      </c>
      <c r="B109" s="2"/>
      <c r="C109" s="6">
        <v>3</v>
      </c>
      <c r="D109" s="66">
        <f>'INSUMOS VARIOS'!T19</f>
        <v>1</v>
      </c>
      <c r="E109" s="39">
        <f>D109*C109</f>
        <v>3</v>
      </c>
      <c r="F109" s="1"/>
      <c r="G109" s="1"/>
      <c r="I109" s="191" t="s">
        <v>1572</v>
      </c>
      <c r="J109" s="2"/>
      <c r="K109" s="6">
        <v>3</v>
      </c>
      <c r="L109" s="66">
        <f>'INSUMOS VARIOS'!T19</f>
        <v>1</v>
      </c>
      <c r="M109" s="39">
        <f>L109*K109</f>
        <v>3</v>
      </c>
      <c r="N109" s="1"/>
      <c r="P109" s="191" t="s">
        <v>1572</v>
      </c>
      <c r="Q109" s="2"/>
      <c r="R109" s="6">
        <v>3</v>
      </c>
      <c r="S109" s="66">
        <f>'INSUMOS VARIOS'!T19</f>
        <v>1</v>
      </c>
      <c r="T109" s="39">
        <f>S109*R109</f>
        <v>3</v>
      </c>
      <c r="U109" s="1"/>
    </row>
    <row r="110" spans="1:21" x14ac:dyDescent="0.25">
      <c r="A110" s="191" t="s">
        <v>1779</v>
      </c>
      <c r="B110" s="2"/>
      <c r="C110" s="6">
        <v>2</v>
      </c>
      <c r="D110" s="66">
        <f>'INSUMOS VARIOS'!T15</f>
        <v>10.78</v>
      </c>
      <c r="E110" s="39">
        <f>D110*C110</f>
        <v>21.56</v>
      </c>
      <c r="F110" s="1"/>
      <c r="G110" s="1"/>
      <c r="I110" s="191" t="s">
        <v>1779</v>
      </c>
      <c r="J110" s="2"/>
      <c r="K110" s="6">
        <v>2</v>
      </c>
      <c r="L110" s="66">
        <f>'INSUMOS VARIOS'!T15</f>
        <v>10.78</v>
      </c>
      <c r="M110" s="39">
        <f>L110*K110</f>
        <v>21.56</v>
      </c>
      <c r="N110" s="1"/>
      <c r="P110" s="191" t="s">
        <v>1779</v>
      </c>
      <c r="Q110" s="2"/>
      <c r="R110" s="6">
        <v>2</v>
      </c>
      <c r="S110" s="66">
        <f>'INSUMOS VARIOS'!T15</f>
        <v>10.78</v>
      </c>
      <c r="T110" s="39">
        <f>S110*R110</f>
        <v>21.56</v>
      </c>
      <c r="U110" s="1"/>
    </row>
    <row r="111" spans="1:21" x14ac:dyDescent="0.25">
      <c r="A111" s="3" t="s">
        <v>1758</v>
      </c>
      <c r="B111" s="2"/>
      <c r="C111" s="6">
        <v>2</v>
      </c>
      <c r="D111" s="66">
        <f>'INSUMOS VARIOS'!T17</f>
        <v>12.5</v>
      </c>
      <c r="E111" s="39">
        <f>D111*C111</f>
        <v>25</v>
      </c>
      <c r="F111" s="1"/>
      <c r="G111" s="1"/>
      <c r="I111" s="3" t="s">
        <v>1758</v>
      </c>
      <c r="J111" s="2"/>
      <c r="K111" s="6">
        <v>2</v>
      </c>
      <c r="L111" s="66">
        <f>'INSUMOS VARIOS'!T17</f>
        <v>12.5</v>
      </c>
      <c r="M111" s="39">
        <f>L111*K111</f>
        <v>25</v>
      </c>
      <c r="N111" s="1"/>
      <c r="P111" s="3" t="s">
        <v>1758</v>
      </c>
      <c r="Q111" s="2"/>
      <c r="R111" s="6">
        <v>2</v>
      </c>
      <c r="S111" s="66">
        <f>'INSUMOS VARIOS'!T17</f>
        <v>12.5</v>
      </c>
      <c r="T111" s="39">
        <f>S111*R111</f>
        <v>25</v>
      </c>
      <c r="U111" s="1"/>
    </row>
    <row r="112" spans="1:21" x14ac:dyDescent="0.25">
      <c r="A112" s="191" t="s">
        <v>1557</v>
      </c>
      <c r="B112" s="2"/>
      <c r="C112" s="6"/>
      <c r="D112" s="66"/>
      <c r="E112" s="39">
        <f>PACKAGING!E4</f>
        <v>80</v>
      </c>
      <c r="F112" s="1"/>
      <c r="G112" s="1"/>
      <c r="I112" s="191" t="s">
        <v>1557</v>
      </c>
      <c r="J112" s="2"/>
      <c r="K112" s="6"/>
      <c r="L112" s="66"/>
      <c r="M112" s="39">
        <f>PACKAGING!E4</f>
        <v>80</v>
      </c>
      <c r="N112" s="1"/>
      <c r="P112" s="191" t="s">
        <v>1557</v>
      </c>
      <c r="Q112" s="2"/>
      <c r="R112" s="6"/>
      <c r="S112" s="66"/>
      <c r="T112" s="39">
        <f>PACKAGING!E4</f>
        <v>80</v>
      </c>
      <c r="U112" s="1"/>
    </row>
    <row r="113" spans="1:21" x14ac:dyDescent="0.25">
      <c r="A113" s="191" t="s">
        <v>1537</v>
      </c>
      <c r="B113" s="2"/>
      <c r="C113" s="6"/>
      <c r="D113" s="66"/>
      <c r="E113" s="39">
        <f>PACKAGING!E7</f>
        <v>170</v>
      </c>
      <c r="F113" s="1"/>
      <c r="G113" s="1"/>
      <c r="I113" s="191" t="s">
        <v>1537</v>
      </c>
      <c r="J113" s="2"/>
      <c r="K113" s="6"/>
      <c r="L113" s="66"/>
      <c r="M113" s="39">
        <f>PACKAGING!E7</f>
        <v>170</v>
      </c>
      <c r="N113" s="1"/>
      <c r="P113" s="191" t="s">
        <v>1537</v>
      </c>
      <c r="Q113" s="2"/>
      <c r="R113" s="6"/>
      <c r="S113" s="66"/>
      <c r="T113" s="39">
        <f>PACKAGING!E7</f>
        <v>170</v>
      </c>
      <c r="U113" s="1"/>
    </row>
    <row r="114" spans="1:21" x14ac:dyDescent="0.25">
      <c r="A114" s="3" t="s">
        <v>1558</v>
      </c>
      <c r="B114" s="2"/>
      <c r="C114" s="6"/>
      <c r="D114" s="66"/>
      <c r="E114" s="39">
        <v>50</v>
      </c>
      <c r="F114" s="1"/>
      <c r="G114" s="1"/>
      <c r="I114" s="3" t="s">
        <v>1558</v>
      </c>
      <c r="J114" s="2"/>
      <c r="K114" s="6"/>
      <c r="L114" s="66"/>
      <c r="M114" s="39">
        <v>50</v>
      </c>
      <c r="N114" s="1"/>
      <c r="P114" s="3" t="s">
        <v>1558</v>
      </c>
      <c r="Q114" s="2"/>
      <c r="R114" s="6"/>
      <c r="S114" s="66"/>
      <c r="T114" s="39">
        <v>50</v>
      </c>
      <c r="U114" s="1"/>
    </row>
    <row r="115" spans="1:21" ht="16.5" thickBot="1" x14ac:dyDescent="0.3">
      <c r="A115" s="45" t="s">
        <v>1630</v>
      </c>
      <c r="B115" s="46"/>
      <c r="C115" s="65"/>
      <c r="D115" s="65"/>
      <c r="E115" s="50">
        <f>SUM(E108:E114)</f>
        <v>518.33777777777777</v>
      </c>
      <c r="F115" s="134"/>
      <c r="G115" s="1"/>
      <c r="I115" s="45" t="s">
        <v>1630</v>
      </c>
      <c r="J115" s="46"/>
      <c r="K115" s="65"/>
      <c r="L115" s="65"/>
      <c r="M115" s="50">
        <f>SUM(M108:M114)</f>
        <v>450.82666666666665</v>
      </c>
      <c r="N115" s="134"/>
      <c r="P115" s="45" t="s">
        <v>1630</v>
      </c>
      <c r="Q115" s="46"/>
      <c r="R115" s="65"/>
      <c r="S115" s="65"/>
      <c r="T115" s="50">
        <f>SUM(T108:T114)</f>
        <v>602.72666666666669</v>
      </c>
      <c r="U115" s="134"/>
    </row>
    <row r="116" spans="1:21" x14ac:dyDescent="0.25">
      <c r="A116" s="47" t="s">
        <v>544</v>
      </c>
      <c r="B116" s="42"/>
      <c r="C116" s="42"/>
      <c r="D116" s="42"/>
      <c r="E116" s="208">
        <f>E115*2</f>
        <v>1036.6755555555555</v>
      </c>
      <c r="F116" s="56">
        <v>1500</v>
      </c>
      <c r="G116" s="61"/>
      <c r="I116" s="47" t="s">
        <v>544</v>
      </c>
      <c r="J116" s="42"/>
      <c r="K116" s="42"/>
      <c r="L116" s="42"/>
      <c r="M116" s="208">
        <f>M115*2</f>
        <v>901.65333333333331</v>
      </c>
      <c r="N116" s="56">
        <v>1300</v>
      </c>
      <c r="P116" s="47" t="s">
        <v>544</v>
      </c>
      <c r="Q116" s="42"/>
      <c r="R116" s="42"/>
      <c r="S116" s="42"/>
      <c r="T116" s="208">
        <f>T115*2</f>
        <v>1205.4533333333334</v>
      </c>
      <c r="U116" s="56">
        <v>1600</v>
      </c>
    </row>
    <row r="117" spans="1:21" ht="16.5" thickBot="1" x14ac:dyDescent="0.3">
      <c r="A117" s="52" t="s">
        <v>1559</v>
      </c>
      <c r="B117" s="53"/>
      <c r="C117" s="53"/>
      <c r="D117" s="53"/>
      <c r="E117" s="209"/>
      <c r="F117" s="58">
        <v>3000</v>
      </c>
      <c r="G117" s="61"/>
      <c r="I117" s="52" t="s">
        <v>1559</v>
      </c>
      <c r="J117" s="53"/>
      <c r="K117" s="53"/>
      <c r="L117" s="53"/>
      <c r="M117" s="209"/>
      <c r="N117" s="58">
        <v>2600</v>
      </c>
      <c r="P117" s="52" t="s">
        <v>1559</v>
      </c>
      <c r="Q117" s="53"/>
      <c r="R117" s="53"/>
      <c r="S117" s="53"/>
      <c r="T117" s="209"/>
      <c r="U117" s="58">
        <v>3200</v>
      </c>
    </row>
    <row r="118" spans="1:21" ht="16.5" thickBot="1" x14ac:dyDescent="0.3"/>
    <row r="119" spans="1:21" ht="16.5" thickBot="1" x14ac:dyDescent="0.3">
      <c r="A119" s="1712" t="s">
        <v>532</v>
      </c>
      <c r="B119" s="1713"/>
      <c r="C119" s="1713"/>
      <c r="D119" s="1713"/>
      <c r="E119" s="1714"/>
      <c r="F119" s="23"/>
    </row>
    <row r="120" spans="1:21" x14ac:dyDescent="0.25">
      <c r="A120" s="224"/>
      <c r="B120" s="225" t="s">
        <v>743</v>
      </c>
      <c r="C120" s="226" t="s">
        <v>1547</v>
      </c>
      <c r="D120" s="226" t="s">
        <v>1035</v>
      </c>
      <c r="E120" s="227" t="s">
        <v>1549</v>
      </c>
      <c r="F120" s="1"/>
    </row>
    <row r="121" spans="1:21" x14ac:dyDescent="0.25">
      <c r="A121" s="3" t="s">
        <v>1382</v>
      </c>
      <c r="B121" s="2">
        <v>0.44</v>
      </c>
      <c r="C121" s="6">
        <v>1</v>
      </c>
      <c r="D121" s="66">
        <f>'PALAIS DU BIJOU'!F6</f>
        <v>408.33333333333331</v>
      </c>
      <c r="E121" s="39">
        <f>D121*C121*B121</f>
        <v>179.66666666666666</v>
      </c>
      <c r="F121" s="1"/>
    </row>
    <row r="122" spans="1:21" x14ac:dyDescent="0.25">
      <c r="A122" s="104" t="s">
        <v>1776</v>
      </c>
      <c r="B122" s="2">
        <v>0.1</v>
      </c>
      <c r="C122" s="6">
        <v>2</v>
      </c>
      <c r="D122" s="66">
        <f>'PALAIS DU BIJOU'!F14</f>
        <v>272.22222222222223</v>
      </c>
      <c r="E122" s="39">
        <f>D122*C122*B122</f>
        <v>54.44444444444445</v>
      </c>
      <c r="F122" s="1"/>
    </row>
    <row r="123" spans="1:21" x14ac:dyDescent="0.25">
      <c r="A123" s="191" t="s">
        <v>1572</v>
      </c>
      <c r="B123" s="2"/>
      <c r="C123" s="6">
        <v>3</v>
      </c>
      <c r="D123" s="66">
        <f>'INSUMOS VARIOS'!T19</f>
        <v>1</v>
      </c>
      <c r="E123" s="39">
        <f>D123*C123</f>
        <v>3</v>
      </c>
      <c r="F123" s="1"/>
    </row>
    <row r="124" spans="1:21" x14ac:dyDescent="0.25">
      <c r="A124" s="191" t="s">
        <v>1779</v>
      </c>
      <c r="B124" s="2"/>
      <c r="C124" s="6">
        <v>2</v>
      </c>
      <c r="D124" s="66">
        <f>'INSUMOS VARIOS'!T15</f>
        <v>10.78</v>
      </c>
      <c r="E124" s="39">
        <f>D124*C124</f>
        <v>21.56</v>
      </c>
      <c r="F124" s="1"/>
    </row>
    <row r="125" spans="1:21" x14ac:dyDescent="0.25">
      <c r="A125" s="3" t="s">
        <v>1758</v>
      </c>
      <c r="B125" s="2"/>
      <c r="C125" s="6">
        <v>2</v>
      </c>
      <c r="D125" s="66">
        <f>'INSUMOS VARIOS'!T17</f>
        <v>12.5</v>
      </c>
      <c r="E125" s="39">
        <f>D125*C125</f>
        <v>25</v>
      </c>
      <c r="F125" s="1"/>
    </row>
    <row r="126" spans="1:21" x14ac:dyDescent="0.25">
      <c r="A126" s="191" t="s">
        <v>1557</v>
      </c>
      <c r="B126" s="2"/>
      <c r="C126" s="6"/>
      <c r="D126" s="66"/>
      <c r="E126" s="39">
        <f>PACKAGING!E4</f>
        <v>80</v>
      </c>
      <c r="F126" s="1"/>
    </row>
    <row r="127" spans="1:21" x14ac:dyDescent="0.25">
      <c r="A127" s="191" t="s">
        <v>1537</v>
      </c>
      <c r="B127" s="2"/>
      <c r="C127" s="6"/>
      <c r="D127" s="66"/>
      <c r="E127" s="39">
        <f>PACKAGING!E7</f>
        <v>170</v>
      </c>
      <c r="F127" s="1"/>
    </row>
    <row r="128" spans="1:21" x14ac:dyDescent="0.25">
      <c r="A128" s="3" t="s">
        <v>1558</v>
      </c>
      <c r="B128" s="2"/>
      <c r="C128" s="6"/>
      <c r="D128" s="66"/>
      <c r="E128" s="39">
        <v>60</v>
      </c>
      <c r="F128" s="1"/>
    </row>
    <row r="129" spans="1:6" ht="16.5" thickBot="1" x14ac:dyDescent="0.3">
      <c r="A129" s="45" t="s">
        <v>1630</v>
      </c>
      <c r="B129" s="46"/>
      <c r="C129" s="65"/>
      <c r="D129" s="65"/>
      <c r="E129" s="50">
        <f>SUM(E121:E128)</f>
        <v>593.67111111111103</v>
      </c>
      <c r="F129" s="134"/>
    </row>
    <row r="130" spans="1:6" x14ac:dyDescent="0.25">
      <c r="A130" s="47" t="s">
        <v>544</v>
      </c>
      <c r="B130" s="42"/>
      <c r="C130" s="42"/>
      <c r="D130" s="42"/>
      <c r="E130" s="208">
        <f>E129*2</f>
        <v>1187.3422222222221</v>
      </c>
      <c r="F130" s="56">
        <v>1600</v>
      </c>
    </row>
    <row r="131" spans="1:6" ht="16.5" thickBot="1" x14ac:dyDescent="0.3">
      <c r="A131" s="52" t="s">
        <v>1559</v>
      </c>
      <c r="B131" s="53"/>
      <c r="C131" s="53"/>
      <c r="D131" s="53"/>
      <c r="E131" s="209"/>
      <c r="F131" s="58">
        <v>3200</v>
      </c>
    </row>
  </sheetData>
  <mergeCells count="17">
    <mergeCell ref="A1:E1"/>
    <mergeCell ref="A32:E32"/>
    <mergeCell ref="P106:T106"/>
    <mergeCell ref="A106:E106"/>
    <mergeCell ref="I106:M106"/>
    <mergeCell ref="A119:E119"/>
    <mergeCell ref="A17:E17"/>
    <mergeCell ref="I17:M17"/>
    <mergeCell ref="I32:M32"/>
    <mergeCell ref="A53:A54"/>
    <mergeCell ref="A45:F45"/>
    <mergeCell ref="I45:N45"/>
    <mergeCell ref="I52:I53"/>
    <mergeCell ref="A94:A95"/>
    <mergeCell ref="A86:E86"/>
    <mergeCell ref="A66:F66"/>
    <mergeCell ref="A68:A70"/>
  </mergeCells>
  <pageMargins left="0.7" right="0.7" top="0.75" bottom="0.75" header="0.3" footer="0.3"/>
  <pageSetup orientation="portrait" r:id="rId1"/>
  <ignoredErrors>
    <ignoredError sqref="F52 N51 E94"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5"/>
  <dimension ref="A1:G79"/>
  <sheetViews>
    <sheetView zoomScale="77" zoomScaleNormal="83" workbookViewId="0">
      <selection activeCell="Q12" sqref="Q12"/>
    </sheetView>
  </sheetViews>
  <sheetFormatPr baseColWidth="10" defaultColWidth="10.85546875" defaultRowHeight="15.75" x14ac:dyDescent="0.25"/>
  <cols>
    <col min="1" max="1" width="18.85546875" style="171" bestFit="1" customWidth="1"/>
    <col min="2" max="2" width="14.5703125" style="171" bestFit="1" customWidth="1"/>
    <col min="3" max="5" width="10.85546875" style="171"/>
    <col min="6" max="7" width="13" style="171" bestFit="1" customWidth="1"/>
    <col min="8" max="16384" width="10.85546875" style="171"/>
  </cols>
  <sheetData>
    <row r="1" spans="1:7" ht="16.5" thickBot="1" x14ac:dyDescent="0.3">
      <c r="A1" s="1565" t="s">
        <v>1780</v>
      </c>
      <c r="B1" s="1566"/>
      <c r="C1" s="1566"/>
      <c r="D1" s="1566"/>
      <c r="E1" s="1566"/>
      <c r="F1" s="1567"/>
    </row>
    <row r="2" spans="1:7" x14ac:dyDescent="0.25">
      <c r="A2" s="183" t="s">
        <v>916</v>
      </c>
      <c r="B2" s="97" t="s">
        <v>742</v>
      </c>
      <c r="C2" s="97" t="s">
        <v>1607</v>
      </c>
      <c r="D2" s="97" t="s">
        <v>1566</v>
      </c>
      <c r="E2" s="76" t="s">
        <v>1035</v>
      </c>
      <c r="F2" s="77" t="s">
        <v>1549</v>
      </c>
      <c r="G2" s="1"/>
    </row>
    <row r="3" spans="1:7" x14ac:dyDescent="0.25">
      <c r="A3" s="3" t="s">
        <v>1224</v>
      </c>
      <c r="B3" s="98"/>
      <c r="C3" s="98">
        <v>0.55000000000000004</v>
      </c>
      <c r="D3" s="98">
        <v>1</v>
      </c>
      <c r="E3" s="102" t="e">
        <f>'HILOS-CORDONES-TANZA-CUERO'!#REF!</f>
        <v>#REF!</v>
      </c>
      <c r="F3" s="39" t="e">
        <f>C3*D3*E3</f>
        <v>#REF!</v>
      </c>
      <c r="G3" s="1"/>
    </row>
    <row r="4" spans="1:7" x14ac:dyDescent="0.25">
      <c r="A4" s="184" t="s">
        <v>1198</v>
      </c>
      <c r="B4" s="98"/>
      <c r="C4" s="98"/>
      <c r="D4" s="98">
        <v>15</v>
      </c>
      <c r="E4" s="102">
        <f>'RESINA - ACRILICOS'!D12</f>
        <v>2.9411764705882355</v>
      </c>
      <c r="F4" s="39">
        <f>E4*D4</f>
        <v>44.117647058823536</v>
      </c>
      <c r="G4" s="1"/>
    </row>
    <row r="5" spans="1:7" x14ac:dyDescent="0.25">
      <c r="A5" s="184" t="s">
        <v>1498</v>
      </c>
      <c r="B5" s="98"/>
      <c r="C5" s="98"/>
      <c r="D5" s="98">
        <v>8</v>
      </c>
      <c r="E5" s="102">
        <f>'INSUMOS VARIOS'!K17</f>
        <v>1.7993456924754634</v>
      </c>
      <c r="F5" s="39">
        <f>E5*D5</f>
        <v>14.394765539803707</v>
      </c>
      <c r="G5" s="1"/>
    </row>
    <row r="6" spans="1:7" x14ac:dyDescent="0.25">
      <c r="A6" s="184" t="s">
        <v>1781</v>
      </c>
      <c r="B6" s="98"/>
      <c r="C6" s="98"/>
      <c r="D6" s="98">
        <v>4</v>
      </c>
      <c r="E6" s="102">
        <v>2</v>
      </c>
      <c r="F6" s="39">
        <f>E6*D6</f>
        <v>8</v>
      </c>
      <c r="G6" s="1"/>
    </row>
    <row r="7" spans="1:7" x14ac:dyDescent="0.25">
      <c r="A7" s="1616" t="s">
        <v>1782</v>
      </c>
      <c r="B7" s="98" t="s">
        <v>1458</v>
      </c>
      <c r="C7" s="98"/>
      <c r="D7" s="98">
        <v>2</v>
      </c>
      <c r="E7" s="102">
        <f>VIDRIOS!E8</f>
        <v>8.9473684210526319</v>
      </c>
      <c r="F7" s="39">
        <f t="shared" ref="F7:F14" si="0">E7*D7</f>
        <v>17.894736842105264</v>
      </c>
      <c r="G7" s="1"/>
    </row>
    <row r="8" spans="1:7" x14ac:dyDescent="0.25">
      <c r="A8" s="1617"/>
      <c r="B8" s="98" t="s">
        <v>1194</v>
      </c>
      <c r="C8" s="98"/>
      <c r="D8" s="98">
        <v>1</v>
      </c>
      <c r="E8" s="102">
        <f>VIDRIOS!E5</f>
        <v>56.666666666666664</v>
      </c>
      <c r="F8" s="39">
        <f t="shared" si="0"/>
        <v>56.666666666666664</v>
      </c>
      <c r="G8" s="1"/>
    </row>
    <row r="9" spans="1:7" x14ac:dyDescent="0.25">
      <c r="A9" s="1617"/>
      <c r="B9" s="98" t="s">
        <v>1783</v>
      </c>
      <c r="C9" s="98"/>
      <c r="D9" s="98">
        <v>1</v>
      </c>
      <c r="E9" s="102">
        <f>VIDRIOS!E17</f>
        <v>28.333333333333332</v>
      </c>
      <c r="F9" s="39">
        <f t="shared" si="0"/>
        <v>28.333333333333332</v>
      </c>
      <c r="G9" s="1"/>
    </row>
    <row r="10" spans="1:7" x14ac:dyDescent="0.25">
      <c r="A10" s="1617"/>
      <c r="B10" s="98" t="s">
        <v>1462</v>
      </c>
      <c r="C10" s="98"/>
      <c r="D10" s="98">
        <v>3</v>
      </c>
      <c r="E10" s="102">
        <f>VIDRIOS!E13</f>
        <v>18.888888888888889</v>
      </c>
      <c r="F10" s="39">
        <f t="shared" si="0"/>
        <v>56.666666666666671</v>
      </c>
      <c r="G10" s="1"/>
    </row>
    <row r="11" spans="1:7" x14ac:dyDescent="0.25">
      <c r="A11" s="1617"/>
      <c r="B11" s="98" t="s">
        <v>1784</v>
      </c>
      <c r="C11" s="98"/>
      <c r="D11" s="98">
        <v>1</v>
      </c>
      <c r="E11" s="102">
        <f>VIDRIOS!E4</f>
        <v>34</v>
      </c>
      <c r="F11" s="39">
        <f t="shared" si="0"/>
        <v>34</v>
      </c>
      <c r="G11" s="1"/>
    </row>
    <row r="12" spans="1:7" x14ac:dyDescent="0.25">
      <c r="A12" s="1617"/>
      <c r="B12" s="98" t="s">
        <v>1231</v>
      </c>
      <c r="C12" s="98"/>
      <c r="D12" s="98">
        <v>1</v>
      </c>
      <c r="E12" s="102">
        <f>VIDRIOS!E5</f>
        <v>56.666666666666664</v>
      </c>
      <c r="F12" s="39">
        <f t="shared" si="0"/>
        <v>56.666666666666664</v>
      </c>
      <c r="G12" s="1"/>
    </row>
    <row r="13" spans="1:7" x14ac:dyDescent="0.25">
      <c r="A13" s="1715"/>
      <c r="B13" s="98" t="s">
        <v>1785</v>
      </c>
      <c r="C13" s="98"/>
      <c r="D13" s="98">
        <v>1</v>
      </c>
      <c r="E13" s="102">
        <f>VIDRIOS!L6</f>
        <v>4</v>
      </c>
      <c r="F13" s="39">
        <f t="shared" si="0"/>
        <v>4</v>
      </c>
      <c r="G13" s="1"/>
    </row>
    <row r="14" spans="1:7" x14ac:dyDescent="0.25">
      <c r="A14" s="184" t="s">
        <v>1786</v>
      </c>
      <c r="B14" s="98"/>
      <c r="C14" s="98"/>
      <c r="D14" s="98">
        <v>1</v>
      </c>
      <c r="E14" s="102">
        <v>2</v>
      </c>
      <c r="F14" s="39">
        <f t="shared" si="0"/>
        <v>2</v>
      </c>
      <c r="G14" s="1"/>
    </row>
    <row r="15" spans="1:7" x14ac:dyDescent="0.25">
      <c r="A15" s="184" t="s">
        <v>1552</v>
      </c>
      <c r="B15" s="98">
        <v>0.39</v>
      </c>
      <c r="C15" s="98">
        <v>7.4999999999999997E-3</v>
      </c>
      <c r="D15" s="98">
        <v>5</v>
      </c>
      <c r="E15" s="102">
        <f>'PALAIS DU BIJOU'!N4</f>
        <v>170</v>
      </c>
      <c r="F15" s="39">
        <f>(E15*C15/B15)*D15</f>
        <v>16.346153846153843</v>
      </c>
      <c r="G15" s="1"/>
    </row>
    <row r="16" spans="1:7" x14ac:dyDescent="0.25">
      <c r="A16" s="184" t="s">
        <v>1787</v>
      </c>
      <c r="B16" s="98"/>
      <c r="C16" s="98"/>
      <c r="D16" s="98">
        <v>6</v>
      </c>
      <c r="E16" s="102">
        <f>'RESINA - ACRILICOS'!D17</f>
        <v>0.9</v>
      </c>
      <c r="F16" s="39">
        <f>E16*D16</f>
        <v>5.4</v>
      </c>
      <c r="G16" s="1"/>
    </row>
    <row r="17" spans="1:7" x14ac:dyDescent="0.25">
      <c r="A17" s="184" t="s">
        <v>1788</v>
      </c>
      <c r="B17" s="98"/>
      <c r="C17" s="98"/>
      <c r="D17" s="98">
        <v>2</v>
      </c>
      <c r="E17" s="102">
        <f>PIEDRAS!F110</f>
        <v>6.9230769230769234</v>
      </c>
      <c r="F17" s="39">
        <f>E17*D17</f>
        <v>13.846153846153847</v>
      </c>
      <c r="G17" s="1"/>
    </row>
    <row r="18" spans="1:7" x14ac:dyDescent="0.25">
      <c r="A18" s="184" t="s">
        <v>1789</v>
      </c>
      <c r="B18" s="98" t="s">
        <v>1790</v>
      </c>
      <c r="C18" s="98"/>
      <c r="D18" s="98">
        <v>2</v>
      </c>
      <c r="E18" s="102">
        <f>'RESINA - ACRILICOS'!D17</f>
        <v>0.9</v>
      </c>
      <c r="F18" s="39">
        <f>E18*D18</f>
        <v>1.8</v>
      </c>
      <c r="G18" s="1"/>
    </row>
    <row r="19" spans="1:7" x14ac:dyDescent="0.25">
      <c r="A19" s="184" t="s">
        <v>1555</v>
      </c>
      <c r="B19" s="98"/>
      <c r="C19" s="98"/>
      <c r="D19" s="98">
        <v>2</v>
      </c>
      <c r="E19" s="102">
        <f>'INSUMOS VARIOS'!T19</f>
        <v>1</v>
      </c>
      <c r="F19" s="39">
        <f>E19*D19</f>
        <v>2</v>
      </c>
      <c r="G19" s="1"/>
    </row>
    <row r="20" spans="1:7" x14ac:dyDescent="0.25">
      <c r="A20" s="184" t="s">
        <v>1557</v>
      </c>
      <c r="B20" s="98"/>
      <c r="C20" s="98"/>
      <c r="D20" s="98"/>
      <c r="E20" s="102"/>
      <c r="F20" s="39">
        <v>10</v>
      </c>
      <c r="G20" s="1"/>
    </row>
    <row r="21" spans="1:7" x14ac:dyDescent="0.25">
      <c r="A21" s="184" t="s">
        <v>1721</v>
      </c>
      <c r="B21" s="98"/>
      <c r="C21" s="98"/>
      <c r="D21" s="98"/>
      <c r="E21" s="102"/>
      <c r="F21" s="39">
        <v>10</v>
      </c>
      <c r="G21" s="1"/>
    </row>
    <row r="22" spans="1:7" x14ac:dyDescent="0.25">
      <c r="A22" s="184" t="s">
        <v>1791</v>
      </c>
      <c r="B22" s="98"/>
      <c r="C22" s="98"/>
      <c r="D22" s="98"/>
      <c r="E22" s="102"/>
      <c r="F22" s="39">
        <v>15</v>
      </c>
      <c r="G22" s="1"/>
    </row>
    <row r="23" spans="1:7" x14ac:dyDescent="0.25">
      <c r="A23" s="3" t="s">
        <v>1558</v>
      </c>
      <c r="B23" s="98"/>
      <c r="C23" s="98"/>
      <c r="D23" s="98"/>
      <c r="E23" s="2"/>
      <c r="F23" s="39">
        <v>70</v>
      </c>
      <c r="G23" s="1"/>
    </row>
    <row r="24" spans="1:7" ht="16.5" thickBot="1" x14ac:dyDescent="0.3">
      <c r="A24" s="79" t="s">
        <v>525</v>
      </c>
      <c r="B24" s="99"/>
      <c r="C24" s="99"/>
      <c r="D24" s="99"/>
      <c r="E24" s="70"/>
      <c r="F24" s="51" t="e">
        <f>SUM(F3:F23)</f>
        <v>#REF!</v>
      </c>
      <c r="G24" s="1"/>
    </row>
    <row r="25" spans="1:7" x14ac:dyDescent="0.25">
      <c r="A25" s="80" t="s">
        <v>544</v>
      </c>
      <c r="B25" s="100"/>
      <c r="C25" s="100"/>
      <c r="D25" s="100"/>
      <c r="E25" s="71"/>
      <c r="F25" s="72" t="e">
        <f>F24*2</f>
        <v>#REF!</v>
      </c>
      <c r="G25" s="203">
        <v>620</v>
      </c>
    </row>
    <row r="26" spans="1:7" ht="16.5" thickBot="1" x14ac:dyDescent="0.3">
      <c r="A26" s="81" t="s">
        <v>1559</v>
      </c>
      <c r="B26" s="101"/>
      <c r="C26" s="101"/>
      <c r="D26" s="101"/>
      <c r="E26" s="73"/>
      <c r="F26" s="73"/>
      <c r="G26" s="204">
        <f>G25*2</f>
        <v>1240</v>
      </c>
    </row>
    <row r="27" spans="1:7" ht="16.5" thickBot="1" x14ac:dyDescent="0.3"/>
    <row r="28" spans="1:7" ht="16.5" thickBot="1" x14ac:dyDescent="0.3">
      <c r="A28" s="1565" t="s">
        <v>1792</v>
      </c>
      <c r="B28" s="1566"/>
      <c r="C28" s="1566"/>
      <c r="D28" s="1566"/>
      <c r="E28" s="1566"/>
      <c r="F28" s="1567"/>
      <c r="G28"/>
    </row>
    <row r="29" spans="1:7" x14ac:dyDescent="0.25">
      <c r="A29" s="183" t="s">
        <v>916</v>
      </c>
      <c r="B29" s="97" t="s">
        <v>742</v>
      </c>
      <c r="C29" s="97" t="s">
        <v>1607</v>
      </c>
      <c r="D29" s="97" t="s">
        <v>1566</v>
      </c>
      <c r="E29" s="76" t="s">
        <v>1035</v>
      </c>
      <c r="F29" s="77" t="s">
        <v>1549</v>
      </c>
      <c r="G29" s="1"/>
    </row>
    <row r="30" spans="1:7" x14ac:dyDescent="0.25">
      <c r="A30" s="3" t="s">
        <v>1224</v>
      </c>
      <c r="B30" s="98"/>
      <c r="C30" s="98">
        <v>0.55000000000000004</v>
      </c>
      <c r="D30" s="98">
        <v>1</v>
      </c>
      <c r="E30" s="102" t="e">
        <f>'HILOS-CORDONES-TANZA-CUERO'!#REF!</f>
        <v>#REF!</v>
      </c>
      <c r="F30" s="39" t="e">
        <f>C30*D30*E30</f>
        <v>#REF!</v>
      </c>
      <c r="G30" s="1"/>
    </row>
    <row r="31" spans="1:7" x14ac:dyDescent="0.25">
      <c r="A31" s="184" t="s">
        <v>1720</v>
      </c>
      <c r="B31" s="98"/>
      <c r="C31" s="98"/>
      <c r="D31" s="98">
        <v>18</v>
      </c>
      <c r="E31" s="102">
        <f>VIDRIOS!E44</f>
        <v>20.833333333333332</v>
      </c>
      <c r="F31" s="39">
        <f>E31*D31</f>
        <v>375</v>
      </c>
      <c r="G31" s="1"/>
    </row>
    <row r="32" spans="1:7" x14ac:dyDescent="0.25">
      <c r="A32" s="184" t="s">
        <v>1782</v>
      </c>
      <c r="B32" s="98"/>
      <c r="C32" s="98"/>
      <c r="D32" s="98">
        <v>5</v>
      </c>
      <c r="E32" s="102">
        <f>VIDRIOS!E8</f>
        <v>8.9473684210526319</v>
      </c>
      <c r="F32" s="39">
        <f>E32*D32</f>
        <v>44.736842105263158</v>
      </c>
      <c r="G32" s="1"/>
    </row>
    <row r="33" spans="1:7" x14ac:dyDescent="0.25">
      <c r="A33" s="184" t="s">
        <v>1676</v>
      </c>
      <c r="B33" s="2" t="s">
        <v>1793</v>
      </c>
      <c r="C33" s="98"/>
      <c r="D33" s="98">
        <v>12</v>
      </c>
      <c r="E33" s="102">
        <f>'INSUMOS VARIOS'!K18</f>
        <v>1.7992471769134253</v>
      </c>
      <c r="F33" s="39">
        <f>E33*D33</f>
        <v>21.590966122961103</v>
      </c>
      <c r="G33" s="1"/>
    </row>
    <row r="34" spans="1:7" x14ac:dyDescent="0.25">
      <c r="A34" s="184" t="s">
        <v>1794</v>
      </c>
      <c r="B34" s="98"/>
      <c r="C34" s="98"/>
      <c r="D34" s="98">
        <v>8</v>
      </c>
      <c r="E34" s="102">
        <f>'RESINA - ACRILICOS'!D17</f>
        <v>0.9</v>
      </c>
      <c r="F34" s="39">
        <f>E34*D34</f>
        <v>7.2</v>
      </c>
      <c r="G34" s="1"/>
    </row>
    <row r="35" spans="1:7" x14ac:dyDescent="0.25">
      <c r="A35" s="184" t="s">
        <v>1552</v>
      </c>
      <c r="B35" s="98">
        <v>0.39</v>
      </c>
      <c r="C35" s="98">
        <v>4.4999999999999998E-2</v>
      </c>
      <c r="D35" s="98">
        <v>2</v>
      </c>
      <c r="E35" s="102">
        <f>'PALAIS DU BIJOU'!N4</f>
        <v>170</v>
      </c>
      <c r="F35" s="39">
        <f>(E35*C35/B35)*D35</f>
        <v>39.230769230769226</v>
      </c>
      <c r="G35" s="1"/>
    </row>
    <row r="36" spans="1:7" x14ac:dyDescent="0.25">
      <c r="A36" s="184" t="s">
        <v>1572</v>
      </c>
      <c r="B36" s="98"/>
      <c r="C36" s="98"/>
      <c r="D36" s="98">
        <v>2</v>
      </c>
      <c r="E36" s="102">
        <f>'INSUMOS VARIOS'!T19</f>
        <v>1</v>
      </c>
      <c r="F36" s="39">
        <f>E36*D36</f>
        <v>2</v>
      </c>
      <c r="G36" s="1"/>
    </row>
    <row r="37" spans="1:7" x14ac:dyDescent="0.25">
      <c r="A37" s="184" t="s">
        <v>1557</v>
      </c>
      <c r="B37" s="98"/>
      <c r="C37" s="98"/>
      <c r="D37" s="98"/>
      <c r="E37" s="102"/>
      <c r="F37" s="39">
        <v>10</v>
      </c>
      <c r="G37" s="1"/>
    </row>
    <row r="38" spans="1:7" x14ac:dyDescent="0.25">
      <c r="A38" s="184" t="s">
        <v>1791</v>
      </c>
      <c r="B38" s="98"/>
      <c r="C38" s="98"/>
      <c r="D38" s="98"/>
      <c r="E38" s="102"/>
      <c r="F38" s="39">
        <v>10</v>
      </c>
      <c r="G38" s="1"/>
    </row>
    <row r="39" spans="1:7" x14ac:dyDescent="0.25">
      <c r="A39" s="184" t="s">
        <v>1721</v>
      </c>
      <c r="B39" s="98"/>
      <c r="C39" s="98"/>
      <c r="D39" s="98"/>
      <c r="E39" s="102"/>
      <c r="F39" s="39">
        <v>15</v>
      </c>
      <c r="G39" s="1"/>
    </row>
    <row r="40" spans="1:7" x14ac:dyDescent="0.25">
      <c r="A40" s="3" t="s">
        <v>1558</v>
      </c>
      <c r="B40" s="98"/>
      <c r="C40" s="98"/>
      <c r="D40" s="98"/>
      <c r="E40" s="2"/>
      <c r="F40" s="39">
        <v>70</v>
      </c>
      <c r="G40" s="1"/>
    </row>
    <row r="41" spans="1:7" ht="16.5" thickBot="1" x14ac:dyDescent="0.3">
      <c r="A41" s="79" t="s">
        <v>525</v>
      </c>
      <c r="B41" s="99"/>
      <c r="C41" s="99"/>
      <c r="D41" s="99"/>
      <c r="E41" s="70"/>
      <c r="F41" s="51" t="e">
        <f>SUM(F30:F40)</f>
        <v>#REF!</v>
      </c>
      <c r="G41" s="1"/>
    </row>
    <row r="42" spans="1:7" ht="18.75" x14ac:dyDescent="0.25">
      <c r="A42" s="80" t="s">
        <v>544</v>
      </c>
      <c r="B42" s="100"/>
      <c r="C42" s="100"/>
      <c r="D42" s="100"/>
      <c r="E42" s="71"/>
      <c r="F42" s="72" t="e">
        <f>F41*2</f>
        <v>#REF!</v>
      </c>
      <c r="G42" s="75">
        <v>620</v>
      </c>
    </row>
    <row r="43" spans="1:7" ht="19.5" thickBot="1" x14ac:dyDescent="0.3">
      <c r="A43" s="81" t="s">
        <v>1559</v>
      </c>
      <c r="B43" s="101"/>
      <c r="C43" s="101"/>
      <c r="D43" s="101"/>
      <c r="E43" s="73"/>
      <c r="F43" s="73"/>
      <c r="G43" s="74">
        <f>G42*2</f>
        <v>1240</v>
      </c>
    </row>
    <row r="44" spans="1:7" ht="16.5" thickBot="1" x14ac:dyDescent="0.3"/>
    <row r="45" spans="1:7" ht="16.5" thickBot="1" x14ac:dyDescent="0.3">
      <c r="A45" s="1565" t="s">
        <v>1795</v>
      </c>
      <c r="B45" s="1566"/>
      <c r="C45" s="1566"/>
      <c r="D45" s="1566"/>
      <c r="E45" s="1566"/>
      <c r="F45" s="1567"/>
      <c r="G45"/>
    </row>
    <row r="46" spans="1:7" x14ac:dyDescent="0.25">
      <c r="A46" s="183" t="s">
        <v>916</v>
      </c>
      <c r="B46" s="97" t="s">
        <v>742</v>
      </c>
      <c r="C46" s="97" t="s">
        <v>1607</v>
      </c>
      <c r="D46" s="97" t="s">
        <v>1566</v>
      </c>
      <c r="E46" s="76" t="s">
        <v>1035</v>
      </c>
      <c r="F46" s="77" t="s">
        <v>1549</v>
      </c>
      <c r="G46" s="1"/>
    </row>
    <row r="47" spans="1:7" x14ac:dyDescent="0.25">
      <c r="A47" s="3" t="s">
        <v>1224</v>
      </c>
      <c r="B47" s="98"/>
      <c r="C47" s="98">
        <v>0.55000000000000004</v>
      </c>
      <c r="D47" s="98">
        <v>1</v>
      </c>
      <c r="E47" s="102" t="e">
        <f>'HILOS-CORDONES-TANZA-CUERO'!#REF!</f>
        <v>#REF!</v>
      </c>
      <c r="F47" s="39" t="e">
        <f>C47*D47*E47</f>
        <v>#REF!</v>
      </c>
      <c r="G47" s="1"/>
    </row>
    <row r="48" spans="1:7" x14ac:dyDescent="0.25">
      <c r="A48" s="184" t="s">
        <v>1720</v>
      </c>
      <c r="B48" s="98"/>
      <c r="C48" s="98"/>
      <c r="D48" s="98">
        <v>26</v>
      </c>
      <c r="E48" s="102">
        <f>VIDRIOS!E44</f>
        <v>20.833333333333332</v>
      </c>
      <c r="F48" s="39">
        <f>E48*D48</f>
        <v>541.66666666666663</v>
      </c>
      <c r="G48" s="1"/>
    </row>
    <row r="49" spans="1:7" x14ac:dyDescent="0.25">
      <c r="A49" s="184" t="s">
        <v>1676</v>
      </c>
      <c r="B49" s="2" t="s">
        <v>1793</v>
      </c>
      <c r="C49" s="98"/>
      <c r="D49" s="98">
        <v>12</v>
      </c>
      <c r="E49" s="102">
        <f>'INSUMOS VARIOS'!K18</f>
        <v>1.7992471769134253</v>
      </c>
      <c r="F49" s="39">
        <f>E49*D49</f>
        <v>21.590966122961103</v>
      </c>
      <c r="G49" s="1"/>
    </row>
    <row r="50" spans="1:7" x14ac:dyDescent="0.25">
      <c r="A50" s="184" t="s">
        <v>1794</v>
      </c>
      <c r="B50" s="98"/>
      <c r="C50" s="98"/>
      <c r="D50" s="98">
        <v>8</v>
      </c>
      <c r="E50" s="102">
        <f>'RESINA - ACRILICOS'!D17</f>
        <v>0.9</v>
      </c>
      <c r="F50" s="39">
        <f>E50*D50</f>
        <v>7.2</v>
      </c>
      <c r="G50" s="1"/>
    </row>
    <row r="51" spans="1:7" x14ac:dyDescent="0.25">
      <c r="A51" s="184" t="s">
        <v>1796</v>
      </c>
      <c r="B51" s="98" t="s">
        <v>1458</v>
      </c>
      <c r="C51" s="98"/>
      <c r="D51" s="98">
        <v>4</v>
      </c>
      <c r="E51" s="102">
        <f>VIDRIOS!E8</f>
        <v>8.9473684210526319</v>
      </c>
      <c r="F51" s="39">
        <f>E51*D51</f>
        <v>35.789473684210527</v>
      </c>
      <c r="G51" s="1"/>
    </row>
    <row r="52" spans="1:7" x14ac:dyDescent="0.25">
      <c r="A52" s="1613" t="s">
        <v>1552</v>
      </c>
      <c r="B52" s="98">
        <v>0.39</v>
      </c>
      <c r="C52" s="98">
        <v>1.4999999999999999E-2</v>
      </c>
      <c r="D52" s="98">
        <v>1</v>
      </c>
      <c r="E52" s="102">
        <f>'PALAIS DU BIJOU'!N4</f>
        <v>170</v>
      </c>
      <c r="F52" s="39">
        <f>(E52*C52/B52)*D52</f>
        <v>6.5384615384615374</v>
      </c>
      <c r="G52" s="1"/>
    </row>
    <row r="53" spans="1:7" x14ac:dyDescent="0.25">
      <c r="A53" s="1614"/>
      <c r="B53" s="98">
        <v>0.39</v>
      </c>
      <c r="C53" s="98">
        <v>7.4999999999999997E-3</v>
      </c>
      <c r="D53" s="98">
        <v>1</v>
      </c>
      <c r="E53" s="102">
        <f>'PALAIS DU BIJOU'!N4</f>
        <v>170</v>
      </c>
      <c r="F53" s="39">
        <f>(E53*C53/B53)*D53</f>
        <v>3.2692307692307687</v>
      </c>
      <c r="G53" s="1"/>
    </row>
    <row r="54" spans="1:7" x14ac:dyDescent="0.25">
      <c r="A54" s="1614"/>
      <c r="B54" s="98">
        <v>0.39</v>
      </c>
      <c r="C54" s="98">
        <v>0.01</v>
      </c>
      <c r="D54" s="98">
        <v>1</v>
      </c>
      <c r="E54" s="102">
        <f>'PALAIS DU BIJOU'!N4</f>
        <v>170</v>
      </c>
      <c r="F54" s="39">
        <f>(E54*C54/B54)*D54</f>
        <v>4.3589743589743586</v>
      </c>
      <c r="G54" s="1"/>
    </row>
    <row r="55" spans="1:7" x14ac:dyDescent="0.25">
      <c r="A55" s="1614"/>
      <c r="B55" s="98">
        <v>0.39</v>
      </c>
      <c r="C55" s="98">
        <v>2.5000000000000001E-2</v>
      </c>
      <c r="D55" s="98">
        <v>1</v>
      </c>
      <c r="E55" s="102">
        <f>'PALAIS DU BIJOU'!N4</f>
        <v>170</v>
      </c>
      <c r="F55" s="39">
        <f>(E55*C55/B55)*D55</f>
        <v>10.897435897435898</v>
      </c>
      <c r="G55" s="1"/>
    </row>
    <row r="56" spans="1:7" x14ac:dyDescent="0.25">
      <c r="A56" s="1615"/>
      <c r="B56" s="98">
        <v>0.39</v>
      </c>
      <c r="C56" s="98">
        <v>1.7500000000000002E-2</v>
      </c>
      <c r="D56" s="98">
        <v>1</v>
      </c>
      <c r="E56" s="102">
        <f>'PALAIS DU BIJOU'!N4</f>
        <v>170</v>
      </c>
      <c r="F56" s="39">
        <f>(E56*C56/B56)*D56</f>
        <v>7.6282051282051277</v>
      </c>
      <c r="G56" s="1"/>
    </row>
    <row r="57" spans="1:7" x14ac:dyDescent="0.25">
      <c r="A57" s="184" t="s">
        <v>1572</v>
      </c>
      <c r="B57" s="98"/>
      <c r="C57" s="98"/>
      <c r="D57" s="98">
        <v>2</v>
      </c>
      <c r="E57" s="102">
        <f>'INSUMOS VARIOS'!K17</f>
        <v>1.7993456924754634</v>
      </c>
      <c r="F57" s="39">
        <f>E57*D57</f>
        <v>3.5986913849509268</v>
      </c>
      <c r="G57" s="1"/>
    </row>
    <row r="58" spans="1:7" x14ac:dyDescent="0.25">
      <c r="A58" s="184" t="s">
        <v>1557</v>
      </c>
      <c r="B58" s="98"/>
      <c r="C58" s="98"/>
      <c r="D58" s="98"/>
      <c r="E58" s="102"/>
      <c r="F58" s="39">
        <v>10</v>
      </c>
      <c r="G58" s="1"/>
    </row>
    <row r="59" spans="1:7" x14ac:dyDescent="0.25">
      <c r="A59" s="184" t="s">
        <v>1721</v>
      </c>
      <c r="B59" s="98"/>
      <c r="C59" s="98"/>
      <c r="D59" s="98"/>
      <c r="E59" s="102"/>
      <c r="F59" s="39">
        <v>10</v>
      </c>
      <c r="G59" s="1"/>
    </row>
    <row r="60" spans="1:7" x14ac:dyDescent="0.25">
      <c r="A60" s="184" t="s">
        <v>1791</v>
      </c>
      <c r="B60" s="98"/>
      <c r="C60" s="98"/>
      <c r="D60" s="98"/>
      <c r="E60" s="102"/>
      <c r="F60" s="39">
        <v>15</v>
      </c>
      <c r="G60" s="1"/>
    </row>
    <row r="61" spans="1:7" x14ac:dyDescent="0.25">
      <c r="A61" s="3" t="s">
        <v>1558</v>
      </c>
      <c r="B61" s="98"/>
      <c r="C61" s="98"/>
      <c r="D61" s="98"/>
      <c r="E61" s="2"/>
      <c r="F61" s="39">
        <v>70</v>
      </c>
      <c r="G61" s="1"/>
    </row>
    <row r="62" spans="1:7" ht="16.5" thickBot="1" x14ac:dyDescent="0.3">
      <c r="A62" s="79" t="s">
        <v>525</v>
      </c>
      <c r="B62" s="99"/>
      <c r="C62" s="99"/>
      <c r="D62" s="99"/>
      <c r="E62" s="70"/>
      <c r="F62" s="51" t="e">
        <f>SUM(F47:F61)</f>
        <v>#REF!</v>
      </c>
      <c r="G62" s="1"/>
    </row>
    <row r="63" spans="1:7" ht="18.75" x14ac:dyDescent="0.25">
      <c r="A63" s="80" t="s">
        <v>544</v>
      </c>
      <c r="B63" s="100"/>
      <c r="C63" s="100"/>
      <c r="D63" s="100"/>
      <c r="E63" s="71"/>
      <c r="F63" s="72" t="e">
        <f>F62*2</f>
        <v>#REF!</v>
      </c>
      <c r="G63" s="75">
        <v>620</v>
      </c>
    </row>
    <row r="64" spans="1:7" ht="19.5" thickBot="1" x14ac:dyDescent="0.3">
      <c r="A64" s="81" t="s">
        <v>1559</v>
      </c>
      <c r="B64" s="101"/>
      <c r="C64" s="101"/>
      <c r="D64" s="101"/>
      <c r="E64" s="73"/>
      <c r="F64" s="73"/>
      <c r="G64" s="74">
        <f>G63*2</f>
        <v>1240</v>
      </c>
    </row>
    <row r="65" spans="1:7" ht="16.5" thickBot="1" x14ac:dyDescent="0.3"/>
    <row r="66" spans="1:7" ht="16.5" thickBot="1" x14ac:dyDescent="0.3">
      <c r="A66" s="1565" t="s">
        <v>1797</v>
      </c>
      <c r="B66" s="1566"/>
      <c r="C66" s="1566"/>
      <c r="D66" s="1566"/>
      <c r="E66" s="1566"/>
      <c r="F66" s="1567"/>
      <c r="G66"/>
    </row>
    <row r="67" spans="1:7" x14ac:dyDescent="0.25">
      <c r="A67" s="183" t="s">
        <v>916</v>
      </c>
      <c r="B67" s="97" t="s">
        <v>742</v>
      </c>
      <c r="C67" s="97" t="s">
        <v>1607</v>
      </c>
      <c r="D67" s="97" t="s">
        <v>1566</v>
      </c>
      <c r="E67" s="76" t="s">
        <v>1035</v>
      </c>
      <c r="F67" s="77" t="s">
        <v>1549</v>
      </c>
      <c r="G67" s="1"/>
    </row>
    <row r="68" spans="1:7" x14ac:dyDescent="0.25">
      <c r="A68" s="3" t="s">
        <v>1224</v>
      </c>
      <c r="B68" s="98"/>
      <c r="C68" s="98">
        <v>0.55000000000000004</v>
      </c>
      <c r="D68" s="98">
        <v>1</v>
      </c>
      <c r="E68" s="102" t="e">
        <f>'HILOS-CORDONES-TANZA-CUERO'!#REF!</f>
        <v>#REF!</v>
      </c>
      <c r="F68" s="39" t="e">
        <f>C68*D68*E68</f>
        <v>#REF!</v>
      </c>
      <c r="G68" s="1"/>
    </row>
    <row r="69" spans="1:7" x14ac:dyDescent="0.25">
      <c r="A69" s="184" t="s">
        <v>1720</v>
      </c>
      <c r="B69" s="98"/>
      <c r="C69" s="98"/>
      <c r="D69" s="98">
        <v>15</v>
      </c>
      <c r="E69" s="102">
        <f>VIDRIOS!E44</f>
        <v>20.833333333333332</v>
      </c>
      <c r="F69" s="39">
        <f>E69*D69</f>
        <v>312.5</v>
      </c>
      <c r="G69" s="1"/>
    </row>
    <row r="70" spans="1:7" x14ac:dyDescent="0.25">
      <c r="A70" s="184" t="s">
        <v>1676</v>
      </c>
      <c r="B70" s="2" t="s">
        <v>1793</v>
      </c>
      <c r="C70" s="98"/>
      <c r="D70" s="98">
        <v>12</v>
      </c>
      <c r="E70" s="102">
        <f>'INSUMOS VARIOS'!K18</f>
        <v>1.7992471769134253</v>
      </c>
      <c r="F70" s="39">
        <f>E70*D70</f>
        <v>21.590966122961103</v>
      </c>
      <c r="G70" s="1"/>
    </row>
    <row r="71" spans="1:7" x14ac:dyDescent="0.25">
      <c r="A71" s="184" t="s">
        <v>1552</v>
      </c>
      <c r="B71" s="98">
        <v>0.39</v>
      </c>
      <c r="C71" s="98">
        <v>0.41</v>
      </c>
      <c r="D71" s="98">
        <v>1</v>
      </c>
      <c r="E71" s="102">
        <f>'PALAIS DU BIJOU'!N4</f>
        <v>170</v>
      </c>
      <c r="F71" s="39">
        <f>(E71*C71/B71)*D71</f>
        <v>178.71794871794873</v>
      </c>
      <c r="G71" s="1"/>
    </row>
    <row r="72" spans="1:7" x14ac:dyDescent="0.25">
      <c r="A72" s="184" t="s">
        <v>1572</v>
      </c>
      <c r="B72" s="98"/>
      <c r="C72" s="98"/>
      <c r="D72" s="98">
        <v>2</v>
      </c>
      <c r="E72" s="102">
        <f>'INSUMOS VARIOS'!T19</f>
        <v>1</v>
      </c>
      <c r="F72" s="39">
        <f>E72*D72</f>
        <v>2</v>
      </c>
      <c r="G72" s="1"/>
    </row>
    <row r="73" spans="1:7" x14ac:dyDescent="0.25">
      <c r="A73" s="184" t="s">
        <v>1557</v>
      </c>
      <c r="B73" s="98"/>
      <c r="C73" s="98"/>
      <c r="D73" s="98"/>
      <c r="E73" s="102"/>
      <c r="F73" s="39">
        <v>10</v>
      </c>
      <c r="G73" s="1"/>
    </row>
    <row r="74" spans="1:7" x14ac:dyDescent="0.25">
      <c r="A74" s="184" t="s">
        <v>1721</v>
      </c>
      <c r="B74" s="98"/>
      <c r="C74" s="98"/>
      <c r="D74" s="98"/>
      <c r="E74" s="102"/>
      <c r="F74" s="39">
        <v>10</v>
      </c>
      <c r="G74" s="1"/>
    </row>
    <row r="75" spans="1:7" x14ac:dyDescent="0.25">
      <c r="A75" s="184" t="s">
        <v>1791</v>
      </c>
      <c r="B75" s="98"/>
      <c r="C75" s="98"/>
      <c r="D75" s="98"/>
      <c r="E75" s="102"/>
      <c r="F75" s="39">
        <v>15</v>
      </c>
      <c r="G75" s="1"/>
    </row>
    <row r="76" spans="1:7" x14ac:dyDescent="0.25">
      <c r="A76" s="3" t="s">
        <v>1558</v>
      </c>
      <c r="B76" s="98"/>
      <c r="C76" s="98"/>
      <c r="D76" s="98"/>
      <c r="E76" s="2"/>
      <c r="F76" s="39">
        <v>70</v>
      </c>
      <c r="G76" s="1"/>
    </row>
    <row r="77" spans="1:7" ht="16.5" thickBot="1" x14ac:dyDescent="0.3">
      <c r="A77" s="79" t="s">
        <v>525</v>
      </c>
      <c r="B77" s="99"/>
      <c r="C77" s="99"/>
      <c r="D77" s="99"/>
      <c r="E77" s="70"/>
      <c r="F77" s="51" t="e">
        <f>SUM(F68:F76)</f>
        <v>#REF!</v>
      </c>
      <c r="G77" s="1"/>
    </row>
    <row r="78" spans="1:7" ht="18.75" x14ac:dyDescent="0.25">
      <c r="A78" s="80" t="s">
        <v>544</v>
      </c>
      <c r="B78" s="100"/>
      <c r="C78" s="100"/>
      <c r="D78" s="100"/>
      <c r="E78" s="71"/>
      <c r="F78" s="72" t="e">
        <f>F77*2</f>
        <v>#REF!</v>
      </c>
      <c r="G78" s="75"/>
    </row>
    <row r="79" spans="1:7" ht="19.5" thickBot="1" x14ac:dyDescent="0.3">
      <c r="A79" s="81" t="s">
        <v>1559</v>
      </c>
      <c r="B79" s="101"/>
      <c r="C79" s="101"/>
      <c r="D79" s="101"/>
      <c r="E79" s="73"/>
      <c r="F79" s="73"/>
      <c r="G79" s="74">
        <f>G78*2</f>
        <v>0</v>
      </c>
    </row>
  </sheetData>
  <mergeCells count="6">
    <mergeCell ref="A1:F1"/>
    <mergeCell ref="A7:A13"/>
    <mergeCell ref="A66:F66"/>
    <mergeCell ref="A28:F28"/>
    <mergeCell ref="A45:F45"/>
    <mergeCell ref="A52:A56"/>
  </mergeCells>
  <pageMargins left="0.7" right="0.7" top="0.75" bottom="0.75" header="0.3" footer="0.3"/>
  <ignoredErrors>
    <ignoredError sqref="E15:F15 E17 F35 F71" formula="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6"/>
  <dimension ref="A1:P131"/>
  <sheetViews>
    <sheetView zoomScale="89" zoomScaleNormal="89" workbookViewId="0">
      <selection activeCell="I13" sqref="A1:XFD1048576"/>
    </sheetView>
  </sheetViews>
  <sheetFormatPr baseColWidth="10" defaultColWidth="10.85546875" defaultRowHeight="15.75" x14ac:dyDescent="0.25"/>
  <cols>
    <col min="1" max="1" width="20.140625" style="171" bestFit="1" customWidth="1"/>
    <col min="2" max="6" width="10.85546875" style="171"/>
    <col min="7" max="7" width="11.85546875" style="171" bestFit="1" customWidth="1"/>
    <col min="8" max="16384" width="10.85546875" style="171"/>
  </cols>
  <sheetData>
    <row r="1" spans="1:7" x14ac:dyDescent="0.25">
      <c r="A1" s="1576" t="s">
        <v>1798</v>
      </c>
      <c r="B1" s="1577"/>
      <c r="C1" s="1577"/>
      <c r="D1" s="1577"/>
      <c r="E1" s="1577"/>
      <c r="F1" s="1577"/>
    </row>
    <row r="2" spans="1:7" x14ac:dyDescent="0.25">
      <c r="A2" s="183" t="s">
        <v>916</v>
      </c>
      <c r="B2" s="97" t="s">
        <v>742</v>
      </c>
      <c r="C2" s="97" t="s">
        <v>1089</v>
      </c>
      <c r="D2" s="76" t="s">
        <v>1547</v>
      </c>
      <c r="E2" s="108" t="s">
        <v>1035</v>
      </c>
      <c r="F2" s="77" t="s">
        <v>1549</v>
      </c>
      <c r="G2" s="1"/>
    </row>
    <row r="3" spans="1:7" x14ac:dyDescent="0.25">
      <c r="A3" s="184" t="s">
        <v>1224</v>
      </c>
      <c r="B3" s="2"/>
      <c r="C3" s="2">
        <v>2.4</v>
      </c>
      <c r="D3" s="107">
        <v>1</v>
      </c>
      <c r="E3" s="109">
        <f>'HILOS-CORDONES-TANZA-CUERO'!E3</f>
        <v>50.35</v>
      </c>
      <c r="F3" s="110">
        <f>E3*C3</f>
        <v>120.84</v>
      </c>
      <c r="G3" s="1"/>
    </row>
    <row r="4" spans="1:7" x14ac:dyDescent="0.25">
      <c r="A4" s="2" t="s">
        <v>1799</v>
      </c>
      <c r="B4" s="148" t="s">
        <v>781</v>
      </c>
      <c r="C4" s="2"/>
      <c r="D4" s="107">
        <v>7</v>
      </c>
      <c r="E4" s="109">
        <f>VIDRIOS!E46</f>
        <v>3.8571428571428572</v>
      </c>
      <c r="F4" s="110">
        <f>E4*D4</f>
        <v>27</v>
      </c>
      <c r="G4" s="1"/>
    </row>
    <row r="5" spans="1:7" x14ac:dyDescent="0.25">
      <c r="A5" s="104" t="s">
        <v>1800</v>
      </c>
      <c r="B5" s="148"/>
      <c r="C5" s="2"/>
      <c r="D5" s="107">
        <v>1</v>
      </c>
      <c r="E5" s="109">
        <f>'INS VARIOS'!B59</f>
        <v>108</v>
      </c>
      <c r="F5" s="110">
        <f>E5*D5</f>
        <v>108</v>
      </c>
      <c r="G5" s="1"/>
    </row>
    <row r="6" spans="1:7" x14ac:dyDescent="0.25">
      <c r="A6" s="3" t="s">
        <v>1557</v>
      </c>
      <c r="B6" s="98"/>
      <c r="C6" s="98"/>
      <c r="D6" s="2"/>
      <c r="E6" s="6"/>
      <c r="F6" s="39">
        <f>PACKAGING!E12</f>
        <v>50</v>
      </c>
      <c r="G6" s="1"/>
    </row>
    <row r="7" spans="1:7" x14ac:dyDescent="0.25">
      <c r="A7" s="3" t="s">
        <v>1558</v>
      </c>
      <c r="B7" s="98"/>
      <c r="C7" s="98"/>
      <c r="D7" s="2"/>
      <c r="E7" s="6"/>
      <c r="F7" s="39">
        <v>200</v>
      </c>
      <c r="G7" s="1"/>
    </row>
    <row r="8" spans="1:7" ht="16.5" thickBot="1" x14ac:dyDescent="0.3">
      <c r="A8" s="79" t="s">
        <v>525</v>
      </c>
      <c r="B8" s="99"/>
      <c r="C8" s="99"/>
      <c r="D8" s="70"/>
      <c r="E8" s="85"/>
      <c r="F8" s="51">
        <f>SUM(F3:F7)</f>
        <v>505.84000000000003</v>
      </c>
      <c r="G8" s="1"/>
    </row>
    <row r="9" spans="1:7" x14ac:dyDescent="0.25">
      <c r="A9" s="80" t="s">
        <v>544</v>
      </c>
      <c r="B9" s="100"/>
      <c r="C9" s="100"/>
      <c r="D9" s="71"/>
      <c r="E9" s="71"/>
      <c r="F9" s="72">
        <f>F8*2</f>
        <v>1011.6800000000001</v>
      </c>
      <c r="G9" s="203">
        <v>750</v>
      </c>
    </row>
    <row r="10" spans="1:7" ht="16.5" thickBot="1" x14ac:dyDescent="0.3">
      <c r="A10" s="81" t="s">
        <v>1559</v>
      </c>
      <c r="B10" s="101"/>
      <c r="C10" s="101"/>
      <c r="D10" s="73"/>
      <c r="E10" s="73"/>
      <c r="F10" s="73"/>
      <c r="G10" s="204">
        <f>G9*2</f>
        <v>1500</v>
      </c>
    </row>
    <row r="12" spans="1:7" x14ac:dyDescent="0.25">
      <c r="A12" s="1576" t="s">
        <v>1801</v>
      </c>
      <c r="B12" s="1577"/>
      <c r="C12" s="1577"/>
      <c r="D12" s="1577"/>
      <c r="E12" s="1577"/>
      <c r="F12" s="1577"/>
    </row>
    <row r="13" spans="1:7" x14ac:dyDescent="0.25">
      <c r="A13" s="183" t="s">
        <v>916</v>
      </c>
      <c r="B13" s="97" t="s">
        <v>742</v>
      </c>
      <c r="C13" s="97" t="s">
        <v>1089</v>
      </c>
      <c r="D13" s="76" t="s">
        <v>1547</v>
      </c>
      <c r="E13" s="108" t="s">
        <v>1035</v>
      </c>
      <c r="F13" s="77" t="s">
        <v>1549</v>
      </c>
      <c r="G13" s="1"/>
    </row>
    <row r="14" spans="1:7" x14ac:dyDescent="0.25">
      <c r="A14" s="184" t="s">
        <v>1802</v>
      </c>
      <c r="B14" s="2"/>
      <c r="C14" s="2">
        <v>0.8</v>
      </c>
      <c r="D14" s="107"/>
      <c r="E14" s="109">
        <f>'INS VARIOS'!H54</f>
        <v>100</v>
      </c>
      <c r="F14" s="110">
        <f>E14*C14</f>
        <v>80</v>
      </c>
      <c r="G14" s="1"/>
    </row>
    <row r="15" spans="1:7" x14ac:dyDescent="0.25">
      <c r="A15" s="24" t="s">
        <v>1224</v>
      </c>
      <c r="B15" s="148"/>
      <c r="C15" s="2">
        <v>1</v>
      </c>
      <c r="D15" s="107"/>
      <c r="E15" s="109" t="e">
        <f>'HILOS-CORDONES-TANZA-CUERO'!#REF!</f>
        <v>#REF!</v>
      </c>
      <c r="F15" s="110" t="e">
        <f>E15*C15</f>
        <v>#REF!</v>
      </c>
      <c r="G15" s="1"/>
    </row>
    <row r="16" spans="1:7" x14ac:dyDescent="0.25">
      <c r="A16" s="2" t="s">
        <v>1803</v>
      </c>
      <c r="B16" s="148"/>
      <c r="C16" s="2"/>
      <c r="D16" s="107">
        <v>1</v>
      </c>
      <c r="E16" s="109">
        <f>VIDRIOS!I20</f>
        <v>174</v>
      </c>
      <c r="F16" s="110">
        <f>E16*D16</f>
        <v>174</v>
      </c>
      <c r="G16" s="1"/>
    </row>
    <row r="17" spans="1:7" x14ac:dyDescent="0.25">
      <c r="A17" s="104" t="s">
        <v>1804</v>
      </c>
      <c r="B17" s="148"/>
      <c r="C17" s="2"/>
      <c r="D17" s="107">
        <v>8</v>
      </c>
      <c r="E17" s="109">
        <f>'INSUMOS VARIOS'!E54</f>
        <v>177.5</v>
      </c>
      <c r="F17" s="110">
        <f>E17*D17</f>
        <v>1420</v>
      </c>
      <c r="G17" s="1"/>
    </row>
    <row r="18" spans="1:7" x14ac:dyDescent="0.25">
      <c r="A18" s="104" t="s">
        <v>1805</v>
      </c>
      <c r="B18" s="148"/>
      <c r="C18" s="98"/>
      <c r="D18" s="107">
        <v>2</v>
      </c>
      <c r="E18" s="109">
        <f>'INS VARIOS'!D17</f>
        <v>17.5</v>
      </c>
      <c r="F18" s="110">
        <f>E18*D18</f>
        <v>35</v>
      </c>
      <c r="G18" s="1"/>
    </row>
    <row r="19" spans="1:7" x14ac:dyDescent="0.25">
      <c r="A19" s="104" t="s">
        <v>1211</v>
      </c>
      <c r="B19" s="148"/>
      <c r="C19" s="98"/>
      <c r="D19" s="107">
        <v>3</v>
      </c>
      <c r="E19" s="109">
        <f>'INS VARIOS'!E59</f>
        <v>10</v>
      </c>
      <c r="F19" s="110">
        <f>E19*D19</f>
        <v>30</v>
      </c>
      <c r="G19" s="1"/>
    </row>
    <row r="20" spans="1:7" x14ac:dyDescent="0.25">
      <c r="A20" s="3" t="s">
        <v>1557</v>
      </c>
      <c r="B20" s="98"/>
      <c r="C20" s="98"/>
      <c r="D20" s="2"/>
      <c r="E20" s="6"/>
      <c r="F20" s="39">
        <f>PACKAGING!E12</f>
        <v>50</v>
      </c>
      <c r="G20" s="1"/>
    </row>
    <row r="21" spans="1:7" x14ac:dyDescent="0.25">
      <c r="A21" s="3" t="s">
        <v>1558</v>
      </c>
      <c r="B21" s="98"/>
      <c r="C21" s="98"/>
      <c r="D21" s="2"/>
      <c r="E21" s="6"/>
      <c r="F21" s="39">
        <v>200</v>
      </c>
      <c r="G21" s="1"/>
    </row>
    <row r="22" spans="1:7" ht="16.5" thickBot="1" x14ac:dyDescent="0.3">
      <c r="A22" s="79" t="s">
        <v>525</v>
      </c>
      <c r="B22" s="99"/>
      <c r="C22" s="99"/>
      <c r="D22" s="70"/>
      <c r="E22" s="85"/>
      <c r="F22" s="51" t="e">
        <f>SUM(F14:F21)</f>
        <v>#REF!</v>
      </c>
      <c r="G22" s="1"/>
    </row>
    <row r="23" spans="1:7" ht="16.5" thickBot="1" x14ac:dyDescent="0.3">
      <c r="A23" s="80" t="s">
        <v>544</v>
      </c>
      <c r="B23" s="100"/>
      <c r="C23" s="100"/>
      <c r="D23" s="71"/>
      <c r="E23" s="71"/>
      <c r="F23" s="72" t="e">
        <f>F22*2</f>
        <v>#REF!</v>
      </c>
      <c r="G23" s="203">
        <v>1200</v>
      </c>
    </row>
    <row r="24" spans="1:7" ht="16.5" thickBot="1" x14ac:dyDescent="0.3">
      <c r="A24" s="211" t="s">
        <v>1559</v>
      </c>
      <c r="B24" s="214"/>
      <c r="C24" s="214"/>
      <c r="D24" s="212"/>
      <c r="E24" s="212"/>
      <c r="F24" s="215"/>
      <c r="G24" s="253"/>
    </row>
    <row r="26" spans="1:7" x14ac:dyDescent="0.25">
      <c r="A26" s="1576" t="s">
        <v>1806</v>
      </c>
      <c r="B26" s="1577"/>
      <c r="C26" s="1577"/>
      <c r="D26" s="1577"/>
      <c r="E26" s="1577"/>
      <c r="F26" s="1577"/>
    </row>
    <row r="27" spans="1:7" x14ac:dyDescent="0.25">
      <c r="A27" s="183" t="s">
        <v>916</v>
      </c>
      <c r="B27" s="97" t="s">
        <v>742</v>
      </c>
      <c r="C27" s="97" t="s">
        <v>1089</v>
      </c>
      <c r="D27" s="76" t="s">
        <v>1547</v>
      </c>
      <c r="E27" s="108" t="s">
        <v>1035</v>
      </c>
      <c r="F27" s="77" t="s">
        <v>1549</v>
      </c>
      <c r="G27" s="1"/>
    </row>
    <row r="28" spans="1:7" x14ac:dyDescent="0.25">
      <c r="A28" s="184" t="s">
        <v>1802</v>
      </c>
      <c r="B28" s="2"/>
      <c r="C28" s="2">
        <v>1</v>
      </c>
      <c r="D28" s="107"/>
      <c r="E28" s="109">
        <f>'INS VARIOS'!H55</f>
        <v>170</v>
      </c>
      <c r="F28" s="110">
        <f>E28*C28</f>
        <v>170</v>
      </c>
      <c r="G28" s="1"/>
    </row>
    <row r="29" spans="1:7" x14ac:dyDescent="0.25">
      <c r="A29" s="184" t="s">
        <v>1807</v>
      </c>
      <c r="B29" s="148"/>
      <c r="C29" s="2">
        <v>1</v>
      </c>
      <c r="D29" s="107"/>
      <c r="E29" s="109">
        <f>'INS VARIOS'!H56</f>
        <v>20</v>
      </c>
      <c r="F29" s="110">
        <f>E29*C29</f>
        <v>20</v>
      </c>
      <c r="G29" s="1"/>
    </row>
    <row r="30" spans="1:7" x14ac:dyDescent="0.25">
      <c r="A30" s="24" t="s">
        <v>1224</v>
      </c>
      <c r="B30" s="148"/>
      <c r="C30" s="2">
        <v>1</v>
      </c>
      <c r="D30" s="107"/>
      <c r="E30" s="109">
        <f>'HILOS-CORDONES-TANZA-CUERO'!E3</f>
        <v>50.35</v>
      </c>
      <c r="F30" s="110">
        <f>E30*C30</f>
        <v>50.35</v>
      </c>
      <c r="G30" s="1"/>
    </row>
    <row r="31" spans="1:7" x14ac:dyDescent="0.25">
      <c r="A31" s="2" t="s">
        <v>1808</v>
      </c>
      <c r="B31" s="148"/>
      <c r="C31" s="2"/>
      <c r="D31" s="107">
        <v>1</v>
      </c>
      <c r="E31" s="109">
        <f>VIDRIOS!I21</f>
        <v>732</v>
      </c>
      <c r="F31" s="110">
        <f t="shared" ref="F31:F37" si="0">E31*D31</f>
        <v>732</v>
      </c>
      <c r="G31" s="1"/>
    </row>
    <row r="32" spans="1:7" x14ac:dyDescent="0.25">
      <c r="A32" s="148" t="s">
        <v>1809</v>
      </c>
      <c r="B32" s="148"/>
      <c r="C32" s="2"/>
      <c r="D32" s="107">
        <v>12</v>
      </c>
      <c r="E32" s="109">
        <f>'INS VARIOS'!T26</f>
        <v>2.9444444444444446</v>
      </c>
      <c r="F32" s="110">
        <f t="shared" si="0"/>
        <v>35.333333333333336</v>
      </c>
      <c r="G32" s="1"/>
    </row>
    <row r="33" spans="1:15" x14ac:dyDescent="0.25">
      <c r="A33" s="104" t="s">
        <v>1498</v>
      </c>
      <c r="B33" s="148"/>
      <c r="C33" s="2"/>
      <c r="D33" s="107">
        <v>4</v>
      </c>
      <c r="E33" s="109">
        <f>'RESINA - ACRILICOS'!D3</f>
        <v>1.2061016949152543</v>
      </c>
      <c r="F33" s="110">
        <f t="shared" si="0"/>
        <v>4.8244067796610173</v>
      </c>
      <c r="G33" s="1"/>
    </row>
    <row r="34" spans="1:15" x14ac:dyDescent="0.25">
      <c r="A34" s="104" t="s">
        <v>1810</v>
      </c>
      <c r="B34" s="148"/>
      <c r="C34" s="98"/>
      <c r="D34" s="107">
        <v>2</v>
      </c>
      <c r="E34" s="109">
        <v>0.5</v>
      </c>
      <c r="F34" s="110">
        <f t="shared" si="0"/>
        <v>1</v>
      </c>
      <c r="G34" s="1"/>
    </row>
    <row r="35" spans="1:15" x14ac:dyDescent="0.25">
      <c r="A35" s="104" t="s">
        <v>1211</v>
      </c>
      <c r="B35" s="148"/>
      <c r="C35" s="98"/>
      <c r="D35" s="107">
        <v>5</v>
      </c>
      <c r="E35" s="109">
        <f>'INS VARIOS'!E59</f>
        <v>10</v>
      </c>
      <c r="F35" s="110">
        <f t="shared" si="0"/>
        <v>50</v>
      </c>
      <c r="G35" s="1"/>
    </row>
    <row r="36" spans="1:15" x14ac:dyDescent="0.25">
      <c r="A36" s="104" t="s">
        <v>1232</v>
      </c>
      <c r="B36" s="148"/>
      <c r="C36" s="98"/>
      <c r="D36" s="107">
        <v>0.1</v>
      </c>
      <c r="E36" s="109">
        <f>'HILOS-CORDONES-TANZA-CUERO'!L9</f>
        <v>30</v>
      </c>
      <c r="F36" s="110">
        <f t="shared" si="0"/>
        <v>3</v>
      </c>
      <c r="G36" s="1"/>
    </row>
    <row r="37" spans="1:15" x14ac:dyDescent="0.25">
      <c r="A37" s="104" t="s">
        <v>1811</v>
      </c>
      <c r="B37" s="148"/>
      <c r="C37" s="98"/>
      <c r="D37" s="107">
        <v>2</v>
      </c>
      <c r="E37" s="109">
        <f>'INSUMOS VARIOS'!R23</f>
        <v>0.5</v>
      </c>
      <c r="F37" s="110">
        <f t="shared" si="0"/>
        <v>1</v>
      </c>
      <c r="G37" s="1"/>
    </row>
    <row r="38" spans="1:15" x14ac:dyDescent="0.25">
      <c r="A38" s="104" t="s">
        <v>1812</v>
      </c>
      <c r="B38" s="148"/>
      <c r="C38" s="98"/>
      <c r="D38" s="107"/>
      <c r="E38" s="109"/>
      <c r="F38" s="110">
        <v>5</v>
      </c>
      <c r="G38" s="1"/>
    </row>
    <row r="39" spans="1:15" x14ac:dyDescent="0.25">
      <c r="A39" s="3" t="s">
        <v>1557</v>
      </c>
      <c r="B39" s="98"/>
      <c r="C39" s="98"/>
      <c r="D39" s="2"/>
      <c r="E39" s="6"/>
      <c r="F39" s="39">
        <f>PACKAGING!E12</f>
        <v>50</v>
      </c>
      <c r="G39" s="1"/>
    </row>
    <row r="40" spans="1:15" x14ac:dyDescent="0.25">
      <c r="A40" s="3" t="s">
        <v>1558</v>
      </c>
      <c r="B40" s="98"/>
      <c r="C40" s="98"/>
      <c r="D40" s="2"/>
      <c r="E40" s="6"/>
      <c r="F40" s="39">
        <v>200</v>
      </c>
      <c r="G40" s="1"/>
    </row>
    <row r="41" spans="1:15" ht="16.5" thickBot="1" x14ac:dyDescent="0.3">
      <c r="A41" s="79" t="s">
        <v>525</v>
      </c>
      <c r="B41" s="99"/>
      <c r="C41" s="99"/>
      <c r="D41" s="70"/>
      <c r="E41" s="85"/>
      <c r="F41" s="51">
        <f>SUM(F28:F40)</f>
        <v>1322.5077401129943</v>
      </c>
      <c r="G41" s="1"/>
    </row>
    <row r="42" spans="1:15" ht="16.5" thickBot="1" x14ac:dyDescent="0.3">
      <c r="A42" s="80" t="s">
        <v>544</v>
      </c>
      <c r="B42" s="100"/>
      <c r="C42" s="100"/>
      <c r="D42" s="71"/>
      <c r="E42" s="71"/>
      <c r="F42" s="72">
        <f>F41*2</f>
        <v>2645.0154802259885</v>
      </c>
      <c r="G42" s="203">
        <v>2600</v>
      </c>
    </row>
    <row r="43" spans="1:15" ht="16.5" thickBot="1" x14ac:dyDescent="0.3">
      <c r="A43" s="211" t="s">
        <v>1559</v>
      </c>
      <c r="B43" s="214"/>
      <c r="C43" s="214"/>
      <c r="D43" s="212"/>
      <c r="E43" s="212"/>
      <c r="F43" s="215"/>
      <c r="G43" s="253"/>
    </row>
    <row r="45" spans="1:15" x14ac:dyDescent="0.25">
      <c r="A45" s="1576" t="s">
        <v>1813</v>
      </c>
      <c r="B45" s="1577"/>
      <c r="C45" s="1577"/>
      <c r="D45" s="1577"/>
      <c r="E45" s="1577"/>
      <c r="F45" s="1577"/>
    </row>
    <row r="46" spans="1:15" x14ac:dyDescent="0.25">
      <c r="A46" s="183" t="s">
        <v>916</v>
      </c>
      <c r="B46" s="97" t="s">
        <v>742</v>
      </c>
      <c r="C46" s="97" t="s">
        <v>1089</v>
      </c>
      <c r="D46" s="76" t="s">
        <v>1547</v>
      </c>
      <c r="E46" s="108" t="s">
        <v>1035</v>
      </c>
      <c r="F46" s="77" t="s">
        <v>1549</v>
      </c>
      <c r="G46" s="1"/>
    </row>
    <row r="47" spans="1:15" x14ac:dyDescent="0.25">
      <c r="A47" s="184" t="s">
        <v>1802</v>
      </c>
      <c r="B47" s="2"/>
      <c r="C47" s="2">
        <v>0.8</v>
      </c>
      <c r="D47" s="107"/>
      <c r="E47" s="109">
        <f>'INS VARIOS'!H55</f>
        <v>170</v>
      </c>
      <c r="F47" s="110">
        <f>E47*C47</f>
        <v>136</v>
      </c>
      <c r="G47" s="1"/>
      <c r="O47" s="1"/>
    </row>
    <row r="48" spans="1:15" x14ac:dyDescent="0.25">
      <c r="A48" s="184" t="s">
        <v>1807</v>
      </c>
      <c r="B48" s="148"/>
      <c r="C48" s="2">
        <v>1</v>
      </c>
      <c r="D48" s="107"/>
      <c r="E48" s="109">
        <f>'INS VARIOS'!H56</f>
        <v>20</v>
      </c>
      <c r="F48" s="110">
        <f>E48*C48</f>
        <v>20</v>
      </c>
      <c r="G48" s="1"/>
    </row>
    <row r="49" spans="1:7" x14ac:dyDescent="0.25">
      <c r="A49" s="24" t="s">
        <v>1224</v>
      </c>
      <c r="B49" s="148"/>
      <c r="C49" s="2">
        <v>1</v>
      </c>
      <c r="D49" s="107"/>
      <c r="E49" s="109">
        <f>'INS VARIOS'!I26</f>
        <v>16</v>
      </c>
      <c r="F49" s="110">
        <f>E49*C49</f>
        <v>16</v>
      </c>
      <c r="G49" s="1"/>
    </row>
    <row r="50" spans="1:7" x14ac:dyDescent="0.25">
      <c r="A50" s="2" t="s">
        <v>1804</v>
      </c>
      <c r="B50" s="148"/>
      <c r="C50" s="2"/>
      <c r="D50" s="107">
        <v>1</v>
      </c>
      <c r="E50" s="109">
        <f>PIEDRAS!K40</f>
        <v>60</v>
      </c>
      <c r="F50" s="110">
        <f>E50*D50</f>
        <v>60</v>
      </c>
      <c r="G50" s="1"/>
    </row>
    <row r="51" spans="1:7" x14ac:dyDescent="0.25">
      <c r="A51" s="104" t="s">
        <v>1158</v>
      </c>
      <c r="B51" s="148"/>
      <c r="C51" s="98"/>
      <c r="D51" s="107">
        <v>3</v>
      </c>
      <c r="E51" s="109">
        <f>'INSUMOS VARIOS'!E56</f>
        <v>6</v>
      </c>
      <c r="F51" s="110">
        <f>E51*D51</f>
        <v>18</v>
      </c>
      <c r="G51" s="1"/>
    </row>
    <row r="52" spans="1:7" x14ac:dyDescent="0.25">
      <c r="A52" s="148" t="s">
        <v>1171</v>
      </c>
      <c r="B52" s="148"/>
      <c r="C52" s="2"/>
      <c r="D52" s="107">
        <v>5</v>
      </c>
      <c r="E52" s="109">
        <f>'INS VARIOS'!I27</f>
        <v>8</v>
      </c>
      <c r="F52" s="110">
        <f>E52*D52</f>
        <v>40</v>
      </c>
      <c r="G52" s="1"/>
    </row>
    <row r="53" spans="1:7" x14ac:dyDescent="0.25">
      <c r="A53" s="104" t="s">
        <v>1814</v>
      </c>
      <c r="B53" s="148"/>
      <c r="C53" s="2"/>
      <c r="D53" s="107">
        <v>10</v>
      </c>
      <c r="E53" s="109">
        <f>PIEDRAS!F110</f>
        <v>6.9230769230769234</v>
      </c>
      <c r="F53" s="110">
        <f>E53*D53</f>
        <v>69.230769230769226</v>
      </c>
      <c r="G53" s="1"/>
    </row>
    <row r="54" spans="1:7" x14ac:dyDescent="0.25">
      <c r="A54" s="104" t="s">
        <v>1805</v>
      </c>
      <c r="B54" s="148"/>
      <c r="C54" s="98"/>
      <c r="D54" s="107">
        <v>2</v>
      </c>
      <c r="E54" s="109">
        <f>'INS VARIOS'!D17</f>
        <v>17.5</v>
      </c>
      <c r="F54" s="110">
        <f>E54*D54</f>
        <v>35</v>
      </c>
    </row>
    <row r="55" spans="1:7" x14ac:dyDescent="0.25">
      <c r="A55" s="104" t="s">
        <v>1812</v>
      </c>
      <c r="B55" s="148"/>
      <c r="C55" s="98"/>
      <c r="D55" s="107"/>
      <c r="E55" s="109"/>
      <c r="F55" s="110">
        <v>5</v>
      </c>
      <c r="G55" s="1"/>
    </row>
    <row r="56" spans="1:7" x14ac:dyDescent="0.25">
      <c r="A56" s="3" t="s">
        <v>1557</v>
      </c>
      <c r="B56" s="98"/>
      <c r="C56" s="98"/>
      <c r="D56" s="2"/>
      <c r="E56" s="6"/>
      <c r="F56" s="39">
        <f>PACKAGING!E12</f>
        <v>50</v>
      </c>
      <c r="G56" s="1"/>
    </row>
    <row r="57" spans="1:7" x14ac:dyDescent="0.25">
      <c r="A57" s="3" t="s">
        <v>1558</v>
      </c>
      <c r="B57" s="98"/>
      <c r="C57" s="98"/>
      <c r="D57" s="2"/>
      <c r="E57" s="6"/>
      <c r="F57" s="39">
        <v>200</v>
      </c>
      <c r="G57" s="1"/>
    </row>
    <row r="58" spans="1:7" ht="16.5" thickBot="1" x14ac:dyDescent="0.3">
      <c r="A58" s="79" t="s">
        <v>525</v>
      </c>
      <c r="B58" s="99"/>
      <c r="C58" s="99"/>
      <c r="D58" s="70"/>
      <c r="E58" s="85"/>
      <c r="F58" s="51">
        <f>SUM(F47:F57)</f>
        <v>649.23076923076928</v>
      </c>
      <c r="G58" s="1"/>
    </row>
    <row r="59" spans="1:7" ht="16.5" thickBot="1" x14ac:dyDescent="0.3">
      <c r="A59" s="80" t="s">
        <v>544</v>
      </c>
      <c r="B59" s="100"/>
      <c r="C59" s="100"/>
      <c r="D59" s="71"/>
      <c r="E59" s="71"/>
      <c r="F59" s="72">
        <f>F58*2</f>
        <v>1298.4615384615386</v>
      </c>
      <c r="G59" s="203">
        <v>1200</v>
      </c>
    </row>
    <row r="60" spans="1:7" ht="16.5" thickBot="1" x14ac:dyDescent="0.3">
      <c r="A60" s="211" t="s">
        <v>1559</v>
      </c>
      <c r="B60" s="214"/>
      <c r="C60" s="214"/>
      <c r="D60" s="212"/>
      <c r="E60" s="212"/>
      <c r="F60" s="215"/>
      <c r="G60" s="253"/>
    </row>
    <row r="62" spans="1:7" x14ac:dyDescent="0.25">
      <c r="A62" s="1576" t="s">
        <v>1815</v>
      </c>
      <c r="B62" s="1577"/>
      <c r="C62" s="1577"/>
      <c r="D62" s="1577"/>
      <c r="E62" s="1577"/>
      <c r="F62" s="1577"/>
    </row>
    <row r="63" spans="1:7" x14ac:dyDescent="0.25">
      <c r="A63" s="183" t="s">
        <v>916</v>
      </c>
      <c r="B63" s="97" t="s">
        <v>742</v>
      </c>
      <c r="C63" s="97" t="s">
        <v>1089</v>
      </c>
      <c r="D63" s="76" t="s">
        <v>1547</v>
      </c>
      <c r="E63" s="108" t="s">
        <v>1035</v>
      </c>
      <c r="F63" s="77" t="s">
        <v>1549</v>
      </c>
      <c r="G63" s="1"/>
    </row>
    <row r="64" spans="1:7" x14ac:dyDescent="0.25">
      <c r="A64" s="184" t="s">
        <v>1816</v>
      </c>
      <c r="B64" s="2"/>
      <c r="C64" s="2"/>
      <c r="D64" s="107">
        <v>1</v>
      </c>
      <c r="E64" s="109">
        <f>VIDRIOS!I19</f>
        <v>55</v>
      </c>
      <c r="F64" s="110">
        <f>E64*D64</f>
        <v>55</v>
      </c>
      <c r="G64" s="1"/>
    </row>
    <row r="65" spans="1:16" x14ac:dyDescent="0.25">
      <c r="A65" s="2" t="s">
        <v>1817</v>
      </c>
      <c r="B65" s="148"/>
      <c r="C65" s="2"/>
      <c r="D65" s="107">
        <v>1</v>
      </c>
      <c r="E65" s="109" t="e">
        <f>PIEDRAS!#REF!</f>
        <v>#REF!</v>
      </c>
      <c r="F65" s="110" t="e">
        <f>E65*D65</f>
        <v>#REF!</v>
      </c>
      <c r="G65" s="1"/>
    </row>
    <row r="66" spans="1:16" x14ac:dyDescent="0.25">
      <c r="A66" s="148" t="s">
        <v>1818</v>
      </c>
      <c r="B66" s="148"/>
      <c r="C66" s="2"/>
      <c r="D66" s="107">
        <v>1</v>
      </c>
      <c r="E66" s="109" t="e">
        <f>PIEDRAS!#REF!</f>
        <v>#REF!</v>
      </c>
      <c r="F66" s="110" t="e">
        <f>E66*D66</f>
        <v>#REF!</v>
      </c>
      <c r="G66" s="1"/>
    </row>
    <row r="67" spans="1:16" x14ac:dyDescent="0.25">
      <c r="A67" s="24" t="s">
        <v>1224</v>
      </c>
      <c r="B67" s="148"/>
      <c r="C67" s="2">
        <v>1</v>
      </c>
      <c r="D67" s="107">
        <v>2.2000000000000002</v>
      </c>
      <c r="E67" s="109">
        <f>'HILOS-CORDONES-TANZA-CUERO'!E3</f>
        <v>50.35</v>
      </c>
      <c r="F67" s="110">
        <f>E67*D67</f>
        <v>110.77000000000001</v>
      </c>
      <c r="G67" s="1"/>
    </row>
    <row r="68" spans="1:16" x14ac:dyDescent="0.25">
      <c r="A68" s="2" t="s">
        <v>1198</v>
      </c>
      <c r="B68" s="148"/>
      <c r="C68" s="2"/>
      <c r="D68" s="107">
        <v>3</v>
      </c>
      <c r="E68" s="109">
        <f>'INS VARIOS'!C47</f>
        <v>0.5</v>
      </c>
      <c r="F68" s="110">
        <f>E68*D68</f>
        <v>1.5</v>
      </c>
    </row>
    <row r="69" spans="1:16" x14ac:dyDescent="0.25">
      <c r="A69" s="104" t="s">
        <v>1498</v>
      </c>
      <c r="B69" s="148"/>
      <c r="C69" s="2"/>
      <c r="D69" s="107">
        <v>8</v>
      </c>
      <c r="E69" s="109">
        <f>'RESINA - ACRILICOS'!D3</f>
        <v>1.2061016949152543</v>
      </c>
      <c r="F69" s="110">
        <f t="shared" ref="F69:F77" si="1">E69*D69</f>
        <v>9.6488135593220345</v>
      </c>
      <c r="G69" s="1"/>
    </row>
    <row r="70" spans="1:16" x14ac:dyDescent="0.25">
      <c r="A70" s="104" t="s">
        <v>1552</v>
      </c>
      <c r="B70" s="148"/>
      <c r="C70" s="98">
        <v>0.39</v>
      </c>
      <c r="D70" s="107">
        <v>4.4999999999999998E-2</v>
      </c>
      <c r="E70" s="109">
        <f>'PALAIS DU BIJOU'!N3</f>
        <v>170</v>
      </c>
      <c r="F70" s="110">
        <f>E70*D70/C70</f>
        <v>19.615384615384613</v>
      </c>
      <c r="G70" s="1"/>
      <c r="P70" s="1"/>
    </row>
    <row r="71" spans="1:16" x14ac:dyDescent="0.25">
      <c r="A71" s="104" t="s">
        <v>1805</v>
      </c>
      <c r="B71" s="148"/>
      <c r="C71" s="98"/>
      <c r="D71" s="107">
        <v>3</v>
      </c>
      <c r="E71" s="109">
        <f>'INS VARIOS'!D17</f>
        <v>17.5</v>
      </c>
      <c r="F71" s="110">
        <f t="shared" si="1"/>
        <v>52.5</v>
      </c>
      <c r="G71" s="1"/>
    </row>
    <row r="72" spans="1:16" x14ac:dyDescent="0.25">
      <c r="A72" s="104" t="s">
        <v>1819</v>
      </c>
      <c r="B72" s="148"/>
      <c r="C72" s="98"/>
      <c r="D72" s="107">
        <v>2</v>
      </c>
      <c r="E72" s="109">
        <f>'INSUMOS VARIOS'!L9</f>
        <v>10</v>
      </c>
      <c r="F72" s="110">
        <f t="shared" si="1"/>
        <v>20</v>
      </c>
      <c r="G72" s="1"/>
    </row>
    <row r="73" spans="1:16" x14ac:dyDescent="0.25">
      <c r="A73" s="104" t="s">
        <v>1820</v>
      </c>
      <c r="B73" s="148"/>
      <c r="C73" s="98"/>
      <c r="D73" s="107">
        <v>1</v>
      </c>
      <c r="E73" s="109">
        <v>4</v>
      </c>
      <c r="F73" s="110">
        <f t="shared" si="1"/>
        <v>4</v>
      </c>
      <c r="G73" s="1"/>
    </row>
    <row r="74" spans="1:16" x14ac:dyDescent="0.25">
      <c r="A74" s="104" t="s">
        <v>1821</v>
      </c>
      <c r="B74" s="148"/>
      <c r="C74" s="98"/>
      <c r="D74" s="107">
        <v>1</v>
      </c>
      <c r="E74" s="109">
        <v>4</v>
      </c>
      <c r="F74" s="110">
        <f t="shared" si="1"/>
        <v>4</v>
      </c>
      <c r="G74" s="1"/>
    </row>
    <row r="75" spans="1:16" x14ac:dyDescent="0.25">
      <c r="A75" s="104" t="s">
        <v>1822</v>
      </c>
      <c r="B75" s="148"/>
      <c r="C75" s="98"/>
      <c r="D75" s="107">
        <v>1</v>
      </c>
      <c r="E75" s="109">
        <v>4</v>
      </c>
      <c r="F75" s="110">
        <f t="shared" si="1"/>
        <v>4</v>
      </c>
      <c r="G75" s="1"/>
    </row>
    <row r="76" spans="1:16" x14ac:dyDescent="0.25">
      <c r="A76" s="104" t="s">
        <v>1823</v>
      </c>
      <c r="B76" s="148"/>
      <c r="C76" s="98"/>
      <c r="D76" s="107">
        <v>1</v>
      </c>
      <c r="E76" s="109">
        <f>'RESINA - ACRILICOS'!D7</f>
        <v>2.6666666666666665</v>
      </c>
      <c r="F76" s="110">
        <f t="shared" si="1"/>
        <v>2.6666666666666665</v>
      </c>
      <c r="G76" s="1"/>
    </row>
    <row r="77" spans="1:16" x14ac:dyDescent="0.25">
      <c r="A77" s="3" t="s">
        <v>1824</v>
      </c>
      <c r="B77" s="98"/>
      <c r="C77" s="98"/>
      <c r="D77" s="2">
        <v>1</v>
      </c>
      <c r="E77" s="66">
        <f>'RESINA - ACRILICOS'!D9</f>
        <v>5.304597701149425</v>
      </c>
      <c r="F77" s="110">
        <f t="shared" si="1"/>
        <v>5.304597701149425</v>
      </c>
      <c r="G77" s="1"/>
    </row>
    <row r="78" spans="1:16" x14ac:dyDescent="0.25">
      <c r="A78" s="3" t="s">
        <v>1557</v>
      </c>
      <c r="B78" s="98"/>
      <c r="C78" s="98"/>
      <c r="D78" s="2"/>
      <c r="E78" s="6"/>
      <c r="F78" s="39">
        <f>PACKAGING!E4</f>
        <v>80</v>
      </c>
      <c r="G78" s="1"/>
    </row>
    <row r="79" spans="1:16" x14ac:dyDescent="0.25">
      <c r="A79" s="3" t="s">
        <v>1558</v>
      </c>
      <c r="B79" s="98"/>
      <c r="C79" s="98"/>
      <c r="D79" s="2"/>
      <c r="E79" s="6"/>
      <c r="F79" s="39">
        <v>120</v>
      </c>
      <c r="G79" s="1"/>
    </row>
    <row r="80" spans="1:16" ht="16.5" thickBot="1" x14ac:dyDescent="0.3">
      <c r="A80" s="79" t="s">
        <v>525</v>
      </c>
      <c r="B80" s="99"/>
      <c r="C80" s="99"/>
      <c r="D80" s="70"/>
      <c r="E80" s="85"/>
      <c r="F80" s="51" t="e">
        <f>SUM(F64:F79)</f>
        <v>#REF!</v>
      </c>
      <c r="G80" s="1"/>
    </row>
    <row r="81" spans="1:7" ht="16.5" thickBot="1" x14ac:dyDescent="0.3">
      <c r="A81" s="80" t="s">
        <v>544</v>
      </c>
      <c r="B81" s="100"/>
      <c r="C81" s="100"/>
      <c r="D81" s="71"/>
      <c r="E81" s="71"/>
      <c r="F81" s="72" t="e">
        <f>F80*2</f>
        <v>#REF!</v>
      </c>
      <c r="G81" s="203">
        <v>680</v>
      </c>
    </row>
    <row r="82" spans="1:7" ht="16.5" thickBot="1" x14ac:dyDescent="0.3">
      <c r="A82" s="211" t="s">
        <v>1559</v>
      </c>
      <c r="B82" s="214"/>
      <c r="C82" s="214"/>
      <c r="D82" s="212"/>
      <c r="E82" s="212"/>
      <c r="F82" s="215"/>
      <c r="G82" s="253"/>
    </row>
    <row r="84" spans="1:7" x14ac:dyDescent="0.25">
      <c r="A84" s="1576" t="s">
        <v>1825</v>
      </c>
      <c r="B84" s="1577"/>
      <c r="C84" s="1577"/>
      <c r="D84" s="1577"/>
      <c r="E84" s="1577"/>
      <c r="F84" s="1577"/>
    </row>
    <row r="85" spans="1:7" x14ac:dyDescent="0.25">
      <c r="A85" s="183" t="s">
        <v>916</v>
      </c>
      <c r="B85" s="97" t="s">
        <v>742</v>
      </c>
      <c r="C85" s="97" t="s">
        <v>1089</v>
      </c>
      <c r="D85" s="76" t="s">
        <v>1547</v>
      </c>
      <c r="E85" s="108" t="s">
        <v>1035</v>
      </c>
      <c r="F85" s="77" t="s">
        <v>1549</v>
      </c>
      <c r="G85" s="1"/>
    </row>
    <row r="86" spans="1:7" x14ac:dyDescent="0.25">
      <c r="A86" s="184" t="s">
        <v>1826</v>
      </c>
      <c r="B86" s="2"/>
      <c r="C86" s="2"/>
      <c r="D86" s="107">
        <v>2</v>
      </c>
      <c r="E86" s="109">
        <v>8</v>
      </c>
      <c r="F86" s="110">
        <f t="shared" ref="F86:F93" si="2">E86*D86</f>
        <v>16</v>
      </c>
      <c r="G86" s="1"/>
    </row>
    <row r="87" spans="1:7" x14ac:dyDescent="0.25">
      <c r="A87" s="2" t="s">
        <v>1812</v>
      </c>
      <c r="B87" s="148"/>
      <c r="C87" s="2"/>
      <c r="D87" s="107">
        <v>1</v>
      </c>
      <c r="E87" s="109">
        <v>3</v>
      </c>
      <c r="F87" s="110">
        <f t="shared" si="2"/>
        <v>3</v>
      </c>
      <c r="G87" s="1"/>
    </row>
    <row r="88" spans="1:7" x14ac:dyDescent="0.25">
      <c r="A88" s="148" t="s">
        <v>1827</v>
      </c>
      <c r="B88" s="148"/>
      <c r="C88" s="2"/>
      <c r="D88" s="107">
        <v>0.6</v>
      </c>
      <c r="E88" s="109">
        <f>'INS VARIOS'!H54</f>
        <v>100</v>
      </c>
      <c r="F88" s="110">
        <f t="shared" si="2"/>
        <v>60</v>
      </c>
      <c r="G88" s="1"/>
    </row>
    <row r="89" spans="1:7" x14ac:dyDescent="0.25">
      <c r="A89" s="24" t="s">
        <v>1572</v>
      </c>
      <c r="B89" s="148"/>
      <c r="C89" s="2"/>
      <c r="D89" s="107">
        <v>5</v>
      </c>
      <c r="E89" s="109">
        <f>'INSUMOS VARIOS'!T19</f>
        <v>1</v>
      </c>
      <c r="F89" s="110">
        <f t="shared" si="2"/>
        <v>5</v>
      </c>
      <c r="G89" s="1"/>
    </row>
    <row r="90" spans="1:7" x14ac:dyDescent="0.25">
      <c r="A90" s="2" t="s">
        <v>1805</v>
      </c>
      <c r="B90" s="148"/>
      <c r="C90" s="2"/>
      <c r="D90" s="107">
        <v>3</v>
      </c>
      <c r="E90" s="109">
        <f>'INS VARIOS'!D17</f>
        <v>17.5</v>
      </c>
      <c r="F90" s="110">
        <f t="shared" si="2"/>
        <v>52.5</v>
      </c>
    </row>
    <row r="91" spans="1:7" x14ac:dyDescent="0.25">
      <c r="A91" s="104" t="s">
        <v>1625</v>
      </c>
      <c r="B91" s="148"/>
      <c r="C91" s="2"/>
      <c r="D91" s="107">
        <v>4</v>
      </c>
      <c r="E91" s="109">
        <f>'RESINA - ACRILICOS'!D6</f>
        <v>2.661290322580645</v>
      </c>
      <c r="F91" s="110">
        <f t="shared" si="2"/>
        <v>10.64516129032258</v>
      </c>
      <c r="G91" s="1"/>
    </row>
    <row r="92" spans="1:7" x14ac:dyDescent="0.25">
      <c r="A92" s="104" t="s">
        <v>1828</v>
      </c>
      <c r="B92" s="148"/>
      <c r="C92" s="98"/>
      <c r="D92" s="107">
        <v>1.5</v>
      </c>
      <c r="E92" s="109">
        <f>'HILOS-CORDONES-TANZA-CUERO'!E3</f>
        <v>50.35</v>
      </c>
      <c r="F92" s="110">
        <f t="shared" si="2"/>
        <v>75.525000000000006</v>
      </c>
      <c r="G92" s="1"/>
    </row>
    <row r="93" spans="1:7" x14ac:dyDescent="0.25">
      <c r="A93" s="104" t="s">
        <v>1563</v>
      </c>
      <c r="B93" s="148"/>
      <c r="C93" s="98"/>
      <c r="D93" s="107">
        <v>2</v>
      </c>
      <c r="E93" s="109" t="e">
        <f>'INS VARIOS'!#REF!</f>
        <v>#REF!</v>
      </c>
      <c r="F93" s="110" t="e">
        <f t="shared" si="2"/>
        <v>#REF!</v>
      </c>
      <c r="G93" s="1"/>
    </row>
    <row r="94" spans="1:7" x14ac:dyDescent="0.25">
      <c r="A94" s="3" t="s">
        <v>1557</v>
      </c>
      <c r="B94" s="98"/>
      <c r="C94" s="98"/>
      <c r="D94" s="2"/>
      <c r="E94" s="6"/>
      <c r="F94" s="39">
        <f>PACKAGING!E4</f>
        <v>80</v>
      </c>
      <c r="G94" s="1"/>
    </row>
    <row r="95" spans="1:7" x14ac:dyDescent="0.25">
      <c r="A95" s="3" t="s">
        <v>1558</v>
      </c>
      <c r="B95" s="98"/>
      <c r="C95" s="98"/>
      <c r="D95" s="2"/>
      <c r="E95" s="6"/>
      <c r="F95" s="39">
        <v>180</v>
      </c>
      <c r="G95" s="1"/>
    </row>
    <row r="96" spans="1:7" ht="16.5" thickBot="1" x14ac:dyDescent="0.3">
      <c r="A96" s="79" t="s">
        <v>525</v>
      </c>
      <c r="B96" s="99"/>
      <c r="C96" s="99"/>
      <c r="D96" s="70"/>
      <c r="E96" s="85"/>
      <c r="F96" s="51" t="e">
        <f>SUM(F86:F95)</f>
        <v>#REF!</v>
      </c>
      <c r="G96" s="1"/>
    </row>
    <row r="97" spans="1:7" ht="16.5" thickBot="1" x14ac:dyDescent="0.3">
      <c r="A97" s="80" t="s">
        <v>544</v>
      </c>
      <c r="B97" s="100"/>
      <c r="C97" s="100"/>
      <c r="D97" s="71"/>
      <c r="E97" s="71"/>
      <c r="F97" s="72" t="e">
        <f>F96*2</f>
        <v>#REF!</v>
      </c>
      <c r="G97" s="203">
        <v>750</v>
      </c>
    </row>
    <row r="98" spans="1:7" ht="16.5" thickBot="1" x14ac:dyDescent="0.3">
      <c r="A98" s="211" t="s">
        <v>1559</v>
      </c>
      <c r="B98" s="214"/>
      <c r="C98" s="214"/>
      <c r="D98" s="212"/>
      <c r="E98" s="212"/>
      <c r="F98" s="215"/>
      <c r="G98" s="253"/>
    </row>
    <row r="100" spans="1:7" x14ac:dyDescent="0.25">
      <c r="A100" s="1576" t="s">
        <v>1829</v>
      </c>
      <c r="B100" s="1577"/>
      <c r="C100" s="1577"/>
      <c r="D100" s="1577"/>
      <c r="E100" s="1577"/>
      <c r="F100" s="1577"/>
    </row>
    <row r="101" spans="1:7" x14ac:dyDescent="0.25">
      <c r="A101" s="183" t="s">
        <v>916</v>
      </c>
      <c r="B101" s="97" t="s">
        <v>742</v>
      </c>
      <c r="C101" s="97" t="s">
        <v>1089</v>
      </c>
      <c r="D101" s="76" t="s">
        <v>1547</v>
      </c>
      <c r="E101" s="108" t="s">
        <v>1035</v>
      </c>
      <c r="F101" s="77" t="s">
        <v>1549</v>
      </c>
      <c r="G101" s="1"/>
    </row>
    <row r="102" spans="1:7" x14ac:dyDescent="0.25">
      <c r="A102" s="184" t="s">
        <v>1830</v>
      </c>
      <c r="B102" s="2" t="s">
        <v>1682</v>
      </c>
      <c r="C102" s="2"/>
      <c r="D102" s="107">
        <v>1</v>
      </c>
      <c r="E102" s="109">
        <f>VIDRIOS!I19</f>
        <v>55</v>
      </c>
      <c r="F102" s="110">
        <f>E102*D102</f>
        <v>55</v>
      </c>
      <c r="G102" s="1"/>
    </row>
    <row r="103" spans="1:7" x14ac:dyDescent="0.25">
      <c r="A103" s="24" t="s">
        <v>1645</v>
      </c>
      <c r="B103" s="148" t="s">
        <v>781</v>
      </c>
      <c r="C103" s="2"/>
      <c r="D103" s="107">
        <v>2</v>
      </c>
      <c r="E103" s="109">
        <f>'PALAIS DU BIJOU'!E25</f>
        <v>9.7714285714285722</v>
      </c>
      <c r="F103" s="110">
        <f>E103*D103</f>
        <v>19.542857142857144</v>
      </c>
      <c r="G103" s="1"/>
    </row>
    <row r="104" spans="1:7" x14ac:dyDescent="0.25">
      <c r="A104" s="2" t="s">
        <v>1224</v>
      </c>
      <c r="B104" s="148"/>
      <c r="C104" s="2"/>
      <c r="D104" s="107">
        <v>2</v>
      </c>
      <c r="E104" s="109">
        <f>'HILOS-CORDONES-TANZA-CUERO'!L9</f>
        <v>30</v>
      </c>
      <c r="F104" s="110">
        <f>E104*D104</f>
        <v>60</v>
      </c>
      <c r="G104" s="1"/>
    </row>
    <row r="105" spans="1:7" x14ac:dyDescent="0.25">
      <c r="A105" s="2" t="s">
        <v>1805</v>
      </c>
      <c r="B105" s="148"/>
      <c r="C105" s="2"/>
      <c r="D105" s="107">
        <v>1</v>
      </c>
      <c r="E105" s="109">
        <f>'INS VARIOS'!D17</f>
        <v>17.5</v>
      </c>
      <c r="F105" s="110">
        <f>E105*D105</f>
        <v>17.5</v>
      </c>
      <c r="G105" s="1"/>
    </row>
    <row r="106" spans="1:7" x14ac:dyDescent="0.25">
      <c r="A106" s="2" t="s">
        <v>1563</v>
      </c>
      <c r="B106" s="148"/>
      <c r="C106" s="2"/>
      <c r="D106" s="107">
        <v>1</v>
      </c>
      <c r="E106" s="109" t="e">
        <f>'INS VARIOS'!#REF!</f>
        <v>#REF!</v>
      </c>
      <c r="F106" s="110" t="e">
        <f t="shared" ref="F106:F113" si="3">E106*D106</f>
        <v>#REF!</v>
      </c>
      <c r="G106" s="1"/>
    </row>
    <row r="107" spans="1:7" x14ac:dyDescent="0.25">
      <c r="A107" s="2" t="s">
        <v>1831</v>
      </c>
      <c r="B107" s="148"/>
      <c r="C107" s="2"/>
      <c r="D107" s="107">
        <v>1</v>
      </c>
      <c r="E107" s="109">
        <v>30</v>
      </c>
      <c r="F107" s="110">
        <f t="shared" si="3"/>
        <v>30</v>
      </c>
      <c r="G107" s="1"/>
    </row>
    <row r="108" spans="1:7" x14ac:dyDescent="0.25">
      <c r="A108" s="2" t="s">
        <v>1832</v>
      </c>
      <c r="B108" s="148"/>
      <c r="C108" s="2"/>
      <c r="D108" s="107">
        <v>1</v>
      </c>
      <c r="E108" s="109">
        <v>5</v>
      </c>
      <c r="F108" s="110">
        <f t="shared" si="3"/>
        <v>5</v>
      </c>
    </row>
    <row r="109" spans="1:7" x14ac:dyDescent="0.25">
      <c r="A109" s="104" t="s">
        <v>1833</v>
      </c>
      <c r="B109" s="148" t="s">
        <v>1834</v>
      </c>
      <c r="C109" s="2"/>
      <c r="D109" s="107">
        <v>1</v>
      </c>
      <c r="E109" s="109">
        <v>5</v>
      </c>
      <c r="F109" s="110">
        <f t="shared" si="3"/>
        <v>5</v>
      </c>
      <c r="G109" s="1"/>
    </row>
    <row r="110" spans="1:7" x14ac:dyDescent="0.25">
      <c r="A110" s="104" t="s">
        <v>1835</v>
      </c>
      <c r="B110" s="148" t="s">
        <v>1834</v>
      </c>
      <c r="C110" s="98"/>
      <c r="D110" s="107">
        <v>1</v>
      </c>
      <c r="E110" s="109">
        <v>5</v>
      </c>
      <c r="F110" s="110">
        <f t="shared" si="3"/>
        <v>5</v>
      </c>
      <c r="G110" s="1"/>
    </row>
    <row r="111" spans="1:7" x14ac:dyDescent="0.25">
      <c r="A111" s="104" t="s">
        <v>1836</v>
      </c>
      <c r="B111" s="148"/>
      <c r="C111" s="98"/>
      <c r="D111" s="107">
        <v>1</v>
      </c>
      <c r="E111" s="109">
        <v>10</v>
      </c>
      <c r="F111" s="110">
        <f t="shared" si="3"/>
        <v>10</v>
      </c>
      <c r="G111" s="1"/>
    </row>
    <row r="112" spans="1:7" x14ac:dyDescent="0.25">
      <c r="A112" s="104" t="s">
        <v>1837</v>
      </c>
      <c r="B112" s="148" t="s">
        <v>1834</v>
      </c>
      <c r="C112" s="98"/>
      <c r="D112" s="107">
        <v>1</v>
      </c>
      <c r="E112" s="109">
        <v>5</v>
      </c>
      <c r="F112" s="110">
        <f t="shared" si="3"/>
        <v>5</v>
      </c>
      <c r="G112" s="1"/>
    </row>
    <row r="113" spans="1:7" x14ac:dyDescent="0.25">
      <c r="A113" s="104" t="s">
        <v>1572</v>
      </c>
      <c r="B113" s="148"/>
      <c r="C113" s="98"/>
      <c r="D113" s="107">
        <v>5</v>
      </c>
      <c r="E113" s="109">
        <f>'INSUMOS VARIOS'!T19</f>
        <v>1</v>
      </c>
      <c r="F113" s="110">
        <f t="shared" si="3"/>
        <v>5</v>
      </c>
      <c r="G113" s="1"/>
    </row>
    <row r="114" spans="1:7" x14ac:dyDescent="0.25">
      <c r="A114" s="3" t="s">
        <v>1557</v>
      </c>
      <c r="B114" s="98"/>
      <c r="C114" s="98"/>
      <c r="D114" s="2"/>
      <c r="E114" s="6"/>
      <c r="F114" s="39">
        <f>PACKAGING!E4</f>
        <v>80</v>
      </c>
      <c r="G114" s="1"/>
    </row>
    <row r="115" spans="1:7" x14ac:dyDescent="0.25">
      <c r="A115" s="3" t="s">
        <v>1558</v>
      </c>
      <c r="B115" s="98"/>
      <c r="C115" s="98"/>
      <c r="D115" s="2"/>
      <c r="E115" s="6"/>
      <c r="F115" s="39">
        <v>180</v>
      </c>
      <c r="G115" s="1"/>
    </row>
    <row r="116" spans="1:7" ht="16.5" thickBot="1" x14ac:dyDescent="0.3">
      <c r="A116" s="79" t="s">
        <v>525</v>
      </c>
      <c r="B116" s="99"/>
      <c r="C116" s="99"/>
      <c r="D116" s="70"/>
      <c r="E116" s="85"/>
      <c r="F116" s="51" t="e">
        <f>SUM(F102:F115)</f>
        <v>#REF!</v>
      </c>
      <c r="G116" s="1"/>
    </row>
    <row r="117" spans="1:7" ht="16.5" thickBot="1" x14ac:dyDescent="0.3">
      <c r="A117" s="80" t="s">
        <v>544</v>
      </c>
      <c r="B117" s="100"/>
      <c r="C117" s="100"/>
      <c r="D117" s="71"/>
      <c r="E117" s="71"/>
      <c r="F117" s="72" t="e">
        <f>F116*2</f>
        <v>#REF!</v>
      </c>
      <c r="G117" s="203">
        <v>750</v>
      </c>
    </row>
    <row r="118" spans="1:7" ht="16.5" thickBot="1" x14ac:dyDescent="0.3">
      <c r="A118" s="211" t="s">
        <v>1559</v>
      </c>
      <c r="B118" s="214"/>
      <c r="C118" s="214"/>
      <c r="D118" s="212"/>
      <c r="E118" s="212"/>
      <c r="F118" s="215"/>
      <c r="G118" s="253"/>
    </row>
    <row r="120" spans="1:7" x14ac:dyDescent="0.25">
      <c r="A120" s="1576" t="s">
        <v>1838</v>
      </c>
      <c r="B120" s="1577"/>
      <c r="C120" s="1577"/>
      <c r="D120" s="1577"/>
      <c r="E120" s="1577"/>
      <c r="F120" s="1577"/>
    </row>
    <row r="121" spans="1:7" x14ac:dyDescent="0.25">
      <c r="A121" s="183" t="s">
        <v>916</v>
      </c>
      <c r="B121" s="97" t="s">
        <v>742</v>
      </c>
      <c r="C121" s="97" t="s">
        <v>1089</v>
      </c>
      <c r="D121" s="76" t="s">
        <v>1547</v>
      </c>
      <c r="E121" s="108" t="s">
        <v>1035</v>
      </c>
      <c r="F121" s="77" t="s">
        <v>1549</v>
      </c>
      <c r="G121" s="1"/>
    </row>
    <row r="122" spans="1:7" x14ac:dyDescent="0.25">
      <c r="A122" s="184" t="s">
        <v>1839</v>
      </c>
      <c r="B122" s="2"/>
      <c r="C122" s="2">
        <v>1</v>
      </c>
      <c r="D122" s="107"/>
      <c r="E122" s="109">
        <f>'INS VARIOS'!H54</f>
        <v>100</v>
      </c>
      <c r="F122" s="110">
        <f>E122*C122</f>
        <v>100</v>
      </c>
      <c r="G122" s="1"/>
    </row>
    <row r="123" spans="1:7" x14ac:dyDescent="0.25">
      <c r="A123" s="184" t="s">
        <v>1812</v>
      </c>
      <c r="B123" s="148"/>
      <c r="C123" s="2"/>
      <c r="D123" s="107"/>
      <c r="E123" s="109">
        <v>5</v>
      </c>
      <c r="F123" s="110">
        <f>E123</f>
        <v>5</v>
      </c>
      <c r="G123" s="1"/>
    </row>
    <row r="124" spans="1:7" x14ac:dyDescent="0.25">
      <c r="A124" s="24" t="s">
        <v>1805</v>
      </c>
      <c r="B124" s="148"/>
      <c r="C124" s="2"/>
      <c r="D124" s="107">
        <v>3</v>
      </c>
      <c r="E124" s="109">
        <f>'INS VARIOS'!D17</f>
        <v>17.5</v>
      </c>
      <c r="F124" s="110">
        <f>E124*D124</f>
        <v>52.5</v>
      </c>
      <c r="G124" s="1"/>
    </row>
    <row r="125" spans="1:7" x14ac:dyDescent="0.25">
      <c r="A125" s="2" t="s">
        <v>1211</v>
      </c>
      <c r="B125" s="148"/>
      <c r="C125" s="2"/>
      <c r="D125" s="107">
        <v>4</v>
      </c>
      <c r="E125" s="109">
        <f>'INS VARIOS'!E59</f>
        <v>10</v>
      </c>
      <c r="F125" s="110">
        <f>E125*D125</f>
        <v>40</v>
      </c>
      <c r="G125" s="1"/>
    </row>
    <row r="126" spans="1:7" x14ac:dyDescent="0.25">
      <c r="A126" s="104" t="s">
        <v>1572</v>
      </c>
      <c r="B126" s="148"/>
      <c r="C126" s="98"/>
      <c r="D126" s="107">
        <v>3</v>
      </c>
      <c r="E126" s="109">
        <f>'INSUMOS VARIOS'!T19</f>
        <v>1</v>
      </c>
      <c r="F126" s="110">
        <f>E126*D126</f>
        <v>3</v>
      </c>
      <c r="G126" s="1"/>
    </row>
    <row r="127" spans="1:7" x14ac:dyDescent="0.25">
      <c r="A127" s="3" t="s">
        <v>1557</v>
      </c>
      <c r="B127" s="98"/>
      <c r="C127" s="98"/>
      <c r="D127" s="2"/>
      <c r="E127" s="6"/>
      <c r="F127" s="110">
        <f>PACKAGING!E4</f>
        <v>80</v>
      </c>
      <c r="G127" s="1"/>
    </row>
    <row r="128" spans="1:7" x14ac:dyDescent="0.25">
      <c r="A128" s="3" t="s">
        <v>1558</v>
      </c>
      <c r="B128" s="98"/>
      <c r="C128" s="98"/>
      <c r="D128" s="2"/>
      <c r="E128" s="6"/>
      <c r="F128" s="39">
        <v>180</v>
      </c>
      <c r="G128" s="1"/>
    </row>
    <row r="129" spans="1:7" ht="16.5" thickBot="1" x14ac:dyDescent="0.3">
      <c r="A129" s="79" t="s">
        <v>525</v>
      </c>
      <c r="B129" s="99"/>
      <c r="C129" s="99"/>
      <c r="D129" s="70"/>
      <c r="E129" s="85"/>
      <c r="F129" s="51">
        <f>SUM(F122:F128)</f>
        <v>460.5</v>
      </c>
      <c r="G129" s="1"/>
    </row>
    <row r="130" spans="1:7" ht="16.5" thickBot="1" x14ac:dyDescent="0.3">
      <c r="A130" s="80" t="s">
        <v>544</v>
      </c>
      <c r="B130" s="100"/>
      <c r="C130" s="100"/>
      <c r="D130" s="71"/>
      <c r="E130" s="71"/>
      <c r="F130" s="72">
        <f>F129*2</f>
        <v>921</v>
      </c>
      <c r="G130" s="203">
        <v>780</v>
      </c>
    </row>
    <row r="131" spans="1:7" ht="16.5" thickBot="1" x14ac:dyDescent="0.3">
      <c r="A131" s="211" t="s">
        <v>1559</v>
      </c>
      <c r="B131" s="214"/>
      <c r="C131" s="214"/>
      <c r="D131" s="212"/>
      <c r="E131" s="212"/>
      <c r="F131" s="215"/>
      <c r="G131" s="253"/>
    </row>
  </sheetData>
  <mergeCells count="8">
    <mergeCell ref="A84:F84"/>
    <mergeCell ref="A100:F100"/>
    <mergeCell ref="A120:F120"/>
    <mergeCell ref="A1:F1"/>
    <mergeCell ref="A12:F12"/>
    <mergeCell ref="A26:F26"/>
    <mergeCell ref="A45:F45"/>
    <mergeCell ref="A62:F62"/>
  </mergeCells>
  <pageMargins left="0.7" right="0.7" top="0.75" bottom="0.75" header="0.3" footer="0.3"/>
  <pageSetup orientation="portrait" r:id="rId1"/>
  <ignoredErrors>
    <ignoredError sqref="F70 F123" formula="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17"/>
  <dimension ref="A1:P209"/>
  <sheetViews>
    <sheetView topLeftCell="A187" zoomScale="72" zoomScaleNormal="72" workbookViewId="0">
      <selection activeCell="H209" sqref="H209"/>
    </sheetView>
  </sheetViews>
  <sheetFormatPr baseColWidth="10" defaultColWidth="11.42578125" defaultRowHeight="15" x14ac:dyDescent="0.25"/>
  <cols>
    <col min="1" max="1" width="22.42578125" bestFit="1" customWidth="1"/>
    <col min="2" max="2" width="15.42578125" bestFit="1" customWidth="1"/>
    <col min="7" max="7" width="11.5703125" bestFit="1" customWidth="1"/>
    <col min="8" max="8" width="14.42578125" bestFit="1" customWidth="1"/>
    <col min="9" max="9" width="13" bestFit="1" customWidth="1"/>
    <col min="10" max="10" width="12.140625" bestFit="1" customWidth="1"/>
  </cols>
  <sheetData>
    <row r="1" spans="1:8" ht="16.5" thickBot="1" x14ac:dyDescent="0.3">
      <c r="A1" s="1565" t="s">
        <v>495</v>
      </c>
      <c r="B1" s="1566"/>
      <c r="C1" s="1566"/>
      <c r="D1" s="1566"/>
      <c r="E1" s="1566"/>
      <c r="F1" s="1567"/>
    </row>
    <row r="2" spans="1:8" ht="15.75" x14ac:dyDescent="0.25">
      <c r="A2" s="183" t="s">
        <v>916</v>
      </c>
      <c r="B2" s="97" t="s">
        <v>742</v>
      </c>
      <c r="C2" s="97" t="s">
        <v>1607</v>
      </c>
      <c r="D2" s="97" t="s">
        <v>1566</v>
      </c>
      <c r="E2" s="76" t="s">
        <v>1035</v>
      </c>
      <c r="F2" s="77" t="s">
        <v>1549</v>
      </c>
      <c r="G2" s="1"/>
    </row>
    <row r="3" spans="1:8" ht="15.75" x14ac:dyDescent="0.25">
      <c r="A3" s="3" t="s">
        <v>1224</v>
      </c>
      <c r="B3" s="98"/>
      <c r="C3" s="98">
        <v>0.55000000000000004</v>
      </c>
      <c r="D3" s="98">
        <v>1</v>
      </c>
      <c r="E3" s="102">
        <f>'HILOS-CORDONES-TANZA-CUERO'!E4</f>
        <v>50.35</v>
      </c>
      <c r="F3" s="39">
        <f>C3*D3*E3</f>
        <v>27.692500000000003</v>
      </c>
      <c r="G3" s="1"/>
    </row>
    <row r="4" spans="1:8" ht="15.75" x14ac:dyDescent="0.25">
      <c r="A4" s="184" t="s">
        <v>1198</v>
      </c>
      <c r="B4" s="98"/>
      <c r="C4" s="98"/>
      <c r="D4" s="98">
        <v>2</v>
      </c>
      <c r="E4" s="102">
        <f>'RESINA - ACRILICOS'!D12</f>
        <v>2.9411764705882355</v>
      </c>
      <c r="F4" s="39">
        <f>E4*D4</f>
        <v>5.882352941176471</v>
      </c>
      <c r="G4" s="1"/>
    </row>
    <row r="5" spans="1:8" ht="15.75" x14ac:dyDescent="0.25">
      <c r="A5" s="184" t="s">
        <v>1781</v>
      </c>
      <c r="B5" s="98"/>
      <c r="C5" s="98"/>
      <c r="D5" s="98">
        <v>12</v>
      </c>
      <c r="E5" s="102">
        <f>'RESINA - ACRILICOS'!D7</f>
        <v>2.6666666666666665</v>
      </c>
      <c r="F5" s="39">
        <f>E5*D5</f>
        <v>32</v>
      </c>
      <c r="G5" s="1"/>
    </row>
    <row r="6" spans="1:8" ht="15.75" x14ac:dyDescent="0.25">
      <c r="A6" s="184" t="s">
        <v>1662</v>
      </c>
      <c r="B6" s="98" t="s">
        <v>1409</v>
      </c>
      <c r="C6" s="98"/>
      <c r="D6" s="98">
        <v>22</v>
      </c>
      <c r="E6" s="102">
        <f>'PALAIS DU BIJOU'!M25</f>
        <v>0.62142857142857144</v>
      </c>
      <c r="F6" s="39">
        <f>E6*D6</f>
        <v>13.671428571428571</v>
      </c>
      <c r="G6" s="1"/>
    </row>
    <row r="7" spans="1:8" ht="15.75" x14ac:dyDescent="0.25">
      <c r="A7" s="184" t="s">
        <v>1720</v>
      </c>
      <c r="B7" s="98" t="s">
        <v>781</v>
      </c>
      <c r="C7" s="98"/>
      <c r="D7" s="98">
        <v>11</v>
      </c>
      <c r="E7" s="102">
        <f>VIDRIOS!E46</f>
        <v>3.8571428571428572</v>
      </c>
      <c r="F7" s="39">
        <f>E7*D7</f>
        <v>42.428571428571431</v>
      </c>
      <c r="G7" s="1"/>
    </row>
    <row r="8" spans="1:8" ht="15.75" x14ac:dyDescent="0.25">
      <c r="A8" s="184" t="s">
        <v>1557</v>
      </c>
      <c r="B8" s="98"/>
      <c r="C8" s="98"/>
      <c r="D8" s="98"/>
      <c r="E8" s="102"/>
      <c r="F8" s="39">
        <f>PACKAGING!E4</f>
        <v>80</v>
      </c>
      <c r="G8" s="1"/>
    </row>
    <row r="9" spans="1:8" ht="15.75" x14ac:dyDescent="0.25">
      <c r="A9" s="184" t="s">
        <v>1721</v>
      </c>
      <c r="B9" s="98"/>
      <c r="C9" s="98"/>
      <c r="D9" s="98"/>
      <c r="E9" s="102"/>
      <c r="F9" s="39">
        <f>PACKAGING!E7</f>
        <v>170</v>
      </c>
      <c r="G9" s="1"/>
    </row>
    <row r="10" spans="1:8" ht="15.75" x14ac:dyDescent="0.25">
      <c r="A10" s="3" t="s">
        <v>1558</v>
      </c>
      <c r="B10" s="98">
        <v>60</v>
      </c>
      <c r="C10" s="98"/>
      <c r="D10" s="98">
        <v>14</v>
      </c>
      <c r="E10" s="102">
        <f>'INSUMOS VARIOS'!B3</f>
        <v>3500</v>
      </c>
      <c r="F10" s="39">
        <f>E10*D10/B10</f>
        <v>816.66666666666663</v>
      </c>
      <c r="G10" s="1"/>
    </row>
    <row r="11" spans="1:8" ht="16.5" thickBot="1" x14ac:dyDescent="0.3">
      <c r="A11" s="79" t="s">
        <v>525</v>
      </c>
      <c r="B11" s="99"/>
      <c r="C11" s="99"/>
      <c r="D11" s="99"/>
      <c r="E11" s="70"/>
      <c r="F11" s="51">
        <f>SUM(F3:F10)</f>
        <v>1188.3415196078431</v>
      </c>
      <c r="G11" s="1"/>
    </row>
    <row r="12" spans="1:8" ht="18.75" x14ac:dyDescent="0.25">
      <c r="A12" s="80" t="s">
        <v>544</v>
      </c>
      <c r="B12" s="100"/>
      <c r="C12" s="100"/>
      <c r="D12" s="100"/>
      <c r="E12" s="71"/>
      <c r="F12" s="72">
        <f>F11*2</f>
        <v>2376.6830392156862</v>
      </c>
      <c r="G12" s="512">
        <f>F12+F12*25%</f>
        <v>2970.8537990196078</v>
      </c>
      <c r="H12" s="75">
        <v>540</v>
      </c>
    </row>
    <row r="13" spans="1:8" ht="19.5" thickBot="1" x14ac:dyDescent="0.3">
      <c r="A13" s="81" t="s">
        <v>1559</v>
      </c>
      <c r="B13" s="101"/>
      <c r="C13" s="101"/>
      <c r="D13" s="101"/>
      <c r="E13" s="73"/>
      <c r="F13" s="73"/>
      <c r="G13" s="522"/>
      <c r="H13" s="74">
        <f>H12*2</f>
        <v>1080</v>
      </c>
    </row>
    <row r="14" spans="1:8" ht="15.75" thickBot="1" x14ac:dyDescent="0.3"/>
    <row r="15" spans="1:8" ht="16.5" thickBot="1" x14ac:dyDescent="0.3">
      <c r="A15" s="1565" t="s">
        <v>336</v>
      </c>
      <c r="B15" s="1566"/>
      <c r="C15" s="1566"/>
      <c r="D15" s="1566"/>
      <c r="E15" s="1566"/>
      <c r="F15" s="1567"/>
    </row>
    <row r="16" spans="1:8" ht="15.75" x14ac:dyDescent="0.25">
      <c r="A16" s="183" t="s">
        <v>916</v>
      </c>
      <c r="B16" s="97" t="s">
        <v>742</v>
      </c>
      <c r="C16" s="97" t="s">
        <v>1089</v>
      </c>
      <c r="D16" s="97" t="s">
        <v>1547</v>
      </c>
      <c r="E16" s="76" t="s">
        <v>1035</v>
      </c>
      <c r="F16" s="77" t="s">
        <v>1549</v>
      </c>
    </row>
    <row r="17" spans="1:16" ht="15.75" x14ac:dyDescent="0.25">
      <c r="A17" s="184" t="s">
        <v>1224</v>
      </c>
      <c r="B17" s="98"/>
      <c r="C17" s="98">
        <v>0.55000000000000004</v>
      </c>
      <c r="D17" s="98">
        <v>1</v>
      </c>
      <c r="E17" s="102">
        <f>E3</f>
        <v>50.35</v>
      </c>
      <c r="F17" s="39">
        <f>E17*D17*C17</f>
        <v>27.692500000000003</v>
      </c>
      <c r="G17" s="1"/>
    </row>
    <row r="18" spans="1:16" ht="15.75" x14ac:dyDescent="0.25">
      <c r="A18" s="1701" t="s">
        <v>1691</v>
      </c>
      <c r="B18" s="98" t="s">
        <v>1076</v>
      </c>
      <c r="C18" s="98"/>
      <c r="D18" s="98">
        <v>4</v>
      </c>
      <c r="E18" s="102">
        <f>'PALAIS DU BIJOU'!M24</f>
        <v>0.55000000000000004</v>
      </c>
      <c r="F18" s="39">
        <f t="shared" ref="F18:F24" si="0">E18*D18</f>
        <v>2.2000000000000002</v>
      </c>
      <c r="G18" s="1"/>
    </row>
    <row r="19" spans="1:16" ht="15.75" x14ac:dyDescent="0.25">
      <c r="A19" s="1711"/>
      <c r="B19" s="98" t="s">
        <v>1409</v>
      </c>
      <c r="C19" s="98"/>
      <c r="D19" s="98">
        <v>15</v>
      </c>
      <c r="E19" s="102">
        <f>'PALAIS DU BIJOU'!M25</f>
        <v>0.62142857142857144</v>
      </c>
      <c r="F19" s="39">
        <f t="shared" si="0"/>
        <v>9.3214285714285712</v>
      </c>
      <c r="G19" s="1"/>
    </row>
    <row r="20" spans="1:16" ht="15.75" x14ac:dyDescent="0.25">
      <c r="A20" s="1711"/>
      <c r="B20" s="98" t="s">
        <v>1411</v>
      </c>
      <c r="C20" s="98"/>
      <c r="D20" s="98">
        <v>1</v>
      </c>
      <c r="E20" s="102">
        <f>'PALAIS DU BIJOU'!M26</f>
        <v>2.4333333333333331</v>
      </c>
      <c r="F20" s="39">
        <f t="shared" si="0"/>
        <v>2.4333333333333331</v>
      </c>
      <c r="G20" s="1"/>
    </row>
    <row r="21" spans="1:16" ht="15.75" x14ac:dyDescent="0.25">
      <c r="A21" s="1702"/>
      <c r="B21" s="98" t="s">
        <v>1413</v>
      </c>
      <c r="C21" s="98"/>
      <c r="D21" s="98">
        <v>2</v>
      </c>
      <c r="E21" s="102">
        <f>'PALAIS DU BIJOU'!M27</f>
        <v>2.7777777777777777</v>
      </c>
      <c r="F21" s="39">
        <f t="shared" si="0"/>
        <v>5.5555555555555554</v>
      </c>
      <c r="G21" s="1"/>
    </row>
    <row r="22" spans="1:16" ht="15.75" x14ac:dyDescent="0.25">
      <c r="A22" s="184" t="s">
        <v>1840</v>
      </c>
      <c r="B22" s="98"/>
      <c r="C22" s="98"/>
      <c r="D22" s="98">
        <v>3</v>
      </c>
      <c r="E22" s="102">
        <f>VIDRIOS!E8</f>
        <v>8.9473684210526319</v>
      </c>
      <c r="F22" s="39">
        <f t="shared" si="0"/>
        <v>26.842105263157897</v>
      </c>
      <c r="G22" s="1"/>
      <c r="P22" s="1"/>
    </row>
    <row r="23" spans="1:16" ht="15.75" x14ac:dyDescent="0.25">
      <c r="A23" s="184" t="s">
        <v>1841</v>
      </c>
      <c r="B23" s="98"/>
      <c r="C23" s="98"/>
      <c r="D23" s="98">
        <v>5</v>
      </c>
      <c r="E23" s="102">
        <f>VIDRIOS!E4</f>
        <v>34</v>
      </c>
      <c r="F23" s="39">
        <f t="shared" si="0"/>
        <v>170</v>
      </c>
      <c r="G23" s="1"/>
    </row>
    <row r="24" spans="1:16" ht="15.75" x14ac:dyDescent="0.25">
      <c r="A24" s="184" t="s">
        <v>1842</v>
      </c>
      <c r="B24" s="98"/>
      <c r="C24" s="98"/>
      <c r="D24" s="98">
        <v>5</v>
      </c>
      <c r="E24" s="102">
        <f>VIDRIOS!E5</f>
        <v>56.666666666666664</v>
      </c>
      <c r="F24" s="39">
        <f t="shared" si="0"/>
        <v>283.33333333333331</v>
      </c>
      <c r="G24" s="1"/>
    </row>
    <row r="25" spans="1:16" ht="15.75" x14ac:dyDescent="0.25">
      <c r="A25" s="184" t="s">
        <v>1552</v>
      </c>
      <c r="B25" s="98">
        <v>0.39</v>
      </c>
      <c r="C25" s="98">
        <v>4.0000000000000001E-3</v>
      </c>
      <c r="D25" s="98">
        <v>9</v>
      </c>
      <c r="E25" s="102">
        <f>'PALAIS DU BIJOU'!N4</f>
        <v>170</v>
      </c>
      <c r="F25" s="39">
        <f>(E25*C25/B25)*D25</f>
        <v>15.692307692307693</v>
      </c>
      <c r="G25" s="1"/>
    </row>
    <row r="26" spans="1:16" ht="15.75" x14ac:dyDescent="0.25">
      <c r="A26" s="184" t="s">
        <v>1843</v>
      </c>
      <c r="B26" s="98"/>
      <c r="C26" s="98"/>
      <c r="D26" s="98">
        <v>2</v>
      </c>
      <c r="E26" s="102">
        <f>PIEDRAS!L5</f>
        <v>0</v>
      </c>
      <c r="F26" s="39">
        <f>E26*D26</f>
        <v>0</v>
      </c>
      <c r="G26" s="1"/>
    </row>
    <row r="27" spans="1:16" ht="15.75" x14ac:dyDescent="0.25">
      <c r="A27" s="184" t="s">
        <v>1350</v>
      </c>
      <c r="B27" s="98"/>
      <c r="C27" s="98"/>
      <c r="D27" s="98">
        <v>2</v>
      </c>
      <c r="E27" s="102">
        <f>PIEDRAS!F110</f>
        <v>6.9230769230769234</v>
      </c>
      <c r="F27" s="39">
        <f>E27*D27</f>
        <v>13.846153846153847</v>
      </c>
    </row>
    <row r="28" spans="1:16" ht="15.75" x14ac:dyDescent="0.25">
      <c r="A28" s="3" t="s">
        <v>1557</v>
      </c>
      <c r="B28" s="98"/>
      <c r="C28" s="98"/>
      <c r="D28" s="98"/>
      <c r="E28" s="2"/>
      <c r="F28" s="39">
        <f>PACKAGING!E4</f>
        <v>80</v>
      </c>
      <c r="G28" s="1"/>
    </row>
    <row r="29" spans="1:16" ht="15.75" x14ac:dyDescent="0.25">
      <c r="A29" s="184" t="s">
        <v>1721</v>
      </c>
      <c r="B29" s="98"/>
      <c r="C29" s="98"/>
      <c r="D29" s="98"/>
      <c r="E29" s="2"/>
      <c r="F29" s="39">
        <f>PACKAGING!E7</f>
        <v>170</v>
      </c>
      <c r="G29" s="1"/>
    </row>
    <row r="30" spans="1:16" ht="15.75" x14ac:dyDescent="0.25">
      <c r="A30" s="104" t="s">
        <v>1590</v>
      </c>
      <c r="B30" s="98">
        <v>60</v>
      </c>
      <c r="C30" s="98"/>
      <c r="D30" s="98">
        <v>14</v>
      </c>
      <c r="E30" s="102">
        <f>'INSUMOS VARIOS'!B3</f>
        <v>3500</v>
      </c>
      <c r="F30" s="39">
        <f>E30*D30/B30</f>
        <v>816.66666666666663</v>
      </c>
      <c r="G30" s="1"/>
    </row>
    <row r="31" spans="1:16" ht="16.5" thickBot="1" x14ac:dyDescent="0.3">
      <c r="A31" s="79" t="s">
        <v>525</v>
      </c>
      <c r="B31" s="99"/>
      <c r="C31" s="99"/>
      <c r="D31" s="99"/>
      <c r="E31" s="70"/>
      <c r="F31" s="51">
        <f>SUM(F19:F30)</f>
        <v>1593.6908842619368</v>
      </c>
      <c r="G31" s="171"/>
    </row>
    <row r="32" spans="1:16" ht="18.75" x14ac:dyDescent="0.25">
      <c r="A32" s="80" t="s">
        <v>544</v>
      </c>
      <c r="B32" s="100"/>
      <c r="C32" s="100"/>
      <c r="D32" s="100"/>
      <c r="E32" s="71"/>
      <c r="F32" s="267">
        <f>F31*2</f>
        <v>3187.3817685238737</v>
      </c>
      <c r="G32" s="512">
        <f>F32+F32*25%</f>
        <v>3984.2272106548421</v>
      </c>
      <c r="H32" s="278">
        <v>740</v>
      </c>
    </row>
    <row r="33" spans="1:8" ht="19.5" thickBot="1" x14ac:dyDescent="0.3">
      <c r="A33" s="81" t="s">
        <v>1559</v>
      </c>
      <c r="B33" s="101"/>
      <c r="C33" s="101"/>
      <c r="D33" s="101"/>
      <c r="E33" s="73"/>
      <c r="F33" s="280"/>
      <c r="G33" s="522"/>
      <c r="H33" s="279">
        <f>H32*2</f>
        <v>1480</v>
      </c>
    </row>
    <row r="34" spans="1:8" ht="15.75" thickBot="1" x14ac:dyDescent="0.3"/>
    <row r="35" spans="1:8" ht="16.5" thickBot="1" x14ac:dyDescent="0.3">
      <c r="A35" s="1565" t="s">
        <v>496</v>
      </c>
      <c r="B35" s="1566"/>
      <c r="C35" s="1566"/>
      <c r="D35" s="1566"/>
      <c r="E35" s="1566"/>
      <c r="F35" s="1567"/>
    </row>
    <row r="36" spans="1:8" ht="15.75" x14ac:dyDescent="0.25">
      <c r="A36" s="183" t="s">
        <v>916</v>
      </c>
      <c r="B36" s="97" t="s">
        <v>742</v>
      </c>
      <c r="C36" s="97" t="s">
        <v>1607</v>
      </c>
      <c r="D36" s="97" t="s">
        <v>1566</v>
      </c>
      <c r="E36" s="76" t="s">
        <v>1035</v>
      </c>
      <c r="F36" s="77" t="s">
        <v>1549</v>
      </c>
      <c r="G36" s="1"/>
    </row>
    <row r="37" spans="1:8" ht="15.75" x14ac:dyDescent="0.25">
      <c r="A37" s="3" t="s">
        <v>1224</v>
      </c>
      <c r="B37" s="98"/>
      <c r="C37" s="98">
        <v>0.55000000000000004</v>
      </c>
      <c r="D37" s="98">
        <v>1</v>
      </c>
      <c r="E37" s="102">
        <f>E17</f>
        <v>50.35</v>
      </c>
      <c r="F37" s="39">
        <f>C37*D37*E37</f>
        <v>27.692500000000003</v>
      </c>
      <c r="G37" s="1"/>
    </row>
    <row r="38" spans="1:8" ht="15.75" x14ac:dyDescent="0.25">
      <c r="A38" s="1701" t="s">
        <v>1662</v>
      </c>
      <c r="B38" s="98" t="s">
        <v>1076</v>
      </c>
      <c r="C38" s="98"/>
      <c r="D38" s="98">
        <v>32</v>
      </c>
      <c r="E38" s="102">
        <f>'PALAIS DU BIJOU'!M24</f>
        <v>0.55000000000000004</v>
      </c>
      <c r="F38" s="39">
        <f t="shared" ref="F38:F43" si="1">E38*D38</f>
        <v>17.600000000000001</v>
      </c>
      <c r="G38" s="1"/>
    </row>
    <row r="39" spans="1:8" ht="15.75" x14ac:dyDescent="0.25">
      <c r="A39" s="1702"/>
      <c r="B39" s="98" t="s">
        <v>1409</v>
      </c>
      <c r="C39" s="98"/>
      <c r="D39" s="98">
        <v>6</v>
      </c>
      <c r="E39" s="102">
        <f>'PALAIS DU BIJOU'!M25</f>
        <v>0.62142857142857144</v>
      </c>
      <c r="F39" s="39">
        <f t="shared" si="1"/>
        <v>3.7285714285714286</v>
      </c>
      <c r="G39" s="1"/>
    </row>
    <row r="40" spans="1:8" ht="15.75" x14ac:dyDescent="0.25">
      <c r="A40" s="184" t="s">
        <v>1719</v>
      </c>
      <c r="B40" s="98" t="s">
        <v>781</v>
      </c>
      <c r="C40" s="98"/>
      <c r="D40" s="98">
        <v>3</v>
      </c>
      <c r="E40" s="102">
        <f>'INSUMOS VARIOS'!L12</f>
        <v>13.541666666666666</v>
      </c>
      <c r="F40" s="39">
        <f t="shared" si="1"/>
        <v>40.625</v>
      </c>
      <c r="G40" s="1"/>
    </row>
    <row r="41" spans="1:8" ht="15.75" x14ac:dyDescent="0.25">
      <c r="A41" s="184" t="s">
        <v>1720</v>
      </c>
      <c r="B41" s="98" t="s">
        <v>781</v>
      </c>
      <c r="C41" s="98"/>
      <c r="D41" s="98">
        <v>8</v>
      </c>
      <c r="E41" s="102">
        <f>VIDRIOS!E46</f>
        <v>3.8571428571428572</v>
      </c>
      <c r="F41" s="39">
        <f t="shared" si="1"/>
        <v>30.857142857142858</v>
      </c>
      <c r="G41" s="1"/>
    </row>
    <row r="42" spans="1:8" ht="15.75" x14ac:dyDescent="0.25">
      <c r="A42" s="184" t="s">
        <v>1676</v>
      </c>
      <c r="B42" s="2" t="s">
        <v>1392</v>
      </c>
      <c r="C42" s="98"/>
      <c r="D42" s="98">
        <v>9</v>
      </c>
      <c r="E42" s="102">
        <f>'PALAIS DU BIJOU'!L12</f>
        <v>1</v>
      </c>
      <c r="F42" s="39">
        <f t="shared" si="1"/>
        <v>9</v>
      </c>
      <c r="G42" s="1"/>
    </row>
    <row r="43" spans="1:8" ht="15.75" x14ac:dyDescent="0.25">
      <c r="A43" s="184" t="s">
        <v>59</v>
      </c>
      <c r="B43" s="98"/>
      <c r="C43" s="98"/>
      <c r="D43" s="98">
        <v>2</v>
      </c>
      <c r="E43" s="102">
        <f>'RESINA - ACRILICOS'!D15</f>
        <v>2.2857142857142856</v>
      </c>
      <c r="F43" s="39">
        <f t="shared" si="1"/>
        <v>4.5714285714285712</v>
      </c>
      <c r="G43" s="1"/>
    </row>
    <row r="44" spans="1:8" ht="15.75" x14ac:dyDescent="0.25">
      <c r="A44" s="184" t="s">
        <v>1721</v>
      </c>
      <c r="B44" s="98"/>
      <c r="C44" s="98"/>
      <c r="D44" s="98"/>
      <c r="E44" s="102"/>
      <c r="F44" s="39">
        <f>PACKAGING!E7</f>
        <v>170</v>
      </c>
      <c r="G44" s="1"/>
    </row>
    <row r="45" spans="1:8" ht="15.75" x14ac:dyDescent="0.25">
      <c r="A45" s="184" t="s">
        <v>1557</v>
      </c>
      <c r="B45" s="98"/>
      <c r="C45" s="98"/>
      <c r="D45" s="98"/>
      <c r="E45" s="102"/>
      <c r="F45" s="39">
        <f>PACKAGING!E4</f>
        <v>80</v>
      </c>
      <c r="G45" s="1"/>
    </row>
    <row r="46" spans="1:8" ht="15.75" x14ac:dyDescent="0.25">
      <c r="A46" s="3" t="s">
        <v>1558</v>
      </c>
      <c r="B46" s="98">
        <v>60</v>
      </c>
      <c r="C46" s="98"/>
      <c r="D46" s="98">
        <v>14</v>
      </c>
      <c r="E46" s="102">
        <f>E30</f>
        <v>3500</v>
      </c>
      <c r="F46" s="39">
        <f>E46*D46/B46</f>
        <v>816.66666666666663</v>
      </c>
      <c r="G46" s="1"/>
    </row>
    <row r="47" spans="1:8" ht="16.5" thickBot="1" x14ac:dyDescent="0.3">
      <c r="A47" s="79" t="s">
        <v>525</v>
      </c>
      <c r="B47" s="99"/>
      <c r="C47" s="99"/>
      <c r="D47" s="99"/>
      <c r="E47" s="70"/>
      <c r="F47" s="51">
        <f>SUM(F37:F46)</f>
        <v>1200.7413095238094</v>
      </c>
      <c r="G47" s="1"/>
    </row>
    <row r="48" spans="1:8" ht="18.75" x14ac:dyDescent="0.25">
      <c r="A48" s="80" t="s">
        <v>544</v>
      </c>
      <c r="B48" s="100"/>
      <c r="C48" s="100"/>
      <c r="D48" s="100"/>
      <c r="E48" s="71"/>
      <c r="F48" s="72">
        <f>F47*2</f>
        <v>2401.4826190476188</v>
      </c>
      <c r="G48" s="512">
        <f>F48+F48*25%</f>
        <v>3001.8532738095237</v>
      </c>
      <c r="H48" s="75">
        <v>660</v>
      </c>
    </row>
    <row r="49" spans="1:8" ht="19.5" thickBot="1" x14ac:dyDescent="0.3">
      <c r="A49" s="81" t="s">
        <v>1559</v>
      </c>
      <c r="B49" s="101"/>
      <c r="C49" s="101"/>
      <c r="D49" s="101"/>
      <c r="E49" s="73"/>
      <c r="F49" s="73"/>
      <c r="G49" s="522"/>
      <c r="H49" s="74">
        <f>H48*2</f>
        <v>1320</v>
      </c>
    </row>
    <row r="50" spans="1:8" ht="15.75" thickBot="1" x14ac:dyDescent="0.3"/>
    <row r="51" spans="1:8" ht="16.5" thickBot="1" x14ac:dyDescent="0.3">
      <c r="A51" s="1565" t="s">
        <v>178</v>
      </c>
      <c r="B51" s="1566"/>
      <c r="C51" s="1566"/>
      <c r="D51" s="1566"/>
      <c r="E51" s="1566"/>
      <c r="F51" s="1567"/>
    </row>
    <row r="52" spans="1:8" ht="15.75" x14ac:dyDescent="0.25">
      <c r="A52" s="183" t="s">
        <v>916</v>
      </c>
      <c r="B52" s="97"/>
      <c r="C52" s="97" t="s">
        <v>1607</v>
      </c>
      <c r="D52" s="97" t="s">
        <v>1566</v>
      </c>
      <c r="E52" s="76" t="s">
        <v>1035</v>
      </c>
      <c r="F52" s="77" t="s">
        <v>1549</v>
      </c>
      <c r="G52" s="1"/>
    </row>
    <row r="53" spans="1:8" ht="15.75" x14ac:dyDescent="0.25">
      <c r="A53" s="3" t="s">
        <v>1224</v>
      </c>
      <c r="B53" s="98"/>
      <c r="C53" s="98">
        <v>0.55000000000000004</v>
      </c>
      <c r="D53" s="98">
        <v>1</v>
      </c>
      <c r="E53" s="102">
        <f>E37</f>
        <v>50.35</v>
      </c>
      <c r="F53" s="39">
        <f>C53*D53*E53</f>
        <v>27.692500000000003</v>
      </c>
      <c r="G53" s="1"/>
    </row>
    <row r="54" spans="1:8" ht="15.75" x14ac:dyDescent="0.25">
      <c r="A54" s="184" t="s">
        <v>1552</v>
      </c>
      <c r="B54" s="2">
        <v>0.39</v>
      </c>
      <c r="C54" s="98">
        <v>4.4999999999999998E-2</v>
      </c>
      <c r="D54" s="98">
        <v>3</v>
      </c>
      <c r="E54" s="102">
        <f>'PALAIS DU BIJOU'!N4</f>
        <v>170</v>
      </c>
      <c r="F54" s="39">
        <f>C54*D54*E54/B54</f>
        <v>58.846153846153854</v>
      </c>
      <c r="G54" s="1"/>
    </row>
    <row r="55" spans="1:8" ht="15.75" x14ac:dyDescent="0.25">
      <c r="A55" s="1701" t="s">
        <v>1662</v>
      </c>
      <c r="B55" s="98" t="s">
        <v>1076</v>
      </c>
      <c r="C55" s="98"/>
      <c r="D55" s="98">
        <v>4</v>
      </c>
      <c r="E55" s="102">
        <f>'PALAIS DU BIJOU'!M24</f>
        <v>0.55000000000000004</v>
      </c>
      <c r="F55" s="39">
        <f>D55*E55</f>
        <v>2.2000000000000002</v>
      </c>
      <c r="G55" s="1"/>
    </row>
    <row r="56" spans="1:8" ht="15.75" x14ac:dyDescent="0.25">
      <c r="A56" s="1702"/>
      <c r="B56" s="98" t="s">
        <v>1411</v>
      </c>
      <c r="C56" s="98"/>
      <c r="D56" s="98">
        <v>5</v>
      </c>
      <c r="E56" s="102">
        <f>'PALAIS DU BIJOU'!M26</f>
        <v>2.4333333333333331</v>
      </c>
      <c r="F56" s="39">
        <f>D56*E56</f>
        <v>12.166666666666666</v>
      </c>
      <c r="G56" s="1"/>
    </row>
    <row r="57" spans="1:8" ht="15.75" x14ac:dyDescent="0.25">
      <c r="A57" s="184" t="s">
        <v>1844</v>
      </c>
      <c r="B57" s="98">
        <v>0.20499999999999999</v>
      </c>
      <c r="C57" s="98">
        <v>4.4999999999999998E-2</v>
      </c>
      <c r="D57" s="98">
        <v>1</v>
      </c>
      <c r="E57" s="102">
        <f>VIDRIOS!D10</f>
        <v>850</v>
      </c>
      <c r="F57" s="39">
        <f>C57*D57*E57/B57</f>
        <v>186.58536585365854</v>
      </c>
      <c r="G57" s="1"/>
    </row>
    <row r="58" spans="1:8" ht="15.75" x14ac:dyDescent="0.25">
      <c r="A58" s="184" t="s">
        <v>1754</v>
      </c>
      <c r="B58" s="98">
        <v>0.20499999999999999</v>
      </c>
      <c r="C58" s="98">
        <v>4.4999999999999998E-2</v>
      </c>
      <c r="D58" s="98">
        <v>1</v>
      </c>
      <c r="E58" s="102">
        <f>VIDRIOS!D13</f>
        <v>850</v>
      </c>
      <c r="F58" s="39">
        <f>C58*D58*E58/B58</f>
        <v>186.58536585365854</v>
      </c>
      <c r="G58" s="1"/>
    </row>
    <row r="59" spans="1:8" ht="15.75" x14ac:dyDescent="0.25">
      <c r="A59" s="184" t="s">
        <v>1845</v>
      </c>
      <c r="B59" s="98">
        <v>0.20499999999999999</v>
      </c>
      <c r="C59" s="98">
        <v>4.4999999999999998E-2</v>
      </c>
      <c r="D59" s="98">
        <v>1</v>
      </c>
      <c r="E59" s="102">
        <f>VIDRIOS!D19</f>
        <v>850</v>
      </c>
      <c r="F59" s="39">
        <f>C59*D59*E59/B59</f>
        <v>186.58536585365854</v>
      </c>
      <c r="G59" s="1"/>
    </row>
    <row r="60" spans="1:8" ht="15.75" x14ac:dyDescent="0.25">
      <c r="A60" s="184" t="s">
        <v>1557</v>
      </c>
      <c r="B60" s="98"/>
      <c r="C60" s="98"/>
      <c r="D60" s="98"/>
      <c r="E60" s="102"/>
      <c r="F60" s="39">
        <f>PACKAGING!E4</f>
        <v>80</v>
      </c>
      <c r="G60" s="1"/>
    </row>
    <row r="61" spans="1:8" ht="15.75" x14ac:dyDescent="0.25">
      <c r="A61" s="184" t="s">
        <v>1721</v>
      </c>
      <c r="B61" s="98"/>
      <c r="C61" s="98"/>
      <c r="D61" s="98"/>
      <c r="E61" s="102"/>
      <c r="F61" s="39">
        <f>PACKAGING!E7</f>
        <v>170</v>
      </c>
      <c r="G61" s="1"/>
    </row>
    <row r="62" spans="1:8" ht="15.75" x14ac:dyDescent="0.25">
      <c r="A62" s="3" t="s">
        <v>1558</v>
      </c>
      <c r="B62" s="98">
        <v>60</v>
      </c>
      <c r="C62" s="98"/>
      <c r="D62" s="98">
        <v>14</v>
      </c>
      <c r="E62" s="102">
        <f>E46</f>
        <v>3500</v>
      </c>
      <c r="F62" s="39">
        <f>E62*D62/B62</f>
        <v>816.66666666666663</v>
      </c>
      <c r="G62" s="1"/>
    </row>
    <row r="63" spans="1:8" ht="16.5" thickBot="1" x14ac:dyDescent="0.3">
      <c r="A63" s="79" t="s">
        <v>525</v>
      </c>
      <c r="B63" s="99"/>
      <c r="C63" s="99"/>
      <c r="D63" s="99"/>
      <c r="E63" s="70"/>
      <c r="F63" s="51">
        <f>SUM(F53:F62)</f>
        <v>1727.3280847404628</v>
      </c>
      <c r="G63" s="1"/>
    </row>
    <row r="64" spans="1:8" ht="18.75" x14ac:dyDescent="0.25">
      <c r="A64" s="80" t="s">
        <v>544</v>
      </c>
      <c r="B64" s="100"/>
      <c r="C64" s="100"/>
      <c r="D64" s="100"/>
      <c r="E64" s="71"/>
      <c r="F64" s="72">
        <f>F63*2</f>
        <v>3454.6561694809257</v>
      </c>
      <c r="G64" s="512">
        <f>F64+F64*25%</f>
        <v>4318.3202118511572</v>
      </c>
      <c r="H64" s="75">
        <v>660</v>
      </c>
    </row>
    <row r="65" spans="1:8" ht="19.5" thickBot="1" x14ac:dyDescent="0.3">
      <c r="A65" s="81" t="s">
        <v>1559</v>
      </c>
      <c r="B65" s="101"/>
      <c r="C65" s="101"/>
      <c r="D65" s="101"/>
      <c r="E65" s="73"/>
      <c r="F65" s="73"/>
      <c r="G65" s="522"/>
      <c r="H65" s="74">
        <f>H64*2</f>
        <v>1320</v>
      </c>
    </row>
    <row r="66" spans="1:8" ht="15.75" thickBot="1" x14ac:dyDescent="0.3"/>
    <row r="67" spans="1:8" ht="16.5" thickBot="1" x14ac:dyDescent="0.3">
      <c r="A67" s="1565" t="s">
        <v>497</v>
      </c>
      <c r="B67" s="1566"/>
      <c r="C67" s="1566"/>
      <c r="D67" s="1566"/>
      <c r="E67" s="1566"/>
      <c r="F67" s="1567"/>
    </row>
    <row r="68" spans="1:8" ht="15.75" x14ac:dyDescent="0.25">
      <c r="A68" s="183" t="s">
        <v>916</v>
      </c>
      <c r="B68" s="97" t="s">
        <v>742</v>
      </c>
      <c r="C68" s="97" t="s">
        <v>1607</v>
      </c>
      <c r="D68" s="97" t="s">
        <v>1566</v>
      </c>
      <c r="E68" s="76" t="s">
        <v>1035</v>
      </c>
      <c r="F68" s="77" t="s">
        <v>1549</v>
      </c>
      <c r="G68" s="1"/>
    </row>
    <row r="69" spans="1:8" ht="15.75" x14ac:dyDescent="0.25">
      <c r="A69" s="3" t="s">
        <v>1224</v>
      </c>
      <c r="B69" s="98"/>
      <c r="C69" s="98">
        <v>0.55000000000000004</v>
      </c>
      <c r="D69" s="98">
        <v>1</v>
      </c>
      <c r="E69" s="102">
        <f>E53</f>
        <v>50.35</v>
      </c>
      <c r="F69" s="39">
        <f>C69*D69*E69</f>
        <v>27.692500000000003</v>
      </c>
      <c r="G69" s="1"/>
    </row>
    <row r="70" spans="1:8" ht="15.75" x14ac:dyDescent="0.25">
      <c r="A70" s="184" t="s">
        <v>1846</v>
      </c>
      <c r="B70" s="98" t="s">
        <v>1847</v>
      </c>
      <c r="C70" s="98"/>
      <c r="D70" s="98">
        <v>1</v>
      </c>
      <c r="E70" s="102">
        <f>'INSUMOS VARIOS'!E28</f>
        <v>13.75</v>
      </c>
      <c r="F70" s="39">
        <f t="shared" ref="F70:F75" si="2">E70*D70</f>
        <v>13.75</v>
      </c>
      <c r="G70" s="1"/>
    </row>
    <row r="71" spans="1:8" ht="15.75" x14ac:dyDescent="0.25">
      <c r="A71" s="1701" t="s">
        <v>1662</v>
      </c>
      <c r="B71" s="98" t="s">
        <v>1409</v>
      </c>
      <c r="C71" s="98"/>
      <c r="D71" s="98">
        <v>20</v>
      </c>
      <c r="E71" s="102">
        <f>'PALAIS DU BIJOU'!M25</f>
        <v>0.62142857142857144</v>
      </c>
      <c r="F71" s="39">
        <f t="shared" si="2"/>
        <v>12.428571428571429</v>
      </c>
      <c r="G71" s="1"/>
    </row>
    <row r="72" spans="1:8" ht="15.75" x14ac:dyDescent="0.25">
      <c r="A72" s="1702"/>
      <c r="B72" s="98" t="s">
        <v>1413</v>
      </c>
      <c r="C72" s="98"/>
      <c r="D72" s="98">
        <v>8</v>
      </c>
      <c r="E72" s="102">
        <f>'PALAIS DU BIJOU'!M27</f>
        <v>2.7777777777777777</v>
      </c>
      <c r="F72" s="39">
        <f t="shared" si="2"/>
        <v>22.222222222222221</v>
      </c>
      <c r="G72" s="1"/>
    </row>
    <row r="73" spans="1:8" ht="15.75" x14ac:dyDescent="0.25">
      <c r="A73" s="184" t="s">
        <v>1848</v>
      </c>
      <c r="B73" s="98"/>
      <c r="C73" s="98"/>
      <c r="D73" s="98">
        <v>3</v>
      </c>
      <c r="E73" s="102">
        <f>VIDRIOS!E10</f>
        <v>18.888888888888889</v>
      </c>
      <c r="F73" s="39">
        <f t="shared" si="2"/>
        <v>56.666666666666671</v>
      </c>
      <c r="G73" s="1"/>
    </row>
    <row r="74" spans="1:8" ht="15.75" x14ac:dyDescent="0.25">
      <c r="A74" s="184" t="s">
        <v>1720</v>
      </c>
      <c r="B74" s="98"/>
      <c r="C74" s="98"/>
      <c r="D74" s="98">
        <v>8</v>
      </c>
      <c r="E74" s="102">
        <f>VIDRIOS!E46</f>
        <v>3.8571428571428572</v>
      </c>
      <c r="F74" s="39">
        <f t="shared" si="2"/>
        <v>30.857142857142858</v>
      </c>
      <c r="G74" s="1"/>
    </row>
    <row r="75" spans="1:8" ht="15.75" x14ac:dyDescent="0.25">
      <c r="A75" s="184" t="s">
        <v>1676</v>
      </c>
      <c r="B75" s="2" t="s">
        <v>1392</v>
      </c>
      <c r="C75" s="98"/>
      <c r="D75" s="98">
        <v>6</v>
      </c>
      <c r="E75" s="102">
        <f>'PALAIS DU BIJOU'!L12</f>
        <v>1</v>
      </c>
      <c r="F75" s="39">
        <f t="shared" si="2"/>
        <v>6</v>
      </c>
      <c r="G75" s="1"/>
    </row>
    <row r="76" spans="1:8" ht="15.75" x14ac:dyDescent="0.25">
      <c r="A76" s="184" t="s">
        <v>1552</v>
      </c>
      <c r="B76" s="98">
        <v>0.39</v>
      </c>
      <c r="C76" s="98">
        <v>5.0000000000000001E-3</v>
      </c>
      <c r="D76" s="98">
        <v>3</v>
      </c>
      <c r="E76" s="102">
        <f>'PALAIS DU BIJOU'!N4</f>
        <v>170</v>
      </c>
      <c r="F76" s="39">
        <f>(E76*C76/B76)*D76</f>
        <v>6.5384615384615383</v>
      </c>
      <c r="G76" s="1"/>
    </row>
    <row r="77" spans="1:8" ht="15.75" x14ac:dyDescent="0.25">
      <c r="A77" s="184" t="s">
        <v>1557</v>
      </c>
      <c r="B77" s="98"/>
      <c r="C77" s="98"/>
      <c r="D77" s="98"/>
      <c r="E77" s="102"/>
      <c r="F77" s="39">
        <f>PACKAGING!E4</f>
        <v>80</v>
      </c>
      <c r="G77" s="1"/>
    </row>
    <row r="78" spans="1:8" ht="15.75" x14ac:dyDescent="0.25">
      <c r="A78" s="184" t="s">
        <v>1721</v>
      </c>
      <c r="B78" s="98"/>
      <c r="C78" s="98"/>
      <c r="D78" s="98"/>
      <c r="E78" s="102"/>
      <c r="F78" s="39">
        <f>PACKAGING!E7</f>
        <v>170</v>
      </c>
      <c r="G78" s="1"/>
    </row>
    <row r="79" spans="1:8" ht="15.75" x14ac:dyDescent="0.25">
      <c r="A79" s="3" t="s">
        <v>1558</v>
      </c>
      <c r="B79" s="98">
        <v>60</v>
      </c>
      <c r="C79" s="98"/>
      <c r="D79" s="98">
        <v>12</v>
      </c>
      <c r="E79" s="102">
        <f>E62</f>
        <v>3500</v>
      </c>
      <c r="F79" s="39">
        <f>E79*D79/B79</f>
        <v>700</v>
      </c>
      <c r="G79" s="1"/>
    </row>
    <row r="80" spans="1:8" ht="16.5" thickBot="1" x14ac:dyDescent="0.3">
      <c r="A80" s="79" t="s">
        <v>525</v>
      </c>
      <c r="B80" s="99"/>
      <c r="C80" s="99"/>
      <c r="D80" s="99"/>
      <c r="E80" s="70"/>
      <c r="F80" s="51">
        <f>SUM(F69:F79)</f>
        <v>1126.1555647130647</v>
      </c>
      <c r="G80" s="1"/>
    </row>
    <row r="81" spans="1:8" ht="18.75" x14ac:dyDescent="0.25">
      <c r="A81" s="80" t="s">
        <v>544</v>
      </c>
      <c r="B81" s="100"/>
      <c r="C81" s="100"/>
      <c r="D81" s="100"/>
      <c r="E81" s="71"/>
      <c r="F81" s="72">
        <f>F80*2</f>
        <v>2252.3111294261294</v>
      </c>
      <c r="G81" s="512">
        <f>F81+F81*25%</f>
        <v>2815.3889117826616</v>
      </c>
      <c r="H81" s="75">
        <v>540</v>
      </c>
    </row>
    <row r="82" spans="1:8" ht="19.5" thickBot="1" x14ac:dyDescent="0.3">
      <c r="A82" s="81" t="s">
        <v>1559</v>
      </c>
      <c r="B82" s="101"/>
      <c r="C82" s="101"/>
      <c r="D82" s="101"/>
      <c r="E82" s="73"/>
      <c r="F82" s="73"/>
      <c r="G82" s="522"/>
      <c r="H82" s="74">
        <f>H81*2</f>
        <v>1080</v>
      </c>
    </row>
    <row r="83" spans="1:8" ht="15.75" thickBot="1" x14ac:dyDescent="0.3"/>
    <row r="84" spans="1:8" ht="16.5" thickBot="1" x14ac:dyDescent="0.3">
      <c r="A84" s="1565" t="s">
        <v>498</v>
      </c>
      <c r="B84" s="1566"/>
      <c r="C84" s="1566"/>
      <c r="D84" s="1566"/>
      <c r="E84" s="1566"/>
      <c r="F84" s="1567"/>
    </row>
    <row r="85" spans="1:8" ht="15.75" x14ac:dyDescent="0.25">
      <c r="A85" s="183" t="s">
        <v>916</v>
      </c>
      <c r="B85" s="97" t="s">
        <v>742</v>
      </c>
      <c r="C85" s="97" t="s">
        <v>1607</v>
      </c>
      <c r="D85" s="97" t="s">
        <v>1566</v>
      </c>
      <c r="E85" s="76" t="s">
        <v>1035</v>
      </c>
      <c r="F85" s="77" t="s">
        <v>1549</v>
      </c>
      <c r="G85" s="1"/>
    </row>
    <row r="86" spans="1:8" ht="15.75" x14ac:dyDescent="0.25">
      <c r="A86" s="3" t="s">
        <v>1224</v>
      </c>
      <c r="B86" s="98"/>
      <c r="C86" s="98">
        <v>0.55000000000000004</v>
      </c>
      <c r="D86" s="98">
        <v>1</v>
      </c>
      <c r="E86" s="102">
        <f>E69</f>
        <v>50.35</v>
      </c>
      <c r="F86" s="39">
        <f>C86*D86*E86</f>
        <v>27.692500000000003</v>
      </c>
      <c r="G86" s="1"/>
    </row>
    <row r="87" spans="1:8" ht="15.75" x14ac:dyDescent="0.25">
      <c r="A87" s="184" t="s">
        <v>1720</v>
      </c>
      <c r="B87" s="98"/>
      <c r="C87" s="98"/>
      <c r="D87" s="98">
        <v>5</v>
      </c>
      <c r="E87" s="102">
        <f>VIDRIOS!E46</f>
        <v>3.8571428571428572</v>
      </c>
      <c r="F87" s="39">
        <f t="shared" ref="F87:F92" si="3">E87*D87</f>
        <v>19.285714285714285</v>
      </c>
      <c r="G87" s="1"/>
    </row>
    <row r="88" spans="1:8" ht="15.75" x14ac:dyDescent="0.25">
      <c r="A88" s="184" t="s">
        <v>1514</v>
      </c>
      <c r="B88" s="98"/>
      <c r="C88" s="98"/>
      <c r="D88" s="98">
        <v>16</v>
      </c>
      <c r="E88" s="102">
        <f>'RESINA - ACRILICOS'!D17</f>
        <v>0.9</v>
      </c>
      <c r="F88" s="39">
        <f t="shared" si="3"/>
        <v>14.4</v>
      </c>
      <c r="G88" s="1"/>
    </row>
    <row r="89" spans="1:8" ht="15.75" x14ac:dyDescent="0.25">
      <c r="A89" s="184" t="s">
        <v>763</v>
      </c>
      <c r="B89" s="98"/>
      <c r="C89" s="98"/>
      <c r="D89" s="98">
        <v>1</v>
      </c>
      <c r="E89" s="102">
        <f>'RESINA - ACRILICOS'!D16</f>
        <v>3.3</v>
      </c>
      <c r="F89" s="39">
        <f t="shared" si="3"/>
        <v>3.3</v>
      </c>
      <c r="G89" s="1"/>
    </row>
    <row r="90" spans="1:8" ht="15.75" x14ac:dyDescent="0.25">
      <c r="A90" s="1613" t="s">
        <v>1662</v>
      </c>
      <c r="B90" s="98" t="s">
        <v>1409</v>
      </c>
      <c r="C90" s="98"/>
      <c r="D90" s="98">
        <v>18</v>
      </c>
      <c r="E90" s="102">
        <f>'PALAIS DU BIJOU'!M25</f>
        <v>0.62142857142857144</v>
      </c>
      <c r="F90" s="39">
        <f t="shared" si="3"/>
        <v>11.185714285714287</v>
      </c>
      <c r="G90" s="1"/>
    </row>
    <row r="91" spans="1:8" ht="15.75" x14ac:dyDescent="0.25">
      <c r="A91" s="1615"/>
      <c r="B91" s="98" t="s">
        <v>1849</v>
      </c>
      <c r="C91" s="98"/>
      <c r="D91" s="98">
        <v>7</v>
      </c>
      <c r="E91" s="102">
        <f>'PALAIS DU BIJOU'!M27</f>
        <v>2.7777777777777777</v>
      </c>
      <c r="F91" s="39">
        <f t="shared" si="3"/>
        <v>19.444444444444443</v>
      </c>
      <c r="G91" s="1"/>
    </row>
    <row r="92" spans="1:8" ht="15.75" x14ac:dyDescent="0.25">
      <c r="A92" s="331" t="s">
        <v>1850</v>
      </c>
      <c r="B92" s="98"/>
      <c r="C92" s="98"/>
      <c r="D92" s="98">
        <v>1</v>
      </c>
      <c r="E92" s="102">
        <f>'INSUMOS VARIOS'!E28</f>
        <v>13.75</v>
      </c>
      <c r="F92" s="39">
        <f t="shared" si="3"/>
        <v>13.75</v>
      </c>
      <c r="G92" s="1"/>
    </row>
    <row r="93" spans="1:8" ht="15.75" x14ac:dyDescent="0.25">
      <c r="A93" s="184" t="s">
        <v>1557</v>
      </c>
      <c r="B93" s="98"/>
      <c r="C93" s="98"/>
      <c r="D93" s="98"/>
      <c r="E93" s="102"/>
      <c r="F93" s="39">
        <f>PACKAGING!E4</f>
        <v>80</v>
      </c>
      <c r="G93" s="1"/>
    </row>
    <row r="94" spans="1:8" ht="15.75" x14ac:dyDescent="0.25">
      <c r="A94" s="184" t="s">
        <v>1721</v>
      </c>
      <c r="B94" s="98"/>
      <c r="C94" s="98"/>
      <c r="D94" s="98"/>
      <c r="E94" s="102"/>
      <c r="F94" s="39">
        <f>PACKAGING!E7</f>
        <v>170</v>
      </c>
      <c r="G94" s="1"/>
    </row>
    <row r="95" spans="1:8" ht="15.75" x14ac:dyDescent="0.25">
      <c r="A95" s="3" t="s">
        <v>1558</v>
      </c>
      <c r="B95" s="98">
        <v>60</v>
      </c>
      <c r="C95" s="98"/>
      <c r="D95" s="98">
        <v>12</v>
      </c>
      <c r="E95" s="102">
        <f>E79</f>
        <v>3500</v>
      </c>
      <c r="F95" s="39">
        <f>E95*D95/B95</f>
        <v>700</v>
      </c>
      <c r="G95" s="1"/>
    </row>
    <row r="96" spans="1:8" ht="16.5" thickBot="1" x14ac:dyDescent="0.3">
      <c r="A96" s="79" t="s">
        <v>525</v>
      </c>
      <c r="B96" s="99"/>
      <c r="C96" s="99"/>
      <c r="D96" s="99"/>
      <c r="E96" s="70"/>
      <c r="F96" s="51">
        <f>SUM(F86:F95)</f>
        <v>1059.058373015873</v>
      </c>
      <c r="G96" s="1"/>
    </row>
    <row r="97" spans="1:7" ht="18.75" x14ac:dyDescent="0.25">
      <c r="A97" s="80" t="s">
        <v>544</v>
      </c>
      <c r="B97" s="100"/>
      <c r="C97" s="100"/>
      <c r="D97" s="100"/>
      <c r="E97" s="71"/>
      <c r="F97" s="72">
        <f>F96*2</f>
        <v>2118.1167460317461</v>
      </c>
      <c r="G97" s="75">
        <v>390</v>
      </c>
    </row>
    <row r="98" spans="1:7" ht="19.5" thickBot="1" x14ac:dyDescent="0.3">
      <c r="A98" s="81" t="s">
        <v>1559</v>
      </c>
      <c r="B98" s="101"/>
      <c r="C98" s="101"/>
      <c r="D98" s="101"/>
      <c r="E98" s="73"/>
      <c r="F98" s="73"/>
      <c r="G98" s="74">
        <f>G97*2</f>
        <v>780</v>
      </c>
    </row>
    <row r="99" spans="1:7" ht="15.75" thickBot="1" x14ac:dyDescent="0.3"/>
    <row r="100" spans="1:7" ht="16.5" thickBot="1" x14ac:dyDescent="0.3">
      <c r="A100" s="1565" t="s">
        <v>1851</v>
      </c>
      <c r="B100" s="1566"/>
      <c r="C100" s="1566"/>
      <c r="D100" s="1566"/>
      <c r="E100" s="1566"/>
      <c r="F100" s="1567"/>
    </row>
    <row r="101" spans="1:7" ht="15.75" x14ac:dyDescent="0.25">
      <c r="A101" s="183" t="s">
        <v>916</v>
      </c>
      <c r="B101" s="97" t="s">
        <v>742</v>
      </c>
      <c r="C101" s="97" t="s">
        <v>1607</v>
      </c>
      <c r="D101" s="97" t="s">
        <v>1566</v>
      </c>
      <c r="E101" s="76" t="s">
        <v>1035</v>
      </c>
      <c r="F101" s="77" t="s">
        <v>1549</v>
      </c>
      <c r="G101" s="1"/>
    </row>
    <row r="102" spans="1:7" ht="15.75" x14ac:dyDescent="0.25">
      <c r="A102" s="3" t="s">
        <v>1224</v>
      </c>
      <c r="B102" s="98"/>
      <c r="C102" s="98">
        <v>0.55000000000000004</v>
      </c>
      <c r="D102" s="98">
        <v>1</v>
      </c>
      <c r="E102" s="102">
        <f>E69</f>
        <v>50.35</v>
      </c>
      <c r="F102" s="39">
        <f>C102*D102*E102</f>
        <v>27.692500000000003</v>
      </c>
      <c r="G102" s="1"/>
    </row>
    <row r="103" spans="1:7" ht="15.75" x14ac:dyDescent="0.25">
      <c r="A103" s="184" t="s">
        <v>1852</v>
      </c>
      <c r="B103" s="98"/>
      <c r="C103" s="98"/>
      <c r="D103" s="98">
        <v>4</v>
      </c>
      <c r="E103" s="102">
        <f>'INSUMOS VARIOS'!K35</f>
        <v>18.277777777777779</v>
      </c>
      <c r="F103" s="39">
        <f t="shared" ref="F103:F111" si="4">E103*D103</f>
        <v>73.111111111111114</v>
      </c>
      <c r="G103" s="1"/>
    </row>
    <row r="104" spans="1:7" ht="15.75" x14ac:dyDescent="0.25">
      <c r="A104" s="184" t="s">
        <v>1644</v>
      </c>
      <c r="B104" s="98" t="s">
        <v>781</v>
      </c>
      <c r="C104" s="98"/>
      <c r="D104" s="98">
        <v>5</v>
      </c>
      <c r="E104" s="102">
        <f>VIDRIOS!E46</f>
        <v>3.8571428571428572</v>
      </c>
      <c r="F104" s="39">
        <f t="shared" si="4"/>
        <v>19.285714285714285</v>
      </c>
      <c r="G104" s="1"/>
    </row>
    <row r="105" spans="1:7" ht="15.75" x14ac:dyDescent="0.25">
      <c r="A105" s="1613" t="s">
        <v>1552</v>
      </c>
      <c r="B105" s="98"/>
      <c r="C105" s="98">
        <v>0.39</v>
      </c>
      <c r="D105" s="98">
        <v>0.02</v>
      </c>
      <c r="E105" s="102">
        <f>'PALAIS DU BIJOU'!N3</f>
        <v>170</v>
      </c>
      <c r="F105" s="39">
        <f>E105*D105/C105</f>
        <v>8.7179487179487172</v>
      </c>
      <c r="G105" s="1"/>
    </row>
    <row r="106" spans="1:7" ht="15.75" x14ac:dyDescent="0.25">
      <c r="A106" s="1614"/>
      <c r="B106" s="98"/>
      <c r="C106" s="98">
        <v>0.39</v>
      </c>
      <c r="D106" s="98">
        <v>2.5999999999999999E-2</v>
      </c>
      <c r="E106" s="102">
        <f>'PALAIS DU BIJOU'!N3</f>
        <v>170</v>
      </c>
      <c r="F106" s="39">
        <f>E106*D106/C106</f>
        <v>11.333333333333332</v>
      </c>
      <c r="G106" s="1"/>
    </row>
    <row r="107" spans="1:7" ht="15.75" x14ac:dyDescent="0.25">
      <c r="A107" s="1615"/>
      <c r="B107" s="98"/>
      <c r="C107" s="98">
        <v>0.39</v>
      </c>
      <c r="D107" s="98">
        <v>1.2999999999999999E-2</v>
      </c>
      <c r="E107" s="102">
        <f>'PALAIS DU BIJOU'!N3</f>
        <v>170</v>
      </c>
      <c r="F107" s="39">
        <f>E107*D107/C107</f>
        <v>5.6666666666666661</v>
      </c>
      <c r="G107" s="1"/>
    </row>
    <row r="108" spans="1:7" ht="15.75" x14ac:dyDescent="0.25">
      <c r="A108" s="1613" t="s">
        <v>1662</v>
      </c>
      <c r="B108" s="98" t="s">
        <v>1076</v>
      </c>
      <c r="C108" s="98"/>
      <c r="D108" s="98">
        <v>6</v>
      </c>
      <c r="E108" s="102">
        <f>'PALAIS DU BIJOU'!M24</f>
        <v>0.55000000000000004</v>
      </c>
      <c r="F108" s="39">
        <f t="shared" si="4"/>
        <v>3.3000000000000003</v>
      </c>
      <c r="G108" s="1"/>
    </row>
    <row r="109" spans="1:7" ht="15.75" x14ac:dyDescent="0.25">
      <c r="A109" s="1614"/>
      <c r="B109" s="98" t="s">
        <v>1409</v>
      </c>
      <c r="C109" s="98"/>
      <c r="D109" s="98">
        <v>11</v>
      </c>
      <c r="E109" s="102">
        <f>'PALAIS DU BIJOU'!M25</f>
        <v>0.62142857142857144</v>
      </c>
      <c r="F109" s="39">
        <f t="shared" si="4"/>
        <v>6.8357142857142854</v>
      </c>
      <c r="G109" s="1"/>
    </row>
    <row r="110" spans="1:7" ht="15.75" x14ac:dyDescent="0.25">
      <c r="A110" s="1614"/>
      <c r="B110" s="98" t="s">
        <v>1411</v>
      </c>
      <c r="C110" s="98"/>
      <c r="D110" s="98">
        <v>2</v>
      </c>
      <c r="E110" s="102">
        <f>'PALAIS DU BIJOU'!M26</f>
        <v>2.4333333333333331</v>
      </c>
      <c r="F110" s="39">
        <f t="shared" si="4"/>
        <v>4.8666666666666663</v>
      </c>
      <c r="G110" s="1"/>
    </row>
    <row r="111" spans="1:7" ht="15.75" x14ac:dyDescent="0.25">
      <c r="A111" s="1615"/>
      <c r="B111" s="98" t="s">
        <v>1413</v>
      </c>
      <c r="C111" s="98"/>
      <c r="D111" s="98">
        <v>8</v>
      </c>
      <c r="E111" s="102">
        <f>'PALAIS DU BIJOU'!M27</f>
        <v>2.7777777777777777</v>
      </c>
      <c r="F111" s="39">
        <f t="shared" si="4"/>
        <v>22.222222222222221</v>
      </c>
      <c r="G111" s="1"/>
    </row>
    <row r="112" spans="1:7" ht="15.75" x14ac:dyDescent="0.25">
      <c r="A112" s="184" t="s">
        <v>1557</v>
      </c>
      <c r="B112" s="98"/>
      <c r="C112" s="98"/>
      <c r="D112" s="98"/>
      <c r="E112" s="102"/>
      <c r="F112" s="39">
        <f>PACKAGING!E4</f>
        <v>80</v>
      </c>
      <c r="G112" s="1"/>
    </row>
    <row r="113" spans="1:8" ht="15.75" x14ac:dyDescent="0.25">
      <c r="A113" s="184" t="s">
        <v>1721</v>
      </c>
      <c r="B113" s="98"/>
      <c r="C113" s="98"/>
      <c r="D113" s="98"/>
      <c r="E113" s="102"/>
      <c r="F113" s="39">
        <f>PACKAGING!E7</f>
        <v>170</v>
      </c>
      <c r="G113" s="1"/>
    </row>
    <row r="114" spans="1:8" ht="15.75" x14ac:dyDescent="0.25">
      <c r="A114" s="3" t="s">
        <v>1558</v>
      </c>
      <c r="B114" s="98">
        <v>60</v>
      </c>
      <c r="C114" s="98"/>
      <c r="D114" s="98">
        <v>14</v>
      </c>
      <c r="E114" s="102">
        <f>'INSUMOS VARIOS'!B3</f>
        <v>3500</v>
      </c>
      <c r="F114" s="39">
        <f>E114*D114/B114</f>
        <v>816.66666666666663</v>
      </c>
      <c r="G114" s="1"/>
    </row>
    <row r="115" spans="1:8" ht="16.5" thickBot="1" x14ac:dyDescent="0.3">
      <c r="A115" s="79" t="s">
        <v>525</v>
      </c>
      <c r="B115" s="99"/>
      <c r="C115" s="99"/>
      <c r="D115" s="99"/>
      <c r="E115" s="70"/>
      <c r="F115" s="51">
        <f>SUM(F102:F114)</f>
        <v>1249.698543956044</v>
      </c>
      <c r="G115" s="1"/>
    </row>
    <row r="116" spans="1:8" ht="18.75" x14ac:dyDescent="0.25">
      <c r="A116" s="80" t="s">
        <v>544</v>
      </c>
      <c r="B116" s="100"/>
      <c r="C116" s="100"/>
      <c r="D116" s="100"/>
      <c r="E116" s="71"/>
      <c r="F116" s="72">
        <f>F115*2</f>
        <v>2499.397087912088</v>
      </c>
      <c r="G116" s="512">
        <f>F116+F116*25%</f>
        <v>3124.2463598901099</v>
      </c>
      <c r="H116" s="75">
        <v>740</v>
      </c>
    </row>
    <row r="117" spans="1:8" ht="19.5" thickBot="1" x14ac:dyDescent="0.3">
      <c r="A117" s="81" t="s">
        <v>1559</v>
      </c>
      <c r="B117" s="101"/>
      <c r="C117" s="101"/>
      <c r="D117" s="101"/>
      <c r="E117" s="73"/>
      <c r="F117" s="73"/>
      <c r="G117" s="522"/>
      <c r="H117" s="74">
        <f>H116*2</f>
        <v>1480</v>
      </c>
    </row>
    <row r="118" spans="1:8" ht="15.75" thickBot="1" x14ac:dyDescent="0.3"/>
    <row r="119" spans="1:8" ht="16.5" thickBot="1" x14ac:dyDescent="0.3">
      <c r="A119" s="1565" t="s">
        <v>501</v>
      </c>
      <c r="B119" s="1566"/>
      <c r="C119" s="1566"/>
      <c r="D119" s="1566"/>
      <c r="E119" s="1566"/>
      <c r="F119" s="1567"/>
    </row>
    <row r="120" spans="1:8" ht="15.75" x14ac:dyDescent="0.25">
      <c r="A120" s="183" t="s">
        <v>916</v>
      </c>
      <c r="B120" s="97" t="s">
        <v>742</v>
      </c>
      <c r="C120" s="97" t="s">
        <v>1607</v>
      </c>
      <c r="D120" s="97" t="s">
        <v>1566</v>
      </c>
      <c r="E120" s="76" t="s">
        <v>1035</v>
      </c>
      <c r="F120" s="77" t="s">
        <v>1549</v>
      </c>
      <c r="G120" s="1"/>
    </row>
    <row r="121" spans="1:8" ht="15.75" x14ac:dyDescent="0.25">
      <c r="A121" s="3" t="s">
        <v>1224</v>
      </c>
      <c r="B121" s="98"/>
      <c r="C121" s="98">
        <v>0.55000000000000004</v>
      </c>
      <c r="D121" s="98">
        <v>1</v>
      </c>
      <c r="E121" s="102">
        <f>E3</f>
        <v>50.35</v>
      </c>
      <c r="F121" s="39">
        <f>C121*D121*E121</f>
        <v>27.692500000000003</v>
      </c>
      <c r="G121" s="1"/>
    </row>
    <row r="122" spans="1:8" ht="15.75" x14ac:dyDescent="0.25">
      <c r="A122" s="184" t="s">
        <v>1853</v>
      </c>
      <c r="B122" s="98"/>
      <c r="C122" s="98"/>
      <c r="D122" s="98">
        <v>4</v>
      </c>
      <c r="E122" s="102">
        <f>'INSUMOS VARIOS'!K36</f>
        <v>18.277777777777779</v>
      </c>
      <c r="F122" s="39">
        <f>E122*D122</f>
        <v>73.111111111111114</v>
      </c>
      <c r="G122" s="1"/>
    </row>
    <row r="123" spans="1:8" ht="15.75" x14ac:dyDescent="0.25">
      <c r="A123" s="184" t="s">
        <v>1644</v>
      </c>
      <c r="B123" s="98" t="s">
        <v>781</v>
      </c>
      <c r="C123" s="98"/>
      <c r="D123" s="98">
        <v>5</v>
      </c>
      <c r="E123" s="102">
        <f>VIDRIOS!E46</f>
        <v>3.8571428571428572</v>
      </c>
      <c r="F123" s="39">
        <f>E123*D123</f>
        <v>19.285714285714285</v>
      </c>
      <c r="G123" s="1"/>
    </row>
    <row r="124" spans="1:8" ht="15.75" x14ac:dyDescent="0.25">
      <c r="A124" s="1613" t="s">
        <v>1552</v>
      </c>
      <c r="B124" s="98"/>
      <c r="C124" s="98">
        <v>0.39</v>
      </c>
      <c r="D124" s="98">
        <v>0.02</v>
      </c>
      <c r="E124" s="102">
        <f>'PALAIS DU BIJOU'!N4</f>
        <v>170</v>
      </c>
      <c r="F124" s="39">
        <f>E124*D124/C124</f>
        <v>8.7179487179487172</v>
      </c>
      <c r="G124" s="1"/>
    </row>
    <row r="125" spans="1:8" ht="15.75" x14ac:dyDescent="0.25">
      <c r="A125" s="1614"/>
      <c r="B125" s="98"/>
      <c r="C125" s="98">
        <v>0.39</v>
      </c>
      <c r="D125" s="98">
        <v>2.5999999999999999E-2</v>
      </c>
      <c r="E125" s="102">
        <f>'PALAIS DU BIJOU'!N4</f>
        <v>170</v>
      </c>
      <c r="F125" s="39">
        <f>E125*D125/C125</f>
        <v>11.333333333333332</v>
      </c>
      <c r="G125" s="1"/>
    </row>
    <row r="126" spans="1:8" ht="15.75" x14ac:dyDescent="0.25">
      <c r="A126" s="1615"/>
      <c r="B126" s="98"/>
      <c r="C126" s="98">
        <v>0.39</v>
      </c>
      <c r="D126" s="98">
        <v>1.2999999999999999E-2</v>
      </c>
      <c r="E126" s="102">
        <f>'PALAIS DU BIJOU'!N4</f>
        <v>170</v>
      </c>
      <c r="F126" s="39">
        <f>E126*D126/C126</f>
        <v>5.6666666666666661</v>
      </c>
      <c r="G126" s="1"/>
    </row>
    <row r="127" spans="1:8" ht="15.75" x14ac:dyDescent="0.25">
      <c r="A127" s="442" t="s">
        <v>1662</v>
      </c>
      <c r="B127" s="98" t="s">
        <v>1076</v>
      </c>
      <c r="C127" s="98"/>
      <c r="D127" s="98">
        <v>6</v>
      </c>
      <c r="E127" s="102">
        <f>'PALAIS DU BIJOU'!M24</f>
        <v>0.55000000000000004</v>
      </c>
      <c r="F127" s="39">
        <f>E127*D127</f>
        <v>3.3000000000000003</v>
      </c>
      <c r="G127" s="1"/>
    </row>
    <row r="128" spans="1:8" ht="15.75" x14ac:dyDescent="0.25">
      <c r="A128" s="443"/>
      <c r="B128" s="98" t="s">
        <v>1409</v>
      </c>
      <c r="C128" s="98"/>
      <c r="D128" s="98">
        <v>11</v>
      </c>
      <c r="E128" s="102">
        <f>'PALAIS DU BIJOU'!M25</f>
        <v>0.62142857142857144</v>
      </c>
      <c r="F128" s="39">
        <f>E128*D128</f>
        <v>6.8357142857142854</v>
      </c>
      <c r="G128" s="1"/>
    </row>
    <row r="129" spans="1:8" ht="15.75" x14ac:dyDescent="0.25">
      <c r="A129" s="443"/>
      <c r="B129" s="98" t="s">
        <v>1411</v>
      </c>
      <c r="C129" s="98"/>
      <c r="D129" s="98">
        <v>2</v>
      </c>
      <c r="E129" s="102">
        <f>'PALAIS DU BIJOU'!M26</f>
        <v>2.4333333333333331</v>
      </c>
      <c r="F129" s="39">
        <f>E129*D129</f>
        <v>4.8666666666666663</v>
      </c>
      <c r="G129" s="1"/>
    </row>
    <row r="130" spans="1:8" ht="15.75" x14ac:dyDescent="0.25">
      <c r="A130" s="444"/>
      <c r="B130" s="98" t="s">
        <v>1413</v>
      </c>
      <c r="C130" s="98"/>
      <c r="D130" s="98">
        <v>8</v>
      </c>
      <c r="E130" s="102">
        <f>'PALAIS DU BIJOU'!M27</f>
        <v>2.7777777777777777</v>
      </c>
      <c r="F130" s="39">
        <f>E130*D130</f>
        <v>22.222222222222221</v>
      </c>
      <c r="G130" s="1"/>
    </row>
    <row r="131" spans="1:8" ht="15.75" x14ac:dyDescent="0.25">
      <c r="A131" s="184" t="s">
        <v>1557</v>
      </c>
      <c r="B131" s="98"/>
      <c r="C131" s="98"/>
      <c r="D131" s="98"/>
      <c r="E131" s="102"/>
      <c r="F131" s="39">
        <f>PACKAGING!E4</f>
        <v>80</v>
      </c>
      <c r="G131" s="1"/>
    </row>
    <row r="132" spans="1:8" ht="15.75" x14ac:dyDescent="0.25">
      <c r="A132" s="184" t="s">
        <v>1721</v>
      </c>
      <c r="B132" s="98"/>
      <c r="C132" s="98"/>
      <c r="D132" s="98"/>
      <c r="E132" s="102"/>
      <c r="F132" s="39">
        <f>PACKAGING!E7</f>
        <v>170</v>
      </c>
      <c r="G132" s="1"/>
    </row>
    <row r="133" spans="1:8" ht="15.75" x14ac:dyDescent="0.25">
      <c r="A133" s="3" t="s">
        <v>1558</v>
      </c>
      <c r="B133" s="98">
        <v>60</v>
      </c>
      <c r="C133" s="98"/>
      <c r="D133" s="98">
        <v>14</v>
      </c>
      <c r="E133" s="102">
        <f>'INSUMOS VARIOS'!B3</f>
        <v>3500</v>
      </c>
      <c r="F133" s="39">
        <f>E133*D133/B133</f>
        <v>816.66666666666663</v>
      </c>
      <c r="G133" s="1"/>
    </row>
    <row r="134" spans="1:8" ht="16.5" thickBot="1" x14ac:dyDescent="0.3">
      <c r="A134" s="79" t="s">
        <v>525</v>
      </c>
      <c r="B134" s="99"/>
      <c r="C134" s="99"/>
      <c r="D134" s="99"/>
      <c r="E134" s="70"/>
      <c r="F134" s="51">
        <f>SUM(F121:F133)</f>
        <v>1249.698543956044</v>
      </c>
      <c r="G134" s="1"/>
    </row>
    <row r="135" spans="1:8" ht="18.75" x14ac:dyDescent="0.25">
      <c r="A135" s="80" t="s">
        <v>544</v>
      </c>
      <c r="B135" s="100"/>
      <c r="C135" s="100"/>
      <c r="D135" s="100"/>
      <c r="E135" s="71"/>
      <c r="F135" s="72">
        <f>F134*2</f>
        <v>2499.397087912088</v>
      </c>
      <c r="G135" s="512">
        <f>F135+F135*25%</f>
        <v>3124.2463598901099</v>
      </c>
      <c r="H135" s="75">
        <v>740</v>
      </c>
    </row>
    <row r="136" spans="1:8" ht="19.5" thickBot="1" x14ac:dyDescent="0.3">
      <c r="A136" s="81" t="s">
        <v>1559</v>
      </c>
      <c r="B136" s="101"/>
      <c r="C136" s="101"/>
      <c r="D136" s="101"/>
      <c r="E136" s="73"/>
      <c r="F136" s="73"/>
      <c r="G136" s="522"/>
      <c r="H136" s="74">
        <f>H135*2</f>
        <v>1480</v>
      </c>
    </row>
    <row r="137" spans="1:8" ht="15.75" thickBot="1" x14ac:dyDescent="0.3"/>
    <row r="138" spans="1:8" ht="16.5" thickBot="1" x14ac:dyDescent="0.3">
      <c r="A138" s="1565" t="s">
        <v>349</v>
      </c>
      <c r="B138" s="1566"/>
      <c r="C138" s="1566"/>
      <c r="D138" s="1566"/>
      <c r="E138" s="1566"/>
      <c r="F138" s="1566"/>
      <c r="G138" s="1567"/>
    </row>
    <row r="139" spans="1:8" ht="15.75" x14ac:dyDescent="0.25">
      <c r="A139" s="183" t="s">
        <v>916</v>
      </c>
      <c r="B139" s="97" t="s">
        <v>743</v>
      </c>
      <c r="C139" s="97" t="s">
        <v>1716</v>
      </c>
      <c r="D139" s="97" t="s">
        <v>1607</v>
      </c>
      <c r="E139" s="97" t="s">
        <v>1566</v>
      </c>
      <c r="F139" s="76" t="s">
        <v>1035</v>
      </c>
      <c r="G139" s="77" t="s">
        <v>1549</v>
      </c>
    </row>
    <row r="140" spans="1:8" ht="15.75" x14ac:dyDescent="0.25">
      <c r="A140" s="3" t="s">
        <v>1224</v>
      </c>
      <c r="B140" s="98"/>
      <c r="D140" s="98"/>
      <c r="E140" s="98">
        <v>0.55000000000000004</v>
      </c>
      <c r="F140" s="102">
        <f>'HILOS-CORDONES-TANZA-CUERO'!E5</f>
        <v>50.35</v>
      </c>
      <c r="G140" s="39">
        <f>F140*E140</f>
        <v>27.692500000000003</v>
      </c>
    </row>
    <row r="141" spans="1:8" ht="15.75" x14ac:dyDescent="0.25">
      <c r="A141" s="184" t="s">
        <v>1854</v>
      </c>
      <c r="B141" s="98"/>
      <c r="C141" s="98"/>
      <c r="D141" s="98"/>
      <c r="E141" s="98">
        <v>22</v>
      </c>
      <c r="F141" s="102">
        <f>'RESINA - ACRILICOS'!D19</f>
        <v>1.1499999999999999</v>
      </c>
      <c r="G141" s="39">
        <f>F141*E141</f>
        <v>25.299999999999997</v>
      </c>
      <c r="H141" s="1"/>
    </row>
    <row r="142" spans="1:8" ht="15.75" x14ac:dyDescent="0.25">
      <c r="A142" s="184" t="s">
        <v>1552</v>
      </c>
      <c r="B142" s="98"/>
      <c r="C142" s="98">
        <v>0.39</v>
      </c>
      <c r="D142" s="98">
        <v>3.0000000000000001E-3</v>
      </c>
      <c r="E142" s="98">
        <v>26</v>
      </c>
      <c r="F142" s="102">
        <f>'PALAIS DU BIJOU'!N4</f>
        <v>170</v>
      </c>
      <c r="G142" s="39">
        <f>(F142*D142/C142)*E142</f>
        <v>34</v>
      </c>
      <c r="H142" s="1"/>
    </row>
    <row r="143" spans="1:8" ht="15.75" x14ac:dyDescent="0.25">
      <c r="A143" s="1701" t="s">
        <v>1782</v>
      </c>
      <c r="B143" s="98" t="s">
        <v>1855</v>
      </c>
      <c r="C143" s="98"/>
      <c r="D143" s="98"/>
      <c r="E143" s="98">
        <v>1</v>
      </c>
      <c r="F143" s="102">
        <f>VIDRIOS!E5</f>
        <v>56.666666666666664</v>
      </c>
      <c r="G143" s="39">
        <f t="shared" ref="G143:G151" si="5">F143*E143</f>
        <v>56.666666666666664</v>
      </c>
    </row>
    <row r="144" spans="1:8" ht="15.75" x14ac:dyDescent="0.25">
      <c r="A144" s="1711"/>
      <c r="B144" s="98" t="s">
        <v>1856</v>
      </c>
      <c r="C144" s="98"/>
      <c r="D144" s="98"/>
      <c r="E144" s="98">
        <v>1</v>
      </c>
      <c r="F144" s="102">
        <f>VIDRIOS!E5</f>
        <v>56.666666666666664</v>
      </c>
      <c r="G144" s="39">
        <f t="shared" si="5"/>
        <v>56.666666666666664</v>
      </c>
    </row>
    <row r="145" spans="1:9" ht="15.75" x14ac:dyDescent="0.25">
      <c r="A145" s="1711"/>
      <c r="B145" s="98" t="s">
        <v>1857</v>
      </c>
      <c r="C145" s="98"/>
      <c r="D145" s="98"/>
      <c r="E145" s="98">
        <v>1</v>
      </c>
      <c r="F145" s="102">
        <f>VIDRIOS!E5</f>
        <v>56.666666666666664</v>
      </c>
      <c r="G145" s="39">
        <f t="shared" si="5"/>
        <v>56.666666666666664</v>
      </c>
      <c r="H145" s="1"/>
    </row>
    <row r="146" spans="1:9" ht="15.75" x14ac:dyDescent="0.25">
      <c r="A146" s="1711"/>
      <c r="B146" s="98" t="s">
        <v>1458</v>
      </c>
      <c r="C146" s="98"/>
      <c r="D146" s="98"/>
      <c r="E146" s="98">
        <v>2</v>
      </c>
      <c r="F146" s="102">
        <f>VIDRIOS!E10</f>
        <v>18.888888888888889</v>
      </c>
      <c r="G146" s="39">
        <f t="shared" si="5"/>
        <v>37.777777777777779</v>
      </c>
      <c r="H146" s="1"/>
    </row>
    <row r="147" spans="1:9" ht="15.75" x14ac:dyDescent="0.25">
      <c r="A147" s="1711"/>
      <c r="B147" s="98" t="s">
        <v>1858</v>
      </c>
      <c r="C147" s="98"/>
      <c r="D147" s="98"/>
      <c r="E147" s="98">
        <v>6</v>
      </c>
      <c r="F147" s="102">
        <f>VIDRIOS!E16</f>
        <v>7.7272727272727275</v>
      </c>
      <c r="G147" s="39">
        <f t="shared" si="5"/>
        <v>46.363636363636367</v>
      </c>
      <c r="H147" s="1"/>
    </row>
    <row r="148" spans="1:9" ht="15.75" x14ac:dyDescent="0.25">
      <c r="A148" s="184" t="s">
        <v>1572</v>
      </c>
      <c r="B148" s="98"/>
      <c r="C148" s="98"/>
      <c r="D148" s="98"/>
      <c r="E148" s="98">
        <v>2</v>
      </c>
      <c r="F148" s="102">
        <f>'INSUMOS VARIOS'!T19</f>
        <v>1</v>
      </c>
      <c r="G148" s="39">
        <f t="shared" si="5"/>
        <v>2</v>
      </c>
      <c r="H148" s="1"/>
    </row>
    <row r="149" spans="1:9" ht="15.75" x14ac:dyDescent="0.25">
      <c r="A149" s="1613" t="s">
        <v>1662</v>
      </c>
      <c r="B149" s="98" t="s">
        <v>1409</v>
      </c>
      <c r="C149" s="98"/>
      <c r="D149" s="98"/>
      <c r="E149" s="98">
        <v>4</v>
      </c>
      <c r="F149" s="102">
        <f>'PALAIS DU BIJOU'!M25</f>
        <v>0.62142857142857144</v>
      </c>
      <c r="G149" s="39">
        <f t="shared" si="5"/>
        <v>2.4857142857142858</v>
      </c>
      <c r="H149" s="1"/>
    </row>
    <row r="150" spans="1:9" ht="15.75" x14ac:dyDescent="0.25">
      <c r="A150" s="1614"/>
      <c r="B150" s="98" t="s">
        <v>1411</v>
      </c>
      <c r="C150" s="98"/>
      <c r="D150" s="98"/>
      <c r="E150" s="98">
        <v>2</v>
      </c>
      <c r="F150" s="102">
        <f>'PALAIS DU BIJOU'!M26</f>
        <v>2.4333333333333331</v>
      </c>
      <c r="G150" s="39">
        <f t="shared" si="5"/>
        <v>4.8666666666666663</v>
      </c>
      <c r="H150" s="1"/>
    </row>
    <row r="151" spans="1:9" ht="15.75" x14ac:dyDescent="0.25">
      <c r="A151" s="1615"/>
      <c r="B151" s="98" t="s">
        <v>1413</v>
      </c>
      <c r="C151" s="98"/>
      <c r="D151" s="98"/>
      <c r="E151" s="98">
        <v>2</v>
      </c>
      <c r="F151" s="102">
        <f>'PALAIS DU BIJOU'!M27</f>
        <v>2.7777777777777777</v>
      </c>
      <c r="G151" s="39">
        <f t="shared" si="5"/>
        <v>5.5555555555555554</v>
      </c>
      <c r="H151" s="1"/>
    </row>
    <row r="152" spans="1:9" ht="15.75" x14ac:dyDescent="0.25">
      <c r="A152" s="184" t="s">
        <v>1557</v>
      </c>
      <c r="B152" s="98"/>
      <c r="C152" s="98"/>
      <c r="D152" s="98"/>
      <c r="E152" s="102"/>
      <c r="F152" s="102"/>
      <c r="G152" s="445">
        <f>PACKAGING!E4</f>
        <v>80</v>
      </c>
      <c r="H152" s="1"/>
    </row>
    <row r="153" spans="1:9" ht="15.75" x14ac:dyDescent="0.25">
      <c r="A153" s="184" t="s">
        <v>1721</v>
      </c>
      <c r="B153" s="98"/>
      <c r="C153" s="98"/>
      <c r="D153" s="98"/>
      <c r="E153" s="102"/>
      <c r="F153" s="102"/>
      <c r="G153" s="445">
        <f>PACKAGING!E7</f>
        <v>170</v>
      </c>
      <c r="H153" s="1"/>
    </row>
    <row r="154" spans="1:9" ht="15.75" x14ac:dyDescent="0.25">
      <c r="A154" s="3" t="s">
        <v>1558</v>
      </c>
      <c r="B154" s="98">
        <v>60</v>
      </c>
      <c r="C154" s="98"/>
      <c r="D154" s="98"/>
      <c r="E154" s="98">
        <v>14</v>
      </c>
      <c r="F154" s="102">
        <f>E133</f>
        <v>3500</v>
      </c>
      <c r="G154" s="39">
        <f>F154*E154/B154</f>
        <v>816.66666666666663</v>
      </c>
      <c r="H154" s="1"/>
    </row>
    <row r="155" spans="1:9" ht="16.5" thickBot="1" x14ac:dyDescent="0.3">
      <c r="A155" s="79" t="s">
        <v>525</v>
      </c>
      <c r="B155" s="99"/>
      <c r="C155" s="99"/>
      <c r="D155" s="99"/>
      <c r="E155" s="99"/>
      <c r="F155" s="70"/>
      <c r="G155" s="51">
        <f>SUM(G140:G154)</f>
        <v>1422.7085173160172</v>
      </c>
      <c r="H155" s="1"/>
    </row>
    <row r="156" spans="1:9" ht="18.75" x14ac:dyDescent="0.25">
      <c r="A156" s="80" t="s">
        <v>544</v>
      </c>
      <c r="B156" s="100"/>
      <c r="C156" s="100"/>
      <c r="D156" s="100"/>
      <c r="E156" s="100"/>
      <c r="F156" s="71"/>
      <c r="G156" s="221">
        <f>G155*2</f>
        <v>2845.4170346320343</v>
      </c>
      <c r="H156" s="512">
        <f>G156+G156*25%</f>
        <v>3556.7712932900431</v>
      </c>
      <c r="I156" s="75">
        <v>740</v>
      </c>
    </row>
    <row r="157" spans="1:9" ht="19.5" thickBot="1" x14ac:dyDescent="0.3">
      <c r="A157" s="211" t="s">
        <v>1559</v>
      </c>
      <c r="B157" s="214"/>
      <c r="C157" s="214"/>
      <c r="D157" s="214"/>
      <c r="E157" s="214"/>
      <c r="F157" s="212"/>
      <c r="G157" s="372"/>
      <c r="H157" s="522"/>
      <c r="I157" s="371">
        <f>I156*2</f>
        <v>1480</v>
      </c>
    </row>
    <row r="158" spans="1:9" ht="15.75" thickBot="1" x14ac:dyDescent="0.3"/>
    <row r="159" spans="1:9" ht="16.5" thickBot="1" x14ac:dyDescent="0.3">
      <c r="A159" s="1565" t="s">
        <v>383</v>
      </c>
      <c r="B159" s="1566"/>
      <c r="C159" s="1566"/>
      <c r="D159" s="1566"/>
      <c r="E159" s="1566"/>
      <c r="F159" s="1567"/>
    </row>
    <row r="160" spans="1:9" ht="15.75" x14ac:dyDescent="0.25">
      <c r="A160" s="183" t="s">
        <v>916</v>
      </c>
      <c r="B160" s="97" t="s">
        <v>742</v>
      </c>
      <c r="C160" s="97" t="s">
        <v>1089</v>
      </c>
      <c r="D160" s="97" t="s">
        <v>1547</v>
      </c>
      <c r="E160" s="76" t="s">
        <v>1035</v>
      </c>
      <c r="F160" s="77" t="s">
        <v>1549</v>
      </c>
    </row>
    <row r="161" spans="1:8" ht="15.75" x14ac:dyDescent="0.25">
      <c r="A161" s="3" t="s">
        <v>1224</v>
      </c>
      <c r="B161" s="98"/>
      <c r="C161" s="98">
        <v>0.55000000000000004</v>
      </c>
      <c r="D161" s="98">
        <v>1</v>
      </c>
      <c r="E161" s="102">
        <f>'HILOS-CORDONES-TANZA-CUERO'!E5</f>
        <v>50.35</v>
      </c>
      <c r="F161" s="39">
        <f>E161*D161*C161</f>
        <v>27.692500000000003</v>
      </c>
      <c r="G161" s="1"/>
    </row>
    <row r="162" spans="1:8" ht="15.75" x14ac:dyDescent="0.25">
      <c r="A162" s="1701" t="s">
        <v>1691</v>
      </c>
      <c r="B162" s="98" t="s">
        <v>1409</v>
      </c>
      <c r="C162" s="98"/>
      <c r="D162" s="98">
        <v>14</v>
      </c>
      <c r="E162" s="102">
        <f>'PALAIS DU BIJOU'!M25</f>
        <v>0.62142857142857144</v>
      </c>
      <c r="F162" s="39">
        <f t="shared" ref="F162:F168" si="6">E162*D162</f>
        <v>8.6999999999999993</v>
      </c>
      <c r="G162" s="1"/>
    </row>
    <row r="163" spans="1:8" ht="15.75" x14ac:dyDescent="0.25">
      <c r="A163" s="1702"/>
      <c r="B163" s="98" t="s">
        <v>1411</v>
      </c>
      <c r="C163" s="98"/>
      <c r="D163" s="98">
        <v>3</v>
      </c>
      <c r="E163" s="102">
        <f>'PALAIS DU BIJOU'!M26</f>
        <v>2.4333333333333331</v>
      </c>
      <c r="F163" s="39">
        <f t="shared" si="6"/>
        <v>7.2999999999999989</v>
      </c>
      <c r="G163" s="1"/>
    </row>
    <row r="164" spans="1:8" ht="15.75" x14ac:dyDescent="0.25">
      <c r="A164" s="259" t="s">
        <v>1859</v>
      </c>
      <c r="B164" s="98"/>
      <c r="C164" s="98"/>
      <c r="D164" s="98">
        <v>9</v>
      </c>
      <c r="E164" s="102">
        <f>'PALAIS DU BIJOU'!N44</f>
        <v>37.313432835820898</v>
      </c>
      <c r="F164" s="39">
        <f t="shared" si="6"/>
        <v>335.82089552238807</v>
      </c>
      <c r="G164" s="1"/>
    </row>
    <row r="165" spans="1:8" ht="15.75" x14ac:dyDescent="0.25">
      <c r="A165" s="184" t="s">
        <v>1840</v>
      </c>
      <c r="B165" s="98"/>
      <c r="C165" s="98"/>
      <c r="D165" s="98">
        <v>2</v>
      </c>
      <c r="E165" s="102">
        <f>VIDRIOS!E8</f>
        <v>8.9473684210526319</v>
      </c>
      <c r="F165" s="39">
        <f t="shared" si="6"/>
        <v>17.894736842105264</v>
      </c>
      <c r="G165" s="1"/>
    </row>
    <row r="166" spans="1:8" ht="15.75" x14ac:dyDescent="0.25">
      <c r="A166" s="184" t="s">
        <v>1842</v>
      </c>
      <c r="B166" s="98"/>
      <c r="C166" s="98"/>
      <c r="D166" s="98">
        <v>7</v>
      </c>
      <c r="E166" s="102">
        <f>VIDRIOS!E5</f>
        <v>56.666666666666664</v>
      </c>
      <c r="F166" s="39">
        <f t="shared" si="6"/>
        <v>396.66666666666663</v>
      </c>
      <c r="G166" s="1"/>
    </row>
    <row r="167" spans="1:8" ht="15.75" x14ac:dyDescent="0.25">
      <c r="A167" s="184" t="s">
        <v>1860</v>
      </c>
      <c r="B167" s="98"/>
      <c r="C167" s="98"/>
      <c r="D167" s="98">
        <v>2</v>
      </c>
      <c r="E167" s="102">
        <f>VIDRIOS!E13</f>
        <v>18.888888888888889</v>
      </c>
      <c r="F167" s="39">
        <f t="shared" si="6"/>
        <v>37.777777777777779</v>
      </c>
      <c r="G167" s="1"/>
    </row>
    <row r="168" spans="1:8" ht="15.75" x14ac:dyDescent="0.25">
      <c r="A168" s="184" t="s">
        <v>1861</v>
      </c>
      <c r="B168" s="98"/>
      <c r="C168" s="98"/>
      <c r="D168" s="98">
        <v>1</v>
      </c>
      <c r="E168" s="102">
        <f>VIDRIOS!E25</f>
        <v>42.058823529411768</v>
      </c>
      <c r="F168" s="39">
        <f t="shared" si="6"/>
        <v>42.058823529411768</v>
      </c>
      <c r="G168" s="1"/>
    </row>
    <row r="169" spans="1:8" ht="15.75" x14ac:dyDescent="0.25">
      <c r="A169" s="184" t="s">
        <v>1552</v>
      </c>
      <c r="B169" s="98">
        <v>0.39</v>
      </c>
      <c r="C169" s="98">
        <v>4.0000000000000001E-3</v>
      </c>
      <c r="D169" s="98">
        <v>10</v>
      </c>
      <c r="E169" s="102">
        <f>'PALAIS DU BIJOU'!N6</f>
        <v>210</v>
      </c>
      <c r="F169" s="39">
        <f>(E169*C169/B169)*D169</f>
        <v>21.538461538461537</v>
      </c>
      <c r="G169" s="1"/>
    </row>
    <row r="170" spans="1:8" ht="15.75" x14ac:dyDescent="0.25">
      <c r="A170" s="184" t="s">
        <v>1843</v>
      </c>
      <c r="B170" s="98"/>
      <c r="C170" s="98"/>
      <c r="D170" s="98">
        <v>2</v>
      </c>
      <c r="E170" s="102">
        <f>'PALAIS DU BIJOU'!F35</f>
        <v>65</v>
      </c>
      <c r="F170" s="39">
        <f>E170*D170</f>
        <v>130</v>
      </c>
      <c r="G170" s="1"/>
    </row>
    <row r="171" spans="1:8" ht="15.75" x14ac:dyDescent="0.25">
      <c r="A171" s="3" t="s">
        <v>1557</v>
      </c>
      <c r="B171" s="98"/>
      <c r="C171" s="98"/>
      <c r="D171" s="98"/>
      <c r="E171" s="2"/>
      <c r="F171" s="39">
        <f>PACKAGING!E4</f>
        <v>80</v>
      </c>
      <c r="G171" s="1"/>
    </row>
    <row r="172" spans="1:8" ht="15.75" x14ac:dyDescent="0.25">
      <c r="A172" s="3" t="s">
        <v>1721</v>
      </c>
      <c r="B172" s="98"/>
      <c r="C172" s="98"/>
      <c r="D172" s="98"/>
      <c r="E172" s="2"/>
      <c r="F172" s="39">
        <f>PACKAGING!E7</f>
        <v>170</v>
      </c>
      <c r="G172" s="1"/>
    </row>
    <row r="173" spans="1:8" ht="15.75" x14ac:dyDescent="0.25">
      <c r="A173" s="104" t="s">
        <v>1572</v>
      </c>
      <c r="B173" s="98"/>
      <c r="C173" s="98"/>
      <c r="D173" s="98"/>
      <c r="E173" s="2"/>
      <c r="F173" s="39">
        <v>3</v>
      </c>
      <c r="G173" s="1"/>
    </row>
    <row r="174" spans="1:8" ht="15.75" x14ac:dyDescent="0.25">
      <c r="A174" s="104" t="s">
        <v>1590</v>
      </c>
      <c r="B174" s="98">
        <v>60</v>
      </c>
      <c r="C174" s="98"/>
      <c r="D174" s="98">
        <v>15</v>
      </c>
      <c r="E174" s="102">
        <f>'INSUMOS VARIOS'!B3</f>
        <v>3500</v>
      </c>
      <c r="F174" s="39">
        <f>E174*D174/B174</f>
        <v>875</v>
      </c>
      <c r="G174" s="1"/>
    </row>
    <row r="175" spans="1:8" ht="16.5" thickBot="1" x14ac:dyDescent="0.3">
      <c r="A175" s="79" t="s">
        <v>525</v>
      </c>
      <c r="B175" s="99"/>
      <c r="C175" s="99"/>
      <c r="D175" s="99"/>
      <c r="E175" s="70"/>
      <c r="F175" s="51">
        <f>SUM(F162:F174)</f>
        <v>2125.757361876811</v>
      </c>
      <c r="G175" s="171"/>
    </row>
    <row r="176" spans="1:8" ht="18.75" x14ac:dyDescent="0.25">
      <c r="A176" s="80" t="s">
        <v>544</v>
      </c>
      <c r="B176" s="100"/>
      <c r="C176" s="100"/>
      <c r="D176" s="100"/>
      <c r="E176" s="71"/>
      <c r="F176" s="267">
        <f>F175*2</f>
        <v>4251.5147237536221</v>
      </c>
      <c r="G176" s="512">
        <f>F176+F176*50%</f>
        <v>6377.2720856304331</v>
      </c>
      <c r="H176" s="278">
        <v>4500</v>
      </c>
    </row>
    <row r="177" spans="1:8" ht="19.5" thickBot="1" x14ac:dyDescent="0.3">
      <c r="A177" s="81" t="s">
        <v>1559</v>
      </c>
      <c r="B177" s="101"/>
      <c r="C177" s="101"/>
      <c r="D177" s="101"/>
      <c r="E177" s="73"/>
      <c r="F177" s="280"/>
      <c r="G177" s="522"/>
      <c r="H177" s="279">
        <f>H176*2</f>
        <v>9000</v>
      </c>
    </row>
    <row r="178" spans="1:8" ht="15.75" thickBot="1" x14ac:dyDescent="0.3"/>
    <row r="179" spans="1:8" ht="16.5" thickBot="1" x14ac:dyDescent="0.3">
      <c r="A179" s="1565" t="s">
        <v>372</v>
      </c>
      <c r="B179" s="1566"/>
      <c r="C179" s="1566"/>
      <c r="D179" s="1566"/>
      <c r="E179" s="1566"/>
      <c r="F179" s="1566"/>
      <c r="G179" s="1567"/>
    </row>
    <row r="180" spans="1:8" ht="15.75" x14ac:dyDescent="0.25">
      <c r="A180" s="183" t="s">
        <v>916</v>
      </c>
      <c r="B180" s="97" t="s">
        <v>743</v>
      </c>
      <c r="C180" s="97" t="s">
        <v>1716</v>
      </c>
      <c r="D180" s="97" t="s">
        <v>1607</v>
      </c>
      <c r="E180" s="97" t="s">
        <v>1566</v>
      </c>
      <c r="F180" s="76" t="s">
        <v>1035</v>
      </c>
      <c r="G180" s="77" t="s">
        <v>1549</v>
      </c>
    </row>
    <row r="181" spans="1:8" ht="15.75" x14ac:dyDescent="0.25">
      <c r="A181" s="3" t="s">
        <v>1224</v>
      </c>
      <c r="B181" s="98"/>
      <c r="C181" s="641"/>
      <c r="D181" s="98">
        <v>0.55000000000000004</v>
      </c>
      <c r="F181" s="102">
        <f>'HILOS-CORDONES-TANZA-CUERO'!E5</f>
        <v>50.35</v>
      </c>
      <c r="G181" s="39">
        <f>F181*D181</f>
        <v>27.692500000000003</v>
      </c>
    </row>
    <row r="182" spans="1:8" ht="15.75" x14ac:dyDescent="0.25">
      <c r="A182" s="1701" t="s">
        <v>1782</v>
      </c>
      <c r="B182" s="98" t="s">
        <v>1862</v>
      </c>
      <c r="C182" s="98"/>
      <c r="D182" s="98"/>
      <c r="E182" s="98">
        <v>2</v>
      </c>
      <c r="F182" s="102">
        <f>'PALAIS DU BIJOU'!N48</f>
        <v>37.313432835820898</v>
      </c>
      <c r="G182" s="39">
        <f t="shared" ref="G182:G187" si="7">F182*E182</f>
        <v>74.626865671641795</v>
      </c>
    </row>
    <row r="183" spans="1:8" ht="15.75" x14ac:dyDescent="0.25">
      <c r="A183" s="1711"/>
      <c r="B183" s="98" t="s">
        <v>1863</v>
      </c>
      <c r="C183" s="98"/>
      <c r="D183" s="98"/>
      <c r="E183" s="98">
        <v>1</v>
      </c>
      <c r="F183" s="102">
        <f>COLLARES!R63</f>
        <v>170</v>
      </c>
      <c r="G183" s="39">
        <f t="shared" si="7"/>
        <v>170</v>
      </c>
    </row>
    <row r="184" spans="1:8" ht="15.75" x14ac:dyDescent="0.25">
      <c r="A184" s="1711"/>
      <c r="B184" s="98" t="s">
        <v>897</v>
      </c>
      <c r="C184" s="98"/>
      <c r="D184" s="98"/>
      <c r="E184" s="98">
        <v>5</v>
      </c>
      <c r="F184" s="102">
        <f>COLLARES!R60</f>
        <v>150</v>
      </c>
      <c r="G184" s="39">
        <f t="shared" si="7"/>
        <v>750</v>
      </c>
      <c r="H184" s="1"/>
    </row>
    <row r="185" spans="1:8" ht="15.75" x14ac:dyDescent="0.25">
      <c r="A185" s="1702"/>
      <c r="B185" s="98" t="s">
        <v>1437</v>
      </c>
      <c r="C185" s="98"/>
      <c r="D185" s="98"/>
      <c r="E185" s="98">
        <v>1</v>
      </c>
      <c r="F185" s="102">
        <f>VIDRIOS!E25</f>
        <v>42.058823529411768</v>
      </c>
      <c r="G185" s="39">
        <f t="shared" si="7"/>
        <v>42.058823529411768</v>
      </c>
      <c r="H185" s="1"/>
    </row>
    <row r="186" spans="1:8" ht="15.75" x14ac:dyDescent="0.25">
      <c r="A186" s="189" t="s">
        <v>1864</v>
      </c>
      <c r="B186" s="98"/>
      <c r="C186" s="98"/>
      <c r="D186" s="98"/>
      <c r="E186" s="98">
        <v>1</v>
      </c>
      <c r="F186" s="102">
        <f>COLLARES!R65</f>
        <v>431.5</v>
      </c>
      <c r="G186" s="39">
        <f t="shared" si="7"/>
        <v>431.5</v>
      </c>
      <c r="H186" s="1"/>
    </row>
    <row r="187" spans="1:8" ht="15.75" x14ac:dyDescent="0.25">
      <c r="A187" s="259" t="s">
        <v>1865</v>
      </c>
      <c r="B187" s="98"/>
      <c r="C187" s="98"/>
      <c r="D187" s="98"/>
      <c r="E187" s="98">
        <v>1</v>
      </c>
      <c r="F187" s="102">
        <f>COLLARES!R67</f>
        <v>431.5</v>
      </c>
      <c r="G187" s="39">
        <f t="shared" si="7"/>
        <v>431.5</v>
      </c>
      <c r="H187" s="1"/>
    </row>
    <row r="188" spans="1:8" ht="15.75" x14ac:dyDescent="0.25">
      <c r="A188" s="184" t="s">
        <v>1572</v>
      </c>
      <c r="B188" s="98"/>
      <c r="C188" s="98"/>
      <c r="D188" s="98"/>
      <c r="E188" s="98">
        <v>2</v>
      </c>
      <c r="F188" s="102">
        <v>2</v>
      </c>
      <c r="G188" s="39">
        <f>F188*E188</f>
        <v>4</v>
      </c>
      <c r="H188" s="1"/>
    </row>
    <row r="189" spans="1:8" ht="15.75" x14ac:dyDescent="0.25">
      <c r="A189" s="1613" t="s">
        <v>1662</v>
      </c>
      <c r="B189" s="98" t="s">
        <v>1409</v>
      </c>
      <c r="C189" s="98"/>
      <c r="D189" s="98"/>
      <c r="E189" s="98">
        <v>11</v>
      </c>
      <c r="F189" s="102">
        <f>'PALAIS DU BIJOU'!M25</f>
        <v>0.62142857142857144</v>
      </c>
      <c r="G189" s="39">
        <f>F189*E189</f>
        <v>6.8357142857142854</v>
      </c>
      <c r="H189" s="1"/>
    </row>
    <row r="190" spans="1:8" ht="15.75" x14ac:dyDescent="0.25">
      <c r="A190" s="1614"/>
      <c r="B190" s="98" t="s">
        <v>1411</v>
      </c>
      <c r="C190" s="98"/>
      <c r="D190" s="98"/>
      <c r="E190" s="98">
        <v>12</v>
      </c>
      <c r="F190" s="102">
        <f>'PALAIS DU BIJOU'!M26</f>
        <v>2.4333333333333331</v>
      </c>
      <c r="G190" s="39">
        <f>F190*E190</f>
        <v>29.199999999999996</v>
      </c>
      <c r="H190" s="1"/>
    </row>
    <row r="191" spans="1:8" ht="15.75" x14ac:dyDescent="0.25">
      <c r="A191" s="1615"/>
      <c r="B191" s="98" t="s">
        <v>1413</v>
      </c>
      <c r="C191" s="98"/>
      <c r="D191" s="98"/>
      <c r="E191" s="98">
        <v>3</v>
      </c>
      <c r="F191" s="102">
        <f>'PALAIS DU BIJOU'!M27</f>
        <v>2.7777777777777777</v>
      </c>
      <c r="G191" s="39">
        <f>F191*E191</f>
        <v>8.3333333333333321</v>
      </c>
      <c r="H191" s="1"/>
    </row>
    <row r="192" spans="1:8" ht="15.75" x14ac:dyDescent="0.25">
      <c r="A192" s="184" t="s">
        <v>1557</v>
      </c>
      <c r="B192" s="98"/>
      <c r="C192" s="98"/>
      <c r="D192" s="98"/>
      <c r="E192" s="102"/>
      <c r="F192" s="102"/>
      <c r="G192" s="445">
        <f>PACKAGING!E4</f>
        <v>80</v>
      </c>
      <c r="H192" s="1"/>
    </row>
    <row r="193" spans="1:9" ht="15.75" x14ac:dyDescent="0.25">
      <c r="A193" s="184" t="s">
        <v>1721</v>
      </c>
      <c r="B193" s="98"/>
      <c r="C193" s="98"/>
      <c r="D193" s="98"/>
      <c r="E193" s="102"/>
      <c r="F193" s="102"/>
      <c r="G193" s="445">
        <f>PACKAGING!E7</f>
        <v>170</v>
      </c>
      <c r="H193" s="1"/>
    </row>
    <row r="194" spans="1:9" ht="15.75" x14ac:dyDescent="0.25">
      <c r="A194" s="3" t="s">
        <v>1558</v>
      </c>
      <c r="B194" s="98">
        <v>60</v>
      </c>
      <c r="C194" s="98"/>
      <c r="D194" s="98"/>
      <c r="E194" s="98">
        <v>15</v>
      </c>
      <c r="F194" s="102">
        <f>E174</f>
        <v>3500</v>
      </c>
      <c r="G194" s="39">
        <f>F194*E194/B194</f>
        <v>875</v>
      </c>
      <c r="H194" s="1"/>
    </row>
    <row r="195" spans="1:9" ht="16.5" thickBot="1" x14ac:dyDescent="0.3">
      <c r="A195" s="348" t="s">
        <v>525</v>
      </c>
      <c r="B195" s="349"/>
      <c r="C195" s="349"/>
      <c r="D195" s="349"/>
      <c r="E195" s="349"/>
      <c r="F195" s="350"/>
      <c r="G195" s="352">
        <f>SUM(G181:G194)</f>
        <v>3100.7472368201011</v>
      </c>
      <c r="H195" s="1"/>
    </row>
    <row r="196" spans="1:9" ht="19.5" thickBot="1" x14ac:dyDescent="0.3">
      <c r="A196" s="642" t="s">
        <v>544</v>
      </c>
      <c r="B196" s="643"/>
      <c r="C196" s="643"/>
      <c r="D196" s="643"/>
      <c r="E196" s="643"/>
      <c r="F196" s="644"/>
      <c r="G196" s="487">
        <f>G195*2</f>
        <v>6201.4944736402022</v>
      </c>
      <c r="H196" s="515">
        <f>G196+G196*70%</f>
        <v>10542.540605188344</v>
      </c>
      <c r="I196" s="531">
        <v>9000</v>
      </c>
    </row>
    <row r="197" spans="1:9" ht="15.75" thickBot="1" x14ac:dyDescent="0.3"/>
    <row r="198" spans="1:9" ht="16.5" thickBot="1" x14ac:dyDescent="0.3">
      <c r="A198" s="1565" t="s">
        <v>3159</v>
      </c>
      <c r="B198" s="1566"/>
      <c r="C198" s="1566"/>
      <c r="D198" s="1566"/>
      <c r="E198" s="1566"/>
      <c r="F198" s="1567"/>
    </row>
    <row r="199" spans="1:9" ht="15.75" x14ac:dyDescent="0.25">
      <c r="A199" s="183" t="s">
        <v>916</v>
      </c>
      <c r="B199" s="97" t="s">
        <v>742</v>
      </c>
      <c r="C199" s="97" t="s">
        <v>1089</v>
      </c>
      <c r="D199" s="97" t="s">
        <v>1547</v>
      </c>
      <c r="E199" s="76" t="s">
        <v>1035</v>
      </c>
      <c r="F199" s="77" t="s">
        <v>1549</v>
      </c>
    </row>
    <row r="200" spans="1:9" ht="15.75" x14ac:dyDescent="0.25">
      <c r="A200" s="3" t="s">
        <v>1224</v>
      </c>
      <c r="B200" s="98"/>
      <c r="C200" s="98">
        <v>0.55000000000000004</v>
      </c>
      <c r="D200" s="98">
        <v>1</v>
      </c>
      <c r="E200" s="102">
        <f>'HILOS-CORDONES-TANZA-CUERO'!E5</f>
        <v>50.35</v>
      </c>
      <c r="F200" s="39">
        <f>E200*D200*C200</f>
        <v>27.692500000000003</v>
      </c>
      <c r="G200" s="1"/>
    </row>
    <row r="201" spans="1:9" ht="15.75" x14ac:dyDescent="0.25">
      <c r="A201" s="184" t="s">
        <v>3352</v>
      </c>
      <c r="B201" s="98"/>
      <c r="C201" s="98"/>
      <c r="D201" s="98">
        <v>25</v>
      </c>
      <c r="E201" s="102">
        <f>VIDRIOS!E21</f>
        <v>65</v>
      </c>
      <c r="F201" s="39">
        <f>E201*D201</f>
        <v>1625</v>
      </c>
      <c r="G201" s="1"/>
    </row>
    <row r="202" spans="1:9" ht="15.75" x14ac:dyDescent="0.25">
      <c r="A202" s="184" t="s">
        <v>3161</v>
      </c>
      <c r="B202" s="98"/>
      <c r="C202" s="98"/>
      <c r="D202" s="98">
        <v>26</v>
      </c>
      <c r="E202" s="102">
        <v>2</v>
      </c>
      <c r="F202" s="39">
        <f>E202*D202</f>
        <v>52</v>
      </c>
      <c r="G202" s="1"/>
    </row>
    <row r="203" spans="1:9" ht="15.75" x14ac:dyDescent="0.25">
      <c r="A203" s="3" t="s">
        <v>1557</v>
      </c>
      <c r="B203" s="98"/>
      <c r="C203" s="98"/>
      <c r="D203" s="98"/>
      <c r="E203" s="2"/>
      <c r="F203" s="39">
        <f>PACKAGING!E4</f>
        <v>80</v>
      </c>
      <c r="G203" s="1"/>
    </row>
    <row r="204" spans="1:9" ht="15.75" x14ac:dyDescent="0.25">
      <c r="A204" s="3" t="s">
        <v>1721</v>
      </c>
      <c r="B204" s="98"/>
      <c r="C204" s="98"/>
      <c r="D204" s="98"/>
      <c r="E204" s="2"/>
      <c r="F204" s="39">
        <f>PACKAGING!E7</f>
        <v>170</v>
      </c>
      <c r="G204" s="1"/>
    </row>
    <row r="205" spans="1:9" ht="15.75" x14ac:dyDescent="0.25">
      <c r="A205" s="104" t="s">
        <v>1572</v>
      </c>
      <c r="B205" s="98"/>
      <c r="C205" s="98"/>
      <c r="D205" s="98">
        <v>2</v>
      </c>
      <c r="E205" s="2">
        <v>2</v>
      </c>
      <c r="F205" s="39">
        <f>E205*D205</f>
        <v>4</v>
      </c>
      <c r="G205" s="1"/>
    </row>
    <row r="206" spans="1:9" ht="15.75" x14ac:dyDescent="0.25">
      <c r="A206" s="104" t="s">
        <v>1590</v>
      </c>
      <c r="B206" s="98">
        <v>60</v>
      </c>
      <c r="C206" s="98"/>
      <c r="D206" s="98">
        <v>15</v>
      </c>
      <c r="E206" s="102">
        <f>'INSUMOS VARIOS'!B3</f>
        <v>3500</v>
      </c>
      <c r="F206" s="39">
        <f>E206*D206/B206</f>
        <v>875</v>
      </c>
      <c r="G206" s="1"/>
    </row>
    <row r="207" spans="1:9" ht="16.5" thickBot="1" x14ac:dyDescent="0.3">
      <c r="A207" s="79" t="s">
        <v>525</v>
      </c>
      <c r="B207" s="99"/>
      <c r="C207" s="99"/>
      <c r="D207" s="99"/>
      <c r="E207" s="70"/>
      <c r="F207" s="51">
        <f>SUM(F201:F206)</f>
        <v>2806</v>
      </c>
      <c r="G207" s="171"/>
    </row>
    <row r="208" spans="1:9" ht="18.75" x14ac:dyDescent="0.25">
      <c r="A208" s="80" t="s">
        <v>544</v>
      </c>
      <c r="B208" s="100"/>
      <c r="C208" s="100"/>
      <c r="D208" s="100"/>
      <c r="E208" s="71"/>
      <c r="F208" s="267">
        <f>F207*2</f>
        <v>5612</v>
      </c>
      <c r="G208" s="512">
        <f>F208+F208*50%</f>
        <v>8418</v>
      </c>
      <c r="H208" s="278">
        <v>7000</v>
      </c>
    </row>
    <row r="209" spans="1:8" ht="19.5" thickBot="1" x14ac:dyDescent="0.3">
      <c r="A209" s="81" t="s">
        <v>1559</v>
      </c>
      <c r="B209" s="101"/>
      <c r="C209" s="101"/>
      <c r="D209" s="101"/>
      <c r="E209" s="73"/>
      <c r="F209" s="280"/>
      <c r="G209" s="522"/>
      <c r="H209" s="279">
        <f>H208*2</f>
        <v>14000</v>
      </c>
    </row>
  </sheetData>
  <mergeCells count="25">
    <mergeCell ref="A198:F198"/>
    <mergeCell ref="A179:G179"/>
    <mergeCell ref="A189:A191"/>
    <mergeCell ref="A182:A185"/>
    <mergeCell ref="A159:F159"/>
    <mergeCell ref="A162:A163"/>
    <mergeCell ref="A149:A151"/>
    <mergeCell ref="A138:G138"/>
    <mergeCell ref="A143:A147"/>
    <mergeCell ref="A119:F119"/>
    <mergeCell ref="A124:A126"/>
    <mergeCell ref="A100:F100"/>
    <mergeCell ref="A105:A107"/>
    <mergeCell ref="A108:A111"/>
    <mergeCell ref="A90:A91"/>
    <mergeCell ref="A1:F1"/>
    <mergeCell ref="A15:F15"/>
    <mergeCell ref="A18:A21"/>
    <mergeCell ref="A35:F35"/>
    <mergeCell ref="A84:F84"/>
    <mergeCell ref="A67:F67"/>
    <mergeCell ref="A71:A72"/>
    <mergeCell ref="A51:F51"/>
    <mergeCell ref="A55:A56"/>
    <mergeCell ref="A38:A39"/>
  </mergeCells>
  <pageMargins left="0.7" right="0.7" top="0.75" bottom="0.75" header="0.3" footer="0.3"/>
  <ignoredErrors>
    <ignoredError sqref="F25 F56 G142 F169" formula="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Hoja18"/>
  <dimension ref="A1:X70"/>
  <sheetViews>
    <sheetView topLeftCell="A40" zoomScale="89" workbookViewId="0">
      <selection activeCell="E47" sqref="E47"/>
    </sheetView>
  </sheetViews>
  <sheetFormatPr baseColWidth="10" defaultColWidth="11.42578125" defaultRowHeight="15" x14ac:dyDescent="0.25"/>
  <cols>
    <col min="1" max="1" width="20.42578125" bestFit="1" customWidth="1"/>
    <col min="2" max="2" width="12.7109375" bestFit="1" customWidth="1"/>
    <col min="6" max="8" width="11.85546875" bestFit="1" customWidth="1"/>
    <col min="9" max="9" width="17.85546875" customWidth="1"/>
    <col min="10" max="10" width="17.5703125" customWidth="1"/>
    <col min="12" max="12" width="12.5703125" bestFit="1" customWidth="1"/>
    <col min="13" max="15" width="11.85546875" bestFit="1" customWidth="1"/>
    <col min="17" max="17" width="20.42578125" bestFit="1" customWidth="1"/>
    <col min="21" max="21" width="13.140625" bestFit="1" customWidth="1"/>
  </cols>
  <sheetData>
    <row r="1" spans="1:23" ht="16.5" thickBot="1" x14ac:dyDescent="0.3">
      <c r="A1" s="1565" t="s">
        <v>1866</v>
      </c>
      <c r="B1" s="1566"/>
      <c r="C1" s="1566"/>
      <c r="D1" s="1566"/>
      <c r="E1" s="1566"/>
      <c r="F1" s="1567"/>
      <c r="G1" s="171"/>
      <c r="I1" s="1565" t="s">
        <v>1867</v>
      </c>
      <c r="J1" s="1566"/>
      <c r="K1" s="1566"/>
      <c r="L1" s="1566"/>
      <c r="M1" s="1566"/>
      <c r="N1" s="1567"/>
      <c r="O1" s="171"/>
      <c r="Q1" s="1565" t="s">
        <v>1868</v>
      </c>
      <c r="R1" s="1566"/>
      <c r="S1" s="1566"/>
      <c r="T1" s="1566"/>
      <c r="U1" s="1566"/>
      <c r="V1" s="1567"/>
      <c r="W1" s="171"/>
    </row>
    <row r="2" spans="1:23" ht="15.75" x14ac:dyDescent="0.25">
      <c r="A2" s="183" t="s">
        <v>916</v>
      </c>
      <c r="B2" s="97" t="s">
        <v>742</v>
      </c>
      <c r="C2" s="97" t="s">
        <v>247</v>
      </c>
      <c r="D2" s="97" t="s">
        <v>1566</v>
      </c>
      <c r="E2" s="76" t="s">
        <v>1035</v>
      </c>
      <c r="F2" s="77" t="s">
        <v>1549</v>
      </c>
      <c r="G2" s="1"/>
      <c r="I2" s="183" t="s">
        <v>916</v>
      </c>
      <c r="J2" s="97" t="s">
        <v>742</v>
      </c>
      <c r="K2" s="97" t="s">
        <v>1869</v>
      </c>
      <c r="L2" s="97" t="s">
        <v>1566</v>
      </c>
      <c r="M2" s="76" t="s">
        <v>1035</v>
      </c>
      <c r="N2" s="77" t="s">
        <v>1549</v>
      </c>
      <c r="O2" s="1"/>
      <c r="Q2" s="183" t="s">
        <v>916</v>
      </c>
      <c r="R2" s="97" t="s">
        <v>742</v>
      </c>
      <c r="S2" s="97" t="s">
        <v>1607</v>
      </c>
      <c r="T2" s="97" t="s">
        <v>1566</v>
      </c>
      <c r="U2" s="76" t="s">
        <v>1035</v>
      </c>
      <c r="V2" s="77" t="s">
        <v>1549</v>
      </c>
      <c r="W2" s="1"/>
    </row>
    <row r="3" spans="1:23" ht="15.75" x14ac:dyDescent="0.25">
      <c r="A3" s="3" t="s">
        <v>1870</v>
      </c>
      <c r="B3" s="98"/>
      <c r="C3" s="98"/>
      <c r="D3" s="98">
        <v>1</v>
      </c>
      <c r="E3" s="102">
        <f>'INSUMOS VARIOS'!I57</f>
        <v>2800</v>
      </c>
      <c r="F3" s="39">
        <f>E3*D3</f>
        <v>2800</v>
      </c>
      <c r="G3" s="1"/>
      <c r="I3" s="3" t="s">
        <v>1870</v>
      </c>
      <c r="J3" s="98"/>
      <c r="K3" s="98"/>
      <c r="L3" s="98">
        <v>1</v>
      </c>
      <c r="M3" s="102">
        <f>'INSUMOS VARIOS'!I57</f>
        <v>2800</v>
      </c>
      <c r="N3" s="39">
        <f>M3*L3</f>
        <v>2800</v>
      </c>
      <c r="O3" s="1"/>
      <c r="Q3" s="3" t="s">
        <v>1870</v>
      </c>
      <c r="R3" s="98"/>
      <c r="S3" s="98"/>
      <c r="T3" s="98">
        <v>1</v>
      </c>
      <c r="U3" s="102">
        <f>'INSUMOS VARIOS'!I57</f>
        <v>2800</v>
      </c>
      <c r="V3" s="39">
        <f>U3*T3</f>
        <v>2800</v>
      </c>
      <c r="W3" s="1"/>
    </row>
    <row r="4" spans="1:23" ht="15.75" x14ac:dyDescent="0.25">
      <c r="A4" s="184" t="s">
        <v>1552</v>
      </c>
      <c r="B4" s="98"/>
      <c r="C4" s="98"/>
      <c r="D4" s="98">
        <v>20</v>
      </c>
      <c r="E4" s="102">
        <f>'INSUMOS VARIOS'!K37</f>
        <v>44.375</v>
      </c>
      <c r="F4" s="39">
        <f>E4*D4</f>
        <v>887.5</v>
      </c>
      <c r="G4" s="1"/>
      <c r="I4" s="184" t="s">
        <v>1552</v>
      </c>
      <c r="J4" s="98"/>
      <c r="K4" s="98"/>
      <c r="L4" s="98">
        <v>20</v>
      </c>
      <c r="M4" s="102">
        <f>'INSUMOS VARIOS'!K37</f>
        <v>44.375</v>
      </c>
      <c r="N4" s="39">
        <f>M4*L4</f>
        <v>887.5</v>
      </c>
      <c r="Q4" s="184" t="s">
        <v>1552</v>
      </c>
      <c r="R4" s="98"/>
      <c r="S4" s="98"/>
      <c r="T4" s="98">
        <v>18</v>
      </c>
      <c r="U4" s="102">
        <f>'INSUMOS VARIOS'!K37</f>
        <v>44.375</v>
      </c>
      <c r="V4" s="39">
        <f>U4*T4</f>
        <v>798.75</v>
      </c>
      <c r="W4" s="1"/>
    </row>
    <row r="5" spans="1:23" ht="15.75" x14ac:dyDescent="0.25">
      <c r="A5" s="184" t="s">
        <v>1519</v>
      </c>
      <c r="B5" s="98"/>
      <c r="C5" s="98"/>
      <c r="D5" s="98">
        <v>36</v>
      </c>
      <c r="E5" s="102">
        <f>'RESINA - ACRILICOS'!D21</f>
        <v>1</v>
      </c>
      <c r="F5" s="39">
        <f t="shared" ref="F5:F9" si="0">E5*D5</f>
        <v>36</v>
      </c>
      <c r="G5" s="1"/>
      <c r="I5" s="184" t="s">
        <v>1519</v>
      </c>
      <c r="J5" s="98"/>
      <c r="K5" s="98"/>
      <c r="L5" s="98">
        <v>36</v>
      </c>
      <c r="M5" s="102">
        <f>'RESINA - ACRILICOS'!D21</f>
        <v>1</v>
      </c>
      <c r="N5" s="39">
        <f t="shared" ref="N5:N10" si="1">M5*L5</f>
        <v>36</v>
      </c>
      <c r="O5" s="1"/>
      <c r="Q5" s="184" t="s">
        <v>1519</v>
      </c>
      <c r="R5" s="98" t="s">
        <v>895</v>
      </c>
      <c r="S5" s="98">
        <v>100</v>
      </c>
      <c r="T5" s="98">
        <v>10</v>
      </c>
      <c r="U5" s="102">
        <f>'RESINA - ACRILICOS'!C23</f>
        <v>275</v>
      </c>
      <c r="V5" s="39">
        <f>U5*T5/S5</f>
        <v>27.5</v>
      </c>
      <c r="W5" s="1"/>
    </row>
    <row r="6" spans="1:23" ht="15.75" x14ac:dyDescent="0.25">
      <c r="A6" s="184" t="s">
        <v>1224</v>
      </c>
      <c r="B6" s="98"/>
      <c r="C6" s="98"/>
      <c r="D6" s="98">
        <v>3</v>
      </c>
      <c r="E6" s="186">
        <f>'HILOS-CORDONES-TANZA-CUERO'!E5</f>
        <v>50.35</v>
      </c>
      <c r="F6" s="39">
        <f t="shared" si="0"/>
        <v>151.05000000000001</v>
      </c>
      <c r="G6" s="1"/>
      <c r="I6" s="184" t="s">
        <v>1519</v>
      </c>
      <c r="J6" s="98" t="s">
        <v>910</v>
      </c>
      <c r="K6" s="98"/>
      <c r="L6" s="98">
        <v>36</v>
      </c>
      <c r="M6" s="102">
        <f>'RESINA - ACRILICOS'!D21</f>
        <v>1</v>
      </c>
      <c r="N6" s="39">
        <f t="shared" si="1"/>
        <v>36</v>
      </c>
      <c r="O6" s="1"/>
      <c r="Q6" s="184" t="s">
        <v>1691</v>
      </c>
      <c r="R6" s="98"/>
      <c r="S6" s="98"/>
      <c r="T6" s="98">
        <v>36</v>
      </c>
      <c r="U6" s="102">
        <f>'PALAIS DU BIJOU'!M26</f>
        <v>2.4333333333333331</v>
      </c>
      <c r="V6" s="39">
        <f t="shared" ref="V6:V12" si="2">U6*T6</f>
        <v>87.6</v>
      </c>
      <c r="W6" s="1"/>
    </row>
    <row r="7" spans="1:23" ht="15.75" x14ac:dyDescent="0.25">
      <c r="A7" s="184" t="s">
        <v>1871</v>
      </c>
      <c r="B7" s="98"/>
      <c r="C7" s="98"/>
      <c r="D7" s="98">
        <v>5</v>
      </c>
      <c r="E7" s="102">
        <f>'RESINA - ACRILICOS'!D22</f>
        <v>57.5</v>
      </c>
      <c r="F7" s="39">
        <f t="shared" si="0"/>
        <v>287.5</v>
      </c>
      <c r="G7" s="1"/>
      <c r="I7" s="184" t="s">
        <v>1224</v>
      </c>
      <c r="J7" s="98"/>
      <c r="K7" s="98"/>
      <c r="L7" s="98">
        <v>3</v>
      </c>
      <c r="M7" s="102">
        <f>'HILOS-CORDONES-TANZA-CUERO'!E5</f>
        <v>50.35</v>
      </c>
      <c r="N7" s="39">
        <f t="shared" si="1"/>
        <v>151.05000000000001</v>
      </c>
      <c r="O7" s="1"/>
      <c r="Q7" s="184" t="s">
        <v>1224</v>
      </c>
      <c r="R7" s="98"/>
      <c r="S7" s="98"/>
      <c r="T7" s="98">
        <v>3</v>
      </c>
      <c r="U7" s="102">
        <f>'HILOS-CORDONES-TANZA-CUERO'!E5</f>
        <v>50.35</v>
      </c>
      <c r="V7" s="39">
        <f t="shared" si="2"/>
        <v>151.05000000000001</v>
      </c>
      <c r="W7" s="1"/>
    </row>
    <row r="8" spans="1:23" ht="15.75" x14ac:dyDescent="0.25">
      <c r="A8" s="184" t="s">
        <v>1572</v>
      </c>
      <c r="B8" s="98"/>
      <c r="C8" s="98"/>
      <c r="D8" s="98">
        <v>10</v>
      </c>
      <c r="E8" s="102">
        <f>'INSUMOS VARIOS'!T19</f>
        <v>1</v>
      </c>
      <c r="F8" s="39">
        <f t="shared" si="0"/>
        <v>10</v>
      </c>
      <c r="G8" s="1"/>
      <c r="I8" s="184" t="s">
        <v>1804</v>
      </c>
      <c r="J8" s="98"/>
      <c r="K8" s="98"/>
      <c r="L8" s="98">
        <v>8</v>
      </c>
      <c r="M8" s="102">
        <f>'RESINA - ACRILICOS'!D22</f>
        <v>57.5</v>
      </c>
      <c r="N8" s="39">
        <f t="shared" si="1"/>
        <v>460</v>
      </c>
      <c r="O8" s="1"/>
      <c r="Q8" s="184" t="s">
        <v>1506</v>
      </c>
      <c r="R8" s="98"/>
      <c r="S8" s="98"/>
      <c r="T8" s="98">
        <v>8</v>
      </c>
      <c r="U8" s="102">
        <f>'RESINA - ACRILICOS'!D9</f>
        <v>5.304597701149425</v>
      </c>
      <c r="V8" s="39">
        <f t="shared" si="2"/>
        <v>42.4367816091954</v>
      </c>
      <c r="W8" s="1"/>
    </row>
    <row r="9" spans="1:23" ht="15.75" x14ac:dyDescent="0.25">
      <c r="A9" s="184" t="s">
        <v>1872</v>
      </c>
      <c r="B9" s="98"/>
      <c r="C9" s="98"/>
      <c r="D9" s="98">
        <v>3</v>
      </c>
      <c r="E9" s="102">
        <f>'HILOS-CORDONES-TANZA-CUERO'!L7</f>
        <v>9</v>
      </c>
      <c r="F9" s="39">
        <f t="shared" si="0"/>
        <v>27</v>
      </c>
      <c r="G9" s="1"/>
      <c r="I9" s="184" t="s">
        <v>1572</v>
      </c>
      <c r="J9" s="98"/>
      <c r="K9" s="98"/>
      <c r="L9" s="98">
        <v>7</v>
      </c>
      <c r="M9" s="102">
        <f>E8</f>
        <v>1</v>
      </c>
      <c r="N9" s="39">
        <f t="shared" si="1"/>
        <v>7</v>
      </c>
      <c r="O9" s="1"/>
      <c r="Q9" s="184" t="s">
        <v>1572</v>
      </c>
      <c r="R9" s="98"/>
      <c r="S9" s="98"/>
      <c r="T9" s="98">
        <v>7</v>
      </c>
      <c r="U9" s="102">
        <f>M9</f>
        <v>1</v>
      </c>
      <c r="V9" s="39">
        <f t="shared" si="2"/>
        <v>7</v>
      </c>
      <c r="W9" s="1"/>
    </row>
    <row r="10" spans="1:23" ht="15.75" x14ac:dyDescent="0.25">
      <c r="A10" s="184" t="s">
        <v>1873</v>
      </c>
      <c r="B10" s="98"/>
      <c r="C10" s="98">
        <v>4</v>
      </c>
      <c r="D10" s="98">
        <v>80</v>
      </c>
      <c r="E10" s="102">
        <v>0.3</v>
      </c>
      <c r="F10" s="39">
        <f>E10*D10*C10</f>
        <v>96</v>
      </c>
      <c r="G10" s="1"/>
      <c r="I10" s="184" t="s">
        <v>1872</v>
      </c>
      <c r="J10" s="98"/>
      <c r="K10" s="98"/>
      <c r="L10" s="98">
        <v>3</v>
      </c>
      <c r="M10" s="102">
        <f>'HILOS-CORDONES-TANZA-CUERO'!L7</f>
        <v>9</v>
      </c>
      <c r="N10" s="39">
        <f t="shared" si="1"/>
        <v>27</v>
      </c>
      <c r="O10" s="1"/>
      <c r="Q10" s="184" t="s">
        <v>1872</v>
      </c>
      <c r="R10" s="98"/>
      <c r="S10" s="98"/>
      <c r="T10" s="98">
        <v>3</v>
      </c>
      <c r="U10" s="102">
        <f>'HILOS-CORDONES-TANZA-CUERO'!L7</f>
        <v>9</v>
      </c>
      <c r="V10" s="39">
        <f t="shared" si="2"/>
        <v>27</v>
      </c>
      <c r="W10" s="1"/>
    </row>
    <row r="11" spans="1:23" ht="15.75" x14ac:dyDescent="0.25">
      <c r="A11" s="184" t="s">
        <v>1874</v>
      </c>
      <c r="B11" s="98"/>
      <c r="C11" s="98"/>
      <c r="D11" s="98">
        <v>2</v>
      </c>
      <c r="E11" s="102">
        <v>5</v>
      </c>
      <c r="F11" s="39">
        <f>E11*D11</f>
        <v>10</v>
      </c>
      <c r="G11" s="1"/>
      <c r="I11" s="184" t="s">
        <v>1873</v>
      </c>
      <c r="J11" s="98">
        <v>5</v>
      </c>
      <c r="K11" s="98">
        <v>100</v>
      </c>
      <c r="L11" s="98">
        <v>9</v>
      </c>
      <c r="M11" s="102">
        <v>490</v>
      </c>
      <c r="N11" s="39">
        <f>M11*L11/K11*J11</f>
        <v>220.5</v>
      </c>
      <c r="O11" s="1"/>
      <c r="Q11" s="184" t="s">
        <v>1875</v>
      </c>
      <c r="R11" s="98"/>
      <c r="S11" s="98"/>
      <c r="T11" s="98">
        <v>5</v>
      </c>
      <c r="U11" s="102">
        <f>'RESINA - ACRILICOS'!D24</f>
        <v>4</v>
      </c>
      <c r="V11" s="39">
        <f t="shared" si="2"/>
        <v>20</v>
      </c>
      <c r="W11" s="1"/>
    </row>
    <row r="12" spans="1:23" ht="15.75" x14ac:dyDescent="0.25">
      <c r="A12" s="184" t="s">
        <v>1876</v>
      </c>
      <c r="B12" s="98"/>
      <c r="C12" s="98"/>
      <c r="D12" s="98">
        <v>24</v>
      </c>
      <c r="E12" s="102">
        <v>0.6</v>
      </c>
      <c r="F12" s="39">
        <f>E12*D12</f>
        <v>14.399999999999999</v>
      </c>
      <c r="G12" s="1"/>
      <c r="I12" s="184" t="s">
        <v>1877</v>
      </c>
      <c r="J12" s="98"/>
      <c r="K12" s="98"/>
      <c r="L12" s="98">
        <v>36</v>
      </c>
      <c r="M12" s="102">
        <v>0.6</v>
      </c>
      <c r="N12" s="39">
        <f>M12*L12</f>
        <v>21.599999999999998</v>
      </c>
      <c r="O12" s="1"/>
      <c r="Q12" s="184" t="s">
        <v>962</v>
      </c>
      <c r="R12" s="98"/>
      <c r="S12" s="98"/>
      <c r="T12" s="98">
        <v>26</v>
      </c>
      <c r="U12" s="102">
        <f>'RESINA - ACRILICOS'!D7</f>
        <v>2.6666666666666665</v>
      </c>
      <c r="V12" s="39">
        <f t="shared" si="2"/>
        <v>69.333333333333329</v>
      </c>
      <c r="W12" s="1"/>
    </row>
    <row r="13" spans="1:23" ht="15.75" x14ac:dyDescent="0.25">
      <c r="A13" s="184" t="s">
        <v>1557</v>
      </c>
      <c r="B13" s="98"/>
      <c r="C13" s="98"/>
      <c r="D13" s="98"/>
      <c r="E13" s="102"/>
      <c r="F13" s="39">
        <v>15</v>
      </c>
      <c r="G13" s="1"/>
      <c r="I13" s="184" t="s">
        <v>1878</v>
      </c>
      <c r="J13" s="98"/>
      <c r="K13" s="98"/>
      <c r="L13" s="98">
        <v>24</v>
      </c>
      <c r="M13" s="102">
        <v>0.6</v>
      </c>
      <c r="N13" s="39">
        <f>M13*L13</f>
        <v>14.399999999999999</v>
      </c>
      <c r="O13" s="1"/>
      <c r="Q13" s="184" t="s">
        <v>1879</v>
      </c>
      <c r="R13" s="98"/>
      <c r="S13" s="98"/>
      <c r="T13" s="98"/>
      <c r="U13" s="102"/>
      <c r="V13" s="39">
        <v>130</v>
      </c>
      <c r="W13" s="1"/>
    </row>
    <row r="14" spans="1:23" ht="15.75" x14ac:dyDescent="0.25">
      <c r="A14" s="184" t="s">
        <v>1879</v>
      </c>
      <c r="B14" s="98"/>
      <c r="C14" s="98"/>
      <c r="D14" s="98"/>
      <c r="E14" s="102"/>
      <c r="F14" s="39">
        <v>35</v>
      </c>
      <c r="G14" s="1"/>
      <c r="I14" s="184" t="s">
        <v>1557</v>
      </c>
      <c r="J14" s="98"/>
      <c r="K14" s="98"/>
      <c r="L14" s="98"/>
      <c r="M14" s="102"/>
      <c r="N14" s="39">
        <v>15</v>
      </c>
      <c r="O14" s="1"/>
      <c r="Q14" s="184" t="s">
        <v>1880</v>
      </c>
      <c r="R14" s="98"/>
      <c r="S14" s="98"/>
      <c r="T14" s="98"/>
      <c r="U14" s="102"/>
      <c r="V14" s="39">
        <v>130</v>
      </c>
      <c r="W14" s="1"/>
    </row>
    <row r="15" spans="1:23" ht="15.75" x14ac:dyDescent="0.25">
      <c r="A15" s="184" t="s">
        <v>1880</v>
      </c>
      <c r="B15" s="98"/>
      <c r="C15" s="98"/>
      <c r="D15" s="98"/>
      <c r="E15" s="102"/>
      <c r="F15" s="39">
        <v>85</v>
      </c>
      <c r="G15" s="1"/>
      <c r="I15" s="184" t="s">
        <v>1879</v>
      </c>
      <c r="J15" s="98"/>
      <c r="K15" s="98"/>
      <c r="L15" s="98"/>
      <c r="M15" s="102"/>
      <c r="N15" s="39">
        <v>35</v>
      </c>
      <c r="O15" s="1"/>
      <c r="Q15" s="184" t="s">
        <v>1558</v>
      </c>
      <c r="R15" s="98">
        <v>60</v>
      </c>
      <c r="S15" s="98"/>
      <c r="T15" s="98">
        <v>15</v>
      </c>
      <c r="U15" s="102">
        <f>'INSUMOS VARIOS'!B3</f>
        <v>3500</v>
      </c>
      <c r="V15" s="39">
        <f>U15*T15/R15</f>
        <v>875</v>
      </c>
      <c r="W15" s="1"/>
    </row>
    <row r="16" spans="1:23" ht="16.5" thickBot="1" x14ac:dyDescent="0.3">
      <c r="A16" s="79" t="s">
        <v>525</v>
      </c>
      <c r="B16" s="99"/>
      <c r="C16" s="99"/>
      <c r="D16" s="99"/>
      <c r="E16" s="70"/>
      <c r="F16" s="51">
        <f>SUM(F3:F15)</f>
        <v>4454.45</v>
      </c>
      <c r="G16" s="1"/>
      <c r="I16" s="184" t="s">
        <v>1880</v>
      </c>
      <c r="J16" s="98"/>
      <c r="K16" s="98"/>
      <c r="L16" s="98"/>
      <c r="M16" s="102"/>
      <c r="N16" s="39">
        <v>85</v>
      </c>
      <c r="O16" s="1"/>
      <c r="Q16" s="79" t="s">
        <v>525</v>
      </c>
      <c r="R16" s="99"/>
      <c r="S16" s="99"/>
      <c r="T16" s="99"/>
      <c r="U16" s="70"/>
      <c r="V16" s="51">
        <f>SUM(V3:V15)</f>
        <v>5165.6701149425289</v>
      </c>
      <c r="W16" s="1"/>
    </row>
    <row r="17" spans="1:24" ht="16.5" thickBot="1" x14ac:dyDescent="0.3">
      <c r="A17" s="81" t="s">
        <v>1559</v>
      </c>
      <c r="B17" s="101"/>
      <c r="C17" s="101"/>
      <c r="D17" s="101"/>
      <c r="E17" s="73"/>
      <c r="F17" s="73"/>
      <c r="G17" s="204">
        <v>12000</v>
      </c>
      <c r="I17" s="79" t="s">
        <v>525</v>
      </c>
      <c r="J17" s="99"/>
      <c r="K17" s="99"/>
      <c r="L17" s="99"/>
      <c r="M17" s="70"/>
      <c r="N17" s="51">
        <f>SUM(N3:N16)</f>
        <v>4796.05</v>
      </c>
      <c r="O17" s="1"/>
      <c r="Q17" s="596" t="s">
        <v>1559</v>
      </c>
      <c r="R17" s="601"/>
      <c r="S17" s="601"/>
      <c r="T17" s="601"/>
      <c r="U17" s="601"/>
      <c r="V17" s="602">
        <f>V16*2</f>
        <v>10331.340229885058</v>
      </c>
      <c r="W17" s="600">
        <f>V17+V17*50%</f>
        <v>15497.010344827588</v>
      </c>
      <c r="X17" s="491">
        <v>12000</v>
      </c>
    </row>
    <row r="18" spans="1:24" ht="16.5" thickBot="1" x14ac:dyDescent="0.3">
      <c r="I18" s="81" t="s">
        <v>1559</v>
      </c>
      <c r="J18" s="101"/>
      <c r="K18" s="101"/>
      <c r="L18" s="101"/>
      <c r="M18" s="73"/>
      <c r="N18" s="73"/>
      <c r="O18" s="204">
        <v>12000</v>
      </c>
    </row>
    <row r="20" spans="1:24" s="1453" customFormat="1" ht="15" customHeight="1" x14ac:dyDescent="0.55000000000000004">
      <c r="A20" s="1455"/>
      <c r="B20" s="1455"/>
      <c r="C20" s="1455"/>
      <c r="D20" s="1455"/>
      <c r="E20" s="1455"/>
      <c r="F20" s="1455"/>
      <c r="G20" s="1455"/>
      <c r="H20" s="1456" t="s">
        <v>4773</v>
      </c>
      <c r="I20" s="1455"/>
      <c r="J20" s="1455"/>
      <c r="K20" s="1455"/>
      <c r="L20" s="1455"/>
      <c r="M20" s="1455"/>
      <c r="N20" s="1455"/>
      <c r="O20" s="1455"/>
      <c r="P20" s="1455"/>
      <c r="Q20" s="1455"/>
      <c r="R20" s="1455"/>
      <c r="S20" s="1455"/>
    </row>
    <row r="22" spans="1:24" ht="15.75" thickBot="1" x14ac:dyDescent="0.3"/>
    <row r="23" spans="1:24" ht="16.5" thickBot="1" x14ac:dyDescent="0.3">
      <c r="A23" s="1565" t="s">
        <v>1866</v>
      </c>
      <c r="B23" s="1566"/>
      <c r="C23" s="1566"/>
      <c r="D23" s="1566"/>
      <c r="E23" s="1566"/>
      <c r="F23" s="1567"/>
      <c r="J23" s="1565" t="s">
        <v>3042</v>
      </c>
      <c r="K23" s="1566"/>
      <c r="L23" s="1566"/>
      <c r="M23" s="1566"/>
      <c r="N23" s="1566"/>
      <c r="O23" s="1567"/>
      <c r="P23" s="171"/>
    </row>
    <row r="24" spans="1:24" ht="15.75" x14ac:dyDescent="0.25">
      <c r="A24" s="183" t="s">
        <v>916</v>
      </c>
      <c r="B24" s="97" t="s">
        <v>742</v>
      </c>
      <c r="C24" s="97" t="s">
        <v>247</v>
      </c>
      <c r="D24" s="97" t="s">
        <v>1566</v>
      </c>
      <c r="E24" s="76" t="s">
        <v>1035</v>
      </c>
      <c r="F24" s="77" t="s">
        <v>1549</v>
      </c>
      <c r="G24" s="171"/>
      <c r="H24" s="171"/>
      <c r="J24" s="183" t="s">
        <v>916</v>
      </c>
      <c r="K24" s="97" t="s">
        <v>742</v>
      </c>
      <c r="L24" s="97" t="s">
        <v>1607</v>
      </c>
      <c r="M24" s="97" t="s">
        <v>1566</v>
      </c>
      <c r="N24" s="76" t="s">
        <v>1035</v>
      </c>
      <c r="O24" s="77" t="s">
        <v>1549</v>
      </c>
      <c r="P24" s="1"/>
    </row>
    <row r="25" spans="1:24" ht="15.75" x14ac:dyDescent="0.25">
      <c r="A25" s="3" t="s">
        <v>1870</v>
      </c>
      <c r="B25" s="98"/>
      <c r="C25" s="98"/>
      <c r="D25" s="98">
        <v>1</v>
      </c>
      <c r="E25" s="102">
        <f>'INSUMOS VARIOS'!I57</f>
        <v>2800</v>
      </c>
      <c r="F25" s="39">
        <f>E25*D25</f>
        <v>2800</v>
      </c>
      <c r="G25" s="1"/>
      <c r="H25" s="1"/>
      <c r="J25" s="3" t="s">
        <v>3038</v>
      </c>
      <c r="K25" s="98"/>
      <c r="L25" s="98"/>
      <c r="M25" s="98"/>
      <c r="N25" s="102">
        <v>915</v>
      </c>
      <c r="O25" s="39">
        <v>915</v>
      </c>
      <c r="P25" s="1"/>
    </row>
    <row r="26" spans="1:24" ht="15.75" x14ac:dyDescent="0.25">
      <c r="A26" s="184" t="s">
        <v>1552</v>
      </c>
      <c r="B26" s="98"/>
      <c r="C26" s="98"/>
      <c r="D26" s="98">
        <v>18</v>
      </c>
      <c r="E26" s="102">
        <f>'RESINA - ACRILICOS'!L39</f>
        <v>52.375</v>
      </c>
      <c r="F26" s="39">
        <f>E26*D26</f>
        <v>942.75</v>
      </c>
      <c r="G26" s="1"/>
      <c r="H26" s="1"/>
      <c r="J26" s="184" t="s">
        <v>3039</v>
      </c>
      <c r="K26" s="98"/>
      <c r="L26" s="98"/>
      <c r="M26" s="98"/>
      <c r="N26" s="102"/>
      <c r="O26" s="39">
        <v>500</v>
      </c>
      <c r="P26" s="1"/>
    </row>
    <row r="27" spans="1:24" ht="15.75" x14ac:dyDescent="0.25">
      <c r="A27" s="184" t="s">
        <v>4771</v>
      </c>
      <c r="B27" s="98"/>
      <c r="C27" s="98"/>
      <c r="D27" s="98" t="s">
        <v>4754</v>
      </c>
      <c r="E27" s="102">
        <f>'RESINA - ACRILICOS'!L20</f>
        <v>3227.8</v>
      </c>
      <c r="F27" s="39">
        <f>E27</f>
        <v>3227.8</v>
      </c>
      <c r="G27" s="1"/>
      <c r="H27" s="1"/>
      <c r="J27" s="184" t="s">
        <v>3040</v>
      </c>
      <c r="K27" s="98"/>
      <c r="L27" s="98"/>
      <c r="M27" s="98"/>
      <c r="N27" s="102"/>
      <c r="O27" s="39">
        <v>50</v>
      </c>
      <c r="P27" s="1"/>
    </row>
    <row r="28" spans="1:24" ht="15.75" x14ac:dyDescent="0.25">
      <c r="A28" s="184" t="s">
        <v>1224</v>
      </c>
      <c r="B28" s="98"/>
      <c r="C28" s="98"/>
      <c r="D28" s="98">
        <v>3</v>
      </c>
      <c r="E28" s="186">
        <f>'HILOS-CORDONES-TANZA-CUERO'!E5</f>
        <v>50.35</v>
      </c>
      <c r="F28" s="39">
        <f t="shared" ref="F28:F31" si="3">E28*D28</f>
        <v>151.05000000000001</v>
      </c>
      <c r="G28" s="1"/>
      <c r="H28" s="1"/>
      <c r="J28" s="184" t="s">
        <v>1879</v>
      </c>
      <c r="K28" s="98"/>
      <c r="L28" s="98"/>
      <c r="M28" s="98"/>
      <c r="N28" s="102"/>
      <c r="O28" s="39">
        <v>100</v>
      </c>
      <c r="P28" s="1"/>
    </row>
    <row r="29" spans="1:24" ht="15.75" x14ac:dyDescent="0.25">
      <c r="A29" s="184" t="s">
        <v>1871</v>
      </c>
      <c r="B29" s="98"/>
      <c r="C29" s="98"/>
      <c r="D29" s="98">
        <v>7</v>
      </c>
      <c r="E29" s="102">
        <f>'RESINA - ACRILICOS'!M32</f>
        <v>56.097560975609753</v>
      </c>
      <c r="F29" s="39">
        <f t="shared" si="3"/>
        <v>392.68292682926824</v>
      </c>
      <c r="G29" s="1"/>
      <c r="H29" s="1"/>
      <c r="J29" s="184" t="s">
        <v>3041</v>
      </c>
      <c r="K29" s="98"/>
      <c r="L29" s="98"/>
      <c r="M29" s="98"/>
      <c r="N29" s="102"/>
      <c r="O29" s="39">
        <v>538</v>
      </c>
      <c r="P29" s="1"/>
    </row>
    <row r="30" spans="1:24" ht="16.5" customHeight="1" thickBot="1" x14ac:dyDescent="0.3">
      <c r="A30" s="184" t="s">
        <v>1572</v>
      </c>
      <c r="B30" s="98"/>
      <c r="C30" s="98"/>
      <c r="D30" s="98">
        <v>7</v>
      </c>
      <c r="E30" s="102">
        <f>'INSUMOS VARIOS'!T19</f>
        <v>1</v>
      </c>
      <c r="F30" s="39">
        <f t="shared" si="3"/>
        <v>7</v>
      </c>
      <c r="G30" s="1"/>
      <c r="H30" s="1"/>
      <c r="J30" s="79" t="s">
        <v>525</v>
      </c>
      <c r="K30" s="99"/>
      <c r="L30" s="99"/>
      <c r="M30" s="99"/>
      <c r="N30" s="70"/>
      <c r="O30" s="51">
        <f>SUM(O25:O29)</f>
        <v>2103</v>
      </c>
      <c r="P30" s="1"/>
    </row>
    <row r="31" spans="1:24" ht="16.5" thickBot="1" x14ac:dyDescent="0.3">
      <c r="A31" s="184" t="s">
        <v>1872</v>
      </c>
      <c r="B31" s="98"/>
      <c r="C31" s="98"/>
      <c r="D31" s="98">
        <v>3</v>
      </c>
      <c r="E31" s="102">
        <f>'HILOS-CORDONES-TANZA-CUERO'!L7</f>
        <v>9</v>
      </c>
      <c r="F31" s="39">
        <f t="shared" si="3"/>
        <v>27</v>
      </c>
      <c r="G31" s="1"/>
      <c r="H31" s="1"/>
      <c r="J31" s="596" t="s">
        <v>1559</v>
      </c>
      <c r="K31" s="601"/>
      <c r="L31" s="601"/>
      <c r="M31" s="601"/>
      <c r="N31" s="601"/>
      <c r="O31" s="602">
        <f>O30*2</f>
        <v>4206</v>
      </c>
      <c r="P31" s="600">
        <f>O31+O31*50%</f>
        <v>6309</v>
      </c>
      <c r="Q31" s="491">
        <v>8400</v>
      </c>
    </row>
    <row r="32" spans="1:24" ht="16.5" thickBot="1" x14ac:dyDescent="0.3">
      <c r="A32" s="184" t="s">
        <v>1557</v>
      </c>
      <c r="B32" s="98"/>
      <c r="C32" s="98"/>
      <c r="D32" s="98"/>
      <c r="E32" s="102"/>
      <c r="F32" s="39">
        <v>150</v>
      </c>
      <c r="G32" s="1"/>
      <c r="H32" s="1"/>
    </row>
    <row r="33" spans="1:17" ht="16.5" thickBot="1" x14ac:dyDescent="0.3">
      <c r="A33" s="184" t="s">
        <v>1879</v>
      </c>
      <c r="B33" s="98"/>
      <c r="C33" s="98"/>
      <c r="D33" s="98"/>
      <c r="E33" s="102"/>
      <c r="F33" s="39">
        <v>490</v>
      </c>
      <c r="G33" s="1"/>
      <c r="H33" s="1"/>
      <c r="J33" s="1565" t="s">
        <v>1111</v>
      </c>
      <c r="K33" s="1566"/>
      <c r="L33" s="1566"/>
      <c r="M33" s="1566"/>
      <c r="N33" s="1566"/>
      <c r="O33" s="1567"/>
      <c r="P33" s="171"/>
    </row>
    <row r="34" spans="1:17" ht="15.75" x14ac:dyDescent="0.25">
      <c r="A34" s="184" t="s">
        <v>1880</v>
      </c>
      <c r="B34" s="98"/>
      <c r="C34" s="98"/>
      <c r="D34" s="98"/>
      <c r="E34" s="102"/>
      <c r="F34" s="39">
        <v>840</v>
      </c>
      <c r="G34" s="1"/>
      <c r="H34" s="1"/>
      <c r="J34" s="183" t="s">
        <v>916</v>
      </c>
      <c r="K34" s="97" t="s">
        <v>742</v>
      </c>
      <c r="L34" s="97" t="s">
        <v>1607</v>
      </c>
      <c r="M34" s="97" t="s">
        <v>3088</v>
      </c>
      <c r="N34" s="76" t="s">
        <v>3087</v>
      </c>
      <c r="O34" s="77" t="s">
        <v>1549</v>
      </c>
      <c r="P34" s="1"/>
    </row>
    <row r="35" spans="1:17" ht="15.75" x14ac:dyDescent="0.25">
      <c r="A35" s="184" t="s">
        <v>1558</v>
      </c>
      <c r="B35" s="98">
        <v>60</v>
      </c>
      <c r="C35" s="98"/>
      <c r="D35" s="98">
        <v>15</v>
      </c>
      <c r="E35" s="102">
        <f>'INSUMOS VARIOS'!B3</f>
        <v>3500</v>
      </c>
      <c r="F35" s="39">
        <f>E35*D35/B35</f>
        <v>875</v>
      </c>
      <c r="G35" s="1"/>
      <c r="H35" s="1"/>
      <c r="J35" s="3" t="s">
        <v>1676</v>
      </c>
      <c r="K35" s="98">
        <v>1000</v>
      </c>
      <c r="L35" s="98"/>
      <c r="M35" s="98">
        <v>40</v>
      </c>
      <c r="N35" s="102">
        <v>15000</v>
      </c>
      <c r="O35" s="39">
        <f>(M35*N35)/K35</f>
        <v>600</v>
      </c>
      <c r="P35" s="1"/>
    </row>
    <row r="36" spans="1:17" ht="16.5" thickBot="1" x14ac:dyDescent="0.3">
      <c r="A36" s="79" t="s">
        <v>525</v>
      </c>
      <c r="B36" s="99"/>
      <c r="C36" s="99"/>
      <c r="D36" s="99"/>
      <c r="E36" s="70"/>
      <c r="F36" s="51">
        <f>SUM(F25:F35)</f>
        <v>9903.2829268292699</v>
      </c>
      <c r="G36" s="1"/>
      <c r="J36" s="184" t="s">
        <v>3086</v>
      </c>
      <c r="K36" s="98"/>
      <c r="L36" s="98"/>
      <c r="M36" s="98"/>
      <c r="N36" s="102"/>
      <c r="O36" s="39">
        <v>10</v>
      </c>
      <c r="P36" s="1"/>
    </row>
    <row r="37" spans="1:17" ht="16.5" thickBot="1" x14ac:dyDescent="0.3">
      <c r="A37" s="81" t="s">
        <v>1559</v>
      </c>
      <c r="B37" s="101"/>
      <c r="C37" s="101"/>
      <c r="D37" s="101"/>
      <c r="E37" s="73"/>
      <c r="F37" s="219">
        <f>F36*2</f>
        <v>19806.56585365854</v>
      </c>
      <c r="G37" s="527">
        <f>F37+F37*50%</f>
        <v>29709.84878048781</v>
      </c>
      <c r="H37" s="491">
        <v>32000</v>
      </c>
      <c r="J37" s="184" t="s">
        <v>1879</v>
      </c>
      <c r="K37" s="98"/>
      <c r="L37" s="98"/>
      <c r="M37" s="98"/>
      <c r="N37" s="102"/>
      <c r="O37" s="39">
        <v>10</v>
      </c>
      <c r="P37" s="1"/>
    </row>
    <row r="38" spans="1:17" ht="16.5" thickBot="1" x14ac:dyDescent="0.3">
      <c r="J38" s="79" t="s">
        <v>525</v>
      </c>
      <c r="K38" s="99"/>
      <c r="L38" s="99"/>
      <c r="M38" s="99"/>
      <c r="N38" s="70"/>
      <c r="O38" s="51">
        <f>SUM(O35:O37)</f>
        <v>620</v>
      </c>
      <c r="P38" s="1"/>
    </row>
    <row r="39" spans="1:17" ht="16.5" thickBot="1" x14ac:dyDescent="0.3">
      <c r="A39" s="1565" t="s">
        <v>1867</v>
      </c>
      <c r="B39" s="1566"/>
      <c r="C39" s="1566"/>
      <c r="D39" s="1566"/>
      <c r="E39" s="1566"/>
      <c r="F39" s="1567"/>
      <c r="G39" s="171"/>
      <c r="H39" s="171"/>
      <c r="J39" s="596" t="s">
        <v>1559</v>
      </c>
      <c r="K39" s="601"/>
      <c r="L39" s="601"/>
      <c r="M39" s="601"/>
      <c r="N39" s="601"/>
      <c r="O39" s="602">
        <f>O38*2</f>
        <v>1240</v>
      </c>
      <c r="P39" s="600">
        <f>O39+O39*40%</f>
        <v>1736</v>
      </c>
      <c r="Q39" s="491">
        <v>2400</v>
      </c>
    </row>
    <row r="40" spans="1:17" ht="16.5" thickBot="1" x14ac:dyDescent="0.3">
      <c r="A40" s="183" t="s">
        <v>916</v>
      </c>
      <c r="B40" s="97" t="s">
        <v>742</v>
      </c>
      <c r="C40" s="97" t="s">
        <v>1869</v>
      </c>
      <c r="D40" s="97" t="s">
        <v>1566</v>
      </c>
      <c r="E40" s="76" t="s">
        <v>1035</v>
      </c>
      <c r="F40" s="77" t="s">
        <v>1549</v>
      </c>
      <c r="G40" s="1"/>
      <c r="H40" s="1"/>
    </row>
    <row r="41" spans="1:17" ht="16.5" thickBot="1" x14ac:dyDescent="0.3">
      <c r="A41" s="3" t="s">
        <v>1870</v>
      </c>
      <c r="B41" s="98"/>
      <c r="C41" s="98"/>
      <c r="D41" s="98">
        <v>1</v>
      </c>
      <c r="E41" s="102">
        <f>'INSUMOS VARIOS'!I57</f>
        <v>2800</v>
      </c>
      <c r="F41" s="39">
        <f>E41*D41</f>
        <v>2800</v>
      </c>
      <c r="G41" s="1"/>
      <c r="H41" s="1"/>
      <c r="J41" s="1565" t="s">
        <v>3085</v>
      </c>
      <c r="K41" s="1566"/>
      <c r="L41" s="1566"/>
      <c r="M41" s="1566"/>
      <c r="N41" s="1566"/>
      <c r="O41" s="1567"/>
      <c r="P41" s="171"/>
    </row>
    <row r="42" spans="1:17" ht="15.75" x14ac:dyDescent="0.25">
      <c r="A42" s="184" t="s">
        <v>1552</v>
      </c>
      <c r="B42" s="98"/>
      <c r="C42" s="98"/>
      <c r="D42" s="98">
        <v>18</v>
      </c>
      <c r="E42" s="102">
        <f>'RESINA - ACRILICOS'!L37</f>
        <v>52.375</v>
      </c>
      <c r="F42" s="39">
        <f>E42*D42</f>
        <v>942.75</v>
      </c>
      <c r="J42" s="183" t="s">
        <v>916</v>
      </c>
      <c r="K42" s="97" t="s">
        <v>742</v>
      </c>
      <c r="L42" s="97" t="s">
        <v>1607</v>
      </c>
      <c r="M42" s="97" t="s">
        <v>3088</v>
      </c>
      <c r="N42" s="76" t="s">
        <v>3087</v>
      </c>
      <c r="O42" s="77" t="s">
        <v>1549</v>
      </c>
      <c r="P42" s="1"/>
    </row>
    <row r="43" spans="1:17" ht="15.75" x14ac:dyDescent="0.25">
      <c r="A43" s="184" t="s">
        <v>4771</v>
      </c>
      <c r="B43" s="98"/>
      <c r="C43" s="98"/>
      <c r="D43" s="98" t="s">
        <v>4754</v>
      </c>
      <c r="E43" s="102">
        <f>'RESINA - ACRILICOS'!L20</f>
        <v>3227.8</v>
      </c>
      <c r="F43" s="39">
        <f>E43</f>
        <v>3227.8</v>
      </c>
      <c r="G43" s="1"/>
      <c r="H43" s="1"/>
      <c r="J43" s="3" t="s">
        <v>1676</v>
      </c>
      <c r="K43" s="98">
        <v>1000</v>
      </c>
      <c r="L43" s="98"/>
      <c r="M43" s="98">
        <v>15</v>
      </c>
      <c r="N43" s="102">
        <v>15000</v>
      </c>
      <c r="O43" s="39">
        <f>(M43*N43)/K43</f>
        <v>225</v>
      </c>
      <c r="P43" s="1"/>
    </row>
    <row r="44" spans="1:17" ht="15.75" x14ac:dyDescent="0.25">
      <c r="A44" s="184" t="s">
        <v>1224</v>
      </c>
      <c r="B44" s="98"/>
      <c r="C44" s="98"/>
      <c r="D44" s="98">
        <v>3</v>
      </c>
      <c r="E44" s="102">
        <f>'HILOS-CORDONES-TANZA-CUERO'!E5</f>
        <v>50.35</v>
      </c>
      <c r="F44" s="39">
        <f t="shared" ref="F44:F47" si="4">E44*D44</f>
        <v>151.05000000000001</v>
      </c>
      <c r="G44" s="1"/>
      <c r="H44" s="1"/>
      <c r="J44" s="184" t="s">
        <v>3086</v>
      </c>
      <c r="K44" s="98"/>
      <c r="L44" s="98"/>
      <c r="M44" s="98"/>
      <c r="N44" s="102"/>
      <c r="O44" s="39">
        <v>10</v>
      </c>
      <c r="P44" s="1"/>
    </row>
    <row r="45" spans="1:17" ht="15.75" x14ac:dyDescent="0.25">
      <c r="A45" s="184" t="s">
        <v>1804</v>
      </c>
      <c r="B45" s="98"/>
      <c r="C45" s="98"/>
      <c r="D45" s="98">
        <v>8</v>
      </c>
      <c r="E45" s="102">
        <f>'RESINA - ACRILICOS'!M32</f>
        <v>56.097560975609753</v>
      </c>
      <c r="F45" s="39">
        <f t="shared" si="4"/>
        <v>448.78048780487802</v>
      </c>
      <c r="G45" s="1"/>
      <c r="H45" s="1"/>
      <c r="J45" s="184" t="s">
        <v>1879</v>
      </c>
      <c r="K45" s="98"/>
      <c r="L45" s="98"/>
      <c r="M45" s="98"/>
      <c r="N45" s="102"/>
      <c r="O45" s="39">
        <v>10</v>
      </c>
      <c r="P45" s="1"/>
    </row>
    <row r="46" spans="1:17" ht="16.5" thickBot="1" x14ac:dyDescent="0.3">
      <c r="A46" s="184" t="s">
        <v>1572</v>
      </c>
      <c r="B46" s="98"/>
      <c r="C46" s="98"/>
      <c r="D46" s="98">
        <v>8</v>
      </c>
      <c r="E46" s="102">
        <f>'INSUMOS VARIOS'!T19</f>
        <v>1</v>
      </c>
      <c r="F46" s="39">
        <f t="shared" si="4"/>
        <v>8</v>
      </c>
      <c r="G46" s="1"/>
      <c r="H46" s="1"/>
      <c r="J46" s="79" t="s">
        <v>525</v>
      </c>
      <c r="K46" s="99"/>
      <c r="L46" s="99"/>
      <c r="M46" s="99"/>
      <c r="N46" s="70"/>
      <c r="O46" s="51">
        <f>SUM(O43:O45)</f>
        <v>245</v>
      </c>
      <c r="P46" s="1"/>
    </row>
    <row r="47" spans="1:17" ht="16.5" thickBot="1" x14ac:dyDescent="0.3">
      <c r="A47" s="184" t="s">
        <v>1872</v>
      </c>
      <c r="B47" s="98"/>
      <c r="C47" s="98"/>
      <c r="D47" s="98">
        <v>3</v>
      </c>
      <c r="E47" s="102">
        <f>'HILOS-CORDONES-TANZA-CUERO'!L7</f>
        <v>9</v>
      </c>
      <c r="F47" s="39">
        <f t="shared" si="4"/>
        <v>27</v>
      </c>
      <c r="G47" s="1"/>
      <c r="H47" s="1"/>
      <c r="J47" s="596" t="s">
        <v>1559</v>
      </c>
      <c r="K47" s="601"/>
      <c r="L47" s="601"/>
      <c r="M47" s="601"/>
      <c r="N47" s="601"/>
      <c r="O47" s="602">
        <f>O46*2</f>
        <v>490</v>
      </c>
      <c r="P47" s="600">
        <f>O47+O47*40%</f>
        <v>686</v>
      </c>
      <c r="Q47" s="491">
        <v>1200</v>
      </c>
    </row>
    <row r="48" spans="1:17" ht="15.75" x14ac:dyDescent="0.25">
      <c r="A48" s="184" t="s">
        <v>1557</v>
      </c>
      <c r="B48" s="98"/>
      <c r="C48" s="98"/>
      <c r="D48" s="98"/>
      <c r="E48" s="102"/>
      <c r="F48" s="39">
        <v>150</v>
      </c>
      <c r="G48" s="1"/>
      <c r="H48" s="1"/>
    </row>
    <row r="49" spans="1:8" ht="15.75" x14ac:dyDescent="0.25">
      <c r="A49" s="184" t="s">
        <v>1879</v>
      </c>
      <c r="B49" s="98"/>
      <c r="C49" s="98"/>
      <c r="D49" s="98"/>
      <c r="E49" s="102"/>
      <c r="F49" s="39">
        <v>490</v>
      </c>
      <c r="G49" s="1"/>
      <c r="H49" s="1"/>
    </row>
    <row r="50" spans="1:8" ht="15.75" x14ac:dyDescent="0.25">
      <c r="A50" s="184" t="s">
        <v>1880</v>
      </c>
      <c r="B50" s="98"/>
      <c r="C50" s="98"/>
      <c r="D50" s="98"/>
      <c r="E50" s="102"/>
      <c r="F50" s="39">
        <v>840</v>
      </c>
      <c r="G50" s="1"/>
      <c r="H50" s="1"/>
    </row>
    <row r="51" spans="1:8" ht="15.75" x14ac:dyDescent="0.25">
      <c r="A51" s="184" t="s">
        <v>1558</v>
      </c>
      <c r="B51" s="98">
        <v>60</v>
      </c>
      <c r="C51" s="98"/>
      <c r="D51" s="98">
        <v>15</v>
      </c>
      <c r="E51" s="102">
        <f>'INSUMOS VARIOS'!B3</f>
        <v>3500</v>
      </c>
      <c r="F51" s="39">
        <f>E51*D51/B51</f>
        <v>875</v>
      </c>
    </row>
    <row r="52" spans="1:8" ht="16.5" thickBot="1" x14ac:dyDescent="0.3">
      <c r="A52" s="79" t="s">
        <v>525</v>
      </c>
      <c r="B52" s="99"/>
      <c r="C52" s="99"/>
      <c r="D52" s="99"/>
      <c r="E52" s="70"/>
      <c r="F52" s="51">
        <f>SUM(F41:F51)</f>
        <v>9960.3804878048795</v>
      </c>
    </row>
    <row r="53" spans="1:8" ht="16.5" thickBot="1" x14ac:dyDescent="0.3">
      <c r="A53" s="81" t="s">
        <v>1559</v>
      </c>
      <c r="B53" s="101"/>
      <c r="C53" s="101"/>
      <c r="D53" s="101"/>
      <c r="E53" s="73"/>
      <c r="F53" s="219">
        <f>F52*2</f>
        <v>19920.760975609759</v>
      </c>
      <c r="G53" s="600">
        <f>F53+F53*50%</f>
        <v>29881.141463414639</v>
      </c>
      <c r="H53" s="491">
        <v>32000</v>
      </c>
    </row>
    <row r="54" spans="1:8" ht="16.5" thickBot="1" x14ac:dyDescent="0.3">
      <c r="G54" s="171"/>
      <c r="H54" s="171"/>
    </row>
    <row r="55" spans="1:8" ht="16.5" thickBot="1" x14ac:dyDescent="0.3">
      <c r="A55" s="1565" t="s">
        <v>1868</v>
      </c>
      <c r="B55" s="1566"/>
      <c r="C55" s="1566"/>
      <c r="D55" s="1566"/>
      <c r="E55" s="1566"/>
      <c r="F55" s="1567"/>
      <c r="G55" s="1"/>
      <c r="H55" s="1"/>
    </row>
    <row r="56" spans="1:8" ht="15.75" x14ac:dyDescent="0.25">
      <c r="A56" s="183" t="s">
        <v>916</v>
      </c>
      <c r="B56" s="97" t="s">
        <v>742</v>
      </c>
      <c r="C56" s="97" t="s">
        <v>1607</v>
      </c>
      <c r="D56" s="97" t="s">
        <v>1566</v>
      </c>
      <c r="E56" s="76" t="s">
        <v>1035</v>
      </c>
      <c r="F56" s="77" t="s">
        <v>1549</v>
      </c>
      <c r="G56" s="1"/>
      <c r="H56" s="1"/>
    </row>
    <row r="57" spans="1:8" ht="15.75" x14ac:dyDescent="0.25">
      <c r="A57" s="3" t="s">
        <v>1870</v>
      </c>
      <c r="B57" s="98"/>
      <c r="C57" s="98"/>
      <c r="D57" s="98">
        <v>1</v>
      </c>
      <c r="E57" s="102">
        <f>'INSUMOS VARIOS'!I57</f>
        <v>2800</v>
      </c>
      <c r="F57" s="39">
        <f>E57*D57</f>
        <v>2800</v>
      </c>
      <c r="G57" s="1"/>
      <c r="H57" s="1"/>
    </row>
    <row r="58" spans="1:8" ht="15.75" x14ac:dyDescent="0.25">
      <c r="A58" s="184" t="s">
        <v>1552</v>
      </c>
      <c r="B58" s="98"/>
      <c r="C58" s="98"/>
      <c r="D58" s="98">
        <v>18</v>
      </c>
      <c r="E58" s="102">
        <f>'RESINA - ACRILICOS'!L38</f>
        <v>52.375</v>
      </c>
      <c r="F58" s="39">
        <f>E58*D58</f>
        <v>942.75</v>
      </c>
      <c r="G58" s="1"/>
      <c r="H58" s="1"/>
    </row>
    <row r="59" spans="1:8" ht="15.75" x14ac:dyDescent="0.25">
      <c r="A59" s="184" t="s">
        <v>4771</v>
      </c>
      <c r="B59" s="98"/>
      <c r="C59" s="98"/>
      <c r="D59" s="98" t="s">
        <v>4754</v>
      </c>
      <c r="E59" s="102">
        <f>'RESINA - ACRILICOS'!L20</f>
        <v>3227.8</v>
      </c>
      <c r="F59" s="39">
        <f>E59</f>
        <v>3227.8</v>
      </c>
      <c r="G59" s="1"/>
      <c r="H59" s="1"/>
    </row>
    <row r="60" spans="1:8" ht="15.75" x14ac:dyDescent="0.25">
      <c r="A60" s="184" t="s">
        <v>1691</v>
      </c>
      <c r="B60" s="98"/>
      <c r="C60" s="98"/>
      <c r="D60" s="98">
        <v>36</v>
      </c>
      <c r="E60" s="102">
        <f>'PALAIS DU BIJOU'!M26</f>
        <v>2.4333333333333331</v>
      </c>
      <c r="F60" s="39">
        <f t="shared" ref="F60:F64" si="5">E60*D60</f>
        <v>87.6</v>
      </c>
      <c r="G60" s="1"/>
      <c r="H60" s="1"/>
    </row>
    <row r="61" spans="1:8" ht="15.75" x14ac:dyDescent="0.25">
      <c r="A61" s="184" t="s">
        <v>1224</v>
      </c>
      <c r="B61" s="98"/>
      <c r="C61" s="98"/>
      <c r="D61" s="98">
        <v>3</v>
      </c>
      <c r="E61" s="102">
        <f>'HILOS-CORDONES-TANZA-CUERO'!E5</f>
        <v>50.35</v>
      </c>
      <c r="F61" s="39">
        <f t="shared" si="5"/>
        <v>151.05000000000001</v>
      </c>
      <c r="G61" s="1"/>
      <c r="H61" s="1"/>
    </row>
    <row r="62" spans="1:8" ht="15.75" x14ac:dyDescent="0.25">
      <c r="A62" s="184" t="s">
        <v>1506</v>
      </c>
      <c r="B62" s="98"/>
      <c r="C62" s="98"/>
      <c r="D62" s="98">
        <v>8</v>
      </c>
      <c r="E62" s="102">
        <f>'RESINA - ACRILICOS'!M31</f>
        <v>22.15</v>
      </c>
      <c r="F62" s="39">
        <f t="shared" si="5"/>
        <v>177.2</v>
      </c>
      <c r="G62" s="1"/>
      <c r="H62" s="1"/>
    </row>
    <row r="63" spans="1:8" ht="15.75" x14ac:dyDescent="0.25">
      <c r="A63" s="184" t="s">
        <v>1572</v>
      </c>
      <c r="B63" s="98"/>
      <c r="C63" s="98"/>
      <c r="D63" s="98">
        <v>8</v>
      </c>
      <c r="E63" s="102">
        <f>'INSUMOS VARIOS'!T19</f>
        <v>1</v>
      </c>
      <c r="F63" s="39">
        <f t="shared" si="5"/>
        <v>8</v>
      </c>
      <c r="G63" s="1"/>
      <c r="H63" s="1"/>
    </row>
    <row r="64" spans="1:8" ht="15.75" x14ac:dyDescent="0.25">
      <c r="A64" s="184" t="s">
        <v>1872</v>
      </c>
      <c r="B64" s="98"/>
      <c r="C64" s="98"/>
      <c r="D64" s="98">
        <v>3</v>
      </c>
      <c r="E64" s="102">
        <f>'HILOS-CORDONES-TANZA-CUERO'!L7</f>
        <v>9</v>
      </c>
      <c r="F64" s="39">
        <f t="shared" si="5"/>
        <v>27</v>
      </c>
      <c r="G64" s="1"/>
      <c r="H64" s="1"/>
    </row>
    <row r="65" spans="1:8" ht="15.75" x14ac:dyDescent="0.25">
      <c r="A65" s="184" t="s">
        <v>3234</v>
      </c>
      <c r="B65" s="98"/>
      <c r="C65" s="98"/>
      <c r="D65" s="98"/>
      <c r="E65" s="102"/>
      <c r="F65" s="39">
        <v>150</v>
      </c>
      <c r="G65" s="1"/>
      <c r="H65" s="1"/>
    </row>
    <row r="66" spans="1:8" ht="15.75" x14ac:dyDescent="0.25">
      <c r="A66" s="184" t="s">
        <v>1879</v>
      </c>
      <c r="B66" s="98"/>
      <c r="C66" s="98"/>
      <c r="D66" s="98"/>
      <c r="E66" s="102"/>
      <c r="F66" s="39">
        <v>490</v>
      </c>
      <c r="G66" s="1"/>
      <c r="H66" s="1"/>
    </row>
    <row r="67" spans="1:8" ht="15.75" x14ac:dyDescent="0.25">
      <c r="A67" s="184" t="s">
        <v>1880</v>
      </c>
      <c r="B67" s="98"/>
      <c r="C67" s="98"/>
      <c r="D67" s="98"/>
      <c r="E67" s="102"/>
      <c r="F67" s="39">
        <v>840</v>
      </c>
      <c r="G67" s="1"/>
    </row>
    <row r="68" spans="1:8" ht="15.75" x14ac:dyDescent="0.25">
      <c r="A68" s="184" t="s">
        <v>1558</v>
      </c>
      <c r="B68" s="98">
        <v>60</v>
      </c>
      <c r="C68" s="98"/>
      <c r="D68" s="98">
        <v>15</v>
      </c>
      <c r="E68" s="102">
        <f>'INSUMOS VARIOS'!B3</f>
        <v>3500</v>
      </c>
      <c r="F68" s="39">
        <f>E68*D68/B68</f>
        <v>875</v>
      </c>
    </row>
    <row r="69" spans="1:8" ht="16.5" thickBot="1" x14ac:dyDescent="0.3">
      <c r="A69" s="79" t="s">
        <v>525</v>
      </c>
      <c r="B69" s="99"/>
      <c r="C69" s="99"/>
      <c r="D69" s="99"/>
      <c r="E69" s="70"/>
      <c r="F69" s="51">
        <f>SUM(F57:F68)</f>
        <v>9776.4000000000015</v>
      </c>
    </row>
    <row r="70" spans="1:8" ht="16.5" thickBot="1" x14ac:dyDescent="0.3">
      <c r="A70" s="596" t="s">
        <v>1559</v>
      </c>
      <c r="B70" s="601"/>
      <c r="C70" s="601"/>
      <c r="D70" s="601"/>
      <c r="E70" s="601"/>
      <c r="F70" s="1454">
        <f>F69*2</f>
        <v>19552.800000000003</v>
      </c>
      <c r="G70" s="600">
        <f>F70+F70*50%</f>
        <v>29329.200000000004</v>
      </c>
      <c r="H70" s="491">
        <v>32000</v>
      </c>
    </row>
  </sheetData>
  <mergeCells count="9">
    <mergeCell ref="Q1:V1"/>
    <mergeCell ref="J23:O23"/>
    <mergeCell ref="A23:F23"/>
    <mergeCell ref="A39:F39"/>
    <mergeCell ref="A55:F55"/>
    <mergeCell ref="J33:O33"/>
    <mergeCell ref="J41:O41"/>
    <mergeCell ref="A1:F1"/>
    <mergeCell ref="I1:N1"/>
  </mergeCells>
  <pageMargins left="0.7" right="0.7" top="0.75" bottom="0.75" header="0.3" footer="0.3"/>
  <ignoredErrors>
    <ignoredError sqref="F10 V5 F27 F43 F59" formula="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B921B-F572-4DFA-B58D-2B05513C415A}">
  <dimension ref="A1:R185"/>
  <sheetViews>
    <sheetView topLeftCell="A32" workbookViewId="0">
      <selection activeCell="H49" sqref="H49"/>
    </sheetView>
  </sheetViews>
  <sheetFormatPr baseColWidth="10" defaultRowHeight="15" x14ac:dyDescent="0.25"/>
  <cols>
    <col min="1" max="1" width="22.85546875" bestFit="1" customWidth="1"/>
    <col min="7" max="7" width="11.85546875" bestFit="1" customWidth="1"/>
    <col min="8" max="8" width="15.85546875" bestFit="1" customWidth="1"/>
    <col min="11" max="11" width="12.85546875" bestFit="1" customWidth="1"/>
  </cols>
  <sheetData>
    <row r="1" spans="1:18" ht="15.75" thickBot="1" x14ac:dyDescent="0.3"/>
    <row r="2" spans="1:18" ht="16.5" thickBot="1" x14ac:dyDescent="0.3">
      <c r="A2" s="1576" t="s">
        <v>119</v>
      </c>
      <c r="B2" s="1577"/>
      <c r="C2" s="1577"/>
      <c r="D2" s="1577"/>
      <c r="E2" s="1577"/>
      <c r="F2" s="1577"/>
      <c r="G2" s="1"/>
      <c r="H2" s="1"/>
      <c r="K2" s="1565" t="s">
        <v>3351</v>
      </c>
      <c r="L2" s="1566"/>
      <c r="M2" s="1566"/>
      <c r="N2" s="1566"/>
      <c r="O2" s="1566"/>
      <c r="P2" s="1567"/>
      <c r="Q2" s="171"/>
      <c r="R2" s="171"/>
    </row>
    <row r="3" spans="1:18" ht="15.75" x14ac:dyDescent="0.25">
      <c r="A3" s="183" t="s">
        <v>916</v>
      </c>
      <c r="B3" s="97" t="s">
        <v>742</v>
      </c>
      <c r="C3" s="97" t="s">
        <v>1089</v>
      </c>
      <c r="D3" s="76" t="s">
        <v>1547</v>
      </c>
      <c r="E3" s="108" t="s">
        <v>1035</v>
      </c>
      <c r="F3" s="77" t="s">
        <v>1549</v>
      </c>
      <c r="G3" s="1"/>
      <c r="H3" s="1"/>
      <c r="K3" s="183" t="s">
        <v>916</v>
      </c>
      <c r="L3" s="97" t="s">
        <v>743</v>
      </c>
      <c r="M3" s="97" t="s">
        <v>1089</v>
      </c>
      <c r="N3" s="97" t="s">
        <v>1566</v>
      </c>
      <c r="O3" s="76" t="s">
        <v>1035</v>
      </c>
      <c r="P3" s="77" t="s">
        <v>1549</v>
      </c>
      <c r="Q3" s="1"/>
      <c r="R3" s="171"/>
    </row>
    <row r="4" spans="1:18" ht="15.75" x14ac:dyDescent="0.25">
      <c r="A4" s="2" t="s">
        <v>3323</v>
      </c>
      <c r="B4" s="2"/>
      <c r="C4" s="190"/>
      <c r="D4" s="107">
        <v>1</v>
      </c>
      <c r="E4" s="109">
        <f>'PALAIS DU BIJOU'!M61</f>
        <v>350</v>
      </c>
      <c r="F4" s="110">
        <f>E4*D4</f>
        <v>350</v>
      </c>
      <c r="G4" s="1"/>
      <c r="H4" s="1"/>
      <c r="K4" s="185" t="s">
        <v>1234</v>
      </c>
      <c r="L4" s="98"/>
      <c r="M4" s="98">
        <v>1.5</v>
      </c>
      <c r="N4" s="98"/>
      <c r="O4" s="102">
        <f>'HILOS-CORDONES-TANZA-CUERO'!E35</f>
        <v>329</v>
      </c>
      <c r="P4" s="39">
        <f>O4*M4</f>
        <v>493.5</v>
      </c>
      <c r="Q4" s="1"/>
      <c r="R4" s="171"/>
    </row>
    <row r="5" spans="1:18" ht="15.75" x14ac:dyDescent="0.25">
      <c r="A5" s="148" t="s">
        <v>1555</v>
      </c>
      <c r="B5" s="98" t="s">
        <v>1573</v>
      </c>
      <c r="C5" s="148"/>
      <c r="D5" s="107">
        <v>1</v>
      </c>
      <c r="E5" s="109">
        <f>FORNITURAS!D7</f>
        <v>52</v>
      </c>
      <c r="F5" s="110">
        <f>E5*D5</f>
        <v>52</v>
      </c>
      <c r="G5" s="1"/>
      <c r="H5" s="1"/>
      <c r="K5" s="184" t="s">
        <v>1894</v>
      </c>
      <c r="L5" s="98"/>
      <c r="M5" s="98"/>
      <c r="N5" s="98">
        <v>2</v>
      </c>
      <c r="O5" s="102">
        <f>FORNITURAS!I9</f>
        <v>60.526315789473685</v>
      </c>
      <c r="P5" s="39">
        <f>N5*O5</f>
        <v>121.05263157894737</v>
      </c>
      <c r="Q5" s="1"/>
      <c r="R5" s="171"/>
    </row>
    <row r="6" spans="1:18" ht="15.75" x14ac:dyDescent="0.25">
      <c r="A6" s="3" t="s">
        <v>1587</v>
      </c>
      <c r="B6" s="98"/>
      <c r="C6" s="98"/>
      <c r="D6" s="2">
        <v>1</v>
      </c>
      <c r="E6" s="66">
        <f>FORNITURAS!D20</f>
        <v>1066</v>
      </c>
      <c r="F6" s="39">
        <f>E6*D6</f>
        <v>1066</v>
      </c>
      <c r="K6" s="3" t="s">
        <v>1746</v>
      </c>
      <c r="L6" s="98"/>
      <c r="M6" s="98"/>
      <c r="N6" s="98"/>
      <c r="O6" s="102"/>
      <c r="P6" s="39">
        <v>20</v>
      </c>
      <c r="Q6" s="1"/>
      <c r="R6" s="171"/>
    </row>
    <row r="7" spans="1:18" ht="15.75" x14ac:dyDescent="0.25">
      <c r="A7" s="3" t="s">
        <v>1538</v>
      </c>
      <c r="B7" s="98"/>
      <c r="C7" s="98"/>
      <c r="D7" s="2">
        <v>1</v>
      </c>
      <c r="E7" s="66"/>
      <c r="F7" s="39">
        <f>PACKAGING!E8</f>
        <v>420</v>
      </c>
      <c r="K7" s="104" t="s">
        <v>1538</v>
      </c>
      <c r="L7" s="98"/>
      <c r="M7" s="98"/>
      <c r="N7" s="98"/>
      <c r="O7" s="2"/>
      <c r="P7" s="523">
        <f>PACKAGING!E9</f>
        <v>450</v>
      </c>
      <c r="Q7" s="1"/>
      <c r="R7" s="171"/>
    </row>
    <row r="8" spans="1:18" ht="15.75" x14ac:dyDescent="0.25">
      <c r="A8" s="3" t="s">
        <v>1557</v>
      </c>
      <c r="B8" s="98"/>
      <c r="C8" s="2"/>
      <c r="D8" s="2">
        <v>1</v>
      </c>
      <c r="E8" s="66"/>
      <c r="F8" s="39">
        <f>PACKAGING!E3</f>
        <v>150</v>
      </c>
      <c r="K8" s="184" t="s">
        <v>1618</v>
      </c>
      <c r="L8" s="98" t="s">
        <v>2030</v>
      </c>
      <c r="M8" s="98">
        <v>60</v>
      </c>
      <c r="N8" s="98">
        <v>20</v>
      </c>
      <c r="O8" s="66">
        <f>'INSUMOS VARIOS'!B3</f>
        <v>3500</v>
      </c>
      <c r="P8" s="524">
        <f>O8*N8/M8</f>
        <v>1166.6666666666667</v>
      </c>
      <c r="Q8" s="1"/>
      <c r="R8" s="171"/>
    </row>
    <row r="9" spans="1:18" ht="16.5" thickBot="1" x14ac:dyDescent="0.3">
      <c r="A9" s="3" t="s">
        <v>1558</v>
      </c>
      <c r="B9" s="98">
        <v>60</v>
      </c>
      <c r="C9" s="603"/>
      <c r="D9" s="2">
        <v>15</v>
      </c>
      <c r="E9" s="66">
        <f>'INSUMOS VARIOS'!B3</f>
        <v>3500</v>
      </c>
      <c r="F9" s="39">
        <f>E9*D9/B9</f>
        <v>875</v>
      </c>
      <c r="K9" s="79" t="s">
        <v>525</v>
      </c>
      <c r="L9" s="99"/>
      <c r="M9" s="99"/>
      <c r="N9" s="99"/>
      <c r="O9" s="70"/>
      <c r="P9" s="51">
        <f>SUM(P4:P8)</f>
        <v>2251.2192982456145</v>
      </c>
      <c r="Q9" s="1"/>
      <c r="R9" s="171"/>
    </row>
    <row r="10" spans="1:18" ht="16.5" thickBot="1" x14ac:dyDescent="0.3">
      <c r="A10" s="79" t="s">
        <v>525</v>
      </c>
      <c r="B10" s="99"/>
      <c r="C10" s="99"/>
      <c r="D10" s="70"/>
      <c r="E10" s="85"/>
      <c r="F10" s="51">
        <f>SUM(F4:F9)</f>
        <v>2913</v>
      </c>
      <c r="K10" s="80" t="s">
        <v>544</v>
      </c>
      <c r="L10" s="100"/>
      <c r="M10" s="100"/>
      <c r="N10" s="100"/>
      <c r="O10" s="71"/>
      <c r="P10" s="267">
        <f>P9*2</f>
        <v>4502.438596491229</v>
      </c>
      <c r="Q10" s="512">
        <f>P10+P10*50%</f>
        <v>6753.6578947368434</v>
      </c>
      <c r="R10" s="268">
        <v>4500</v>
      </c>
    </row>
    <row r="11" spans="1:18" ht="19.5" thickBot="1" x14ac:dyDescent="0.3">
      <c r="A11" s="80" t="s">
        <v>544</v>
      </c>
      <c r="B11" s="100"/>
      <c r="C11" s="100"/>
      <c r="D11" s="71"/>
      <c r="E11" s="71"/>
      <c r="F11" s="72">
        <f>F10*2</f>
        <v>5826</v>
      </c>
      <c r="G11" s="606">
        <f>F11+F11*70%</f>
        <v>9904.2000000000007</v>
      </c>
      <c r="H11" s="75">
        <v>9000</v>
      </c>
      <c r="K11" s="81" t="s">
        <v>1559</v>
      </c>
      <c r="L11" s="101"/>
      <c r="M11" s="101"/>
      <c r="N11" s="101"/>
      <c r="O11" s="73"/>
      <c r="P11" s="280"/>
      <c r="Q11" s="522"/>
      <c r="R11" s="526">
        <f>R10*2</f>
        <v>9000</v>
      </c>
    </row>
    <row r="12" spans="1:18" ht="19.5" thickBot="1" x14ac:dyDescent="0.3">
      <c r="A12" s="81" t="s">
        <v>1559</v>
      </c>
      <c r="B12" s="101"/>
      <c r="C12" s="101"/>
      <c r="D12" s="73"/>
      <c r="E12" s="73"/>
      <c r="F12" s="73"/>
      <c r="G12" s="607"/>
      <c r="H12" s="1281">
        <f>H11*60%</f>
        <v>5400</v>
      </c>
      <c r="I12" s="1273" t="s">
        <v>3687</v>
      </c>
    </row>
    <row r="13" spans="1:18" ht="15.75" thickBot="1" x14ac:dyDescent="0.3"/>
    <row r="14" spans="1:18" ht="16.5" thickBot="1" x14ac:dyDescent="0.3">
      <c r="A14" s="1716" t="s">
        <v>462</v>
      </c>
      <c r="B14" s="1717"/>
      <c r="C14" s="1717"/>
      <c r="D14" s="1717"/>
      <c r="E14" s="1717"/>
      <c r="F14" s="1718"/>
      <c r="G14" s="1"/>
      <c r="H14" s="1"/>
    </row>
    <row r="15" spans="1:18" ht="15.75" x14ac:dyDescent="0.25">
      <c r="A15" s="183" t="s">
        <v>916</v>
      </c>
      <c r="B15" s="97" t="s">
        <v>742</v>
      </c>
      <c r="C15" s="97" t="s">
        <v>1089</v>
      </c>
      <c r="D15" s="76" t="s">
        <v>1547</v>
      </c>
      <c r="E15" s="108" t="s">
        <v>1035</v>
      </c>
      <c r="F15" s="77" t="s">
        <v>1549</v>
      </c>
      <c r="G15" s="1"/>
      <c r="H15" s="1"/>
    </row>
    <row r="16" spans="1:18" ht="15.75" x14ac:dyDescent="0.25">
      <c r="A16" s="2" t="s">
        <v>3177</v>
      </c>
      <c r="B16" s="2"/>
      <c r="C16" s="190"/>
      <c r="D16" s="107">
        <v>1</v>
      </c>
      <c r="E16" s="109">
        <f>'AROS, CADENAS, DIJES, ETC'!O20</f>
        <v>780</v>
      </c>
      <c r="F16" s="110">
        <f>E16*D16</f>
        <v>780</v>
      </c>
      <c r="G16" s="1"/>
      <c r="H16" s="1"/>
    </row>
    <row r="17" spans="1:9" ht="15.75" x14ac:dyDescent="0.25">
      <c r="A17" s="1616" t="s">
        <v>1555</v>
      </c>
      <c r="B17" s="98" t="s">
        <v>1556</v>
      </c>
      <c r="C17" s="148"/>
      <c r="D17" s="107">
        <v>1</v>
      </c>
      <c r="E17" s="109">
        <f>FORNITURAS!D4</f>
        <v>48.7</v>
      </c>
      <c r="F17" s="110">
        <f>E17*D17</f>
        <v>48.7</v>
      </c>
      <c r="G17" s="1"/>
      <c r="H17" s="1"/>
    </row>
    <row r="18" spans="1:9" ht="15.75" x14ac:dyDescent="0.25">
      <c r="A18" s="1715"/>
      <c r="B18" s="98" t="s">
        <v>1933</v>
      </c>
      <c r="C18" s="148"/>
      <c r="D18" s="107">
        <v>1</v>
      </c>
      <c r="E18" s="109">
        <f>FORNITURAS!D5</f>
        <v>46.8</v>
      </c>
      <c r="F18" s="110">
        <f>E18*D18</f>
        <v>46.8</v>
      </c>
    </row>
    <row r="19" spans="1:9" ht="15.75" x14ac:dyDescent="0.25">
      <c r="A19" s="3" t="s">
        <v>1587</v>
      </c>
      <c r="B19" s="98"/>
      <c r="C19" s="98"/>
      <c r="D19" s="2">
        <v>1</v>
      </c>
      <c r="E19" s="66">
        <f>FORNITURAS!D20</f>
        <v>1066</v>
      </c>
      <c r="F19" s="39">
        <f>E19*D19</f>
        <v>1066</v>
      </c>
    </row>
    <row r="20" spans="1:9" ht="15.75" x14ac:dyDescent="0.25">
      <c r="A20" s="3" t="s">
        <v>1538</v>
      </c>
      <c r="B20" s="98"/>
      <c r="C20" s="98"/>
      <c r="D20" s="2"/>
      <c r="E20" s="66"/>
      <c r="F20" s="39">
        <f>PACKAGING!E8</f>
        <v>420</v>
      </c>
    </row>
    <row r="21" spans="1:9" ht="15.75" x14ac:dyDescent="0.25">
      <c r="A21" s="3" t="s">
        <v>1557</v>
      </c>
      <c r="B21" s="98"/>
      <c r="C21" s="2"/>
      <c r="D21" s="2">
        <v>1</v>
      </c>
      <c r="E21" s="66"/>
      <c r="F21" s="39">
        <f>PACKAGING!E3</f>
        <v>150</v>
      </c>
    </row>
    <row r="22" spans="1:9" ht="15.75" x14ac:dyDescent="0.25">
      <c r="A22" s="3" t="s">
        <v>1558</v>
      </c>
      <c r="B22" s="98">
        <v>60</v>
      </c>
      <c r="C22" s="603"/>
      <c r="D22" s="2">
        <v>15</v>
      </c>
      <c r="E22" s="66">
        <f>'INSUMOS VARIOS'!B3</f>
        <v>3500</v>
      </c>
      <c r="F22" s="39">
        <f>E22*D22/B22</f>
        <v>875</v>
      </c>
    </row>
    <row r="23" spans="1:9" ht="16.5" thickBot="1" x14ac:dyDescent="0.3">
      <c r="A23" s="79" t="s">
        <v>525</v>
      </c>
      <c r="B23" s="99"/>
      <c r="C23" s="99"/>
      <c r="D23" s="70"/>
      <c r="E23" s="85"/>
      <c r="F23" s="51">
        <f>SUM(F16:F22)</f>
        <v>3386.5</v>
      </c>
    </row>
    <row r="24" spans="1:9" ht="18.75" x14ac:dyDescent="0.25">
      <c r="A24" s="80" t="s">
        <v>544</v>
      </c>
      <c r="B24" s="100"/>
      <c r="C24" s="100"/>
      <c r="D24" s="71"/>
      <c r="E24" s="71"/>
      <c r="F24" s="72">
        <f>F23*2</f>
        <v>6773</v>
      </c>
      <c r="G24" s="606">
        <f>F24+F24*70%</f>
        <v>11514.099999999999</v>
      </c>
      <c r="H24" s="75">
        <v>11000</v>
      </c>
    </row>
    <row r="25" spans="1:9" ht="19.5" thickBot="1" x14ac:dyDescent="0.3">
      <c r="A25" s="81" t="s">
        <v>1559</v>
      </c>
      <c r="B25" s="101"/>
      <c r="C25" s="101"/>
      <c r="D25" s="73"/>
      <c r="E25" s="73"/>
      <c r="F25" s="73"/>
      <c r="G25" s="607"/>
      <c r="H25" s="1281">
        <f>H24*60%</f>
        <v>6600</v>
      </c>
      <c r="I25" s="1273" t="s">
        <v>3691</v>
      </c>
    </row>
    <row r="26" spans="1:9" ht="15.75" x14ac:dyDescent="0.25">
      <c r="G26" s="1"/>
      <c r="H26" s="1"/>
    </row>
    <row r="27" spans="1:9" ht="15.75" x14ac:dyDescent="0.25">
      <c r="A27" s="1576" t="s">
        <v>3658</v>
      </c>
      <c r="B27" s="1577"/>
      <c r="C27" s="1577"/>
      <c r="D27" s="1577"/>
      <c r="E27" s="1577"/>
      <c r="F27" s="1577"/>
      <c r="G27" s="1"/>
      <c r="H27" s="1"/>
    </row>
    <row r="28" spans="1:9" ht="15.75" x14ac:dyDescent="0.25">
      <c r="A28" s="183" t="s">
        <v>916</v>
      </c>
      <c r="B28" s="97" t="s">
        <v>742</v>
      </c>
      <c r="C28" s="97" t="s">
        <v>1089</v>
      </c>
      <c r="D28" s="76" t="s">
        <v>1547</v>
      </c>
      <c r="E28" s="108" t="s">
        <v>1035</v>
      </c>
      <c r="F28" s="77" t="s">
        <v>1549</v>
      </c>
      <c r="G28" s="1"/>
      <c r="H28" s="1"/>
    </row>
    <row r="29" spans="1:9" ht="15.75" x14ac:dyDescent="0.25">
      <c r="A29" s="2" t="s">
        <v>3138</v>
      </c>
      <c r="B29" s="2"/>
      <c r="C29" s="190"/>
      <c r="D29" s="107">
        <v>1</v>
      </c>
      <c r="E29" s="109">
        <f>VIDRIOS!J58</f>
        <v>500</v>
      </c>
      <c r="F29" s="110">
        <f>E29*D29</f>
        <v>500</v>
      </c>
      <c r="G29" s="1"/>
      <c r="H29" s="1"/>
    </row>
    <row r="30" spans="1:9" ht="15.75" x14ac:dyDescent="0.25">
      <c r="A30" s="148" t="s">
        <v>1050</v>
      </c>
      <c r="B30" s="98" t="s">
        <v>1059</v>
      </c>
      <c r="C30" s="148">
        <v>0.08</v>
      </c>
      <c r="D30" s="107">
        <v>1</v>
      </c>
      <c r="E30" s="109">
        <f>FORNITURAS!W5</f>
        <v>906.42857142857144</v>
      </c>
      <c r="F30" s="110">
        <f>E30*C30</f>
        <v>72.51428571428572</v>
      </c>
    </row>
    <row r="31" spans="1:9" ht="15.75" x14ac:dyDescent="0.25">
      <c r="A31" s="3" t="s">
        <v>1587</v>
      </c>
      <c r="B31" s="98"/>
      <c r="C31" s="98"/>
      <c r="D31" s="2">
        <v>1</v>
      </c>
      <c r="E31" s="66">
        <f>FORNITURAS!D20</f>
        <v>1066</v>
      </c>
      <c r="F31" s="39">
        <f>E31*D31</f>
        <v>1066</v>
      </c>
    </row>
    <row r="32" spans="1:9" ht="15.75" x14ac:dyDescent="0.25">
      <c r="A32" s="3" t="s">
        <v>1538</v>
      </c>
      <c r="B32" s="98"/>
      <c r="C32" s="98"/>
      <c r="D32" s="2">
        <v>1</v>
      </c>
      <c r="E32" s="66"/>
      <c r="F32" s="39">
        <f>PACKAGING!E8</f>
        <v>420</v>
      </c>
    </row>
    <row r="33" spans="1:9" ht="15.75" x14ac:dyDescent="0.25">
      <c r="A33" s="3" t="s">
        <v>1557</v>
      </c>
      <c r="B33" s="98"/>
      <c r="C33" s="2"/>
      <c r="D33" s="2">
        <v>1</v>
      </c>
      <c r="E33" s="66"/>
      <c r="F33" s="39">
        <f>PACKAGING!E3</f>
        <v>150</v>
      </c>
    </row>
    <row r="34" spans="1:9" ht="15.75" x14ac:dyDescent="0.25">
      <c r="A34" s="3" t="s">
        <v>1558</v>
      </c>
      <c r="B34" s="98">
        <v>60</v>
      </c>
      <c r="C34" s="603"/>
      <c r="D34" s="2">
        <v>15</v>
      </c>
      <c r="E34" s="66">
        <f>'INSUMOS VARIOS'!B3</f>
        <v>3500</v>
      </c>
      <c r="F34" s="39">
        <f>E34*D34/B34</f>
        <v>875</v>
      </c>
    </row>
    <row r="35" spans="1:9" ht="16.5" thickBot="1" x14ac:dyDescent="0.3">
      <c r="A35" s="79" t="s">
        <v>525</v>
      </c>
      <c r="B35" s="99"/>
      <c r="C35" s="99"/>
      <c r="D35" s="70"/>
      <c r="E35" s="85"/>
      <c r="F35" s="51">
        <f>SUM(F29:F34)</f>
        <v>3083.5142857142855</v>
      </c>
    </row>
    <row r="36" spans="1:9" ht="18.75" x14ac:dyDescent="0.25">
      <c r="A36" s="80" t="s">
        <v>544</v>
      </c>
      <c r="B36" s="100"/>
      <c r="C36" s="100"/>
      <c r="D36" s="71"/>
      <c r="E36" s="71"/>
      <c r="F36" s="72">
        <f>F35*2</f>
        <v>6167.028571428571</v>
      </c>
      <c r="G36" s="606">
        <f>F36+F36*70%</f>
        <v>10483.948571428569</v>
      </c>
      <c r="H36" s="75">
        <v>9000</v>
      </c>
    </row>
    <row r="37" spans="1:9" ht="19.5" thickBot="1" x14ac:dyDescent="0.3">
      <c r="A37" s="81" t="s">
        <v>1559</v>
      </c>
      <c r="B37" s="101"/>
      <c r="C37" s="101"/>
      <c r="D37" s="73"/>
      <c r="E37" s="73"/>
      <c r="F37" s="73"/>
      <c r="G37" s="607"/>
      <c r="H37" s="1281">
        <f>H36*60%</f>
        <v>5400</v>
      </c>
      <c r="I37" s="1273" t="s">
        <v>3687</v>
      </c>
    </row>
    <row r="38" spans="1:9" ht="15.75" x14ac:dyDescent="0.25">
      <c r="G38" s="1"/>
      <c r="H38" s="1"/>
    </row>
    <row r="39" spans="1:9" ht="15.75" x14ac:dyDescent="0.25">
      <c r="A39" s="1576" t="s">
        <v>3566</v>
      </c>
      <c r="B39" s="1577"/>
      <c r="C39" s="1577"/>
      <c r="D39" s="1577"/>
      <c r="E39" s="1577"/>
      <c r="F39" s="1577"/>
      <c r="G39" s="1"/>
      <c r="H39" s="1"/>
    </row>
    <row r="40" spans="1:9" ht="15.75" x14ac:dyDescent="0.25">
      <c r="A40" s="183" t="s">
        <v>916</v>
      </c>
      <c r="B40" s="97" t="s">
        <v>742</v>
      </c>
      <c r="C40" s="97" t="s">
        <v>1089</v>
      </c>
      <c r="D40" s="76" t="s">
        <v>1547</v>
      </c>
      <c r="E40" s="108" t="s">
        <v>1035</v>
      </c>
      <c r="F40" s="77" t="s">
        <v>1549</v>
      </c>
      <c r="G40" s="1"/>
      <c r="H40" s="1"/>
    </row>
    <row r="41" spans="1:9" ht="15.75" x14ac:dyDescent="0.25">
      <c r="A41" s="2" t="s">
        <v>3567</v>
      </c>
      <c r="B41" s="2"/>
      <c r="C41" s="190"/>
      <c r="D41" s="107">
        <v>1</v>
      </c>
      <c r="E41" s="109">
        <f>PIEDRAS!K31</f>
        <v>1910</v>
      </c>
      <c r="F41" s="110">
        <f>E41*D41</f>
        <v>1910</v>
      </c>
      <c r="G41" s="1"/>
      <c r="H41" s="1"/>
    </row>
    <row r="42" spans="1:9" ht="15.75" x14ac:dyDescent="0.25">
      <c r="A42" s="148" t="s">
        <v>1050</v>
      </c>
      <c r="B42" s="98" t="s">
        <v>1056</v>
      </c>
      <c r="C42" s="148">
        <v>0.08</v>
      </c>
      <c r="D42" s="107">
        <v>1</v>
      </c>
      <c r="E42" s="109">
        <f>FORNITURAS!W4</f>
        <v>1404.9107142857144</v>
      </c>
      <c r="F42" s="110">
        <f>E42*C42</f>
        <v>112.39285714285715</v>
      </c>
    </row>
    <row r="43" spans="1:9" ht="15.75" x14ac:dyDescent="0.25">
      <c r="A43" s="3" t="s">
        <v>1587</v>
      </c>
      <c r="B43" s="98"/>
      <c r="C43" s="98"/>
      <c r="D43" s="2">
        <v>1</v>
      </c>
      <c r="E43" s="66">
        <f>FORNITURAS!D20</f>
        <v>1066</v>
      </c>
      <c r="F43" s="39">
        <f>E43*D43</f>
        <v>1066</v>
      </c>
    </row>
    <row r="44" spans="1:9" ht="15.75" x14ac:dyDescent="0.25">
      <c r="A44" s="3" t="s">
        <v>1538</v>
      </c>
      <c r="B44" s="98"/>
      <c r="C44" s="98"/>
      <c r="D44" s="2">
        <v>1</v>
      </c>
      <c r="E44" s="66"/>
      <c r="F44" s="39">
        <f>PACKAGING!E8</f>
        <v>420</v>
      </c>
    </row>
    <row r="45" spans="1:9" ht="15.75" x14ac:dyDescent="0.25">
      <c r="A45" s="3" t="s">
        <v>1557</v>
      </c>
      <c r="B45" s="98"/>
      <c r="C45" s="2"/>
      <c r="D45" s="2">
        <v>1</v>
      </c>
      <c r="E45" s="66"/>
      <c r="F45" s="39">
        <f>PACKAGING!E3</f>
        <v>150</v>
      </c>
    </row>
    <row r="46" spans="1:9" ht="15.75" x14ac:dyDescent="0.25">
      <c r="A46" s="3" t="s">
        <v>1558</v>
      </c>
      <c r="B46" s="98">
        <v>60</v>
      </c>
      <c r="C46" s="603"/>
      <c r="D46" s="2">
        <v>15</v>
      </c>
      <c r="E46" s="66">
        <f>'INSUMOS VARIOS'!B3</f>
        <v>3500</v>
      </c>
      <c r="F46" s="39">
        <f>E46*D46/B46</f>
        <v>875</v>
      </c>
    </row>
    <row r="47" spans="1:9" ht="16.5" thickBot="1" x14ac:dyDescent="0.3">
      <c r="A47" s="79" t="s">
        <v>525</v>
      </c>
      <c r="B47" s="99"/>
      <c r="C47" s="99"/>
      <c r="D47" s="70"/>
      <c r="E47" s="85"/>
      <c r="F47" s="51">
        <f>SUM(F41:F46)</f>
        <v>4533.3928571428569</v>
      </c>
    </row>
    <row r="48" spans="1:9" ht="18.75" x14ac:dyDescent="0.25">
      <c r="A48" s="80" t="s">
        <v>544</v>
      </c>
      <c r="B48" s="100"/>
      <c r="C48" s="100"/>
      <c r="D48" s="71"/>
      <c r="E48" s="71"/>
      <c r="F48" s="72">
        <f>F47*2</f>
        <v>9066.7857142857138</v>
      </c>
      <c r="G48" s="606">
        <f>F48+F48*70%</f>
        <v>15413.535714285714</v>
      </c>
      <c r="H48" s="75">
        <v>18000</v>
      </c>
    </row>
    <row r="49" spans="1:9" ht="19.5" thickBot="1" x14ac:dyDescent="0.3">
      <c r="A49" s="81" t="s">
        <v>1559</v>
      </c>
      <c r="B49" s="101"/>
      <c r="C49" s="101"/>
      <c r="D49" s="73"/>
      <c r="E49" s="73"/>
      <c r="F49" s="73"/>
      <c r="G49" s="607"/>
      <c r="H49" s="1281">
        <f>H48*60%</f>
        <v>10800</v>
      </c>
      <c r="I49" s="1273" t="s">
        <v>3687</v>
      </c>
    </row>
    <row r="50" spans="1:9" ht="15.75" x14ac:dyDescent="0.25">
      <c r="G50" s="1"/>
      <c r="H50" s="1"/>
    </row>
    <row r="51" spans="1:9" ht="15.75" x14ac:dyDescent="0.25">
      <c r="A51" s="1576" t="s">
        <v>3324</v>
      </c>
      <c r="B51" s="1577"/>
      <c r="C51" s="1577"/>
      <c r="D51" s="1577"/>
      <c r="E51" s="1577"/>
      <c r="F51" s="1577"/>
      <c r="G51" s="1"/>
      <c r="H51" s="1"/>
    </row>
    <row r="52" spans="1:9" ht="15.75" x14ac:dyDescent="0.25">
      <c r="A52" s="183" t="s">
        <v>916</v>
      </c>
      <c r="B52" s="97" t="s">
        <v>742</v>
      </c>
      <c r="C52" s="97" t="s">
        <v>1089</v>
      </c>
      <c r="D52" s="76" t="s">
        <v>1547</v>
      </c>
      <c r="E52" s="108" t="s">
        <v>1035</v>
      </c>
      <c r="F52" s="77" t="s">
        <v>1549</v>
      </c>
      <c r="G52" s="1"/>
      <c r="H52" s="1"/>
    </row>
    <row r="53" spans="1:9" ht="15.75" x14ac:dyDescent="0.25">
      <c r="A53" s="2" t="s">
        <v>3325</v>
      </c>
      <c r="B53" s="2"/>
      <c r="C53" s="190"/>
      <c r="D53" s="107">
        <v>1</v>
      </c>
      <c r="E53" s="109">
        <f>'PERLAS 2'!H9</f>
        <v>1601.6</v>
      </c>
      <c r="F53" s="110">
        <f>E53*D53</f>
        <v>1601.6</v>
      </c>
      <c r="G53" s="1"/>
      <c r="H53" s="1"/>
    </row>
    <row r="54" spans="1:9" ht="15.75" x14ac:dyDescent="0.25">
      <c r="A54" s="148" t="s">
        <v>1050</v>
      </c>
      <c r="B54" s="98" t="s">
        <v>1059</v>
      </c>
      <c r="C54" s="148">
        <v>0.08</v>
      </c>
      <c r="D54" s="107">
        <v>1</v>
      </c>
      <c r="E54" s="109">
        <f>FORNITURAS!W5</f>
        <v>906.42857142857144</v>
      </c>
      <c r="F54" s="110">
        <f>E54*C54</f>
        <v>72.51428571428572</v>
      </c>
    </row>
    <row r="55" spans="1:9" ht="15.75" x14ac:dyDescent="0.25">
      <c r="A55" s="3" t="s">
        <v>1587</v>
      </c>
      <c r="B55" s="98"/>
      <c r="C55" s="98"/>
      <c r="D55" s="2">
        <v>1</v>
      </c>
      <c r="E55" s="66">
        <f>FORNITURAS!D20</f>
        <v>1066</v>
      </c>
      <c r="F55" s="39">
        <f>E55*D55</f>
        <v>1066</v>
      </c>
    </row>
    <row r="56" spans="1:9" ht="15.75" x14ac:dyDescent="0.25">
      <c r="A56" s="3" t="s">
        <v>1538</v>
      </c>
      <c r="B56" s="98"/>
      <c r="C56" s="98"/>
      <c r="D56" s="2">
        <v>1</v>
      </c>
      <c r="E56" s="66"/>
      <c r="F56" s="39">
        <f>PACKAGING!E8</f>
        <v>420</v>
      </c>
    </row>
    <row r="57" spans="1:9" ht="15.75" x14ac:dyDescent="0.25">
      <c r="A57" s="3" t="s">
        <v>1557</v>
      </c>
      <c r="B57" s="98"/>
      <c r="C57" s="2"/>
      <c r="D57" s="2">
        <v>1</v>
      </c>
      <c r="E57" s="66"/>
      <c r="F57" s="39">
        <f>PACKAGING!E3</f>
        <v>150</v>
      </c>
    </row>
    <row r="58" spans="1:9" ht="15.75" x14ac:dyDescent="0.25">
      <c r="A58" s="3" t="s">
        <v>1558</v>
      </c>
      <c r="B58" s="98">
        <v>60</v>
      </c>
      <c r="C58" s="603"/>
      <c r="D58" s="2">
        <v>15</v>
      </c>
      <c r="E58" s="66">
        <f>'INSUMOS VARIOS'!B3</f>
        <v>3500</v>
      </c>
      <c r="F58" s="39">
        <f>E58*D58/B58</f>
        <v>875</v>
      </c>
    </row>
    <row r="59" spans="1:9" ht="16.5" thickBot="1" x14ac:dyDescent="0.3">
      <c r="A59" s="79" t="s">
        <v>525</v>
      </c>
      <c r="B59" s="99"/>
      <c r="C59" s="99"/>
      <c r="D59" s="70"/>
      <c r="E59" s="85"/>
      <c r="F59" s="51">
        <f>SUM(F53:F58)</f>
        <v>4185.1142857142859</v>
      </c>
    </row>
    <row r="60" spans="1:9" ht="18.75" x14ac:dyDescent="0.25">
      <c r="A60" s="80" t="s">
        <v>544</v>
      </c>
      <c r="B60" s="100"/>
      <c r="C60" s="100"/>
      <c r="D60" s="71"/>
      <c r="E60" s="71"/>
      <c r="F60" s="72">
        <f>F59*2</f>
        <v>8370.2285714285717</v>
      </c>
      <c r="G60" s="606">
        <f>F60+F60*70%</f>
        <v>14229.388571428572</v>
      </c>
      <c r="H60" s="75">
        <v>14000</v>
      </c>
    </row>
    <row r="61" spans="1:9" ht="19.5" thickBot="1" x14ac:dyDescent="0.3">
      <c r="A61" s="81" t="s">
        <v>1559</v>
      </c>
      <c r="B61" s="101"/>
      <c r="C61" s="101"/>
      <c r="D61" s="73"/>
      <c r="E61" s="73"/>
      <c r="F61" s="73"/>
      <c r="G61" s="607"/>
      <c r="H61" s="1281">
        <f>H60*60%</f>
        <v>8400</v>
      </c>
      <c r="I61" s="1273" t="s">
        <v>3687</v>
      </c>
    </row>
    <row r="62" spans="1:9" ht="15.75" x14ac:dyDescent="0.25">
      <c r="G62" s="1"/>
      <c r="H62" s="1"/>
    </row>
    <row r="63" spans="1:9" ht="15.75" x14ac:dyDescent="0.25">
      <c r="A63" s="1576" t="s">
        <v>282</v>
      </c>
      <c r="B63" s="1577"/>
      <c r="C63" s="1577"/>
      <c r="D63" s="1577"/>
      <c r="E63" s="1577"/>
      <c r="F63" s="1577"/>
      <c r="G63" s="1"/>
      <c r="H63" s="1"/>
    </row>
    <row r="64" spans="1:9" ht="15.75" x14ac:dyDescent="0.25">
      <c r="A64" s="183" t="s">
        <v>916</v>
      </c>
      <c r="B64" s="97" t="s">
        <v>742</v>
      </c>
      <c r="C64" s="97" t="s">
        <v>1089</v>
      </c>
      <c r="D64" s="76" t="s">
        <v>1547</v>
      </c>
      <c r="E64" s="108" t="s">
        <v>1035</v>
      </c>
      <c r="F64" s="77" t="s">
        <v>1549</v>
      </c>
      <c r="G64" s="1"/>
      <c r="H64" s="1"/>
    </row>
    <row r="65" spans="1:8" ht="15.75" x14ac:dyDescent="0.25">
      <c r="A65" s="2" t="s">
        <v>970</v>
      </c>
      <c r="B65" s="2"/>
      <c r="C65" s="190"/>
      <c r="D65" s="107">
        <v>1</v>
      </c>
      <c r="E65" s="109">
        <f>'INSUMOS VARIOS'!E65</f>
        <v>44.2</v>
      </c>
      <c r="F65" s="110">
        <f>E65*D65</f>
        <v>44.2</v>
      </c>
      <c r="G65" s="1"/>
      <c r="H65" s="1"/>
    </row>
    <row r="66" spans="1:8" ht="15.75" x14ac:dyDescent="0.25">
      <c r="A66" s="148" t="s">
        <v>1742</v>
      </c>
      <c r="B66" s="98" t="s">
        <v>3150</v>
      </c>
      <c r="C66" s="148"/>
      <c r="D66" s="107">
        <v>1</v>
      </c>
      <c r="E66" s="109">
        <f>PERLAS!F3</f>
        <v>56.315789473684212</v>
      </c>
      <c r="F66" s="110">
        <f>E66*D66</f>
        <v>56.315789473684212</v>
      </c>
      <c r="G66" s="1"/>
      <c r="H66" s="1"/>
    </row>
    <row r="67" spans="1:8" ht="15.75" x14ac:dyDescent="0.25">
      <c r="A67" s="98" t="s">
        <v>1555</v>
      </c>
      <c r="B67" s="98"/>
      <c r="C67" s="148"/>
      <c r="D67" s="107">
        <v>1</v>
      </c>
      <c r="E67" s="109">
        <f>FORNITURAS!D8</f>
        <v>192.77777777777777</v>
      </c>
      <c r="F67" s="110">
        <f>E67*D67</f>
        <v>192.77777777777777</v>
      </c>
      <c r="G67" s="1"/>
      <c r="H67" s="1"/>
    </row>
    <row r="68" spans="1:8" ht="15.75" x14ac:dyDescent="0.25">
      <c r="A68" s="148" t="s">
        <v>1050</v>
      </c>
      <c r="B68" s="98" t="s">
        <v>1059</v>
      </c>
      <c r="C68" s="148">
        <v>0.08</v>
      </c>
      <c r="D68" s="107">
        <v>1</v>
      </c>
      <c r="E68" s="109">
        <f>FORNITURAS!W5</f>
        <v>906.42857142857144</v>
      </c>
      <c r="F68" s="110">
        <f>E68*C68</f>
        <v>72.51428571428572</v>
      </c>
    </row>
    <row r="69" spans="1:8" ht="15.75" x14ac:dyDescent="0.25">
      <c r="A69" s="3" t="s">
        <v>1587</v>
      </c>
      <c r="B69" s="98"/>
      <c r="C69" s="98"/>
      <c r="D69" s="2">
        <v>1</v>
      </c>
      <c r="E69" s="66">
        <f>FORNITURAS!D20</f>
        <v>1066</v>
      </c>
      <c r="F69" s="39">
        <f>E69*D69</f>
        <v>1066</v>
      </c>
    </row>
    <row r="70" spans="1:8" ht="15.75" x14ac:dyDescent="0.25">
      <c r="A70" s="3" t="s">
        <v>1746</v>
      </c>
      <c r="B70" s="98"/>
      <c r="C70" s="98"/>
      <c r="D70" s="2"/>
      <c r="E70" s="66"/>
      <c r="F70" s="39">
        <v>20</v>
      </c>
    </row>
    <row r="71" spans="1:8" ht="15.75" x14ac:dyDescent="0.25">
      <c r="A71" s="3" t="s">
        <v>1538</v>
      </c>
      <c r="B71" s="98"/>
      <c r="C71" s="98"/>
      <c r="D71" s="2">
        <v>1</v>
      </c>
      <c r="E71" s="66"/>
      <c r="F71" s="39">
        <f>PACKAGING!E8</f>
        <v>420</v>
      </c>
    </row>
    <row r="72" spans="1:8" ht="15.75" x14ac:dyDescent="0.25">
      <c r="A72" s="3" t="s">
        <v>1557</v>
      </c>
      <c r="B72" s="98"/>
      <c r="C72" s="2"/>
      <c r="D72" s="2">
        <v>1</v>
      </c>
      <c r="E72" s="66"/>
      <c r="F72" s="39">
        <f>PACKAGING!E3</f>
        <v>150</v>
      </c>
    </row>
    <row r="73" spans="1:8" ht="15.75" x14ac:dyDescent="0.25">
      <c r="A73" s="3" t="s">
        <v>1558</v>
      </c>
      <c r="B73" s="98">
        <v>60</v>
      </c>
      <c r="C73" s="603"/>
      <c r="D73" s="2">
        <v>15</v>
      </c>
      <c r="E73" s="66">
        <f>'INSUMOS VARIOS'!B3</f>
        <v>3500</v>
      </c>
      <c r="F73" s="39">
        <f>E73*D73/B73</f>
        <v>875</v>
      </c>
    </row>
    <row r="74" spans="1:8" ht="16.5" thickBot="1" x14ac:dyDescent="0.3">
      <c r="A74" s="79" t="s">
        <v>525</v>
      </c>
      <c r="B74" s="99"/>
      <c r="C74" s="99"/>
      <c r="D74" s="70"/>
      <c r="E74" s="85"/>
      <c r="F74" s="51">
        <f>SUM(F65:F73)</f>
        <v>2896.8078529657478</v>
      </c>
    </row>
    <row r="75" spans="1:8" ht="18.75" x14ac:dyDescent="0.25">
      <c r="A75" s="80" t="s">
        <v>544</v>
      </c>
      <c r="B75" s="100"/>
      <c r="C75" s="100"/>
      <c r="D75" s="71"/>
      <c r="E75" s="71"/>
      <c r="F75" s="72">
        <f>F74*2</f>
        <v>5793.6157059314955</v>
      </c>
      <c r="G75" s="606">
        <f>F75+F75*70%</f>
        <v>9849.1467000835419</v>
      </c>
      <c r="H75" s="75">
        <v>8000</v>
      </c>
    </row>
    <row r="76" spans="1:8" ht="19.5" thickBot="1" x14ac:dyDescent="0.3">
      <c r="A76" s="81" t="s">
        <v>1559</v>
      </c>
      <c r="B76" s="101"/>
      <c r="C76" s="101"/>
      <c r="D76" s="73"/>
      <c r="E76" s="73"/>
      <c r="F76" s="73"/>
      <c r="G76" s="607"/>
      <c r="H76" s="74"/>
    </row>
    <row r="77" spans="1:8" ht="15.75" x14ac:dyDescent="0.25">
      <c r="G77" s="1"/>
      <c r="H77" s="1"/>
    </row>
    <row r="78" spans="1:8" ht="15.75" x14ac:dyDescent="0.25">
      <c r="A78" s="1576" t="s">
        <v>3347</v>
      </c>
      <c r="B78" s="1577"/>
      <c r="C78" s="1577"/>
      <c r="D78" s="1577"/>
      <c r="E78" s="1577"/>
      <c r="F78" s="1577"/>
      <c r="G78" s="1"/>
      <c r="H78" s="1"/>
    </row>
    <row r="79" spans="1:8" ht="15.75" x14ac:dyDescent="0.25">
      <c r="A79" s="183" t="s">
        <v>916</v>
      </c>
      <c r="B79" s="97" t="s">
        <v>742</v>
      </c>
      <c r="C79" s="97" t="s">
        <v>1089</v>
      </c>
      <c r="D79" s="76" t="s">
        <v>1547</v>
      </c>
      <c r="E79" s="108" t="s">
        <v>1035</v>
      </c>
      <c r="F79" s="77" t="s">
        <v>1549</v>
      </c>
      <c r="G79" s="1"/>
      <c r="H79" s="1"/>
    </row>
    <row r="80" spans="1:8" ht="15.75" x14ac:dyDescent="0.25">
      <c r="A80" s="2" t="s">
        <v>3346</v>
      </c>
      <c r="B80" s="2"/>
      <c r="C80" s="190"/>
      <c r="D80" s="107">
        <v>1</v>
      </c>
      <c r="E80" s="109">
        <f>PIEDRAS!K19</f>
        <v>1910</v>
      </c>
      <c r="F80" s="110">
        <f>E80*D80</f>
        <v>1910</v>
      </c>
      <c r="G80" s="1"/>
      <c r="H80" s="1"/>
    </row>
    <row r="81" spans="1:9" ht="15.75" x14ac:dyDescent="0.25">
      <c r="A81" s="148" t="s">
        <v>1050</v>
      </c>
      <c r="B81" s="98" t="s">
        <v>1059</v>
      </c>
      <c r="C81" s="148">
        <v>0.08</v>
      </c>
      <c r="D81" s="107">
        <v>1</v>
      </c>
      <c r="E81" s="109">
        <f>FORNITURAS!W5</f>
        <v>906.42857142857144</v>
      </c>
      <c r="F81" s="110">
        <f>E81*C81</f>
        <v>72.51428571428572</v>
      </c>
    </row>
    <row r="82" spans="1:9" ht="15.75" x14ac:dyDescent="0.25">
      <c r="A82" s="3" t="s">
        <v>1587</v>
      </c>
      <c r="B82" s="98"/>
      <c r="C82" s="98"/>
      <c r="D82" s="2">
        <v>1</v>
      </c>
      <c r="E82" s="66">
        <f>FORNITURAS!D20</f>
        <v>1066</v>
      </c>
      <c r="F82" s="39">
        <f>E82*D82</f>
        <v>1066</v>
      </c>
    </row>
    <row r="83" spans="1:9" ht="15.75" x14ac:dyDescent="0.25">
      <c r="A83" s="3" t="s">
        <v>1538</v>
      </c>
      <c r="B83" s="98"/>
      <c r="C83" s="98"/>
      <c r="D83" s="2">
        <v>1</v>
      </c>
      <c r="E83" s="66"/>
      <c r="F83" s="39">
        <f>PACKAGING!E8</f>
        <v>420</v>
      </c>
    </row>
    <row r="84" spans="1:9" ht="15.75" x14ac:dyDescent="0.25">
      <c r="A84" s="3" t="s">
        <v>1557</v>
      </c>
      <c r="B84" s="98"/>
      <c r="C84" s="2"/>
      <c r="D84" s="2">
        <v>1</v>
      </c>
      <c r="E84" s="66"/>
      <c r="F84" s="39">
        <f>PACKAGING!E3</f>
        <v>150</v>
      </c>
    </row>
    <row r="85" spans="1:9" ht="15.75" x14ac:dyDescent="0.25">
      <c r="A85" s="3" t="s">
        <v>1558</v>
      </c>
      <c r="B85" s="98">
        <v>60</v>
      </c>
      <c r="C85" s="603"/>
      <c r="D85" s="2">
        <v>15</v>
      </c>
      <c r="E85" s="66">
        <f>'INSUMOS VARIOS'!B3</f>
        <v>3500</v>
      </c>
      <c r="F85" s="39">
        <f>E85*D85/B85</f>
        <v>875</v>
      </c>
    </row>
    <row r="86" spans="1:9" ht="16.5" thickBot="1" x14ac:dyDescent="0.3">
      <c r="A86" s="79" t="s">
        <v>525</v>
      </c>
      <c r="B86" s="99"/>
      <c r="C86" s="99"/>
      <c r="D86" s="70"/>
      <c r="E86" s="85"/>
      <c r="F86" s="51">
        <f>SUM(F80:F85)</f>
        <v>4493.5142857142855</v>
      </c>
    </row>
    <row r="87" spans="1:9" ht="18.75" x14ac:dyDescent="0.25">
      <c r="A87" s="80" t="s">
        <v>544</v>
      </c>
      <c r="B87" s="100"/>
      <c r="C87" s="100"/>
      <c r="D87" s="71"/>
      <c r="E87" s="71"/>
      <c r="F87" s="72">
        <f>F86*2</f>
        <v>8987.028571428571</v>
      </c>
      <c r="G87" s="606">
        <f>F87+F87*70%</f>
        <v>15277.948571428569</v>
      </c>
      <c r="H87" s="75">
        <v>14000</v>
      </c>
    </row>
    <row r="88" spans="1:9" ht="19.5" thickBot="1" x14ac:dyDescent="0.3">
      <c r="A88" s="81" t="s">
        <v>1559</v>
      </c>
      <c r="B88" s="101"/>
      <c r="C88" s="101"/>
      <c r="D88" s="73"/>
      <c r="E88" s="73"/>
      <c r="F88" s="73"/>
      <c r="G88" s="607"/>
      <c r="H88" s="1281">
        <f>H87*60%</f>
        <v>8400</v>
      </c>
      <c r="I88" s="1273" t="s">
        <v>3687</v>
      </c>
    </row>
    <row r="89" spans="1:9" ht="16.5" thickBot="1" x14ac:dyDescent="0.3">
      <c r="G89" s="1"/>
      <c r="H89" s="1"/>
    </row>
    <row r="90" spans="1:9" ht="16.5" thickBot="1" x14ac:dyDescent="0.3">
      <c r="A90" s="1716" t="s">
        <v>3348</v>
      </c>
      <c r="B90" s="1717"/>
      <c r="C90" s="1717"/>
      <c r="D90" s="1717"/>
      <c r="E90" s="1717"/>
      <c r="F90" s="1718"/>
      <c r="G90" s="1"/>
      <c r="H90" s="1"/>
    </row>
    <row r="91" spans="1:9" ht="15.75" x14ac:dyDescent="0.25">
      <c r="A91" s="183" t="s">
        <v>916</v>
      </c>
      <c r="B91" s="97" t="s">
        <v>742</v>
      </c>
      <c r="C91" s="97" t="s">
        <v>1089</v>
      </c>
      <c r="D91" s="76" t="s">
        <v>1547</v>
      </c>
      <c r="E91" s="108" t="s">
        <v>1035</v>
      </c>
      <c r="F91" s="77" t="s">
        <v>1549</v>
      </c>
      <c r="G91" s="1"/>
      <c r="H91" s="1"/>
    </row>
    <row r="92" spans="1:9" ht="15.75" x14ac:dyDescent="0.25">
      <c r="A92" s="2" t="s">
        <v>3349</v>
      </c>
      <c r="B92" s="2"/>
      <c r="C92" s="190"/>
      <c r="D92" s="107">
        <v>1</v>
      </c>
      <c r="E92" s="109">
        <f>'AROS, CADENAS, DIJES, ETC'!O53</f>
        <v>1815</v>
      </c>
      <c r="F92" s="110">
        <f>E92*D92</f>
        <v>1815</v>
      </c>
      <c r="G92" s="1"/>
      <c r="H92" s="1"/>
    </row>
    <row r="93" spans="1:9" ht="15.75" x14ac:dyDescent="0.25">
      <c r="A93" s="148" t="s">
        <v>1050</v>
      </c>
      <c r="B93" s="98" t="s">
        <v>1059</v>
      </c>
      <c r="C93" s="148">
        <v>0.08</v>
      </c>
      <c r="D93" s="107">
        <v>1</v>
      </c>
      <c r="E93" s="109">
        <f>FORNITURAS!W5</f>
        <v>906.42857142857144</v>
      </c>
      <c r="F93" s="110">
        <f>E93*C93</f>
        <v>72.51428571428572</v>
      </c>
    </row>
    <row r="94" spans="1:9" ht="15.75" x14ac:dyDescent="0.25">
      <c r="A94" s="3" t="s">
        <v>1587</v>
      </c>
      <c r="B94" s="98"/>
      <c r="C94" s="98"/>
      <c r="D94" s="2">
        <v>1</v>
      </c>
      <c r="E94" s="66">
        <f>FORNITURAS!D20</f>
        <v>1066</v>
      </c>
      <c r="F94" s="39">
        <f>E94*D94</f>
        <v>1066</v>
      </c>
    </row>
    <row r="95" spans="1:9" ht="15.75" x14ac:dyDescent="0.25">
      <c r="A95" s="3" t="s">
        <v>1746</v>
      </c>
      <c r="B95" s="98"/>
      <c r="C95" s="98"/>
      <c r="D95" s="2"/>
      <c r="E95" s="66"/>
      <c r="F95" s="39">
        <v>20</v>
      </c>
    </row>
    <row r="96" spans="1:9" ht="15.75" x14ac:dyDescent="0.25">
      <c r="A96" s="3" t="s">
        <v>1742</v>
      </c>
      <c r="B96" s="98" t="s">
        <v>3150</v>
      </c>
      <c r="C96" s="98"/>
      <c r="D96" s="2">
        <v>1</v>
      </c>
      <c r="E96" s="66">
        <f>'PERLAS 2'!O5</f>
        <v>108.25</v>
      </c>
      <c r="F96" s="39">
        <f>E96*D96</f>
        <v>108.25</v>
      </c>
    </row>
    <row r="97" spans="1:9" ht="15.75" x14ac:dyDescent="0.25">
      <c r="A97" s="3" t="s">
        <v>1555</v>
      </c>
      <c r="B97" s="98"/>
      <c r="C97" s="98"/>
      <c r="D97" s="2">
        <v>1</v>
      </c>
      <c r="E97" s="66">
        <f>FORNITURAS!D8</f>
        <v>192.77777777777777</v>
      </c>
      <c r="F97" s="39">
        <f>E97*D97</f>
        <v>192.77777777777777</v>
      </c>
    </row>
    <row r="98" spans="1:9" ht="15.75" x14ac:dyDescent="0.25">
      <c r="A98" s="3" t="s">
        <v>1538</v>
      </c>
      <c r="B98" s="98"/>
      <c r="C98" s="98"/>
      <c r="D98" s="2">
        <v>1</v>
      </c>
      <c r="E98" s="66"/>
      <c r="F98" s="39">
        <f>PACKAGING!E8</f>
        <v>420</v>
      </c>
    </row>
    <row r="99" spans="1:9" ht="15.75" x14ac:dyDescent="0.25">
      <c r="A99" s="3" t="s">
        <v>1557</v>
      </c>
      <c r="B99" s="98"/>
      <c r="C99" s="2"/>
      <c r="D99" s="2">
        <v>1</v>
      </c>
      <c r="E99" s="66"/>
      <c r="F99" s="39">
        <f>PACKAGING!E3</f>
        <v>150</v>
      </c>
    </row>
    <row r="100" spans="1:9" ht="15.75" x14ac:dyDescent="0.25">
      <c r="A100" s="3" t="s">
        <v>1558</v>
      </c>
      <c r="B100" s="98">
        <v>60</v>
      </c>
      <c r="C100" s="603"/>
      <c r="D100" s="2">
        <v>15</v>
      </c>
      <c r="E100" s="66">
        <f>'INSUMOS VARIOS'!B3</f>
        <v>3500</v>
      </c>
      <c r="F100" s="39">
        <f>E100*D100/B100</f>
        <v>875</v>
      </c>
    </row>
    <row r="101" spans="1:9" ht="16.5" thickBot="1" x14ac:dyDescent="0.3">
      <c r="A101" s="79" t="s">
        <v>525</v>
      </c>
      <c r="B101" s="99"/>
      <c r="C101" s="99"/>
      <c r="D101" s="70"/>
      <c r="E101" s="85"/>
      <c r="F101" s="51">
        <f>SUM(F92:F100)</f>
        <v>4719.5420634920629</v>
      </c>
    </row>
    <row r="102" spans="1:9" ht="18.75" x14ac:dyDescent="0.25">
      <c r="A102" s="80" t="s">
        <v>544</v>
      </c>
      <c r="B102" s="100"/>
      <c r="C102" s="100"/>
      <c r="D102" s="71"/>
      <c r="E102" s="71"/>
      <c r="F102" s="72">
        <f>F101*2</f>
        <v>9439.0841269841258</v>
      </c>
      <c r="G102" s="606">
        <f>F102+F102*70%</f>
        <v>16046.443015873014</v>
      </c>
      <c r="H102" s="75">
        <v>14000</v>
      </c>
    </row>
    <row r="103" spans="1:9" ht="19.5" thickBot="1" x14ac:dyDescent="0.3">
      <c r="A103" s="81" t="s">
        <v>1559</v>
      </c>
      <c r="B103" s="101"/>
      <c r="C103" s="101"/>
      <c r="D103" s="73"/>
      <c r="E103" s="73"/>
      <c r="F103" s="73"/>
      <c r="G103" s="607"/>
      <c r="H103" s="1281">
        <f>H102*60%</f>
        <v>8400</v>
      </c>
      <c r="I103" s="1273" t="s">
        <v>3687</v>
      </c>
    </row>
    <row r="104" spans="1:9" ht="15.75" thickBot="1" x14ac:dyDescent="0.3"/>
    <row r="105" spans="1:9" ht="16.5" thickBot="1" x14ac:dyDescent="0.3">
      <c r="A105" s="1716" t="s">
        <v>3661</v>
      </c>
      <c r="B105" s="1717"/>
      <c r="C105" s="1717"/>
      <c r="D105" s="1717"/>
      <c r="E105" s="1717"/>
      <c r="F105" s="1718"/>
      <c r="G105" s="1"/>
      <c r="H105" s="1"/>
    </row>
    <row r="106" spans="1:9" ht="15.75" x14ac:dyDescent="0.25">
      <c r="A106" s="1130" t="s">
        <v>916</v>
      </c>
      <c r="B106" s="97" t="s">
        <v>742</v>
      </c>
      <c r="C106" s="97" t="s">
        <v>1089</v>
      </c>
      <c r="D106" s="76" t="s">
        <v>1547</v>
      </c>
      <c r="E106" s="108" t="s">
        <v>1035</v>
      </c>
      <c r="F106" s="77" t="s">
        <v>1549</v>
      </c>
      <c r="G106" s="1"/>
      <c r="H106" s="1"/>
    </row>
    <row r="107" spans="1:9" ht="15.75" x14ac:dyDescent="0.25">
      <c r="A107" s="2" t="s">
        <v>3430</v>
      </c>
      <c r="B107" s="98"/>
      <c r="C107" s="190"/>
      <c r="D107" s="107">
        <v>1</v>
      </c>
      <c r="E107" s="109">
        <f>'AROS, CADENAS, DIJES, ETC'!O55</f>
        <v>2665</v>
      </c>
      <c r="F107" s="110">
        <f>E107*D107</f>
        <v>2665</v>
      </c>
      <c r="G107" s="1"/>
      <c r="H107" s="1"/>
    </row>
    <row r="108" spans="1:9" ht="15.75" x14ac:dyDescent="0.25">
      <c r="A108" s="148" t="s">
        <v>3111</v>
      </c>
      <c r="B108" s="98"/>
      <c r="C108" s="148"/>
      <c r="D108" s="107">
        <v>2</v>
      </c>
      <c r="E108" s="109">
        <f>FORNITURAS!D11</f>
        <v>99.083333333333329</v>
      </c>
      <c r="F108" s="110">
        <f>E108*D108</f>
        <v>198.16666666666666</v>
      </c>
    </row>
    <row r="109" spans="1:9" ht="15.75" x14ac:dyDescent="0.25">
      <c r="A109" s="3" t="s">
        <v>1742</v>
      </c>
      <c r="B109" s="98" t="s">
        <v>1345</v>
      </c>
      <c r="C109" s="98"/>
      <c r="D109" s="2">
        <v>1</v>
      </c>
      <c r="E109" s="66">
        <f>'PERLAS 2'!H14</f>
        <v>324.8</v>
      </c>
      <c r="F109" s="39">
        <f>E109*D109</f>
        <v>324.8</v>
      </c>
    </row>
    <row r="110" spans="1:9" ht="15.75" x14ac:dyDescent="0.25">
      <c r="A110" s="3" t="s">
        <v>3404</v>
      </c>
      <c r="B110" s="98"/>
      <c r="C110" s="98"/>
      <c r="D110" s="2">
        <v>1</v>
      </c>
      <c r="E110" s="66">
        <f>PIEDRAS!F79</f>
        <v>257.14285714285717</v>
      </c>
      <c r="F110" s="39">
        <f>E110</f>
        <v>257.14285714285717</v>
      </c>
    </row>
    <row r="111" spans="1:9" ht="15.75" x14ac:dyDescent="0.25">
      <c r="A111" s="3" t="s">
        <v>1555</v>
      </c>
      <c r="B111" s="98"/>
      <c r="C111" s="98"/>
      <c r="D111" s="2">
        <v>2</v>
      </c>
      <c r="E111" s="66">
        <f>FORNITURAS!D6</f>
        <v>131.81818181818181</v>
      </c>
      <c r="F111" s="39">
        <f>E111*D111</f>
        <v>263.63636363636363</v>
      </c>
    </row>
    <row r="112" spans="1:9" ht="15.75" x14ac:dyDescent="0.25">
      <c r="A112" s="3" t="s">
        <v>1538</v>
      </c>
      <c r="B112" s="98"/>
      <c r="C112" s="98"/>
      <c r="D112" s="2">
        <v>1</v>
      </c>
      <c r="E112" s="66"/>
      <c r="F112" s="39">
        <f>PACKAGING!E8</f>
        <v>420</v>
      </c>
    </row>
    <row r="113" spans="1:9" ht="15.75" x14ac:dyDescent="0.25">
      <c r="A113" s="3" t="s">
        <v>1557</v>
      </c>
      <c r="B113" s="98"/>
      <c r="C113" s="2"/>
      <c r="D113" s="2">
        <v>1</v>
      </c>
      <c r="E113" s="66"/>
      <c r="F113" s="39">
        <f>PACKAGING!E3</f>
        <v>150</v>
      </c>
    </row>
    <row r="114" spans="1:9" ht="15.75" x14ac:dyDescent="0.25">
      <c r="A114" s="3" t="s">
        <v>1558</v>
      </c>
      <c r="B114" s="98">
        <v>60</v>
      </c>
      <c r="C114" s="603"/>
      <c r="D114" s="2">
        <v>20</v>
      </c>
      <c r="E114" s="66">
        <f>'INSUMOS VARIOS'!B3</f>
        <v>3500</v>
      </c>
      <c r="F114" s="39">
        <f>E114*D114/B114</f>
        <v>1166.6666666666667</v>
      </c>
    </row>
    <row r="115" spans="1:9" ht="16.5" thickBot="1" x14ac:dyDescent="0.3">
      <c r="A115" s="79" t="s">
        <v>525</v>
      </c>
      <c r="B115" s="99"/>
      <c r="C115" s="99"/>
      <c r="D115" s="70"/>
      <c r="E115" s="85"/>
      <c r="F115" s="51">
        <f>SUM(F107:F114)</f>
        <v>5445.412554112555</v>
      </c>
    </row>
    <row r="116" spans="1:9" ht="18.75" x14ac:dyDescent="0.25">
      <c r="A116" s="80" t="s">
        <v>544</v>
      </c>
      <c r="B116" s="100"/>
      <c r="C116" s="100"/>
      <c r="D116" s="71"/>
      <c r="E116" s="71"/>
      <c r="F116" s="72">
        <f>F115*2</f>
        <v>10890.82510822511</v>
      </c>
      <c r="G116" s="606">
        <f>F116+F116*70%</f>
        <v>18514.402683982687</v>
      </c>
      <c r="H116" s="75">
        <v>18000</v>
      </c>
    </row>
    <row r="117" spans="1:9" ht="19.5" thickBot="1" x14ac:dyDescent="0.3">
      <c r="A117" s="81" t="s">
        <v>1559</v>
      </c>
      <c r="B117" s="101"/>
      <c r="C117" s="101"/>
      <c r="D117" s="73"/>
      <c r="E117" s="73"/>
      <c r="F117" s="73"/>
      <c r="G117" s="607"/>
      <c r="H117" s="1281">
        <f>H116*60%</f>
        <v>10800</v>
      </c>
      <c r="I117" s="1273" t="s">
        <v>3687</v>
      </c>
    </row>
    <row r="119" spans="1:9" ht="16.5" thickBot="1" x14ac:dyDescent="0.3">
      <c r="A119" s="1602" t="s">
        <v>3652</v>
      </c>
      <c r="B119" s="1600"/>
      <c r="C119" s="1600"/>
      <c r="D119" s="1600"/>
      <c r="E119" s="1600"/>
      <c r="F119" s="1600"/>
      <c r="G119" s="171"/>
      <c r="H119" s="171"/>
    </row>
    <row r="120" spans="1:9" ht="15.75" x14ac:dyDescent="0.25">
      <c r="A120" s="483" t="s">
        <v>916</v>
      </c>
      <c r="B120" s="1225" t="s">
        <v>1073</v>
      </c>
      <c r="C120" s="485" t="s">
        <v>1089</v>
      </c>
      <c r="D120" s="485" t="s">
        <v>1547</v>
      </c>
      <c r="E120" s="485" t="s">
        <v>1035</v>
      </c>
      <c r="F120" s="486" t="s">
        <v>1549</v>
      </c>
      <c r="G120" s="1"/>
      <c r="H120" s="171"/>
    </row>
    <row r="121" spans="1:9" ht="15.75" x14ac:dyDescent="0.25">
      <c r="A121" s="340" t="s">
        <v>3495</v>
      </c>
      <c r="B121" s="2">
        <v>0.9</v>
      </c>
      <c r="C121" s="241"/>
      <c r="D121" s="6">
        <v>0.01</v>
      </c>
      <c r="E121" s="66">
        <f>PIEDRAS!F147</f>
        <v>12.040133779264215</v>
      </c>
      <c r="F121" s="39">
        <f>E121*D121/B121</f>
        <v>0.13377926421404684</v>
      </c>
      <c r="G121" s="1"/>
      <c r="H121" s="171"/>
    </row>
    <row r="122" spans="1:9" ht="15.75" x14ac:dyDescent="0.25">
      <c r="A122" s="340" t="s">
        <v>1742</v>
      </c>
      <c r="B122" s="2" t="s">
        <v>1357</v>
      </c>
      <c r="C122" s="241"/>
      <c r="D122" s="6">
        <v>1</v>
      </c>
      <c r="E122" s="66">
        <f>'PERLAS 2'!H15</f>
        <v>680.16666666666663</v>
      </c>
      <c r="F122" s="39">
        <f>E122*D122</f>
        <v>680.16666666666663</v>
      </c>
      <c r="G122" s="1"/>
      <c r="H122" s="171"/>
    </row>
    <row r="123" spans="1:9" ht="15.75" x14ac:dyDescent="0.25">
      <c r="A123" s="340" t="s">
        <v>1587</v>
      </c>
      <c r="B123" s="2"/>
      <c r="C123" s="241"/>
      <c r="D123" s="6">
        <v>1</v>
      </c>
      <c r="E123" s="66">
        <f>FORNITURAS!D20</f>
        <v>1066</v>
      </c>
      <c r="F123" s="39">
        <f>E123</f>
        <v>1066</v>
      </c>
      <c r="G123" s="1"/>
      <c r="H123" s="171"/>
    </row>
    <row r="124" spans="1:9" ht="15.75" x14ac:dyDescent="0.25">
      <c r="A124" s="340" t="s">
        <v>3117</v>
      </c>
      <c r="B124" s="2"/>
      <c r="C124" s="241"/>
      <c r="D124" s="6">
        <v>1</v>
      </c>
      <c r="E124" s="66">
        <f>FORNITURAS!D14</f>
        <v>98.8</v>
      </c>
      <c r="F124" s="39">
        <f>E124*D124</f>
        <v>98.8</v>
      </c>
      <c r="G124" s="1"/>
      <c r="H124" s="171"/>
    </row>
    <row r="125" spans="1:9" ht="15.75" x14ac:dyDescent="0.25">
      <c r="A125" s="3" t="s">
        <v>1557</v>
      </c>
      <c r="B125" s="2"/>
      <c r="C125" s="6"/>
      <c r="D125" s="6"/>
      <c r="E125" s="66"/>
      <c r="F125" s="39">
        <f>PACKAGING!E3</f>
        <v>150</v>
      </c>
      <c r="G125" s="1"/>
      <c r="H125" s="171"/>
    </row>
    <row r="126" spans="1:9" ht="15.75" x14ac:dyDescent="0.25">
      <c r="A126" s="3" t="s">
        <v>1558</v>
      </c>
      <c r="B126" s="2">
        <v>60</v>
      </c>
      <c r="C126" s="6"/>
      <c r="D126" s="6">
        <v>10</v>
      </c>
      <c r="E126" s="66">
        <f>'INSUMOS VARIOS'!B3</f>
        <v>3500</v>
      </c>
      <c r="F126" s="39">
        <f>E126*D126/B126</f>
        <v>583.33333333333337</v>
      </c>
      <c r="G126" s="1"/>
      <c r="H126" s="171"/>
    </row>
    <row r="127" spans="1:9" ht="15.75" x14ac:dyDescent="0.25">
      <c r="A127" s="3" t="s">
        <v>1538</v>
      </c>
      <c r="B127" s="2"/>
      <c r="C127" s="6"/>
      <c r="D127" s="6"/>
      <c r="E127" s="66"/>
      <c r="F127" s="39">
        <f>PACKAGING!E8</f>
        <v>420</v>
      </c>
      <c r="G127" s="1"/>
      <c r="H127" s="171"/>
    </row>
    <row r="128" spans="1:9" ht="16.5" thickBot="1" x14ac:dyDescent="0.3">
      <c r="A128" s="79" t="s">
        <v>525</v>
      </c>
      <c r="B128" s="70"/>
      <c r="C128" s="85"/>
      <c r="D128" s="85"/>
      <c r="E128" s="85"/>
      <c r="F128" s="51">
        <f>SUM(F121:F127)</f>
        <v>2998.4337792642141</v>
      </c>
      <c r="G128" s="134"/>
      <c r="H128" s="171"/>
    </row>
    <row r="129" spans="1:9" ht="16.5" thickBot="1" x14ac:dyDescent="0.3">
      <c r="A129" s="1147" t="s">
        <v>1559</v>
      </c>
      <c r="B129" s="1148"/>
      <c r="C129" s="1148"/>
      <c r="D129" s="1148"/>
      <c r="E129" s="276"/>
      <c r="F129" s="372">
        <f>F128*2</f>
        <v>5996.8675585284282</v>
      </c>
      <c r="G129" s="489">
        <f>F129+F129*70%</f>
        <v>10194.674849498328</v>
      </c>
      <c r="H129" s="253">
        <v>9000</v>
      </c>
    </row>
    <row r="130" spans="1:9" ht="16.5" thickBot="1" x14ac:dyDescent="0.3">
      <c r="H130" s="1270">
        <f>H129*60%</f>
        <v>5400</v>
      </c>
      <c r="I130" s="1273" t="s">
        <v>3687</v>
      </c>
    </row>
    <row r="131" spans="1:9" ht="15.75" thickBot="1" x14ac:dyDescent="0.3"/>
    <row r="132" spans="1:9" ht="16.5" thickBot="1" x14ac:dyDescent="0.3">
      <c r="A132" s="1716" t="s">
        <v>3739</v>
      </c>
      <c r="B132" s="1717"/>
      <c r="C132" s="1717"/>
      <c r="D132" s="1717"/>
      <c r="E132" s="1717"/>
      <c r="F132" s="1718"/>
      <c r="G132" s="1"/>
      <c r="H132" s="1"/>
    </row>
    <row r="133" spans="1:9" ht="15.75" x14ac:dyDescent="0.25">
      <c r="A133" s="183" t="s">
        <v>916</v>
      </c>
      <c r="B133" s="97" t="s">
        <v>742</v>
      </c>
      <c r="C133" s="97" t="s">
        <v>1089</v>
      </c>
      <c r="D133" s="76" t="s">
        <v>1547</v>
      </c>
      <c r="E133" s="108" t="s">
        <v>1035</v>
      </c>
      <c r="F133" s="77" t="s">
        <v>1549</v>
      </c>
      <c r="G133" s="1"/>
      <c r="H133" s="1"/>
    </row>
    <row r="134" spans="1:9" ht="15.75" x14ac:dyDescent="0.25">
      <c r="A134" s="2" t="s">
        <v>3177</v>
      </c>
      <c r="B134" s="2"/>
      <c r="C134" s="190"/>
      <c r="D134" s="107">
        <v>1</v>
      </c>
      <c r="E134" s="109">
        <f>PLATEADO!M13</f>
        <v>1634</v>
      </c>
      <c r="F134" s="110">
        <f>E134*D134</f>
        <v>1634</v>
      </c>
      <c r="G134" s="1"/>
      <c r="H134" s="1"/>
    </row>
    <row r="135" spans="1:9" ht="15.75" x14ac:dyDescent="0.25">
      <c r="A135" s="1616" t="s">
        <v>1555</v>
      </c>
      <c r="B135" s="98" t="s">
        <v>1556</v>
      </c>
      <c r="C135" s="148"/>
      <c r="D135" s="107">
        <v>1</v>
      </c>
      <c r="E135" s="109">
        <f>FORNITURAS!D4</f>
        <v>48.7</v>
      </c>
      <c r="F135" s="110">
        <f>E135*D135</f>
        <v>48.7</v>
      </c>
      <c r="G135" s="1"/>
      <c r="H135" s="1"/>
    </row>
    <row r="136" spans="1:9" ht="15.75" x14ac:dyDescent="0.25">
      <c r="A136" s="1715"/>
      <c r="B136" s="98" t="s">
        <v>1933</v>
      </c>
      <c r="C136" s="148"/>
      <c r="D136" s="107">
        <v>1</v>
      </c>
      <c r="E136" s="109">
        <f>FORNITURAS!D5</f>
        <v>46.8</v>
      </c>
      <c r="F136" s="110">
        <f>E136*D136</f>
        <v>46.8</v>
      </c>
    </row>
    <row r="137" spans="1:9" ht="15.75" x14ac:dyDescent="0.25">
      <c r="A137" s="3" t="s">
        <v>1587</v>
      </c>
      <c r="B137" s="98"/>
      <c r="C137" s="98"/>
      <c r="D137" s="2">
        <v>1</v>
      </c>
      <c r="E137" s="66">
        <f>PLATEADO!L23</f>
        <v>409</v>
      </c>
      <c r="F137" s="39">
        <f>E137*D137</f>
        <v>409</v>
      </c>
    </row>
    <row r="138" spans="1:9" ht="15.75" x14ac:dyDescent="0.25">
      <c r="A138" s="3" t="s">
        <v>1538</v>
      </c>
      <c r="B138" s="98"/>
      <c r="C138" s="98"/>
      <c r="D138" s="2"/>
      <c r="E138" s="66"/>
      <c r="F138" s="39">
        <f>PACKAGING!E8</f>
        <v>420</v>
      </c>
    </row>
    <row r="139" spans="1:9" ht="15.75" x14ac:dyDescent="0.25">
      <c r="A139" s="3" t="s">
        <v>1557</v>
      </c>
      <c r="B139" s="98"/>
      <c r="C139" s="2"/>
      <c r="D139" s="2">
        <v>1</v>
      </c>
      <c r="E139" s="66"/>
      <c r="F139" s="39">
        <f>PACKAGING!E3</f>
        <v>150</v>
      </c>
    </row>
    <row r="140" spans="1:9" ht="15.75" x14ac:dyDescent="0.25">
      <c r="A140" s="3" t="s">
        <v>1558</v>
      </c>
      <c r="B140" s="98">
        <v>60</v>
      </c>
      <c r="C140" s="603"/>
      <c r="D140" s="2">
        <v>15</v>
      </c>
      <c r="E140" s="66">
        <f>'INSUMOS VARIOS'!B3</f>
        <v>3500</v>
      </c>
      <c r="F140" s="39">
        <f>E140*D140/B140</f>
        <v>875</v>
      </c>
    </row>
    <row r="141" spans="1:9" ht="16.5" thickBot="1" x14ac:dyDescent="0.3">
      <c r="A141" s="79" t="s">
        <v>525</v>
      </c>
      <c r="B141" s="99"/>
      <c r="C141" s="99"/>
      <c r="D141" s="70"/>
      <c r="E141" s="85"/>
      <c r="F141" s="51">
        <f>SUM(F134:F140)</f>
        <v>3583.5</v>
      </c>
    </row>
    <row r="142" spans="1:9" ht="18.75" x14ac:dyDescent="0.25">
      <c r="A142" s="80" t="s">
        <v>544</v>
      </c>
      <c r="B142" s="100"/>
      <c r="C142" s="100"/>
      <c r="D142" s="71"/>
      <c r="E142" s="71"/>
      <c r="F142" s="72">
        <f>F141*2</f>
        <v>7167</v>
      </c>
      <c r="G142" s="606">
        <f>F142+F142*70%</f>
        <v>12183.9</v>
      </c>
      <c r="H142" s="75">
        <v>11000</v>
      </c>
    </row>
    <row r="143" spans="1:9" ht="19.5" thickBot="1" x14ac:dyDescent="0.3">
      <c r="A143" s="81" t="s">
        <v>1559</v>
      </c>
      <c r="B143" s="101"/>
      <c r="C143" s="101"/>
      <c r="D143" s="73"/>
      <c r="E143" s="73"/>
      <c r="F143" s="73"/>
      <c r="G143" s="607"/>
      <c r="H143" s="1281">
        <f>H142*60%</f>
        <v>6600</v>
      </c>
      <c r="I143" s="1273" t="s">
        <v>3687</v>
      </c>
    </row>
    <row r="144" spans="1:9" ht="15.75" thickBot="1" x14ac:dyDescent="0.3"/>
    <row r="145" spans="1:9" ht="16.5" thickBot="1" x14ac:dyDescent="0.3">
      <c r="A145" s="1716" t="s">
        <v>3740</v>
      </c>
      <c r="B145" s="1717"/>
      <c r="C145" s="1717"/>
      <c r="D145" s="1717"/>
      <c r="E145" s="1717"/>
      <c r="F145" s="1718"/>
      <c r="G145" s="1"/>
      <c r="H145" s="1"/>
    </row>
    <row r="146" spans="1:9" ht="15.75" x14ac:dyDescent="0.25">
      <c r="A146" s="183" t="s">
        <v>916</v>
      </c>
      <c r="B146" s="97" t="s">
        <v>742</v>
      </c>
      <c r="C146" s="97" t="s">
        <v>1089</v>
      </c>
      <c r="D146" s="76" t="s">
        <v>1547</v>
      </c>
      <c r="E146" s="108" t="s">
        <v>1035</v>
      </c>
      <c r="F146" s="77" t="s">
        <v>1549</v>
      </c>
      <c r="G146" s="1"/>
      <c r="H146" s="1"/>
    </row>
    <row r="147" spans="1:9" ht="15.75" x14ac:dyDescent="0.25">
      <c r="A147" s="2" t="s">
        <v>3349</v>
      </c>
      <c r="B147" s="2"/>
      <c r="C147" s="190"/>
      <c r="D147" s="107">
        <v>1</v>
      </c>
      <c r="E147" s="109">
        <f>PLATEADO!M14</f>
        <v>2057</v>
      </c>
      <c r="F147" s="110">
        <f>E147*D147</f>
        <v>2057</v>
      </c>
      <c r="G147" s="1"/>
      <c r="H147" s="1"/>
    </row>
    <row r="148" spans="1:9" ht="15.75" x14ac:dyDescent="0.25">
      <c r="A148" s="148" t="s">
        <v>1050</v>
      </c>
      <c r="B148" s="98" t="s">
        <v>1059</v>
      </c>
      <c r="C148" s="148">
        <v>0.08</v>
      </c>
      <c r="D148" s="107">
        <v>1</v>
      </c>
      <c r="E148" s="109">
        <f>PLATEADO!L5</f>
        <v>914.21428571428567</v>
      </c>
      <c r="F148" s="110">
        <f>E148*C148</f>
        <v>73.137142857142848</v>
      </c>
    </row>
    <row r="149" spans="1:9" ht="15.75" x14ac:dyDescent="0.25">
      <c r="A149" s="3" t="s">
        <v>1587</v>
      </c>
      <c r="B149" s="98"/>
      <c r="C149" s="98"/>
      <c r="D149" s="2">
        <v>1</v>
      </c>
      <c r="E149" s="66">
        <f>PLATEADO!L23</f>
        <v>409</v>
      </c>
      <c r="F149" s="39">
        <f>E149*D149</f>
        <v>409</v>
      </c>
    </row>
    <row r="150" spans="1:9" ht="15.75" x14ac:dyDescent="0.25">
      <c r="A150" s="3" t="s">
        <v>1746</v>
      </c>
      <c r="B150" s="98"/>
      <c r="C150" s="98"/>
      <c r="D150" s="2"/>
      <c r="E150" s="66"/>
      <c r="F150" s="39">
        <v>20</v>
      </c>
    </row>
    <row r="151" spans="1:9" ht="15.75" x14ac:dyDescent="0.25">
      <c r="A151" s="3" t="s">
        <v>1742</v>
      </c>
      <c r="B151" s="98" t="s">
        <v>3150</v>
      </c>
      <c r="C151" s="98"/>
      <c r="D151" s="2">
        <v>1</v>
      </c>
      <c r="E151" s="66">
        <f>'PERLAS 2'!O5</f>
        <v>108.25</v>
      </c>
      <c r="F151" s="39">
        <f>E151*D151</f>
        <v>108.25</v>
      </c>
    </row>
    <row r="152" spans="1:9" ht="15.75" x14ac:dyDescent="0.25">
      <c r="A152" s="3" t="s">
        <v>1555</v>
      </c>
      <c r="B152" s="98"/>
      <c r="C152" s="98"/>
      <c r="D152" s="2">
        <v>1</v>
      </c>
      <c r="E152" s="66">
        <f>FORNITURAS!D5</f>
        <v>46.8</v>
      </c>
      <c r="F152" s="39">
        <f>E152*D152</f>
        <v>46.8</v>
      </c>
    </row>
    <row r="153" spans="1:9" ht="15.75" x14ac:dyDescent="0.25">
      <c r="A153" s="3" t="s">
        <v>1538</v>
      </c>
      <c r="B153" s="98"/>
      <c r="C153" s="98"/>
      <c r="D153" s="2">
        <v>1</v>
      </c>
      <c r="E153" s="66"/>
      <c r="F153" s="39">
        <f>PACKAGING!E8</f>
        <v>420</v>
      </c>
    </row>
    <row r="154" spans="1:9" ht="15.75" x14ac:dyDescent="0.25">
      <c r="A154" s="3" t="s">
        <v>1557</v>
      </c>
      <c r="B154" s="98"/>
      <c r="C154" s="2"/>
      <c r="D154" s="2">
        <v>1</v>
      </c>
      <c r="E154" s="66"/>
      <c r="F154" s="39">
        <f>PACKAGING!E3</f>
        <v>150</v>
      </c>
    </row>
    <row r="155" spans="1:9" ht="15.75" x14ac:dyDescent="0.25">
      <c r="A155" s="3" t="s">
        <v>1558</v>
      </c>
      <c r="B155" s="98">
        <v>60</v>
      </c>
      <c r="C155" s="603"/>
      <c r="D155" s="2">
        <v>15</v>
      </c>
      <c r="E155" s="66">
        <f>'INSUMOS VARIOS'!B3</f>
        <v>3500</v>
      </c>
      <c r="F155" s="39">
        <f>E155*D155/B155</f>
        <v>875</v>
      </c>
    </row>
    <row r="156" spans="1:9" ht="16.5" thickBot="1" x14ac:dyDescent="0.3">
      <c r="A156" s="79" t="s">
        <v>525</v>
      </c>
      <c r="B156" s="99"/>
      <c r="C156" s="99"/>
      <c r="D156" s="70"/>
      <c r="E156" s="85"/>
      <c r="F156" s="51">
        <f>SUM(F147:F155)</f>
        <v>4159.187142857143</v>
      </c>
    </row>
    <row r="157" spans="1:9" ht="18.75" x14ac:dyDescent="0.25">
      <c r="A157" s="80" t="s">
        <v>544</v>
      </c>
      <c r="B157" s="100"/>
      <c r="C157" s="100"/>
      <c r="D157" s="71"/>
      <c r="E157" s="71"/>
      <c r="F157" s="72">
        <f>F156*2</f>
        <v>8318.3742857142861</v>
      </c>
      <c r="G157" s="606">
        <f>F157+F157*70%</f>
        <v>14141.236285714287</v>
      </c>
      <c r="H157" s="75">
        <v>14000</v>
      </c>
    </row>
    <row r="158" spans="1:9" ht="19.5" thickBot="1" x14ac:dyDescent="0.3">
      <c r="A158" s="81" t="s">
        <v>1559</v>
      </c>
      <c r="B158" s="101"/>
      <c r="C158" s="101"/>
      <c r="D158" s="73"/>
      <c r="E158" s="73"/>
      <c r="F158" s="73"/>
      <c r="G158" s="607"/>
      <c r="H158" s="1281">
        <f>H157*60%</f>
        <v>8400</v>
      </c>
      <c r="I158" s="1273" t="s">
        <v>3687</v>
      </c>
    </row>
    <row r="159" spans="1:9" ht="15.75" thickBot="1" x14ac:dyDescent="0.3"/>
    <row r="160" spans="1:9" ht="16.5" thickBot="1" x14ac:dyDescent="0.3">
      <c r="A160" s="1716" t="s">
        <v>3829</v>
      </c>
      <c r="B160" s="1717"/>
      <c r="C160" s="1717"/>
      <c r="D160" s="1717"/>
      <c r="E160" s="1717"/>
      <c r="F160" s="1718"/>
      <c r="G160" s="1"/>
      <c r="H160" s="1"/>
    </row>
    <row r="161" spans="1:9" ht="15.75" x14ac:dyDescent="0.25">
      <c r="A161" s="1130" t="s">
        <v>916</v>
      </c>
      <c r="B161" s="97" t="s">
        <v>742</v>
      </c>
      <c r="C161" s="97" t="s">
        <v>1089</v>
      </c>
      <c r="D161" s="76" t="s">
        <v>1547</v>
      </c>
      <c r="E161" s="108" t="s">
        <v>1035</v>
      </c>
      <c r="F161" s="77" t="s">
        <v>1549</v>
      </c>
      <c r="G161" s="1"/>
      <c r="H161" s="1"/>
    </row>
    <row r="162" spans="1:9" ht="15.75" x14ac:dyDescent="0.25">
      <c r="A162" s="2" t="s">
        <v>3430</v>
      </c>
      <c r="B162" s="98"/>
      <c r="C162" s="190"/>
      <c r="D162" s="107">
        <v>1</v>
      </c>
      <c r="E162" s="109">
        <f>'AROS, CADENAS, DIJES, ETC'!O55</f>
        <v>2665</v>
      </c>
      <c r="F162" s="110">
        <f>E162*D162</f>
        <v>2665</v>
      </c>
      <c r="G162" s="1"/>
      <c r="H162" s="1"/>
    </row>
    <row r="163" spans="1:9" ht="15.75" x14ac:dyDescent="0.25">
      <c r="A163" s="148" t="s">
        <v>3111</v>
      </c>
      <c r="B163" s="98"/>
      <c r="C163" s="148"/>
      <c r="D163" s="107">
        <v>1</v>
      </c>
      <c r="E163" s="109">
        <f>FORNITURAS!D11</f>
        <v>99.083333333333329</v>
      </c>
      <c r="F163" s="110">
        <f>E163*D163</f>
        <v>99.083333333333329</v>
      </c>
    </row>
    <row r="164" spans="1:9" ht="15.75" x14ac:dyDescent="0.25">
      <c r="A164" s="148" t="s">
        <v>3786</v>
      </c>
      <c r="B164" s="98" t="s">
        <v>1022</v>
      </c>
      <c r="C164" s="148"/>
      <c r="D164" s="107">
        <v>1</v>
      </c>
      <c r="E164" s="109">
        <f>FORNITURAS!D26</f>
        <v>297.14285714285717</v>
      </c>
      <c r="F164" s="110">
        <f>E164</f>
        <v>297.14285714285717</v>
      </c>
    </row>
    <row r="165" spans="1:9" ht="15.75" x14ac:dyDescent="0.25">
      <c r="A165" s="3" t="s">
        <v>3778</v>
      </c>
      <c r="B165" s="98" t="s">
        <v>937</v>
      </c>
      <c r="C165" s="98"/>
      <c r="D165" s="2">
        <v>1</v>
      </c>
      <c r="E165" s="66">
        <f>PLATEADO!M11</f>
        <v>1037.7</v>
      </c>
      <c r="F165" s="39">
        <f>E165*D165</f>
        <v>1037.7</v>
      </c>
    </row>
    <row r="166" spans="1:9" ht="15.75" x14ac:dyDescent="0.25">
      <c r="A166" s="3" t="s">
        <v>1555</v>
      </c>
      <c r="B166" s="98"/>
      <c r="C166" s="98"/>
      <c r="D166" s="2">
        <v>2</v>
      </c>
      <c r="E166" s="66">
        <f>FORNITURAS!D6</f>
        <v>131.81818181818181</v>
      </c>
      <c r="F166" s="39">
        <f>E166*D166</f>
        <v>263.63636363636363</v>
      </c>
    </row>
    <row r="167" spans="1:9" ht="15.75" x14ac:dyDescent="0.25">
      <c r="A167" s="3" t="s">
        <v>1538</v>
      </c>
      <c r="B167" s="98"/>
      <c r="C167" s="98"/>
      <c r="D167" s="2">
        <v>1</v>
      </c>
      <c r="E167" s="66"/>
      <c r="F167" s="39">
        <f>PACKAGING!E8</f>
        <v>420</v>
      </c>
    </row>
    <row r="168" spans="1:9" ht="15.75" x14ac:dyDescent="0.25">
      <c r="A168" s="3" t="s">
        <v>1557</v>
      </c>
      <c r="B168" s="98"/>
      <c r="C168" s="2"/>
      <c r="D168" s="2">
        <v>1</v>
      </c>
      <c r="E168" s="66"/>
      <c r="F168" s="39">
        <f>PACKAGING!E3</f>
        <v>150</v>
      </c>
    </row>
    <row r="169" spans="1:9" ht="15.75" x14ac:dyDescent="0.25">
      <c r="A169" s="3" t="s">
        <v>1558</v>
      </c>
      <c r="B169" s="98">
        <v>60</v>
      </c>
      <c r="C169" s="603"/>
      <c r="D169" s="2">
        <v>15</v>
      </c>
      <c r="E169" s="66">
        <f>'INSUMOS VARIOS'!B3</f>
        <v>3500</v>
      </c>
      <c r="F169" s="39">
        <f>E169*D169/B169</f>
        <v>875</v>
      </c>
    </row>
    <row r="170" spans="1:9" ht="16.5" thickBot="1" x14ac:dyDescent="0.3">
      <c r="A170" s="79" t="s">
        <v>525</v>
      </c>
      <c r="B170" s="99"/>
      <c r="C170" s="99"/>
      <c r="D170" s="70"/>
      <c r="E170" s="85"/>
      <c r="F170" s="51">
        <f>SUM(F162:F169)</f>
        <v>5807.5625541125546</v>
      </c>
    </row>
    <row r="171" spans="1:9" ht="18.75" x14ac:dyDescent="0.25">
      <c r="A171" s="80" t="s">
        <v>544</v>
      </c>
      <c r="B171" s="100"/>
      <c r="C171" s="100"/>
      <c r="D171" s="71"/>
      <c r="E171" s="71"/>
      <c r="F171" s="72">
        <f>F170*2</f>
        <v>11615.125108225109</v>
      </c>
      <c r="G171" s="606">
        <f>F171+F171*70%</f>
        <v>19745.712683982685</v>
      </c>
      <c r="H171" s="75">
        <v>24000</v>
      </c>
      <c r="I171" s="1273" t="s">
        <v>3687</v>
      </c>
    </row>
    <row r="172" spans="1:9" ht="19.5" thickBot="1" x14ac:dyDescent="0.3">
      <c r="A172" s="81" t="s">
        <v>1559</v>
      </c>
      <c r="B172" s="101"/>
      <c r="C172" s="101"/>
      <c r="D172" s="73"/>
      <c r="E172" s="73"/>
      <c r="F172" s="73"/>
      <c r="G172" s="607"/>
      <c r="H172" s="1281">
        <f>H171*60%</f>
        <v>14400</v>
      </c>
    </row>
    <row r="173" spans="1:9" ht="15.75" thickBot="1" x14ac:dyDescent="0.3"/>
    <row r="174" spans="1:9" ht="16.5" thickBot="1" x14ac:dyDescent="0.3">
      <c r="A174" s="1716" t="s">
        <v>3782</v>
      </c>
      <c r="B174" s="1717"/>
      <c r="C174" s="1717"/>
      <c r="D174" s="1717"/>
      <c r="E174" s="1717"/>
      <c r="F174" s="1718"/>
      <c r="G174" s="1"/>
      <c r="H174" s="1"/>
    </row>
    <row r="175" spans="1:9" ht="15.75" x14ac:dyDescent="0.25">
      <c r="A175" s="1130" t="s">
        <v>916</v>
      </c>
      <c r="B175" s="97" t="s">
        <v>742</v>
      </c>
      <c r="C175" s="97" t="s">
        <v>1089</v>
      </c>
      <c r="D175" s="76" t="s">
        <v>1547</v>
      </c>
      <c r="E175" s="108" t="s">
        <v>1035</v>
      </c>
      <c r="F175" s="77" t="s">
        <v>1549</v>
      </c>
      <c r="G175" s="1"/>
      <c r="H175" s="1"/>
    </row>
    <row r="176" spans="1:9" ht="15.75" x14ac:dyDescent="0.25">
      <c r="A176" s="2" t="s">
        <v>3783</v>
      </c>
      <c r="B176" s="98"/>
      <c r="C176" s="190"/>
      <c r="D176" s="107">
        <v>1</v>
      </c>
      <c r="E176" s="109">
        <f>PIEDRAS!K30</f>
        <v>1910</v>
      </c>
      <c r="F176" s="110">
        <f>E176*D176</f>
        <v>1910</v>
      </c>
      <c r="G176" s="1"/>
      <c r="H176" s="1"/>
    </row>
    <row r="177" spans="1:9" ht="15.75" x14ac:dyDescent="0.25">
      <c r="A177" s="148" t="s">
        <v>3237</v>
      </c>
      <c r="B177" s="98" t="s">
        <v>1056</v>
      </c>
      <c r="C177" s="148"/>
      <c r="D177" s="107">
        <v>0.06</v>
      </c>
      <c r="E177" s="109">
        <f>PLATEADO!L4</f>
        <v>1419.5535714285716</v>
      </c>
      <c r="F177" s="110">
        <f>E177*D177</f>
        <v>85.173214285714295</v>
      </c>
    </row>
    <row r="178" spans="1:9" ht="15.75" x14ac:dyDescent="0.25">
      <c r="A178" s="148" t="s">
        <v>1587</v>
      </c>
      <c r="B178" s="98"/>
      <c r="C178" s="148"/>
      <c r="D178" s="107">
        <v>1</v>
      </c>
      <c r="E178" s="109">
        <f>PLATEADO!L23</f>
        <v>409</v>
      </c>
      <c r="F178" s="110">
        <f>E178</f>
        <v>409</v>
      </c>
    </row>
    <row r="179" spans="1:9" ht="15.75" x14ac:dyDescent="0.25">
      <c r="A179" s="148" t="s">
        <v>1746</v>
      </c>
      <c r="B179" s="98"/>
      <c r="C179" s="148"/>
      <c r="D179" s="107"/>
      <c r="E179" s="109"/>
      <c r="F179" s="110">
        <v>20</v>
      </c>
    </row>
    <row r="180" spans="1:9" ht="15.75" x14ac:dyDescent="0.25">
      <c r="A180" s="3" t="s">
        <v>1538</v>
      </c>
      <c r="B180" s="98"/>
      <c r="C180" s="98"/>
      <c r="D180" s="2">
        <v>1</v>
      </c>
      <c r="E180" s="66"/>
      <c r="F180" s="39">
        <f>PACKAGING!E8</f>
        <v>420</v>
      </c>
    </row>
    <row r="181" spans="1:9" ht="15.75" x14ac:dyDescent="0.25">
      <c r="A181" s="3" t="s">
        <v>1557</v>
      </c>
      <c r="B181" s="98"/>
      <c r="C181" s="2"/>
      <c r="D181" s="2">
        <v>1</v>
      </c>
      <c r="E181" s="66"/>
      <c r="F181" s="39">
        <f>PACKAGING!E3</f>
        <v>150</v>
      </c>
    </row>
    <row r="182" spans="1:9" ht="15.75" x14ac:dyDescent="0.25">
      <c r="A182" s="3" t="s">
        <v>1558</v>
      </c>
      <c r="B182" s="98">
        <v>60</v>
      </c>
      <c r="C182" s="603"/>
      <c r="D182" s="2">
        <v>15</v>
      </c>
      <c r="E182" s="66">
        <f>'INSUMOS VARIOS'!B3</f>
        <v>3500</v>
      </c>
      <c r="F182" s="39">
        <f>E182*D182/B182</f>
        <v>875</v>
      </c>
    </row>
    <row r="183" spans="1:9" ht="16.5" thickBot="1" x14ac:dyDescent="0.3">
      <c r="A183" s="79" t="s">
        <v>525</v>
      </c>
      <c r="B183" s="99"/>
      <c r="C183" s="99"/>
      <c r="D183" s="70"/>
      <c r="E183" s="85"/>
      <c r="F183" s="51">
        <f>SUM(F176:F182)</f>
        <v>3869.1732142857145</v>
      </c>
    </row>
    <row r="184" spans="1:9" ht="18.75" x14ac:dyDescent="0.25">
      <c r="A184" s="80" t="s">
        <v>544</v>
      </c>
      <c r="B184" s="100"/>
      <c r="C184" s="100"/>
      <c r="D184" s="71"/>
      <c r="E184" s="71"/>
      <c r="F184" s="72">
        <f>F183*2</f>
        <v>7738.346428571429</v>
      </c>
      <c r="G184" s="606">
        <f>F184+F184*70%</f>
        <v>13155.188928571428</v>
      </c>
      <c r="H184" s="75">
        <v>16000</v>
      </c>
      <c r="I184" s="1273" t="s">
        <v>3687</v>
      </c>
    </row>
    <row r="185" spans="1:9" ht="19.5" thickBot="1" x14ac:dyDescent="0.3">
      <c r="A185" s="81" t="s">
        <v>1559</v>
      </c>
      <c r="B185" s="101"/>
      <c r="C185" s="101"/>
      <c r="D185" s="73"/>
      <c r="E185" s="73"/>
      <c r="F185" s="73"/>
      <c r="G185" s="607"/>
      <c r="H185" s="1281">
        <f>H184*60%</f>
        <v>9600</v>
      </c>
    </row>
  </sheetData>
  <mergeCells count="17">
    <mergeCell ref="A145:F145"/>
    <mergeCell ref="A105:F105"/>
    <mergeCell ref="A119:F119"/>
    <mergeCell ref="A174:F174"/>
    <mergeCell ref="A90:F90"/>
    <mergeCell ref="A160:F160"/>
    <mergeCell ref="A132:F132"/>
    <mergeCell ref="A135:A136"/>
    <mergeCell ref="K2:P2"/>
    <mergeCell ref="A78:F78"/>
    <mergeCell ref="A2:F2"/>
    <mergeCell ref="A14:F14"/>
    <mergeCell ref="A27:F27"/>
    <mergeCell ref="A39:F39"/>
    <mergeCell ref="A51:F51"/>
    <mergeCell ref="A63:F63"/>
    <mergeCell ref="A17:A18"/>
  </mergeCells>
  <pageMargins left="0.7" right="0.7" top="0.75" bottom="0.75" header="0.3" footer="0.3"/>
  <ignoredErrors>
    <ignoredError sqref="F30 F42 F54 F68 F81 F93 F110 F123 F148 F164" formula="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Hoja19"/>
  <dimension ref="A2:AQ1011"/>
  <sheetViews>
    <sheetView topLeftCell="A163" zoomScale="85" zoomScaleNormal="85" workbookViewId="0">
      <selection activeCell="E124" sqref="E124"/>
    </sheetView>
  </sheetViews>
  <sheetFormatPr baseColWidth="10" defaultColWidth="11.42578125" defaultRowHeight="15.75" x14ac:dyDescent="0.25"/>
  <cols>
    <col min="1" max="1" width="50.28515625" bestFit="1" customWidth="1"/>
    <col min="2" max="2" width="15.7109375" bestFit="1" customWidth="1"/>
    <col min="5" max="5" width="12.42578125" bestFit="1" customWidth="1"/>
    <col min="6" max="6" width="20.42578125" bestFit="1" customWidth="1"/>
    <col min="7" max="7" width="20.42578125" customWidth="1"/>
    <col min="8" max="9" width="13.5703125" bestFit="1" customWidth="1"/>
    <col min="10" max="10" width="14.28515625" bestFit="1" customWidth="1"/>
    <col min="11" max="11" width="13.140625" customWidth="1"/>
    <col min="12" max="12" width="4.140625" style="370" customWidth="1"/>
    <col min="14" max="14" width="46" bestFit="1" customWidth="1"/>
    <col min="18" max="19" width="12.42578125" bestFit="1" customWidth="1"/>
    <col min="20" max="20" width="13.5703125" bestFit="1" customWidth="1"/>
    <col min="22" max="22" width="4.140625" style="370" customWidth="1"/>
    <col min="24" max="24" width="44.5703125" bestFit="1" customWidth="1"/>
    <col min="28" max="28" width="15.7109375" bestFit="1" customWidth="1"/>
    <col min="29" max="30" width="12.42578125" bestFit="1" customWidth="1"/>
    <col min="32" max="32" width="4.140625" style="370" customWidth="1"/>
    <col min="34" max="34" width="23.140625" bestFit="1" customWidth="1"/>
    <col min="38" max="38" width="12.42578125" bestFit="1" customWidth="1"/>
    <col min="39" max="39" width="18.42578125" bestFit="1" customWidth="1"/>
    <col min="40" max="40" width="13.5703125" bestFit="1" customWidth="1"/>
    <col min="41" max="42" width="12.42578125" bestFit="1" customWidth="1"/>
    <col min="43" max="43" width="4.140625" style="370" customWidth="1"/>
  </cols>
  <sheetData>
    <row r="2" spans="1:43" ht="21" x14ac:dyDescent="0.35">
      <c r="A2" s="1726" t="s">
        <v>1881</v>
      </c>
      <c r="B2" s="1726"/>
      <c r="C2" s="1726"/>
      <c r="D2" s="1726"/>
      <c r="E2" s="1726"/>
      <c r="F2" s="1726"/>
      <c r="G2" s="1726"/>
      <c r="H2" s="1726"/>
      <c r="I2" s="1726"/>
      <c r="J2" s="899"/>
      <c r="K2" s="899"/>
      <c r="M2" s="1726" t="s">
        <v>581</v>
      </c>
      <c r="N2" s="1726"/>
      <c r="O2" s="1726"/>
      <c r="P2" s="1726"/>
      <c r="Q2" s="1726"/>
      <c r="R2" s="1726"/>
      <c r="S2" s="1726"/>
      <c r="T2" s="1726"/>
      <c r="U2" s="1726"/>
      <c r="V2" s="1726"/>
      <c r="W2" s="1726" t="s">
        <v>1882</v>
      </c>
      <c r="X2" s="1726"/>
      <c r="Y2" s="1726"/>
      <c r="Z2" s="1726"/>
      <c r="AA2" s="1726"/>
      <c r="AB2" s="1726"/>
      <c r="AC2" s="1726"/>
      <c r="AD2" s="1726"/>
      <c r="AE2" s="1726"/>
      <c r="AF2" s="1726"/>
      <c r="AG2" s="1726" t="s">
        <v>602</v>
      </c>
      <c r="AH2" s="1726"/>
      <c r="AI2" s="1726"/>
      <c r="AJ2" s="1726"/>
      <c r="AK2" s="1726"/>
      <c r="AL2" s="1726"/>
      <c r="AM2" s="1726"/>
      <c r="AN2" s="1726"/>
      <c r="AO2" s="1726"/>
      <c r="AP2" s="1726"/>
      <c r="AQ2" s="1726"/>
    </row>
    <row r="3" spans="1:43" ht="16.5" thickBot="1" x14ac:dyDescent="0.3"/>
    <row r="4" spans="1:43" ht="16.5" thickBot="1" x14ac:dyDescent="0.3">
      <c r="A4" s="1688" t="s">
        <v>3556</v>
      </c>
      <c r="B4" s="1571"/>
      <c r="C4" s="1571"/>
      <c r="D4" s="1571"/>
      <c r="E4" s="1"/>
      <c r="F4" s="23"/>
      <c r="N4" s="1589" t="s">
        <v>221</v>
      </c>
      <c r="O4" s="1596"/>
      <c r="P4" s="1596"/>
      <c r="Q4" s="1596"/>
      <c r="R4" s="1590"/>
      <c r="S4" s="23"/>
      <c r="T4" s="171"/>
      <c r="X4" s="1589" t="s">
        <v>210</v>
      </c>
      <c r="Y4" s="1596"/>
      <c r="Z4" s="1596"/>
      <c r="AA4" s="1596"/>
      <c r="AB4" s="1590"/>
      <c r="AC4" s="23"/>
      <c r="AD4" s="171"/>
      <c r="AH4" s="1568" t="s">
        <v>262</v>
      </c>
      <c r="AI4" s="1569"/>
      <c r="AJ4" s="1569"/>
      <c r="AK4" s="1569"/>
      <c r="AL4" s="1570"/>
      <c r="AM4" s="23"/>
      <c r="AN4" s="171"/>
    </row>
    <row r="5" spans="1:43" x14ac:dyDescent="0.25">
      <c r="A5" s="271"/>
      <c r="B5" s="272" t="s">
        <v>1073</v>
      </c>
      <c r="C5" s="273" t="s">
        <v>747</v>
      </c>
      <c r="D5" s="274" t="s">
        <v>1549</v>
      </c>
      <c r="E5" s="1"/>
      <c r="F5" s="1"/>
      <c r="N5" s="271" t="s">
        <v>916</v>
      </c>
      <c r="O5" s="272" t="s">
        <v>1073</v>
      </c>
      <c r="P5" s="273" t="s">
        <v>1547</v>
      </c>
      <c r="Q5" s="273" t="s">
        <v>1035</v>
      </c>
      <c r="R5" s="274" t="s">
        <v>1549</v>
      </c>
      <c r="S5" s="1"/>
      <c r="T5" s="171"/>
      <c r="X5" s="271" t="s">
        <v>916</v>
      </c>
      <c r="Y5" s="272" t="s">
        <v>1073</v>
      </c>
      <c r="Z5" s="273" t="s">
        <v>1547</v>
      </c>
      <c r="AA5" s="273" t="s">
        <v>1035</v>
      </c>
      <c r="AB5" s="274" t="s">
        <v>1549</v>
      </c>
      <c r="AC5" s="1"/>
      <c r="AD5" s="171"/>
      <c r="AH5" s="501" t="s">
        <v>916</v>
      </c>
      <c r="AI5" s="502" t="s">
        <v>1073</v>
      </c>
      <c r="AJ5" s="503" t="s">
        <v>1547</v>
      </c>
      <c r="AK5" s="503" t="s">
        <v>1035</v>
      </c>
      <c r="AL5" s="504" t="s">
        <v>1549</v>
      </c>
      <c r="AM5" s="1"/>
      <c r="AN5" s="171"/>
    </row>
    <row r="6" spans="1:43" x14ac:dyDescent="0.25">
      <c r="A6" s="3" t="s">
        <v>771</v>
      </c>
      <c r="B6" s="2" t="s">
        <v>846</v>
      </c>
      <c r="C6" s="66" t="s">
        <v>1649</v>
      </c>
      <c r="D6" s="39">
        <f>'AROS, CADENAS, DIJES, ETC'!C113</f>
        <v>2410</v>
      </c>
      <c r="E6" s="1"/>
      <c r="F6" s="1"/>
      <c r="N6" s="3" t="s">
        <v>784</v>
      </c>
      <c r="O6" s="2" t="s">
        <v>785</v>
      </c>
      <c r="P6" s="6">
        <v>1</v>
      </c>
      <c r="Q6" s="66">
        <f>'AROS, CADENAS, DIJES, ETC'!D4</f>
        <v>600</v>
      </c>
      <c r="R6" s="39">
        <f>Q6</f>
        <v>600</v>
      </c>
      <c r="S6" s="1"/>
      <c r="T6" s="171"/>
      <c r="X6" s="3" t="s">
        <v>1884</v>
      </c>
      <c r="Y6" s="2"/>
      <c r="Z6" s="6">
        <v>1</v>
      </c>
      <c r="AA6" s="66">
        <f>'AROS, CADENAS, DIJES, ETC'!D102</f>
        <v>1619</v>
      </c>
      <c r="AB6" s="39">
        <f>AA6</f>
        <v>1619</v>
      </c>
      <c r="AC6" s="1"/>
      <c r="AD6" s="171"/>
      <c r="AH6" s="3" t="s">
        <v>908</v>
      </c>
      <c r="AI6" s="2"/>
      <c r="AJ6" s="6">
        <v>1</v>
      </c>
      <c r="AK6" s="66">
        <f>'AROS, CADENAS, DIJES, ETC'!C183</f>
        <v>3181</v>
      </c>
      <c r="AL6" s="39">
        <f>AK6</f>
        <v>3181</v>
      </c>
      <c r="AM6" s="1"/>
      <c r="AN6" s="171"/>
    </row>
    <row r="7" spans="1:43" x14ac:dyDescent="0.25">
      <c r="A7" s="3" t="s">
        <v>1557</v>
      </c>
      <c r="B7" s="2"/>
      <c r="C7" s="66"/>
      <c r="D7" s="39">
        <f>D36</f>
        <v>150</v>
      </c>
      <c r="E7" s="1"/>
      <c r="F7" s="1"/>
      <c r="N7" s="3" t="s">
        <v>1665</v>
      </c>
      <c r="O7" s="2"/>
      <c r="P7" s="6">
        <v>1</v>
      </c>
      <c r="Q7" s="66">
        <f>PERLAS!F4</f>
        <v>81</v>
      </c>
      <c r="R7" s="39">
        <f>Q7</f>
        <v>81</v>
      </c>
      <c r="S7" s="1"/>
      <c r="T7" s="171"/>
      <c r="X7" s="3" t="s">
        <v>927</v>
      </c>
      <c r="Y7" s="2"/>
      <c r="Z7" s="6">
        <v>1</v>
      </c>
      <c r="AA7" s="66">
        <f>'AROS, CADENAS, DIJES, ETC'!O46</f>
        <v>63</v>
      </c>
      <c r="AB7" s="39">
        <f>AA7*Z7</f>
        <v>63</v>
      </c>
      <c r="AC7" s="1"/>
      <c r="AD7" s="171"/>
      <c r="AH7" s="3" t="s">
        <v>1557</v>
      </c>
      <c r="AI7" s="2"/>
      <c r="AJ7" s="6"/>
      <c r="AK7" s="66"/>
      <c r="AL7" s="39">
        <f>PACKAGING!E3</f>
        <v>150</v>
      </c>
      <c r="AM7" s="1"/>
      <c r="AN7" s="171"/>
    </row>
    <row r="8" spans="1:43" x14ac:dyDescent="0.25">
      <c r="A8" s="3" t="s">
        <v>1538</v>
      </c>
      <c r="B8" s="2"/>
      <c r="C8" s="66"/>
      <c r="D8" s="39">
        <f>D37</f>
        <v>420</v>
      </c>
      <c r="E8" s="1"/>
      <c r="F8" s="1"/>
      <c r="N8" s="3" t="s">
        <v>1496</v>
      </c>
      <c r="O8" s="2"/>
      <c r="P8" s="6">
        <v>1</v>
      </c>
      <c r="Q8" s="66">
        <f>VIDRIOS!L52</f>
        <v>44.666666666666664</v>
      </c>
      <c r="R8" s="39">
        <f>Q8*P8</f>
        <v>44.666666666666664</v>
      </c>
      <c r="S8" s="1"/>
      <c r="T8" s="171"/>
      <c r="X8" s="3" t="s">
        <v>1885</v>
      </c>
      <c r="Y8" s="2"/>
      <c r="Z8" s="6">
        <v>1</v>
      </c>
      <c r="AA8" s="66">
        <f>'AROS, CADENAS, DIJES, ETC'!D125</f>
        <v>270</v>
      </c>
      <c r="AB8" s="39">
        <f>AA8*Z8</f>
        <v>270</v>
      </c>
      <c r="AC8" s="1"/>
      <c r="AD8" s="171"/>
      <c r="AH8" s="3" t="s">
        <v>1538</v>
      </c>
      <c r="AI8" s="2"/>
      <c r="AJ8" s="6"/>
      <c r="AK8" s="66"/>
      <c r="AL8" s="39">
        <f>PACKAGING!E8</f>
        <v>420</v>
      </c>
      <c r="AM8" s="1"/>
      <c r="AN8" s="171"/>
    </row>
    <row r="9" spans="1:43" ht="16.5" thickBot="1" x14ac:dyDescent="0.3">
      <c r="A9" s="3" t="s">
        <v>525</v>
      </c>
      <c r="B9" s="2"/>
      <c r="C9" s="6"/>
      <c r="D9" s="39">
        <f>SUM(D6:D8)</f>
        <v>2980</v>
      </c>
      <c r="G9" s="60"/>
      <c r="N9" s="3" t="s">
        <v>1555</v>
      </c>
      <c r="O9" s="2" t="s">
        <v>1658</v>
      </c>
      <c r="P9" s="6">
        <v>1</v>
      </c>
      <c r="Q9" s="66">
        <f>FORNITURAS!D7</f>
        <v>52</v>
      </c>
      <c r="R9" s="39">
        <f>Q9*P9</f>
        <v>52</v>
      </c>
      <c r="S9" s="1"/>
      <c r="T9" s="171"/>
      <c r="X9" s="3" t="s">
        <v>1886</v>
      </c>
      <c r="Y9" s="2"/>
      <c r="Z9" s="6">
        <v>1</v>
      </c>
      <c r="AA9" s="66">
        <f>'AROS, CADENAS, DIJES, ETC'!D107</f>
        <v>71.5</v>
      </c>
      <c r="AB9" s="39">
        <f>AA9*Z9</f>
        <v>71.5</v>
      </c>
      <c r="AC9" s="1"/>
      <c r="AD9" s="171"/>
      <c r="AH9" s="79" t="s">
        <v>525</v>
      </c>
      <c r="AI9" s="70"/>
      <c r="AJ9" s="85"/>
      <c r="AK9" s="85"/>
      <c r="AL9" s="51">
        <f>SUM(AL6:AL8)</f>
        <v>3751</v>
      </c>
      <c r="AM9" s="134"/>
      <c r="AN9" s="171"/>
    </row>
    <row r="10" spans="1:43" ht="16.5" thickBot="1" x14ac:dyDescent="0.3">
      <c r="A10" s="295" t="s">
        <v>544</v>
      </c>
      <c r="B10" s="296"/>
      <c r="C10" s="296"/>
      <c r="D10" s="297">
        <f>D9*2</f>
        <v>5960</v>
      </c>
      <c r="E10" s="748">
        <f>D10+D10*70%</f>
        <v>10132</v>
      </c>
      <c r="F10" s="1105">
        <v>12000</v>
      </c>
      <c r="G10" s="60"/>
      <c r="H10" s="467"/>
      <c r="N10" s="3" t="s">
        <v>1743</v>
      </c>
      <c r="O10" s="2" t="s">
        <v>1887</v>
      </c>
      <c r="P10" s="6">
        <v>1</v>
      </c>
      <c r="Q10" s="66">
        <f>FORNITURAS!D14</f>
        <v>98.8</v>
      </c>
      <c r="R10" s="39">
        <f>Q10*P10</f>
        <v>98.8</v>
      </c>
      <c r="S10" s="1"/>
      <c r="T10" s="171"/>
      <c r="X10" s="3" t="s">
        <v>1023</v>
      </c>
      <c r="Y10" s="2"/>
      <c r="Z10" s="6">
        <v>1</v>
      </c>
      <c r="AA10" s="66">
        <f>FORNITURAS!D31</f>
        <v>235</v>
      </c>
      <c r="AB10" s="39">
        <f>AA10*Z10</f>
        <v>235</v>
      </c>
      <c r="AC10" s="1"/>
      <c r="AD10" s="171"/>
      <c r="AH10" s="211" t="s">
        <v>544</v>
      </c>
      <c r="AI10" s="276"/>
      <c r="AJ10" s="276"/>
      <c r="AK10" s="276"/>
      <c r="AL10" s="213">
        <f>AL9*2</f>
        <v>7502</v>
      </c>
      <c r="AM10" s="514">
        <f>AL10+AL10*50%</f>
        <v>11253</v>
      </c>
      <c r="AN10" s="491">
        <v>10400</v>
      </c>
    </row>
    <row r="11" spans="1:43" ht="16.5" thickBot="1" x14ac:dyDescent="0.3">
      <c r="A11" s="81" t="s">
        <v>1559</v>
      </c>
      <c r="B11" s="222"/>
      <c r="C11" s="222"/>
      <c r="D11" s="223"/>
      <c r="E11" s="754">
        <f>D11+D11*25%</f>
        <v>0</v>
      </c>
      <c r="F11" s="1104"/>
      <c r="N11" s="3" t="s">
        <v>1557</v>
      </c>
      <c r="O11" s="2"/>
      <c r="P11" s="6"/>
      <c r="Q11" s="66"/>
      <c r="R11" s="39">
        <f>PACKAGING!E3</f>
        <v>150</v>
      </c>
      <c r="S11" s="1"/>
      <c r="T11" s="171"/>
      <c r="X11" s="3" t="s">
        <v>1557</v>
      </c>
      <c r="Y11" s="2"/>
      <c r="Z11" s="6"/>
      <c r="AA11" s="66"/>
      <c r="AB11" s="39">
        <f>PACKAGING!E3</f>
        <v>150</v>
      </c>
      <c r="AC11" s="1"/>
      <c r="AD11" s="171"/>
    </row>
    <row r="12" spans="1:43" ht="16.5" thickBot="1" x14ac:dyDescent="0.3">
      <c r="N12" s="3" t="s">
        <v>1538</v>
      </c>
      <c r="O12" s="2"/>
      <c r="P12" s="6"/>
      <c r="Q12" s="66"/>
      <c r="R12" s="39">
        <f>PACKAGING!E8</f>
        <v>420</v>
      </c>
      <c r="S12" s="1"/>
      <c r="T12" s="171"/>
      <c r="X12" s="3" t="s">
        <v>1538</v>
      </c>
      <c r="Y12" s="2"/>
      <c r="Z12" s="6"/>
      <c r="AA12" s="66"/>
      <c r="AB12" s="39">
        <f>PACKAGING!E8</f>
        <v>420</v>
      </c>
      <c r="AC12" s="1"/>
      <c r="AD12" s="171"/>
      <c r="AH12" s="1585" t="s">
        <v>263</v>
      </c>
      <c r="AI12" s="1586"/>
      <c r="AJ12" s="1586"/>
      <c r="AK12" s="1586"/>
      <c r="AL12" s="1587"/>
      <c r="AM12" s="23"/>
      <c r="AN12" s="23"/>
    </row>
    <row r="13" spans="1:43" ht="16.5" thickBot="1" x14ac:dyDescent="0.3">
      <c r="N13" s="3" t="s">
        <v>1558</v>
      </c>
      <c r="O13" s="2">
        <v>60</v>
      </c>
      <c r="P13" s="6">
        <v>10</v>
      </c>
      <c r="Q13" s="66">
        <f>'INSUMOS VARIOS'!B3</f>
        <v>3500</v>
      </c>
      <c r="R13" s="39">
        <f>Q13*P13/O13</f>
        <v>583.33333333333337</v>
      </c>
      <c r="S13" s="1"/>
      <c r="T13" s="171"/>
      <c r="X13" s="79" t="s">
        <v>525</v>
      </c>
      <c r="Y13" s="70"/>
      <c r="Z13" s="85"/>
      <c r="AA13" s="85"/>
      <c r="AB13" s="51">
        <f>SUM(AB6:AB12)</f>
        <v>2828.5</v>
      </c>
      <c r="AC13" s="134"/>
      <c r="AD13" s="171"/>
      <c r="AH13" s="483" t="s">
        <v>916</v>
      </c>
      <c r="AI13" s="484" t="s">
        <v>1073</v>
      </c>
      <c r="AJ13" s="485" t="s">
        <v>1547</v>
      </c>
      <c r="AK13" s="485" t="s">
        <v>1035</v>
      </c>
      <c r="AL13" s="486" t="s">
        <v>1549</v>
      </c>
      <c r="AM13" s="1"/>
      <c r="AN13" s="1"/>
    </row>
    <row r="14" spans="1:43" ht="16.5" thickBot="1" x14ac:dyDescent="0.3">
      <c r="A14" s="1688" t="s">
        <v>3557</v>
      </c>
      <c r="B14" s="1571"/>
      <c r="C14" s="1571"/>
      <c r="D14" s="1571"/>
      <c r="E14" s="1"/>
      <c r="F14" s="23"/>
      <c r="N14" s="79" t="s">
        <v>525</v>
      </c>
      <c r="O14" s="70"/>
      <c r="P14" s="85"/>
      <c r="Q14" s="85"/>
      <c r="R14" s="51">
        <f>SUM(R6:R12)</f>
        <v>1446.4666666666667</v>
      </c>
      <c r="S14" s="134"/>
      <c r="T14" s="171"/>
      <c r="X14" s="80" t="s">
        <v>544</v>
      </c>
      <c r="Y14" s="220"/>
      <c r="Z14" s="220"/>
      <c r="AA14" s="220"/>
      <c r="AB14" s="267">
        <f>AB13*2</f>
        <v>5657</v>
      </c>
      <c r="AC14" s="473">
        <f>AB14+AB14*25%</f>
        <v>7071.25</v>
      </c>
      <c r="AD14" s="268">
        <v>3900</v>
      </c>
      <c r="AH14" s="3" t="s">
        <v>905</v>
      </c>
      <c r="AI14" s="2"/>
      <c r="AJ14" s="6">
        <v>1</v>
      </c>
      <c r="AK14" s="66">
        <f>'AROS, CADENAS, DIJES, ETC'!C182</f>
        <v>3181</v>
      </c>
      <c r="AL14" s="39">
        <f>AK14</f>
        <v>3181</v>
      </c>
      <c r="AM14" s="1"/>
      <c r="AN14" s="1"/>
    </row>
    <row r="15" spans="1:43" ht="16.5" thickBot="1" x14ac:dyDescent="0.3">
      <c r="A15" s="271"/>
      <c r="B15" s="272" t="s">
        <v>1073</v>
      </c>
      <c r="C15" s="273" t="s">
        <v>747</v>
      </c>
      <c r="D15" s="274" t="s">
        <v>1549</v>
      </c>
      <c r="E15" s="1"/>
      <c r="F15" s="1"/>
      <c r="N15" s="80" t="s">
        <v>544</v>
      </c>
      <c r="O15" s="220"/>
      <c r="P15" s="220"/>
      <c r="Q15" s="220"/>
      <c r="R15" s="72">
        <f>R14*2</f>
        <v>2892.9333333333334</v>
      </c>
      <c r="S15" s="496">
        <f>R15+R15*25%</f>
        <v>3616.166666666667</v>
      </c>
      <c r="T15" s="268">
        <v>840</v>
      </c>
      <c r="X15" s="275" t="s">
        <v>1559</v>
      </c>
      <c r="Y15" s="269"/>
      <c r="Z15" s="269"/>
      <c r="AA15" s="269"/>
      <c r="AB15" s="270"/>
      <c r="AC15" s="474"/>
      <c r="AD15" s="281">
        <f>AD14*2</f>
        <v>7800</v>
      </c>
      <c r="AH15" s="3" t="s">
        <v>1557</v>
      </c>
      <c r="AI15" s="2"/>
      <c r="AJ15" s="6"/>
      <c r="AK15" s="66"/>
      <c r="AL15" s="39">
        <f>PACKAGING!E3</f>
        <v>150</v>
      </c>
      <c r="AM15" s="1"/>
      <c r="AN15" s="1"/>
    </row>
    <row r="16" spans="1:43" ht="16.5" thickBot="1" x14ac:dyDescent="0.3">
      <c r="A16" s="3" t="s">
        <v>1888</v>
      </c>
      <c r="B16" s="2" t="s">
        <v>1022</v>
      </c>
      <c r="C16" s="66" t="s">
        <v>1649</v>
      </c>
      <c r="D16" s="39">
        <f>'AROS, CADENAS, DIJES, ETC'!C114</f>
        <v>2984</v>
      </c>
      <c r="E16" s="1"/>
      <c r="F16" s="1"/>
      <c r="N16" s="275" t="s">
        <v>1559</v>
      </c>
      <c r="O16" s="269"/>
      <c r="P16" s="269"/>
      <c r="Q16" s="269"/>
      <c r="R16" s="493"/>
      <c r="S16" s="505"/>
      <c r="T16" s="281">
        <f>T15*2</f>
        <v>1680</v>
      </c>
      <c r="AH16" s="3" t="s">
        <v>1538</v>
      </c>
      <c r="AI16" s="2"/>
      <c r="AJ16" s="6"/>
      <c r="AK16" s="66"/>
      <c r="AL16" s="39">
        <f>PACKAGING!E8</f>
        <v>420</v>
      </c>
      <c r="AM16" s="1"/>
      <c r="AN16" s="1"/>
    </row>
    <row r="17" spans="1:40" ht="16.5" thickBot="1" x14ac:dyDescent="0.3">
      <c r="A17" s="3" t="s">
        <v>1557</v>
      </c>
      <c r="B17" s="2"/>
      <c r="C17" s="66"/>
      <c r="D17" s="39">
        <f>PACKAGING!E3</f>
        <v>150</v>
      </c>
      <c r="E17" s="1"/>
      <c r="F17" s="1"/>
      <c r="X17" s="1589" t="s">
        <v>1889</v>
      </c>
      <c r="Y17" s="1596"/>
      <c r="Z17" s="1596"/>
      <c r="AA17" s="1596"/>
      <c r="AB17" s="1590"/>
      <c r="AC17" s="23"/>
      <c r="AD17" s="171"/>
      <c r="AH17" s="79" t="s">
        <v>525</v>
      </c>
      <c r="AI17" s="70"/>
      <c r="AJ17" s="85"/>
      <c r="AK17" s="85"/>
      <c r="AL17" s="51">
        <f>SUM(AL14:AL16)</f>
        <v>3751</v>
      </c>
      <c r="AM17" s="134"/>
      <c r="AN17" s="1"/>
    </row>
    <row r="18" spans="1:40" ht="16.5" thickBot="1" x14ac:dyDescent="0.3">
      <c r="A18" s="3" t="s">
        <v>1538</v>
      </c>
      <c r="B18" s="2"/>
      <c r="C18" s="66"/>
      <c r="D18" s="39">
        <f>PACKAGING!E8</f>
        <v>420</v>
      </c>
      <c r="E18" s="1"/>
      <c r="F18" s="1"/>
      <c r="N18" s="1723" t="s">
        <v>253</v>
      </c>
      <c r="O18" s="1724"/>
      <c r="P18" s="1724"/>
      <c r="Q18" s="1724"/>
      <c r="R18" s="1725"/>
      <c r="S18" s="23"/>
      <c r="T18" s="171"/>
      <c r="X18" s="271" t="s">
        <v>916</v>
      </c>
      <c r="Y18" s="272" t="s">
        <v>1073</v>
      </c>
      <c r="Z18" s="273" t="s">
        <v>1547</v>
      </c>
      <c r="AA18" s="273" t="s">
        <v>1035</v>
      </c>
      <c r="AB18" s="274" t="s">
        <v>1549</v>
      </c>
      <c r="AC18" s="1"/>
      <c r="AD18" s="171"/>
      <c r="AH18" s="211" t="s">
        <v>544</v>
      </c>
      <c r="AI18" s="276"/>
      <c r="AJ18" s="276"/>
      <c r="AK18" s="276"/>
      <c r="AL18" s="213">
        <f>AL17*2</f>
        <v>7502</v>
      </c>
      <c r="AM18" s="514">
        <f>AL18+AL18*50%</f>
        <v>11253</v>
      </c>
      <c r="AN18" s="491">
        <v>10400</v>
      </c>
    </row>
    <row r="19" spans="1:40" ht="16.5" thickBot="1" x14ac:dyDescent="0.3">
      <c r="A19" s="3" t="s">
        <v>525</v>
      </c>
      <c r="B19" s="2"/>
      <c r="C19" s="6"/>
      <c r="D19" s="39">
        <f>SUM(D16:D18)</f>
        <v>3554</v>
      </c>
      <c r="N19" s="271" t="s">
        <v>916</v>
      </c>
      <c r="O19" s="272" t="s">
        <v>1073</v>
      </c>
      <c r="P19" s="273" t="s">
        <v>1547</v>
      </c>
      <c r="Q19" s="273" t="s">
        <v>1035</v>
      </c>
      <c r="R19" s="274" t="s">
        <v>1549</v>
      </c>
      <c r="S19" s="1"/>
      <c r="T19" s="171"/>
      <c r="X19" s="3" t="s">
        <v>784</v>
      </c>
      <c r="Y19" s="2" t="s">
        <v>785</v>
      </c>
      <c r="Z19" s="6">
        <v>1</v>
      </c>
      <c r="AA19" s="66">
        <f>'AROS, CADENAS, DIJES, ETC'!C8</f>
        <v>2800</v>
      </c>
      <c r="AB19" s="39">
        <f>AA19</f>
        <v>2800</v>
      </c>
      <c r="AC19" s="1"/>
      <c r="AD19" s="171"/>
      <c r="AH19" s="171"/>
      <c r="AI19" s="475"/>
      <c r="AJ19" s="171"/>
      <c r="AK19" s="171"/>
      <c r="AL19" s="171"/>
      <c r="AM19" s="171"/>
      <c r="AN19" s="171"/>
    </row>
    <row r="20" spans="1:40" ht="16.5" thickBot="1" x14ac:dyDescent="0.3">
      <c r="A20" s="295" t="s">
        <v>544</v>
      </c>
      <c r="B20" s="296"/>
      <c r="C20" s="296"/>
      <c r="D20" s="297">
        <f>D19*2</f>
        <v>7108</v>
      </c>
      <c r="E20" s="748">
        <f>D20+D20*70%</f>
        <v>12083.599999999999</v>
      </c>
      <c r="F20" s="1105">
        <v>15000</v>
      </c>
      <c r="N20" s="3" t="s">
        <v>748</v>
      </c>
      <c r="O20" s="2" t="s">
        <v>749</v>
      </c>
      <c r="P20" s="6">
        <v>1</v>
      </c>
      <c r="Q20" s="66">
        <f>'AROS, CADENAS, DIJES, ETC'!D3</f>
        <v>600</v>
      </c>
      <c r="R20" s="39">
        <f>Q20</f>
        <v>600</v>
      </c>
      <c r="S20" s="1"/>
      <c r="T20" s="171"/>
      <c r="X20" s="3" t="s">
        <v>1890</v>
      </c>
      <c r="Y20" s="2"/>
      <c r="Z20" s="6">
        <v>1</v>
      </c>
      <c r="AA20" s="66">
        <f>'AROS, CADENAS, DIJES, ETC'!D126</f>
        <v>351</v>
      </c>
      <c r="AB20" s="39">
        <f>AA20*Z20</f>
        <v>351</v>
      </c>
      <c r="AC20" s="1"/>
      <c r="AD20" s="171"/>
      <c r="AH20" s="1585" t="s">
        <v>265</v>
      </c>
      <c r="AI20" s="1586"/>
      <c r="AJ20" s="1586"/>
      <c r="AK20" s="1586"/>
      <c r="AL20" s="1587"/>
      <c r="AM20" s="23"/>
      <c r="AN20" s="171"/>
    </row>
    <row r="21" spans="1:40" ht="16.5" thickBot="1" x14ac:dyDescent="0.3">
      <c r="A21" s="81" t="s">
        <v>1559</v>
      </c>
      <c r="B21" s="222"/>
      <c r="C21" s="222"/>
      <c r="D21" s="223"/>
      <c r="E21" s="754">
        <f>D21+D21*25%</f>
        <v>0</v>
      </c>
      <c r="F21" s="1104"/>
      <c r="N21" s="3" t="s">
        <v>1891</v>
      </c>
      <c r="O21" s="2"/>
      <c r="P21" s="6">
        <v>0.04</v>
      </c>
      <c r="Q21" s="66">
        <f>'AROS, CADENAS, DIJES, ETC'!I29</f>
        <v>171</v>
      </c>
      <c r="R21" s="39">
        <f>Q21*P21</f>
        <v>6.84</v>
      </c>
      <c r="S21" s="1"/>
      <c r="T21" s="171"/>
      <c r="X21" s="3" t="s">
        <v>1892</v>
      </c>
      <c r="Y21" s="2"/>
      <c r="Z21" s="6">
        <v>1</v>
      </c>
      <c r="AA21" s="66">
        <f>'AROS, CADENAS, DIJES, ETC'!D124</f>
        <v>350</v>
      </c>
      <c r="AB21" s="39">
        <f>AA21*Z21</f>
        <v>350</v>
      </c>
      <c r="AC21" s="1"/>
      <c r="AD21" s="171"/>
      <c r="AH21" s="483" t="s">
        <v>916</v>
      </c>
      <c r="AI21" s="484" t="s">
        <v>1073</v>
      </c>
      <c r="AJ21" s="485" t="s">
        <v>1547</v>
      </c>
      <c r="AK21" s="485" t="s">
        <v>1035</v>
      </c>
      <c r="AL21" s="486" t="s">
        <v>1549</v>
      </c>
      <c r="AM21" s="1"/>
      <c r="AN21" s="171"/>
    </row>
    <row r="22" spans="1:40" x14ac:dyDescent="0.25">
      <c r="K22" s="1"/>
      <c r="N22" s="3" t="s">
        <v>1893</v>
      </c>
      <c r="O22" s="2"/>
      <c r="P22" s="6">
        <v>1</v>
      </c>
      <c r="Q22" s="66">
        <f>'PERLAS 2'!H33</f>
        <v>625</v>
      </c>
      <c r="R22" s="39">
        <f>Q22*P22</f>
        <v>625</v>
      </c>
      <c r="S22" s="1"/>
      <c r="T22" s="171"/>
      <c r="X22" s="3" t="s">
        <v>1557</v>
      </c>
      <c r="Y22" s="2"/>
      <c r="Z22" s="6"/>
      <c r="AA22" s="66"/>
      <c r="AB22" s="39">
        <f>PACKAGING!E3</f>
        <v>150</v>
      </c>
      <c r="AC22" s="1"/>
      <c r="AD22" s="171"/>
      <c r="AH22" s="3" t="s">
        <v>3244</v>
      </c>
      <c r="AI22" s="2"/>
      <c r="AJ22" s="6">
        <v>1</v>
      </c>
      <c r="AK22" s="66">
        <f>'AROS, CADENAS, DIJES, ETC'!C184</f>
        <v>3690</v>
      </c>
      <c r="AL22" s="39">
        <f>AK22</f>
        <v>3690</v>
      </c>
      <c r="AM22" s="1"/>
      <c r="AN22" s="171"/>
    </row>
    <row r="23" spans="1:40" x14ac:dyDescent="0.25">
      <c r="A23" s="1"/>
      <c r="B23" s="1"/>
      <c r="C23" s="1"/>
      <c r="D23" s="60"/>
      <c r="E23" s="60"/>
      <c r="F23" s="61"/>
      <c r="K23" s="1"/>
      <c r="N23" s="3" t="s">
        <v>1555</v>
      </c>
      <c r="O23" s="2"/>
      <c r="P23" s="6">
        <v>1</v>
      </c>
      <c r="Q23" s="66">
        <f>FORNITURAS!D4</f>
        <v>48.7</v>
      </c>
      <c r="R23" s="39">
        <f>Q23*P23</f>
        <v>48.7</v>
      </c>
      <c r="S23" s="1"/>
      <c r="T23" s="171"/>
      <c r="X23" s="3" t="s">
        <v>1538</v>
      </c>
      <c r="Y23" s="2"/>
      <c r="Z23" s="6"/>
      <c r="AA23" s="66"/>
      <c r="AB23" s="39">
        <f>PACKAGING!E8</f>
        <v>420</v>
      </c>
      <c r="AC23" s="1"/>
      <c r="AD23" s="171"/>
      <c r="AH23" s="3" t="s">
        <v>1557</v>
      </c>
      <c r="AI23" s="2"/>
      <c r="AJ23" s="6"/>
      <c r="AK23" s="66"/>
      <c r="AL23" s="39">
        <f>PACKAGING!E3</f>
        <v>150</v>
      </c>
      <c r="AM23" s="1"/>
      <c r="AN23" s="171"/>
    </row>
    <row r="24" spans="1:40" ht="16.5" thickBot="1" x14ac:dyDescent="0.3">
      <c r="A24" s="1688" t="s">
        <v>3553</v>
      </c>
      <c r="B24" s="1571"/>
      <c r="C24" s="1571"/>
      <c r="D24" s="1571"/>
      <c r="E24" s="1571"/>
      <c r="F24" s="171"/>
      <c r="G24" s="171"/>
      <c r="H24" s="171"/>
      <c r="K24" s="1"/>
      <c r="N24" s="3" t="s">
        <v>1050</v>
      </c>
      <c r="O24" s="2" t="s">
        <v>1059</v>
      </c>
      <c r="P24" s="6">
        <v>0.04</v>
      </c>
      <c r="Q24" s="66">
        <f>FORNITURAS!W5</f>
        <v>906.42857142857144</v>
      </c>
      <c r="R24" s="39">
        <f>Q24*P24</f>
        <v>36.25714285714286</v>
      </c>
      <c r="S24" s="1"/>
      <c r="T24" s="171"/>
      <c r="X24" s="79" t="s">
        <v>525</v>
      </c>
      <c r="Y24" s="70"/>
      <c r="Z24" s="85"/>
      <c r="AA24" s="85"/>
      <c r="AB24" s="51">
        <f>SUM(AB19:AB23)</f>
        <v>4071</v>
      </c>
      <c r="AC24" s="134"/>
      <c r="AD24" s="171"/>
      <c r="AH24" s="3" t="s">
        <v>1538</v>
      </c>
      <c r="AI24" s="2"/>
      <c r="AJ24" s="6"/>
      <c r="AK24" s="66"/>
      <c r="AL24" s="39">
        <f>PACKAGING!E8</f>
        <v>420</v>
      </c>
      <c r="AM24" s="1"/>
      <c r="AN24" s="171"/>
    </row>
    <row r="25" spans="1:40" ht="16.5" thickBot="1" x14ac:dyDescent="0.3">
      <c r="A25" s="271" t="s">
        <v>916</v>
      </c>
      <c r="B25" s="272" t="s">
        <v>1073</v>
      </c>
      <c r="C25" s="273" t="s">
        <v>1547</v>
      </c>
      <c r="D25" s="273" t="s">
        <v>3554</v>
      </c>
      <c r="E25" s="274" t="s">
        <v>1549</v>
      </c>
      <c r="F25" s="1"/>
      <c r="G25" s="171"/>
      <c r="H25" s="171"/>
      <c r="K25" s="1"/>
      <c r="N25" s="3" t="s">
        <v>1012</v>
      </c>
      <c r="O25" s="2"/>
      <c r="P25" s="6">
        <v>1</v>
      </c>
      <c r="Q25" s="66">
        <f>FORNITURAS!D17</f>
        <v>45.05</v>
      </c>
      <c r="R25" s="39">
        <f>Q25*P25</f>
        <v>45.05</v>
      </c>
      <c r="S25" s="1"/>
      <c r="T25" s="171"/>
      <c r="X25" s="80" t="s">
        <v>544</v>
      </c>
      <c r="Y25" s="220"/>
      <c r="Z25" s="220"/>
      <c r="AA25" s="220"/>
      <c r="AB25" s="267">
        <f>AB24*2</f>
        <v>8142</v>
      </c>
      <c r="AC25" s="473">
        <f>AB25+AB25*25%</f>
        <v>10177.5</v>
      </c>
      <c r="AD25" s="268">
        <v>6500</v>
      </c>
      <c r="AH25" s="79" t="s">
        <v>525</v>
      </c>
      <c r="AI25" s="70"/>
      <c r="AJ25" s="85"/>
      <c r="AK25" s="85"/>
      <c r="AL25" s="51">
        <f>SUM(AL22:AL24)</f>
        <v>4260</v>
      </c>
      <c r="AM25" s="134"/>
      <c r="AN25" s="171"/>
    </row>
    <row r="26" spans="1:40" ht="16.5" thickBot="1" x14ac:dyDescent="0.3">
      <c r="A26" s="3" t="s">
        <v>1888</v>
      </c>
      <c r="B26" s="2" t="s">
        <v>781</v>
      </c>
      <c r="C26" s="6" t="s">
        <v>1649</v>
      </c>
      <c r="D26" s="66">
        <f>'AROS, CADENAS, DIJES, ETC'!C115</f>
        <v>4562</v>
      </c>
      <c r="E26" s="39">
        <f>D26</f>
        <v>4562</v>
      </c>
      <c r="F26" s="1"/>
      <c r="G26" s="171"/>
      <c r="H26" s="171"/>
      <c r="K26" s="1"/>
      <c r="N26" s="3" t="s">
        <v>1557</v>
      </c>
      <c r="O26" s="2"/>
      <c r="P26" s="6"/>
      <c r="Q26" s="66"/>
      <c r="R26" s="39">
        <f>PACKAGING!E3</f>
        <v>150</v>
      </c>
      <c r="S26" s="1"/>
      <c r="T26" s="171"/>
      <c r="X26" s="275" t="s">
        <v>1559</v>
      </c>
      <c r="Y26" s="269"/>
      <c r="Z26" s="269"/>
      <c r="AA26" s="269"/>
      <c r="AB26" s="270"/>
      <c r="AC26" s="474"/>
      <c r="AD26" s="281">
        <f>AD25*2</f>
        <v>13000</v>
      </c>
      <c r="AH26" s="211" t="s">
        <v>544</v>
      </c>
      <c r="AI26" s="276"/>
      <c r="AJ26" s="276"/>
      <c r="AK26" s="276"/>
      <c r="AL26" s="213">
        <f>AL25*2</f>
        <v>8520</v>
      </c>
      <c r="AM26" s="514">
        <f>AL26+AL26*50%</f>
        <v>12780</v>
      </c>
      <c r="AN26" s="491">
        <v>16000</v>
      </c>
    </row>
    <row r="27" spans="1:40" ht="16.5" thickBot="1" x14ac:dyDescent="0.3">
      <c r="A27" s="3" t="s">
        <v>1557</v>
      </c>
      <c r="B27" s="2"/>
      <c r="C27" s="6"/>
      <c r="D27" s="66"/>
      <c r="E27" s="39">
        <f>PACKAGING!E3</f>
        <v>150</v>
      </c>
      <c r="F27" s="1"/>
      <c r="G27" s="171"/>
      <c r="H27" s="171"/>
      <c r="K27" s="1"/>
      <c r="N27" s="3" t="s">
        <v>1538</v>
      </c>
      <c r="O27" s="2"/>
      <c r="P27" s="6"/>
      <c r="Q27" s="66"/>
      <c r="R27" s="39">
        <f>PACKAGING!E8</f>
        <v>420</v>
      </c>
      <c r="S27" s="1"/>
      <c r="T27" s="171"/>
    </row>
    <row r="28" spans="1:40" ht="16.5" thickBot="1" x14ac:dyDescent="0.3">
      <c r="A28" s="3" t="s">
        <v>1538</v>
      </c>
      <c r="B28" s="2"/>
      <c r="C28" s="6"/>
      <c r="D28" s="66"/>
      <c r="E28" s="39">
        <f>PACKAGING!E8</f>
        <v>420</v>
      </c>
      <c r="F28" s="1"/>
      <c r="G28" s="171"/>
      <c r="H28" s="171"/>
      <c r="K28" s="1"/>
      <c r="N28" s="3" t="s">
        <v>1558</v>
      </c>
      <c r="O28" s="2"/>
      <c r="P28" s="6"/>
      <c r="Q28" s="66"/>
      <c r="R28" s="39">
        <v>60</v>
      </c>
      <c r="S28" s="1"/>
      <c r="T28" s="171"/>
      <c r="X28" s="1589" t="s">
        <v>268</v>
      </c>
      <c r="Y28" s="1596"/>
      <c r="Z28" s="1596"/>
      <c r="AA28" s="1596"/>
      <c r="AB28" s="1590"/>
      <c r="AC28" s="23"/>
      <c r="AD28" s="171"/>
      <c r="AH28" s="1568" t="s">
        <v>264</v>
      </c>
      <c r="AI28" s="1569"/>
      <c r="AJ28" s="1569"/>
      <c r="AK28" s="1569"/>
      <c r="AL28" s="1570"/>
      <c r="AM28" s="23"/>
      <c r="AN28" s="171"/>
    </row>
    <row r="29" spans="1:40" ht="16.5" thickBot="1" x14ac:dyDescent="0.3">
      <c r="A29" s="79" t="s">
        <v>525</v>
      </c>
      <c r="B29" s="70"/>
      <c r="C29" s="85"/>
      <c r="D29" s="85"/>
      <c r="E29" s="352">
        <f>SUM(E26:E28)</f>
        <v>5132</v>
      </c>
      <c r="F29" s="134"/>
      <c r="G29" s="171"/>
      <c r="H29" s="171"/>
      <c r="K29" s="1"/>
      <c r="N29" s="79" t="s">
        <v>525</v>
      </c>
      <c r="O29" s="70"/>
      <c r="P29" s="85"/>
      <c r="Q29" s="85"/>
      <c r="R29" s="51">
        <f>SUM(R20:R28)</f>
        <v>1991.8471428571429</v>
      </c>
      <c r="S29" s="134"/>
      <c r="T29" s="171"/>
      <c r="X29" s="271" t="s">
        <v>916</v>
      </c>
      <c r="Y29" s="272" t="s">
        <v>1073</v>
      </c>
      <c r="Z29" s="273" t="s">
        <v>1547</v>
      </c>
      <c r="AA29" s="273" t="s">
        <v>1035</v>
      </c>
      <c r="AB29" s="274" t="s">
        <v>1549</v>
      </c>
      <c r="AC29" s="1"/>
      <c r="AD29" s="171"/>
      <c r="AH29" s="483" t="s">
        <v>916</v>
      </c>
      <c r="AI29" s="484" t="s">
        <v>1073</v>
      </c>
      <c r="AJ29" s="485" t="s">
        <v>1547</v>
      </c>
      <c r="AK29" s="485" t="s">
        <v>1035</v>
      </c>
      <c r="AL29" s="486" t="s">
        <v>1549</v>
      </c>
      <c r="AM29" s="1"/>
      <c r="AN29" s="171"/>
    </row>
    <row r="30" spans="1:40" ht="16.5" thickBot="1" x14ac:dyDescent="0.3">
      <c r="A30" s="275" t="s">
        <v>1559</v>
      </c>
      <c r="B30" s="269"/>
      <c r="C30" s="269"/>
      <c r="D30" s="269"/>
      <c r="E30" s="219">
        <f>E29*2</f>
        <v>10264</v>
      </c>
      <c r="F30" s="490">
        <f>E30+E30*70%</f>
        <v>17448.8</v>
      </c>
      <c r="G30" s="253">
        <v>20000</v>
      </c>
      <c r="H30" s="746"/>
      <c r="K30" s="1"/>
      <c r="N30" s="80" t="s">
        <v>544</v>
      </c>
      <c r="O30" s="220"/>
      <c r="P30" s="220"/>
      <c r="Q30" s="220"/>
      <c r="R30" s="267">
        <f>R29*2</f>
        <v>3983.6942857142858</v>
      </c>
      <c r="S30" s="512">
        <f>R30+R30*70%</f>
        <v>6772.2802857142851</v>
      </c>
      <c r="T30" s="268">
        <v>5500</v>
      </c>
      <c r="X30" s="3" t="s">
        <v>1894</v>
      </c>
      <c r="Y30" s="2"/>
      <c r="Z30" s="6">
        <v>1</v>
      </c>
      <c r="AA30" s="66">
        <f>'AROS, CADENAS, DIJES, ETC'!D112</f>
        <v>127.5</v>
      </c>
      <c r="AB30" s="39">
        <f>AA30</f>
        <v>127.5</v>
      </c>
      <c r="AC30" s="1"/>
      <c r="AD30" s="171"/>
      <c r="AH30" s="3" t="s">
        <v>901</v>
      </c>
      <c r="AI30" s="2"/>
      <c r="AJ30" s="6">
        <v>1</v>
      </c>
      <c r="AK30" s="66">
        <f>'AROS, CADENAS, DIJES, ETC'!C181</f>
        <v>3568</v>
      </c>
      <c r="AL30" s="39">
        <f>AK30</f>
        <v>3568</v>
      </c>
      <c r="AM30" s="1"/>
      <c r="AN30" s="171"/>
    </row>
    <row r="31" spans="1:40" ht="16.5" thickBot="1" x14ac:dyDescent="0.3">
      <c r="A31" s="1"/>
      <c r="B31" s="1"/>
      <c r="C31" s="1"/>
      <c r="D31" s="60"/>
      <c r="E31" s="60"/>
      <c r="F31" s="61"/>
      <c r="K31" s="1"/>
      <c r="N31" s="275" t="s">
        <v>1559</v>
      </c>
      <c r="O31" s="269"/>
      <c r="P31" s="269"/>
      <c r="Q31" s="269"/>
      <c r="R31" s="270"/>
      <c r="S31" s="513"/>
      <c r="T31" s="281">
        <v>11000</v>
      </c>
      <c r="X31" s="3" t="s">
        <v>1886</v>
      </c>
      <c r="Y31" s="2"/>
      <c r="Z31" s="6">
        <v>1</v>
      </c>
      <c r="AA31" s="66">
        <f>'AROS, CADENAS, DIJES, ETC'!D107</f>
        <v>71.5</v>
      </c>
      <c r="AB31" s="39">
        <f>AA31*Z31</f>
        <v>71.5</v>
      </c>
      <c r="AC31" s="1"/>
      <c r="AD31" s="171"/>
      <c r="AH31" s="3" t="s">
        <v>1557</v>
      </c>
      <c r="AI31" s="2"/>
      <c r="AJ31" s="6"/>
      <c r="AK31" s="66"/>
      <c r="AL31" s="39">
        <f>PACKAGING!E3</f>
        <v>150</v>
      </c>
      <c r="AM31" s="1"/>
      <c r="AN31" s="171"/>
    </row>
    <row r="32" spans="1:40" ht="16.5" thickBot="1" x14ac:dyDescent="0.3">
      <c r="A32" s="1688" t="s">
        <v>89</v>
      </c>
      <c r="B32" s="1571"/>
      <c r="C32" s="1571"/>
      <c r="D32" s="1571"/>
      <c r="E32" s="1"/>
      <c r="F32" s="1"/>
      <c r="I32" s="1"/>
      <c r="J32" s="1"/>
      <c r="K32" s="1"/>
      <c r="X32" s="3" t="s">
        <v>1885</v>
      </c>
      <c r="Y32" s="2"/>
      <c r="Z32" s="6">
        <v>1</v>
      </c>
      <c r="AA32" s="66">
        <f>'AROS, CADENAS, DIJES, ETC'!D125</f>
        <v>270</v>
      </c>
      <c r="AB32" s="39">
        <f>AA32*Z32</f>
        <v>270</v>
      </c>
      <c r="AC32" s="1"/>
      <c r="AD32" s="171"/>
      <c r="AH32" s="3" t="s">
        <v>1538</v>
      </c>
      <c r="AI32" s="2"/>
      <c r="AJ32" s="6"/>
      <c r="AK32" s="66"/>
      <c r="AL32" s="39">
        <f>PACKAGING!E8</f>
        <v>420</v>
      </c>
      <c r="AM32" s="1"/>
      <c r="AN32" s="171"/>
    </row>
    <row r="33" spans="1:42" ht="16.5" thickBot="1" x14ac:dyDescent="0.3">
      <c r="A33" s="271"/>
      <c r="B33" s="272" t="s">
        <v>1073</v>
      </c>
      <c r="C33" s="273" t="s">
        <v>747</v>
      </c>
      <c r="D33" s="274" t="s">
        <v>1549</v>
      </c>
      <c r="E33" s="1"/>
      <c r="F33" s="1"/>
      <c r="I33" s="1"/>
      <c r="J33" s="1"/>
      <c r="K33" s="1"/>
      <c r="N33" s="1723" t="s">
        <v>1895</v>
      </c>
      <c r="O33" s="1724"/>
      <c r="P33" s="1724"/>
      <c r="Q33" s="1724"/>
      <c r="R33" s="1725"/>
      <c r="S33" s="23"/>
      <c r="T33" s="171"/>
      <c r="X33" s="3" t="s">
        <v>1896</v>
      </c>
      <c r="Y33" s="2"/>
      <c r="Z33" s="6">
        <v>1</v>
      </c>
      <c r="AA33" s="66">
        <f>'AROS, CADENAS, DIJES, ETC'!D126</f>
        <v>351</v>
      </c>
      <c r="AB33" s="39">
        <f>AA33*Z33</f>
        <v>351</v>
      </c>
      <c r="AC33" s="1"/>
      <c r="AD33" s="171"/>
      <c r="AH33" s="79" t="s">
        <v>525</v>
      </c>
      <c r="AI33" s="70"/>
      <c r="AJ33" s="85"/>
      <c r="AK33" s="85"/>
      <c r="AL33" s="51">
        <f>SUM(AL30:AL32)</f>
        <v>4138</v>
      </c>
      <c r="AM33" s="134"/>
      <c r="AN33" s="171"/>
    </row>
    <row r="34" spans="1:42" ht="16.5" thickBot="1" x14ac:dyDescent="0.3">
      <c r="A34" s="3" t="s">
        <v>750</v>
      </c>
      <c r="B34" s="2" t="s">
        <v>1883</v>
      </c>
      <c r="C34" s="66"/>
      <c r="D34" s="39">
        <f>'AROS, CADENAS, DIJES, ETC'!C107</f>
        <v>143</v>
      </c>
      <c r="E34" s="1"/>
      <c r="F34" s="1"/>
      <c r="I34" s="1"/>
      <c r="J34" s="1"/>
      <c r="K34" s="1"/>
      <c r="N34" s="271" t="s">
        <v>916</v>
      </c>
      <c r="O34" s="272" t="s">
        <v>1073</v>
      </c>
      <c r="P34" s="273" t="s">
        <v>1547</v>
      </c>
      <c r="Q34" s="273" t="s">
        <v>1035</v>
      </c>
      <c r="R34" s="274" t="s">
        <v>1549</v>
      </c>
      <c r="S34" s="1"/>
      <c r="T34" s="171"/>
      <c r="X34" s="3" t="s">
        <v>1892</v>
      </c>
      <c r="Y34" s="2"/>
      <c r="Z34" s="6">
        <v>1</v>
      </c>
      <c r="AA34" s="66">
        <f>'AROS, CADENAS, DIJES, ETC'!D124</f>
        <v>350</v>
      </c>
      <c r="AB34" s="39">
        <f>AA34*Z34</f>
        <v>350</v>
      </c>
      <c r="AC34" s="1"/>
      <c r="AD34" s="171"/>
      <c r="AH34" s="211" t="s">
        <v>544</v>
      </c>
      <c r="AI34" s="276"/>
      <c r="AJ34" s="276"/>
      <c r="AK34" s="276"/>
      <c r="AL34" s="213">
        <f>AL33*2</f>
        <v>8276</v>
      </c>
      <c r="AM34" s="514">
        <f>AL34+AL34*50%</f>
        <v>12414</v>
      </c>
      <c r="AN34" s="491">
        <v>11400</v>
      </c>
    </row>
    <row r="35" spans="1:42" ht="16.5" thickBot="1" x14ac:dyDescent="0.3">
      <c r="A35" s="3" t="s">
        <v>1023</v>
      </c>
      <c r="B35" s="2">
        <v>2</v>
      </c>
      <c r="C35" s="66">
        <f>FORNITURAS!D31</f>
        <v>235</v>
      </c>
      <c r="D35" s="39">
        <f>C35*B35</f>
        <v>470</v>
      </c>
      <c r="E35" s="1"/>
      <c r="F35" s="1"/>
      <c r="I35" s="1"/>
      <c r="J35" s="1"/>
      <c r="K35" s="1"/>
      <c r="N35" s="3" t="s">
        <v>1897</v>
      </c>
      <c r="O35" s="2"/>
      <c r="P35" s="6">
        <v>1</v>
      </c>
      <c r="Q35" s="66">
        <f>'AROS, CADENAS, DIJES, ETC'!D96</f>
        <v>1195</v>
      </c>
      <c r="R35" s="39">
        <f>Q35</f>
        <v>1195</v>
      </c>
      <c r="S35" s="1"/>
      <c r="T35" s="171"/>
      <c r="X35" s="3" t="s">
        <v>1023</v>
      </c>
      <c r="Y35" s="2"/>
      <c r="Z35" s="6">
        <v>2</v>
      </c>
      <c r="AA35" s="66">
        <f>FORNITURAS!D31</f>
        <v>235</v>
      </c>
      <c r="AB35" s="39">
        <f>AA35*Z35</f>
        <v>470</v>
      </c>
      <c r="AC35" s="1"/>
      <c r="AD35" s="171"/>
    </row>
    <row r="36" spans="1:42" ht="16.5" thickBot="1" x14ac:dyDescent="0.3">
      <c r="A36" s="3" t="s">
        <v>1588</v>
      </c>
      <c r="B36" s="2"/>
      <c r="C36" s="66"/>
      <c r="D36" s="39">
        <f>PACKAGING!E3</f>
        <v>150</v>
      </c>
      <c r="E36" s="1"/>
      <c r="F36" s="1"/>
      <c r="I36" s="1"/>
      <c r="J36" s="1"/>
      <c r="K36" s="1"/>
      <c r="N36" s="3" t="s">
        <v>921</v>
      </c>
      <c r="O36" s="2"/>
      <c r="P36" s="6">
        <v>1</v>
      </c>
      <c r="Q36" s="66">
        <f>'AROS, CADENAS, DIJES, ETC'!O44</f>
        <v>569</v>
      </c>
      <c r="R36" s="39">
        <f>Q36*P36</f>
        <v>569</v>
      </c>
      <c r="S36" s="1"/>
      <c r="T36" s="171"/>
      <c r="X36" s="3" t="s">
        <v>1557</v>
      </c>
      <c r="Y36" s="2"/>
      <c r="Z36" s="6"/>
      <c r="AA36" s="66"/>
      <c r="AB36" s="39">
        <f>PACKAGING!E3</f>
        <v>150</v>
      </c>
      <c r="AC36" s="1"/>
      <c r="AD36" s="171"/>
      <c r="AH36" s="1568" t="s">
        <v>3026</v>
      </c>
      <c r="AI36" s="1569"/>
      <c r="AJ36" s="1569"/>
      <c r="AK36" s="1569"/>
      <c r="AL36" s="1570"/>
      <c r="AM36" s="23"/>
      <c r="AN36" s="171"/>
    </row>
    <row r="37" spans="1:42" x14ac:dyDescent="0.25">
      <c r="A37" s="3" t="s">
        <v>1538</v>
      </c>
      <c r="B37" s="2"/>
      <c r="C37" s="66"/>
      <c r="D37" s="39">
        <f>PACKAGING!E8</f>
        <v>420</v>
      </c>
      <c r="E37" s="1"/>
      <c r="F37" s="1"/>
      <c r="I37" s="1"/>
      <c r="J37" s="1"/>
      <c r="K37" s="1"/>
      <c r="N37" s="3" t="s">
        <v>1557</v>
      </c>
      <c r="O37" s="2"/>
      <c r="P37" s="6"/>
      <c r="Q37" s="66"/>
      <c r="R37" s="39">
        <f>PACKAGING!E3</f>
        <v>150</v>
      </c>
      <c r="S37" s="1"/>
      <c r="T37" s="171"/>
      <c r="X37" s="3" t="s">
        <v>1538</v>
      </c>
      <c r="Y37" s="2"/>
      <c r="Z37" s="6"/>
      <c r="AA37" s="66"/>
      <c r="AB37" s="39">
        <f>PACKAGING!E8</f>
        <v>420</v>
      </c>
      <c r="AC37" s="1"/>
      <c r="AD37" s="171"/>
      <c r="AH37" s="501" t="s">
        <v>916</v>
      </c>
      <c r="AI37" s="502" t="s">
        <v>1073</v>
      </c>
      <c r="AJ37" s="503" t="s">
        <v>1547</v>
      </c>
      <c r="AK37" s="503" t="s">
        <v>1035</v>
      </c>
      <c r="AL37" s="504" t="s">
        <v>1549</v>
      </c>
      <c r="AM37" s="1"/>
      <c r="AN37" s="171"/>
    </row>
    <row r="38" spans="1:42" ht="16.5" thickBot="1" x14ac:dyDescent="0.3">
      <c r="A38" s="3" t="s">
        <v>525</v>
      </c>
      <c r="B38" s="2"/>
      <c r="C38" s="6"/>
      <c r="D38" s="39">
        <f>SUM(D34:D37)</f>
        <v>1183</v>
      </c>
      <c r="E38" s="38"/>
      <c r="F38" s="1"/>
      <c r="I38" s="1"/>
      <c r="J38" s="1"/>
      <c r="K38" s="1"/>
      <c r="N38" s="3" t="s">
        <v>1558</v>
      </c>
      <c r="O38" s="2">
        <v>60</v>
      </c>
      <c r="P38" s="6">
        <v>5</v>
      </c>
      <c r="Q38" s="66">
        <f>'INSUMOS VARIOS'!B3</f>
        <v>3500</v>
      </c>
      <c r="R38" s="39">
        <f>Q38*P38/O38</f>
        <v>291.66666666666669</v>
      </c>
      <c r="S38" s="1"/>
      <c r="T38" s="171"/>
      <c r="X38" s="79" t="s">
        <v>525</v>
      </c>
      <c r="Y38" s="70"/>
      <c r="Z38" s="85"/>
      <c r="AA38" s="85"/>
      <c r="AB38" s="51">
        <f>SUM(AB30:AB37)</f>
        <v>2210</v>
      </c>
      <c r="AC38" s="134"/>
      <c r="AD38" s="171"/>
      <c r="AH38" s="3" t="s">
        <v>917</v>
      </c>
      <c r="AI38" s="2"/>
      <c r="AJ38" s="6">
        <v>1</v>
      </c>
      <c r="AK38" s="66">
        <f>'AROS, CADENAS, DIJES, ETC'!C186</f>
        <v>3568</v>
      </c>
      <c r="AL38" s="39">
        <f>AK38</f>
        <v>3568</v>
      </c>
      <c r="AM38" s="1"/>
      <c r="AN38" s="171"/>
    </row>
    <row r="39" spans="1:42" ht="16.5" thickBot="1" x14ac:dyDescent="0.3">
      <c r="A39" s="79" t="s">
        <v>544</v>
      </c>
      <c r="B39" s="85"/>
      <c r="C39" s="85"/>
      <c r="D39" s="640">
        <f>D38*2</f>
        <v>2366</v>
      </c>
      <c r="E39" s="755">
        <f>D39+D39*50%</f>
        <v>3549</v>
      </c>
      <c r="F39" s="756">
        <v>3800</v>
      </c>
      <c r="G39" s="171"/>
      <c r="H39" s="171"/>
      <c r="I39" s="1"/>
      <c r="J39" s="1"/>
      <c r="K39" s="1"/>
      <c r="N39" s="79" t="s">
        <v>525</v>
      </c>
      <c r="O39" s="70"/>
      <c r="P39" s="85"/>
      <c r="Q39" s="85"/>
      <c r="R39" s="51">
        <f>SUM(R35:R38)</f>
        <v>2205.6666666666665</v>
      </c>
      <c r="S39" s="134"/>
      <c r="T39" s="171"/>
      <c r="X39" s="80" t="s">
        <v>544</v>
      </c>
      <c r="Y39" s="220"/>
      <c r="Z39" s="220"/>
      <c r="AA39" s="220"/>
      <c r="AB39" s="267">
        <f>AB38*2</f>
        <v>4420</v>
      </c>
      <c r="AC39" s="473">
        <f>AB39+AB39*10%</f>
        <v>4862</v>
      </c>
      <c r="AD39" s="268">
        <v>3900</v>
      </c>
      <c r="AH39" s="3" t="s">
        <v>1557</v>
      </c>
      <c r="AI39" s="2"/>
      <c r="AJ39" s="6"/>
      <c r="AK39" s="66"/>
      <c r="AL39" s="39">
        <f>PACKAGING!E3</f>
        <v>150</v>
      </c>
      <c r="AM39" s="1"/>
      <c r="AN39" s="171"/>
    </row>
    <row r="40" spans="1:42" ht="16.5" thickBot="1" x14ac:dyDescent="0.3">
      <c r="A40" s="757" t="s">
        <v>1559</v>
      </c>
      <c r="B40" s="758"/>
      <c r="C40" s="758"/>
      <c r="D40" s="759"/>
      <c r="E40" s="760">
        <f>D40+D40*25%</f>
        <v>0</v>
      </c>
      <c r="F40" s="761">
        <f>F39*2</f>
        <v>7600</v>
      </c>
      <c r="G40" s="171"/>
      <c r="H40" s="171"/>
      <c r="I40" s="1"/>
      <c r="J40" s="1"/>
      <c r="K40" s="1"/>
      <c r="N40" s="80" t="s">
        <v>544</v>
      </c>
      <c r="O40" s="220"/>
      <c r="P40" s="220"/>
      <c r="Q40" s="220"/>
      <c r="R40" s="267">
        <f>R39*2</f>
        <v>4411.333333333333</v>
      </c>
      <c r="S40" s="492">
        <f>R40+R40*70%</f>
        <v>7499.2666666666664</v>
      </c>
      <c r="T40" s="268">
        <v>16000</v>
      </c>
      <c r="X40" s="275" t="s">
        <v>1559</v>
      </c>
      <c r="Y40" s="269"/>
      <c r="Z40" s="269"/>
      <c r="AA40" s="269"/>
      <c r="AB40" s="270"/>
      <c r="AC40" s="474"/>
      <c r="AD40" s="281">
        <f>AD39*2</f>
        <v>7800</v>
      </c>
      <c r="AH40" s="3" t="s">
        <v>1538</v>
      </c>
      <c r="AI40" s="2"/>
      <c r="AJ40" s="6"/>
      <c r="AK40" s="66"/>
      <c r="AL40" s="39">
        <f>PACKAGING!E8</f>
        <v>420</v>
      </c>
      <c r="AM40" s="1"/>
      <c r="AN40" s="171"/>
    </row>
    <row r="41" spans="1:42" ht="16.5" thickBot="1" x14ac:dyDescent="0.3">
      <c r="A41" s="171"/>
      <c r="B41" s="171"/>
      <c r="C41" s="171"/>
      <c r="D41" s="171"/>
      <c r="E41" s="171"/>
      <c r="F41" s="171"/>
      <c r="G41" s="171"/>
      <c r="H41" s="171"/>
      <c r="I41" s="1"/>
      <c r="J41" s="1"/>
      <c r="K41" s="1"/>
      <c r="N41" s="275" t="s">
        <v>1559</v>
      </c>
      <c r="O41" s="269"/>
      <c r="P41" s="269"/>
      <c r="Q41" s="269"/>
      <c r="R41" s="270"/>
      <c r="S41" s="493"/>
      <c r="T41" s="281"/>
      <c r="AH41" s="79" t="s">
        <v>525</v>
      </c>
      <c r="AI41" s="70"/>
      <c r="AJ41" s="85"/>
      <c r="AK41" s="85"/>
      <c r="AL41" s="51">
        <f>SUM(AL38:AL40)</f>
        <v>4138</v>
      </c>
      <c r="AM41" s="134"/>
      <c r="AN41" s="171"/>
    </row>
    <row r="42" spans="1:42" ht="16.5" thickBot="1" x14ac:dyDescent="0.3">
      <c r="A42" s="1602" t="s">
        <v>548</v>
      </c>
      <c r="B42" s="1600"/>
      <c r="C42" s="1600"/>
      <c r="D42" s="1600"/>
      <c r="E42" s="1600"/>
      <c r="F42" s="1600"/>
      <c r="G42" s="171"/>
      <c r="H42" s="171"/>
      <c r="I42" s="1"/>
      <c r="J42" s="1"/>
      <c r="K42" s="1"/>
      <c r="X42" s="1589" t="s">
        <v>270</v>
      </c>
      <c r="Y42" s="1596"/>
      <c r="Z42" s="1596"/>
      <c r="AA42" s="1596"/>
      <c r="AB42" s="1590"/>
      <c r="AC42" s="23"/>
      <c r="AD42" s="171"/>
      <c r="AH42" s="211" t="s">
        <v>544</v>
      </c>
      <c r="AI42" s="276"/>
      <c r="AJ42" s="276"/>
      <c r="AK42" s="276"/>
      <c r="AL42" s="213">
        <f>AL41*2</f>
        <v>8276</v>
      </c>
      <c r="AM42" s="514">
        <f>AL42+AL42*50%</f>
        <v>12414</v>
      </c>
      <c r="AN42" s="491">
        <v>11400</v>
      </c>
    </row>
    <row r="43" spans="1:42" ht="16.5" thickBot="1" x14ac:dyDescent="0.3">
      <c r="A43" s="483" t="s">
        <v>916</v>
      </c>
      <c r="B43" s="484" t="s">
        <v>1073</v>
      </c>
      <c r="C43" s="485" t="s">
        <v>1089</v>
      </c>
      <c r="D43" s="485" t="s">
        <v>1547</v>
      </c>
      <c r="E43" s="485" t="s">
        <v>1035</v>
      </c>
      <c r="F43" s="486" t="s">
        <v>1549</v>
      </c>
      <c r="G43" s="1"/>
      <c r="H43" s="171"/>
      <c r="I43" s="1"/>
      <c r="J43" s="1"/>
      <c r="K43" s="1"/>
      <c r="N43" s="1723" t="s">
        <v>574</v>
      </c>
      <c r="O43" s="1724"/>
      <c r="P43" s="1724"/>
      <c r="Q43" s="1724"/>
      <c r="R43" s="1725"/>
      <c r="S43" s="23"/>
      <c r="T43" s="171"/>
      <c r="X43" s="271" t="s">
        <v>916</v>
      </c>
      <c r="Y43" s="272" t="s">
        <v>1073</v>
      </c>
      <c r="Z43" s="273" t="s">
        <v>1547</v>
      </c>
      <c r="AA43" s="273" t="s">
        <v>1035</v>
      </c>
      <c r="AB43" s="274" t="s">
        <v>1549</v>
      </c>
      <c r="AC43" s="1"/>
      <c r="AD43" s="171"/>
    </row>
    <row r="44" spans="1:42" ht="16.5" thickBot="1" x14ac:dyDescent="0.3">
      <c r="A44" s="3" t="s">
        <v>91</v>
      </c>
      <c r="B44" s="2"/>
      <c r="C44" s="6"/>
      <c r="D44" s="6" t="s">
        <v>1649</v>
      </c>
      <c r="E44" s="66">
        <f>'AROS, CADENAS, DIJES, ETC'!C123</f>
        <v>3737</v>
      </c>
      <c r="F44" s="39">
        <f>E44</f>
        <v>3737</v>
      </c>
      <c r="G44" s="1"/>
      <c r="H44" s="171"/>
      <c r="I44" s="1"/>
      <c r="J44" s="1"/>
      <c r="K44" s="1"/>
      <c r="N44" s="483" t="s">
        <v>916</v>
      </c>
      <c r="O44" s="484" t="s">
        <v>1073</v>
      </c>
      <c r="P44" s="485" t="s">
        <v>1547</v>
      </c>
      <c r="Q44" s="485" t="s">
        <v>1035</v>
      </c>
      <c r="R44" s="486" t="s">
        <v>1549</v>
      </c>
      <c r="S44" s="1"/>
      <c r="T44" s="171"/>
      <c r="X44" s="3" t="s">
        <v>1899</v>
      </c>
      <c r="Y44" s="2"/>
      <c r="Z44" s="6">
        <v>1</v>
      </c>
      <c r="AA44" s="66">
        <f>'AROS, CADENAS, DIJES, ETC'!D51</f>
        <v>2175</v>
      </c>
      <c r="AB44" s="39">
        <f>AA44</f>
        <v>2175</v>
      </c>
      <c r="AC44" s="1"/>
      <c r="AD44" s="171"/>
      <c r="AH44" s="1568" t="s">
        <v>320</v>
      </c>
      <c r="AI44" s="1569"/>
      <c r="AJ44" s="1569"/>
      <c r="AK44" s="1569"/>
      <c r="AL44" s="1570"/>
      <c r="AM44" s="1097"/>
      <c r="AN44" s="171"/>
    </row>
    <row r="45" spans="1:42" x14ac:dyDescent="0.25">
      <c r="A45" s="3" t="s">
        <v>1557</v>
      </c>
      <c r="B45" s="2"/>
      <c r="C45" s="6"/>
      <c r="D45" s="6"/>
      <c r="E45" s="66"/>
      <c r="F45" s="39">
        <f>PACKAGING!E3</f>
        <v>150</v>
      </c>
      <c r="G45" s="1"/>
      <c r="H45" s="171"/>
      <c r="I45" s="1"/>
      <c r="J45" s="1"/>
      <c r="K45" s="1"/>
      <c r="N45" s="3" t="s">
        <v>1901</v>
      </c>
      <c r="O45" s="2"/>
      <c r="P45" s="6">
        <v>1</v>
      </c>
      <c r="Q45" s="66">
        <f>'AROS, CADENAS, DIJES, ETC'!D100</f>
        <v>2285</v>
      </c>
      <c r="R45" s="39">
        <f>Q45</f>
        <v>2285</v>
      </c>
      <c r="S45" s="1"/>
      <c r="T45" s="171"/>
      <c r="X45" s="3" t="s">
        <v>1900</v>
      </c>
      <c r="Y45" s="2"/>
      <c r="Z45" s="6">
        <v>1</v>
      </c>
      <c r="AA45" s="66">
        <f>'AROS, CADENAS, DIJES, ETC'!D134</f>
        <v>1500</v>
      </c>
      <c r="AB45" s="39">
        <f>AA45*Z45</f>
        <v>1500</v>
      </c>
      <c r="AC45" s="1"/>
      <c r="AD45" s="171"/>
      <c r="AH45" s="501" t="s">
        <v>916</v>
      </c>
      <c r="AI45" s="502" t="s">
        <v>1073</v>
      </c>
      <c r="AJ45" s="503" t="s">
        <v>1089</v>
      </c>
      <c r="AK45" s="503" t="s">
        <v>1547</v>
      </c>
      <c r="AL45" s="503" t="s">
        <v>1035</v>
      </c>
      <c r="AM45" s="504" t="s">
        <v>1549</v>
      </c>
      <c r="AN45" s="1"/>
      <c r="AO45" s="171"/>
      <c r="AP45" s="171"/>
    </row>
    <row r="46" spans="1:42" x14ac:dyDescent="0.25">
      <c r="A46" s="3" t="s">
        <v>1670</v>
      </c>
      <c r="B46" s="2" t="s">
        <v>1681</v>
      </c>
      <c r="C46" s="6"/>
      <c r="D46" s="6"/>
      <c r="E46" s="66"/>
      <c r="F46" s="39">
        <f>PACKAGING!E9</f>
        <v>450</v>
      </c>
      <c r="G46" s="1"/>
      <c r="H46" s="171"/>
      <c r="I46" s="1"/>
      <c r="J46" s="1"/>
      <c r="K46" s="1"/>
      <c r="N46" s="3" t="s">
        <v>848</v>
      </c>
      <c r="O46" s="2"/>
      <c r="P46" s="6">
        <v>1</v>
      </c>
      <c r="Q46" s="66">
        <f>'AROS, CADENAS, DIJES, ETC'!O110</f>
        <v>4410</v>
      </c>
      <c r="R46" s="39">
        <f>Q46*P46</f>
        <v>4410</v>
      </c>
      <c r="S46" s="1"/>
      <c r="T46" s="171"/>
      <c r="X46" s="3" t="s">
        <v>1902</v>
      </c>
      <c r="Y46" s="2"/>
      <c r="Z46" s="6">
        <v>1</v>
      </c>
      <c r="AA46" s="66">
        <f>'AROS, CADENAS, DIJES, ETC'!D127</f>
        <v>207</v>
      </c>
      <c r="AB46" s="39">
        <f>AA46*Z46</f>
        <v>207</v>
      </c>
      <c r="AC46" s="1"/>
      <c r="AD46" s="171"/>
      <c r="AH46" s="3" t="s">
        <v>3627</v>
      </c>
      <c r="AI46" s="2"/>
      <c r="AJ46" s="6"/>
      <c r="AK46" s="6">
        <v>9</v>
      </c>
      <c r="AL46" s="66">
        <f>'PERLAS 2'!O4</f>
        <v>171.05263157894737</v>
      </c>
      <c r="AM46" s="39">
        <f>AL46*AK46</f>
        <v>1539.4736842105262</v>
      </c>
      <c r="AN46" s="1"/>
      <c r="AO46" s="171"/>
      <c r="AP46" s="171"/>
    </row>
    <row r="47" spans="1:42" ht="16.5" thickBot="1" x14ac:dyDescent="0.3">
      <c r="A47" s="79" t="s">
        <v>525</v>
      </c>
      <c r="B47" s="70"/>
      <c r="C47" s="85"/>
      <c r="D47" s="85"/>
      <c r="E47" s="85"/>
      <c r="F47" s="51">
        <f>SUM(F44:F46)</f>
        <v>4337</v>
      </c>
      <c r="G47" s="134"/>
      <c r="H47" s="171"/>
      <c r="I47" s="1"/>
      <c r="J47" s="1"/>
      <c r="K47" s="1"/>
      <c r="N47" s="3" t="s">
        <v>1555</v>
      </c>
      <c r="O47" s="2"/>
      <c r="P47" s="6">
        <v>1</v>
      </c>
      <c r="Q47" s="66">
        <f>FORNITURAS!D4</f>
        <v>48.7</v>
      </c>
      <c r="R47" s="39">
        <f>Q47*P47</f>
        <v>48.7</v>
      </c>
      <c r="S47" s="1"/>
      <c r="T47" s="171"/>
      <c r="X47" s="3" t="s">
        <v>1557</v>
      </c>
      <c r="Y47" s="2"/>
      <c r="Z47" s="6"/>
      <c r="AA47" s="66"/>
      <c r="AB47" s="39">
        <f>PACKAGING!E3</f>
        <v>150</v>
      </c>
      <c r="AC47" s="1"/>
      <c r="AD47" s="171"/>
      <c r="AH47" s="3" t="s">
        <v>1050</v>
      </c>
      <c r="AI47" s="2" t="s">
        <v>1059</v>
      </c>
      <c r="AJ47" s="6">
        <v>0.04</v>
      </c>
      <c r="AK47" s="6">
        <v>1</v>
      </c>
      <c r="AL47" s="66">
        <f>FORNITURAS!W5</f>
        <v>906.42857142857144</v>
      </c>
      <c r="AM47" s="39">
        <f>AL47*AK47*AJ47</f>
        <v>36.25714285714286</v>
      </c>
      <c r="AN47" s="1"/>
      <c r="AO47" s="171"/>
      <c r="AP47" s="171"/>
    </row>
    <row r="48" spans="1:42" ht="16.5" thickBot="1" x14ac:dyDescent="0.3">
      <c r="A48" s="211" t="s">
        <v>1559</v>
      </c>
      <c r="B48" s="276"/>
      <c r="C48" s="276"/>
      <c r="D48" s="276"/>
      <c r="E48" s="276"/>
      <c r="F48" s="372">
        <f>F47*2</f>
        <v>8674</v>
      </c>
      <c r="G48" s="489">
        <f>F48+F48*50%</f>
        <v>13011</v>
      </c>
      <c r="H48" s="491">
        <v>15000</v>
      </c>
      <c r="I48" s="1"/>
      <c r="J48" s="1"/>
      <c r="K48" s="1"/>
      <c r="N48" s="3" t="s">
        <v>1557</v>
      </c>
      <c r="O48" s="2"/>
      <c r="P48" s="6"/>
      <c r="Q48" s="66"/>
      <c r="R48" s="39">
        <f>PACKAGING!E3</f>
        <v>150</v>
      </c>
      <c r="S48" s="1"/>
      <c r="T48" s="171"/>
      <c r="X48" s="3" t="s">
        <v>1538</v>
      </c>
      <c r="Y48" s="2"/>
      <c r="Z48" s="6"/>
      <c r="AA48" s="66"/>
      <c r="AB48" s="39">
        <f>PACKAGING!E8</f>
        <v>420</v>
      </c>
      <c r="AC48" s="1"/>
      <c r="AD48" s="171"/>
      <c r="AH48" s="3" t="s">
        <v>1557</v>
      </c>
      <c r="AI48" s="2"/>
      <c r="AJ48" s="6"/>
      <c r="AK48" s="6"/>
      <c r="AL48" s="66"/>
      <c r="AM48" s="39">
        <f>PACKAGING!E3</f>
        <v>150</v>
      </c>
      <c r="AN48" s="1"/>
      <c r="AO48" s="171"/>
      <c r="AP48" s="171"/>
    </row>
    <row r="49" spans="1:42" ht="16.5" thickBot="1" x14ac:dyDescent="0.3">
      <c r="A49" s="1"/>
      <c r="B49" s="1"/>
      <c r="C49" s="1"/>
      <c r="D49" s="60"/>
      <c r="E49" s="60"/>
      <c r="F49" s="61"/>
      <c r="H49" s="1"/>
      <c r="I49" s="1"/>
      <c r="J49" s="1"/>
      <c r="K49" s="1"/>
      <c r="N49" s="79" t="s">
        <v>525</v>
      </c>
      <c r="O49" s="70"/>
      <c r="P49" s="85"/>
      <c r="Q49" s="85"/>
      <c r="R49" s="51">
        <f>SUM(R45:R48)</f>
        <v>6893.7</v>
      </c>
      <c r="S49" s="1"/>
      <c r="T49" s="171"/>
      <c r="X49" s="79" t="s">
        <v>525</v>
      </c>
      <c r="Y49" s="70"/>
      <c r="Z49" s="85"/>
      <c r="AA49" s="85"/>
      <c r="AB49" s="51">
        <f>SUM(AB44:AB48)</f>
        <v>4452</v>
      </c>
      <c r="AC49" s="134"/>
      <c r="AD49" s="171"/>
      <c r="AH49" s="3" t="s">
        <v>1538</v>
      </c>
      <c r="AI49" s="2"/>
      <c r="AJ49" s="6"/>
      <c r="AK49" s="6"/>
      <c r="AL49" s="66"/>
      <c r="AM49" s="39">
        <f>PACKAGING!E8</f>
        <v>420</v>
      </c>
      <c r="AN49" s="1"/>
      <c r="AO49" s="171"/>
      <c r="AP49" s="171"/>
    </row>
    <row r="50" spans="1:42" ht="16.5" thickBot="1" x14ac:dyDescent="0.3">
      <c r="A50" s="1589" t="s">
        <v>565</v>
      </c>
      <c r="B50" s="1596"/>
      <c r="C50" s="1596"/>
      <c r="D50" s="1596"/>
      <c r="E50" s="1590"/>
      <c r="F50" s="23"/>
      <c r="G50" s="171"/>
      <c r="H50" s="1"/>
      <c r="I50" s="1"/>
      <c r="J50" s="1"/>
      <c r="N50" s="211" t="s">
        <v>544</v>
      </c>
      <c r="O50" s="276"/>
      <c r="P50" s="276"/>
      <c r="Q50" s="276"/>
      <c r="R50" s="213">
        <f>R49*2</f>
        <v>13787.4</v>
      </c>
      <c r="S50" s="517">
        <f>R50+R50*70%</f>
        <v>23438.579999999998</v>
      </c>
      <c r="T50" s="498">
        <v>28000</v>
      </c>
      <c r="X50" s="80" t="s">
        <v>544</v>
      </c>
      <c r="Y50" s="220"/>
      <c r="Z50" s="220"/>
      <c r="AA50" s="220"/>
      <c r="AB50" s="267">
        <f>AB49*2</f>
        <v>8904</v>
      </c>
      <c r="AC50" s="473">
        <f>AB50+AB50*25%</f>
        <v>11130</v>
      </c>
      <c r="AD50" s="268">
        <v>6500</v>
      </c>
      <c r="AH50" s="79" t="s">
        <v>525</v>
      </c>
      <c r="AI50" s="70"/>
      <c r="AJ50" s="85"/>
      <c r="AK50" s="85"/>
      <c r="AL50" s="85"/>
      <c r="AM50" s="51">
        <f>SUM(AM46:AM49)</f>
        <v>2145.730827067669</v>
      </c>
      <c r="AN50" s="134"/>
      <c r="AO50" s="171"/>
      <c r="AP50" s="171"/>
    </row>
    <row r="51" spans="1:42" ht="16.5" thickBot="1" x14ac:dyDescent="0.3">
      <c r="A51" s="271"/>
      <c r="B51" s="272" t="s">
        <v>1073</v>
      </c>
      <c r="C51" s="273" t="s">
        <v>1566</v>
      </c>
      <c r="D51" s="273" t="s">
        <v>747</v>
      </c>
      <c r="E51" s="274" t="s">
        <v>1549</v>
      </c>
      <c r="F51" s="1"/>
      <c r="G51" s="171"/>
      <c r="H51" s="1"/>
      <c r="I51" s="1"/>
      <c r="J51" s="1"/>
      <c r="N51" s="171"/>
      <c r="O51" s="171"/>
      <c r="P51" s="171"/>
      <c r="Q51" s="171"/>
      <c r="R51" s="171"/>
      <c r="S51" s="171"/>
      <c r="T51" s="171"/>
      <c r="X51" s="275" t="s">
        <v>1559</v>
      </c>
      <c r="Y51" s="269"/>
      <c r="Z51" s="269"/>
      <c r="AA51" s="269"/>
      <c r="AB51" s="270"/>
      <c r="AC51" s="474"/>
      <c r="AD51" s="281">
        <f>AD50*2</f>
        <v>13000</v>
      </c>
      <c r="AH51" s="211" t="s">
        <v>544</v>
      </c>
      <c r="AI51" s="276"/>
      <c r="AJ51" s="276"/>
      <c r="AK51" s="276"/>
      <c r="AL51" s="276"/>
      <c r="AM51" s="213">
        <f>AM50*2</f>
        <v>4291.461654135338</v>
      </c>
      <c r="AN51" s="514">
        <v>6000</v>
      </c>
      <c r="AO51" s="491">
        <v>8000</v>
      </c>
      <c r="AP51" s="61"/>
    </row>
    <row r="52" spans="1:42" ht="16.5" thickBot="1" x14ac:dyDescent="0.3">
      <c r="A52" s="3" t="s">
        <v>1898</v>
      </c>
      <c r="B52" s="2"/>
      <c r="C52" s="6">
        <v>1</v>
      </c>
      <c r="D52" s="66">
        <f>'AROS, CADENAS, DIJES, ETC'!C175</f>
        <v>200</v>
      </c>
      <c r="E52" s="39">
        <f>D52*C52</f>
        <v>200</v>
      </c>
      <c r="F52" s="1"/>
      <c r="G52" s="171"/>
      <c r="H52" s="1"/>
      <c r="I52" s="1"/>
      <c r="J52" s="1"/>
      <c r="N52" s="1589" t="s">
        <v>200</v>
      </c>
      <c r="O52" s="1596"/>
      <c r="P52" s="1596"/>
      <c r="Q52" s="1596"/>
      <c r="R52" s="1590"/>
      <c r="S52" s="23"/>
      <c r="T52" s="171"/>
      <c r="AO52" s="1098">
        <f>AO51*2</f>
        <v>16000</v>
      </c>
      <c r="AP52" s="61"/>
    </row>
    <row r="53" spans="1:42" ht="16.5" thickBot="1" x14ac:dyDescent="0.3">
      <c r="A53" s="3" t="s">
        <v>1557</v>
      </c>
      <c r="B53" s="2"/>
      <c r="C53" s="6"/>
      <c r="D53" s="66"/>
      <c r="E53" s="39">
        <f>PACKAGING!E3</f>
        <v>150</v>
      </c>
      <c r="F53" s="1"/>
      <c r="G53" s="171"/>
      <c r="H53" s="1"/>
      <c r="I53" s="1"/>
      <c r="J53" s="1"/>
      <c r="N53" s="271" t="s">
        <v>916</v>
      </c>
      <c r="O53" s="272" t="s">
        <v>1073</v>
      </c>
      <c r="P53" s="273" t="s">
        <v>1547</v>
      </c>
      <c r="Q53" s="273" t="s">
        <v>1035</v>
      </c>
      <c r="R53" s="274" t="s">
        <v>1549</v>
      </c>
      <c r="S53" s="1"/>
      <c r="T53" s="171"/>
      <c r="X53" s="1589" t="s">
        <v>2261</v>
      </c>
      <c r="Y53" s="1596"/>
      <c r="Z53" s="1596"/>
      <c r="AA53" s="1596"/>
      <c r="AB53" s="1590"/>
      <c r="AC53" s="23"/>
      <c r="AD53" s="171"/>
    </row>
    <row r="54" spans="1:42" ht="16.5" thickBot="1" x14ac:dyDescent="0.3">
      <c r="A54" s="3" t="s">
        <v>1538</v>
      </c>
      <c r="B54" s="2"/>
      <c r="C54" s="6"/>
      <c r="D54" s="66"/>
      <c r="E54" s="39">
        <f>PACKAGING!E8</f>
        <v>420</v>
      </c>
      <c r="F54" s="1"/>
      <c r="G54" s="171"/>
      <c r="H54" s="1"/>
      <c r="I54" s="1"/>
      <c r="J54" s="1"/>
      <c r="N54" s="3" t="s">
        <v>1897</v>
      </c>
      <c r="O54" s="2"/>
      <c r="P54" s="6">
        <v>1</v>
      </c>
      <c r="Q54" s="66">
        <f>'AROS, CADENAS, DIJES, ETC'!D96</f>
        <v>1195</v>
      </c>
      <c r="R54" s="39">
        <f>Q54*P54</f>
        <v>1195</v>
      </c>
      <c r="S54" s="1"/>
      <c r="T54" s="171"/>
      <c r="X54" s="271" t="s">
        <v>916</v>
      </c>
      <c r="Y54" s="272" t="s">
        <v>1073</v>
      </c>
      <c r="Z54" s="273" t="s">
        <v>1547</v>
      </c>
      <c r="AA54" s="273" t="s">
        <v>1035</v>
      </c>
      <c r="AB54" s="274" t="s">
        <v>1549</v>
      </c>
      <c r="AC54" s="1"/>
      <c r="AD54" s="171"/>
      <c r="AH54" s="1585" t="s">
        <v>2209</v>
      </c>
      <c r="AI54" s="1586"/>
      <c r="AJ54" s="1586"/>
      <c r="AK54" s="1586"/>
      <c r="AL54" s="1587"/>
      <c r="AM54" s="23"/>
      <c r="AN54" s="171"/>
    </row>
    <row r="55" spans="1:42" ht="16.5" thickBot="1" x14ac:dyDescent="0.3">
      <c r="A55" s="79" t="s">
        <v>525</v>
      </c>
      <c r="B55" s="70"/>
      <c r="C55" s="85"/>
      <c r="D55" s="85"/>
      <c r="E55" s="51">
        <f>SUM(E52:E54)</f>
        <v>770</v>
      </c>
      <c r="F55" s="134"/>
      <c r="G55" s="171"/>
      <c r="H55" s="1"/>
      <c r="I55" s="1"/>
      <c r="J55" s="1"/>
      <c r="N55" s="3" t="s">
        <v>1905</v>
      </c>
      <c r="O55" s="2"/>
      <c r="P55" s="6">
        <v>1</v>
      </c>
      <c r="Q55" s="66">
        <f>'AROS, CADENAS, DIJES, ETC'!O149</f>
        <v>3047</v>
      </c>
      <c r="R55" s="39">
        <f>Q55*P55</f>
        <v>3047</v>
      </c>
      <c r="S55" s="1"/>
      <c r="T55" s="171"/>
      <c r="X55" s="3" t="s">
        <v>1903</v>
      </c>
      <c r="Y55" s="2"/>
      <c r="Z55" s="6">
        <v>1</v>
      </c>
      <c r="AA55" s="66">
        <f>'AROS, CADENAS, DIJES, ETC'!D53</f>
        <v>2460</v>
      </c>
      <c r="AB55" s="39">
        <f>AA55</f>
        <v>2460</v>
      </c>
      <c r="AC55" s="1"/>
      <c r="AD55" s="171"/>
      <c r="AH55" s="483" t="s">
        <v>916</v>
      </c>
      <c r="AI55" s="484" t="s">
        <v>1073</v>
      </c>
      <c r="AJ55" s="485" t="s">
        <v>1547</v>
      </c>
      <c r="AK55" s="485" t="s">
        <v>1035</v>
      </c>
      <c r="AL55" s="486" t="s">
        <v>1549</v>
      </c>
      <c r="AM55" s="1"/>
      <c r="AN55" s="171"/>
    </row>
    <row r="56" spans="1:42" x14ac:dyDescent="0.25">
      <c r="A56" s="80" t="s">
        <v>544</v>
      </c>
      <c r="B56" s="220"/>
      <c r="C56" s="220"/>
      <c r="D56" s="220"/>
      <c r="E56" s="221">
        <f>E55*2</f>
        <v>1540</v>
      </c>
      <c r="F56" s="492">
        <f>E56+E56*25%</f>
        <v>1925</v>
      </c>
      <c r="G56" s="268">
        <v>1600</v>
      </c>
      <c r="H56" s="1"/>
      <c r="I56" s="1"/>
      <c r="J56" s="1"/>
      <c r="N56" s="3" t="s">
        <v>1557</v>
      </c>
      <c r="O56" s="2"/>
      <c r="P56" s="6"/>
      <c r="Q56" s="66"/>
      <c r="R56" s="39">
        <f>PACKAGING!E3</f>
        <v>150</v>
      </c>
      <c r="S56" s="1"/>
      <c r="T56" s="171"/>
      <c r="X56" s="3" t="s">
        <v>1904</v>
      </c>
      <c r="Y56" s="2"/>
      <c r="Z56" s="6">
        <v>1</v>
      </c>
      <c r="AA56" s="66">
        <f>'AROS, CADENAS, DIJES, ETC'!D133</f>
        <v>418.5</v>
      </c>
      <c r="AB56" s="39">
        <f>AA56*Z56</f>
        <v>418.5</v>
      </c>
      <c r="AC56" s="1"/>
      <c r="AD56" s="171"/>
      <c r="AH56" s="3" t="s">
        <v>908</v>
      </c>
      <c r="AI56" s="2"/>
      <c r="AJ56" s="6">
        <v>1</v>
      </c>
      <c r="AK56" s="66">
        <f>'AROS, CADENAS, DIJES, ETC'!C188</f>
        <v>6172</v>
      </c>
      <c r="AL56" s="39">
        <f>AK56</f>
        <v>6172</v>
      </c>
      <c r="AM56" s="1"/>
      <c r="AN56" s="171"/>
    </row>
    <row r="57" spans="1:42" ht="16.5" thickBot="1" x14ac:dyDescent="0.3">
      <c r="A57" s="81" t="s">
        <v>1559</v>
      </c>
      <c r="B57" s="222"/>
      <c r="C57" s="222"/>
      <c r="D57" s="222"/>
      <c r="E57" s="223"/>
      <c r="F57" s="493"/>
      <c r="G57" s="281">
        <f>G56*2</f>
        <v>3200</v>
      </c>
      <c r="H57" s="1"/>
      <c r="I57" s="1"/>
      <c r="J57" s="1"/>
      <c r="N57" s="3" t="s">
        <v>1538</v>
      </c>
      <c r="O57" s="2"/>
      <c r="P57" s="6"/>
      <c r="Q57" s="66"/>
      <c r="R57" s="39">
        <f>PACKAGING!E8</f>
        <v>420</v>
      </c>
      <c r="S57" s="1"/>
      <c r="T57" s="171"/>
      <c r="X57" s="3" t="s">
        <v>831</v>
      </c>
      <c r="Y57" s="2"/>
      <c r="Z57" s="6">
        <v>1</v>
      </c>
      <c r="AA57" s="66">
        <f>'AROS, CADENAS, DIJES, ETC'!D127</f>
        <v>207</v>
      </c>
      <c r="AB57" s="39">
        <f>AA57*Z57</f>
        <v>207</v>
      </c>
      <c r="AC57" s="1"/>
      <c r="AD57" s="171"/>
      <c r="AH57" s="3" t="s">
        <v>1557</v>
      </c>
      <c r="AI57" s="2"/>
      <c r="AJ57" s="6"/>
      <c r="AK57" s="66"/>
      <c r="AL57" s="39">
        <f>PACKAGING!E3</f>
        <v>150</v>
      </c>
      <c r="AM57" s="1" t="s">
        <v>3023</v>
      </c>
      <c r="AN57" s="171"/>
    </row>
    <row r="58" spans="1:42" ht="16.5" thickBot="1" x14ac:dyDescent="0.3">
      <c r="H58" s="1"/>
      <c r="I58" s="1"/>
      <c r="J58" s="1"/>
      <c r="N58" s="79" t="s">
        <v>525</v>
      </c>
      <c r="O58" s="70"/>
      <c r="P58" s="85"/>
      <c r="Q58" s="85"/>
      <c r="R58" s="51">
        <f>SUM(R54:R57)</f>
        <v>4812</v>
      </c>
      <c r="S58" s="1"/>
      <c r="T58" s="171"/>
      <c r="X58" s="3" t="s">
        <v>1557</v>
      </c>
      <c r="Y58" s="2"/>
      <c r="Z58" s="6"/>
      <c r="AA58" s="66"/>
      <c r="AB58" s="39">
        <f>PACKAGING!E3</f>
        <v>150</v>
      </c>
      <c r="AC58" s="1"/>
      <c r="AD58" s="171"/>
      <c r="AH58" s="79" t="s">
        <v>525</v>
      </c>
      <c r="AI58" s="70"/>
      <c r="AJ58" s="85"/>
      <c r="AK58" s="85"/>
      <c r="AL58" s="51">
        <f>SUM(AL56:AL57)</f>
        <v>6322</v>
      </c>
      <c r="AM58" s="1072">
        <f>AN59+AN60+AL58</f>
        <v>9600</v>
      </c>
      <c r="AN58" s="162" t="s">
        <v>2283</v>
      </c>
    </row>
    <row r="59" spans="1:42" ht="16.5" thickBot="1" x14ac:dyDescent="0.3">
      <c r="A59" s="1666" t="s">
        <v>103</v>
      </c>
      <c r="B59" s="1667"/>
      <c r="C59" s="1668"/>
      <c r="D59" s="1"/>
      <c r="E59" s="1"/>
      <c r="F59" s="61"/>
      <c r="H59" s="1"/>
      <c r="I59" s="1"/>
      <c r="J59" s="1"/>
      <c r="N59" s="616" t="s">
        <v>1559</v>
      </c>
      <c r="O59" s="617"/>
      <c r="P59" s="617"/>
      <c r="Q59" s="617"/>
      <c r="R59" s="618">
        <f>R58*2</f>
        <v>9624</v>
      </c>
      <c r="S59" s="615">
        <f>R59+R59*50%</f>
        <v>14436</v>
      </c>
      <c r="T59" s="498">
        <v>18000</v>
      </c>
      <c r="X59" s="3" t="s">
        <v>1538</v>
      </c>
      <c r="Y59" s="2"/>
      <c r="Z59" s="6"/>
      <c r="AA59" s="66"/>
      <c r="AB59" s="39">
        <f>PACKAGING!E8</f>
        <v>420</v>
      </c>
      <c r="AC59" s="1"/>
      <c r="AD59" s="171"/>
      <c r="AH59" s="211" t="s">
        <v>544</v>
      </c>
      <c r="AI59" s="276"/>
      <c r="AJ59" s="276"/>
      <c r="AK59" s="276"/>
      <c r="AL59" s="213">
        <f>AL58*2</f>
        <v>12644</v>
      </c>
      <c r="AM59" s="267">
        <f>AL59+AL59*70%</f>
        <v>21494.799999999999</v>
      </c>
      <c r="AN59" s="267">
        <f>PACKAGING!I3</f>
        <v>2433</v>
      </c>
      <c r="AO59" s="267">
        <f>AM59+AN59+AN60</f>
        <v>24772.799999999999</v>
      </c>
      <c r="AP59" s="1098">
        <v>21000</v>
      </c>
    </row>
    <row r="60" spans="1:42" ht="16.5" thickBot="1" x14ac:dyDescent="0.3">
      <c r="A60" s="507"/>
      <c r="B60" s="508" t="s">
        <v>1073</v>
      </c>
      <c r="C60" s="509" t="s">
        <v>1549</v>
      </c>
      <c r="D60" s="1"/>
      <c r="E60" s="1"/>
      <c r="F60" s="23"/>
      <c r="N60" s="171"/>
      <c r="O60" s="171"/>
      <c r="P60" s="171"/>
      <c r="Q60" s="171"/>
      <c r="R60" s="171"/>
      <c r="S60" s="171"/>
      <c r="T60" s="171"/>
      <c r="X60" s="79" t="s">
        <v>525</v>
      </c>
      <c r="Y60" s="70"/>
      <c r="Z60" s="85"/>
      <c r="AA60" s="85"/>
      <c r="AB60" s="51">
        <f>SUM(AB55:AB59)</f>
        <v>3655.5</v>
      </c>
      <c r="AC60" s="134"/>
      <c r="AD60" s="171"/>
      <c r="AM60" s="171"/>
      <c r="AN60" s="267">
        <f>PACKAGING!I5</f>
        <v>845</v>
      </c>
      <c r="AO60" s="267"/>
    </row>
    <row r="61" spans="1:42" ht="16.5" thickBot="1" x14ac:dyDescent="0.3">
      <c r="A61" s="3" t="s">
        <v>1567</v>
      </c>
      <c r="B61" s="2" t="s">
        <v>759</v>
      </c>
      <c r="C61" s="39">
        <f>'AROS, CADENAS, DIJES, ETC'!C18</f>
        <v>213</v>
      </c>
      <c r="D61" s="1"/>
      <c r="E61" s="1"/>
      <c r="F61" s="23"/>
      <c r="N61" s="1589" t="s">
        <v>205</v>
      </c>
      <c r="O61" s="1596"/>
      <c r="P61" s="1596"/>
      <c r="Q61" s="1596"/>
      <c r="R61" s="1590"/>
      <c r="S61" s="23"/>
      <c r="T61" s="171"/>
      <c r="X61" s="80" t="s">
        <v>544</v>
      </c>
      <c r="Y61" s="220"/>
      <c r="Z61" s="220"/>
      <c r="AA61" s="220"/>
      <c r="AB61" s="267">
        <f>AB60*2</f>
        <v>7311</v>
      </c>
      <c r="AC61" s="473">
        <f>AB61+AB61*25%</f>
        <v>9138.75</v>
      </c>
      <c r="AD61" s="268">
        <v>8500</v>
      </c>
    </row>
    <row r="62" spans="1:42" ht="16.5" thickBot="1" x14ac:dyDescent="0.3">
      <c r="A62" s="3" t="s">
        <v>1588</v>
      </c>
      <c r="B62" s="2"/>
      <c r="C62" s="39">
        <f>PACKAGING!E3</f>
        <v>150</v>
      </c>
      <c r="D62" s="1"/>
      <c r="E62" s="1"/>
      <c r="F62" s="23"/>
      <c r="N62" s="271" t="s">
        <v>916</v>
      </c>
      <c r="O62" s="272" t="s">
        <v>1073</v>
      </c>
      <c r="P62" s="273" t="s">
        <v>1547</v>
      </c>
      <c r="Q62" s="273" t="s">
        <v>1035</v>
      </c>
      <c r="R62" s="274" t="s">
        <v>1549</v>
      </c>
      <c r="S62" s="1"/>
      <c r="T62" s="171"/>
      <c r="X62" s="275" t="s">
        <v>1559</v>
      </c>
      <c r="Y62" s="269"/>
      <c r="Z62" s="269"/>
      <c r="AA62" s="269"/>
      <c r="AB62" s="270"/>
      <c r="AC62" s="474"/>
      <c r="AD62" s="281">
        <f>AD61*2</f>
        <v>17000</v>
      </c>
      <c r="AH62" s="1568" t="s">
        <v>101</v>
      </c>
      <c r="AI62" s="1569"/>
      <c r="AJ62" s="1569"/>
      <c r="AK62" s="1569"/>
      <c r="AL62" s="1570"/>
      <c r="AM62" s="23"/>
      <c r="AN62" s="171"/>
    </row>
    <row r="63" spans="1:42" ht="16.5" thickBot="1" x14ac:dyDescent="0.3">
      <c r="A63" s="3" t="s">
        <v>1538</v>
      </c>
      <c r="B63" s="2"/>
      <c r="C63" s="39">
        <f>PACKAGING!E8</f>
        <v>420</v>
      </c>
      <c r="D63" s="1"/>
      <c r="E63" s="1"/>
      <c r="F63" s="23"/>
      <c r="N63" s="3" t="s">
        <v>1897</v>
      </c>
      <c r="O63" s="2"/>
      <c r="P63" s="6">
        <v>1</v>
      </c>
      <c r="Q63" s="66">
        <f>'AROS, CADENAS, DIJES, ETC'!D96</f>
        <v>1195</v>
      </c>
      <c r="R63" s="39">
        <f>Q63</f>
        <v>1195</v>
      </c>
      <c r="S63" s="1"/>
      <c r="T63" s="171"/>
      <c r="AH63" s="501" t="s">
        <v>916</v>
      </c>
      <c r="AI63" s="502" t="s">
        <v>1073</v>
      </c>
      <c r="AJ63" s="503" t="s">
        <v>1547</v>
      </c>
      <c r="AK63" s="503" t="s">
        <v>1035</v>
      </c>
      <c r="AL63" s="504" t="s">
        <v>1549</v>
      </c>
      <c r="AM63" s="1"/>
      <c r="AN63" s="171"/>
    </row>
    <row r="64" spans="1:42" ht="16.5" thickBot="1" x14ac:dyDescent="0.3">
      <c r="A64" s="3" t="s">
        <v>525</v>
      </c>
      <c r="B64" s="2"/>
      <c r="C64" s="39">
        <f>SUM(C61:C63)</f>
        <v>783</v>
      </c>
      <c r="D64" s="1"/>
      <c r="E64" s="134"/>
      <c r="F64" s="23"/>
      <c r="N64" s="3" t="s">
        <v>858</v>
      </c>
      <c r="O64" s="2"/>
      <c r="P64" s="6">
        <v>1</v>
      </c>
      <c r="Q64" s="66">
        <f>'AROS, CADENAS, DIJES, ETC'!O112</f>
        <v>2000</v>
      </c>
      <c r="R64" s="39">
        <f>Q64*P64</f>
        <v>2000</v>
      </c>
      <c r="S64" s="1"/>
      <c r="T64" s="171"/>
      <c r="X64" s="1589" t="s">
        <v>4002</v>
      </c>
      <c r="Y64" s="1596"/>
      <c r="Z64" s="1596"/>
      <c r="AA64" s="1596"/>
      <c r="AB64" s="1590"/>
      <c r="AC64" s="23"/>
      <c r="AD64" s="171"/>
      <c r="AH64" s="3" t="s">
        <v>1706</v>
      </c>
      <c r="AI64" s="2"/>
      <c r="AJ64" s="6">
        <v>7</v>
      </c>
      <c r="AK64" s="66">
        <f>FORNITURAS!I9</f>
        <v>60.526315789473685</v>
      </c>
      <c r="AL64" s="39">
        <f>AK64*AJ64</f>
        <v>423.68421052631578</v>
      </c>
      <c r="AM64" s="1"/>
      <c r="AN64" s="171"/>
    </row>
    <row r="65" spans="1:40" x14ac:dyDescent="0.25">
      <c r="A65" s="79" t="s">
        <v>544</v>
      </c>
      <c r="B65" s="85"/>
      <c r="C65" s="51">
        <f>C64*2</f>
        <v>1566</v>
      </c>
      <c r="D65" s="764">
        <f>C65+C65*25%</f>
        <v>1957.5</v>
      </c>
      <c r="E65" s="756">
        <v>1500</v>
      </c>
      <c r="F65" s="23"/>
      <c r="N65" s="3" t="s">
        <v>1557</v>
      </c>
      <c r="O65" s="2"/>
      <c r="P65" s="6"/>
      <c r="Q65" s="66"/>
      <c r="R65" s="39">
        <f>PACKAGING!E3</f>
        <v>150</v>
      </c>
      <c r="S65" s="1"/>
      <c r="T65" s="171"/>
      <c r="X65" s="271" t="s">
        <v>916</v>
      </c>
      <c r="Y65" s="272" t="s">
        <v>1073</v>
      </c>
      <c r="Z65" s="273" t="s">
        <v>1547</v>
      </c>
      <c r="AA65" s="273" t="s">
        <v>1035</v>
      </c>
      <c r="AB65" s="274" t="s">
        <v>1549</v>
      </c>
      <c r="AC65" s="1"/>
      <c r="AD65" s="171"/>
      <c r="AH65" s="3" t="s">
        <v>3237</v>
      </c>
      <c r="AI65" s="2" t="s">
        <v>1056</v>
      </c>
      <c r="AJ65" s="6">
        <v>0.08</v>
      </c>
      <c r="AK65" s="66">
        <f>FORNITURAS!W4</f>
        <v>1404.9107142857144</v>
      </c>
      <c r="AL65" s="39">
        <f>AK65*AJ65</f>
        <v>112.39285714285715</v>
      </c>
      <c r="AM65" s="1"/>
      <c r="AN65" s="171"/>
    </row>
    <row r="66" spans="1:40" ht="16.5" thickBot="1" x14ac:dyDescent="0.3">
      <c r="A66" s="757" t="s">
        <v>1559</v>
      </c>
      <c r="B66" s="758"/>
      <c r="C66" s="762"/>
      <c r="D66" s="763">
        <f>C66+C66*25%</f>
        <v>0</v>
      </c>
      <c r="E66" s="761">
        <f>E65*2</f>
        <v>3000</v>
      </c>
      <c r="F66" s="23"/>
      <c r="N66" s="3" t="s">
        <v>1538</v>
      </c>
      <c r="O66" s="2"/>
      <c r="P66" s="6"/>
      <c r="Q66" s="66"/>
      <c r="R66" s="39">
        <f>PACKAGING!E8</f>
        <v>420</v>
      </c>
      <c r="S66" s="1"/>
      <c r="T66" s="171"/>
      <c r="X66" s="3" t="s">
        <v>3975</v>
      </c>
      <c r="Y66" s="2"/>
      <c r="Z66" s="6">
        <v>1</v>
      </c>
      <c r="AA66" s="66">
        <f>'AROS, CADENAS, DIJES, ETC'!D150</f>
        <v>784</v>
      </c>
      <c r="AB66" s="39">
        <f>AA66</f>
        <v>784</v>
      </c>
      <c r="AC66" s="1"/>
      <c r="AD66" s="171"/>
      <c r="AH66" s="3" t="s">
        <v>1558</v>
      </c>
      <c r="AI66" s="2">
        <v>60</v>
      </c>
      <c r="AJ66" s="6">
        <v>15</v>
      </c>
      <c r="AK66" s="66">
        <f>'INSUMOS VARIOS'!B3</f>
        <v>3500</v>
      </c>
      <c r="AL66" s="39">
        <f>AK66*AJ66/AI66</f>
        <v>875</v>
      </c>
      <c r="AM66" s="1"/>
      <c r="AN66" s="171"/>
    </row>
    <row r="67" spans="1:40" ht="16.5" thickBot="1" x14ac:dyDescent="0.3">
      <c r="A67" s="1"/>
      <c r="B67" s="1"/>
      <c r="C67" s="1"/>
      <c r="D67" s="1"/>
      <c r="E67" s="1"/>
      <c r="F67" s="23"/>
      <c r="N67" s="79" t="s">
        <v>525</v>
      </c>
      <c r="O67" s="70"/>
      <c r="P67" s="85"/>
      <c r="Q67" s="85"/>
      <c r="R67" s="51">
        <f>SUM(R63:R66)</f>
        <v>3765</v>
      </c>
      <c r="S67" s="134"/>
      <c r="T67" s="171"/>
      <c r="X67" s="3" t="s">
        <v>3976</v>
      </c>
      <c r="Y67" s="2"/>
      <c r="Z67" s="6">
        <v>1</v>
      </c>
      <c r="AA67" s="66">
        <f>'AROS, CADENAS, DIJES, ETC'!D149</f>
        <v>1650</v>
      </c>
      <c r="AB67" s="39">
        <f>AA67*Z67</f>
        <v>1650</v>
      </c>
      <c r="AC67" s="1"/>
      <c r="AD67" s="171"/>
      <c r="AH67" s="3" t="s">
        <v>1557</v>
      </c>
      <c r="AI67" s="2"/>
      <c r="AJ67" s="6"/>
      <c r="AK67" s="66"/>
      <c r="AL67" s="39">
        <f>PACKAGING!E3</f>
        <v>150</v>
      </c>
      <c r="AM67" s="1"/>
      <c r="AN67" s="171"/>
    </row>
    <row r="68" spans="1:40" ht="16.5" thickBot="1" x14ac:dyDescent="0.3">
      <c r="A68" s="1597" t="s">
        <v>573</v>
      </c>
      <c r="B68" s="1599"/>
      <c r="C68" s="1598"/>
      <c r="D68" s="1"/>
      <c r="E68" s="1"/>
      <c r="F68" s="1"/>
      <c r="N68" s="211" t="s">
        <v>1559</v>
      </c>
      <c r="O68" s="276"/>
      <c r="P68" s="276"/>
      <c r="Q68" s="276"/>
      <c r="R68" s="372">
        <f>R67*2</f>
        <v>7530</v>
      </c>
      <c r="S68" s="500">
        <f>R68+R68*50%</f>
        <v>11295</v>
      </c>
      <c r="T68" s="499">
        <v>8600</v>
      </c>
      <c r="X68" s="3" t="s">
        <v>3977</v>
      </c>
      <c r="Y68" s="2"/>
      <c r="Z68" s="6">
        <v>1</v>
      </c>
      <c r="AA68" s="66">
        <f>'AROS, CADENAS, DIJES, ETC'!D157</f>
        <v>710.5</v>
      </c>
      <c r="AB68" s="39">
        <f>AA68*Z68</f>
        <v>710.5</v>
      </c>
      <c r="AC68" s="1"/>
      <c r="AD68" s="171"/>
      <c r="AH68" s="3" t="s">
        <v>1538</v>
      </c>
      <c r="AI68" s="2"/>
      <c r="AJ68" s="6"/>
      <c r="AK68" s="66"/>
      <c r="AL68" s="39">
        <f>PACKAGING!E8</f>
        <v>420</v>
      </c>
      <c r="AM68" s="1"/>
      <c r="AN68" s="171"/>
    </row>
    <row r="69" spans="1:40" ht="16.5" thickBot="1" x14ac:dyDescent="0.3">
      <c r="A69" s="289"/>
      <c r="B69" s="290" t="s">
        <v>1073</v>
      </c>
      <c r="C69" s="291" t="s">
        <v>1549</v>
      </c>
      <c r="D69" s="1"/>
      <c r="E69" s="1"/>
      <c r="F69" s="1"/>
      <c r="X69" s="3" t="s">
        <v>3978</v>
      </c>
      <c r="Y69" s="2"/>
      <c r="Z69" s="6">
        <v>1</v>
      </c>
      <c r="AA69" s="66">
        <f>'AROS, CADENAS, DIJES, ETC'!D158</f>
        <v>241</v>
      </c>
      <c r="AB69" s="39">
        <f>AA69*Z69</f>
        <v>241</v>
      </c>
      <c r="AC69" s="1"/>
      <c r="AD69" s="171"/>
      <c r="AH69" s="79" t="s">
        <v>525</v>
      </c>
      <c r="AI69" s="70"/>
      <c r="AJ69" s="85"/>
      <c r="AK69" s="85"/>
      <c r="AL69" s="51">
        <f>SUM(AL64:AL68)</f>
        <v>1981.0770676691729</v>
      </c>
      <c r="AM69" s="134"/>
      <c r="AN69" s="171"/>
    </row>
    <row r="70" spans="1:40" ht="16.5" thickBot="1" x14ac:dyDescent="0.3">
      <c r="A70" s="3" t="s">
        <v>748</v>
      </c>
      <c r="B70" s="2" t="s">
        <v>749</v>
      </c>
      <c r="C70" s="39">
        <f>'AROS, CADENAS, DIJES, ETC'!C4</f>
        <v>1200</v>
      </c>
      <c r="D70" s="1"/>
      <c r="E70" s="1"/>
      <c r="F70" s="1"/>
      <c r="N70" s="1589" t="s">
        <v>207</v>
      </c>
      <c r="O70" s="1596"/>
      <c r="P70" s="1596"/>
      <c r="Q70" s="1596"/>
      <c r="R70" s="1590"/>
      <c r="S70" s="23"/>
      <c r="T70" s="171"/>
      <c r="X70" s="3" t="s">
        <v>3981</v>
      </c>
      <c r="Y70" s="2"/>
      <c r="Z70" s="6">
        <v>1</v>
      </c>
      <c r="AA70" s="66">
        <f>'AROS, CADENAS, DIJES, ETC'!D134</f>
        <v>1500</v>
      </c>
      <c r="AB70" s="39">
        <f>AA70*Z70</f>
        <v>1500</v>
      </c>
      <c r="AC70" s="1"/>
      <c r="AD70" s="171"/>
      <c r="AH70" s="211" t="s">
        <v>544</v>
      </c>
      <c r="AI70" s="276"/>
      <c r="AJ70" s="276"/>
      <c r="AK70" s="276"/>
      <c r="AL70" s="213">
        <f>AL69*2</f>
        <v>3962.1541353383459</v>
      </c>
      <c r="AM70" s="514">
        <f>AL70+AL70*50%</f>
        <v>5943.2312030075191</v>
      </c>
      <c r="AN70" s="491">
        <v>10400</v>
      </c>
    </row>
    <row r="71" spans="1:40" ht="16.5" thickBot="1" x14ac:dyDescent="0.3">
      <c r="A71" s="3" t="s">
        <v>1588</v>
      </c>
      <c r="B71" s="2"/>
      <c r="C71" s="39">
        <f>PACKAGING!E3</f>
        <v>150</v>
      </c>
      <c r="D71" s="1"/>
      <c r="E71" s="1"/>
      <c r="F71" s="1"/>
      <c r="N71" s="271" t="s">
        <v>916</v>
      </c>
      <c r="O71" s="272" t="s">
        <v>1073</v>
      </c>
      <c r="P71" s="273" t="s">
        <v>1547</v>
      </c>
      <c r="Q71" s="273" t="s">
        <v>1035</v>
      </c>
      <c r="R71" s="274" t="s">
        <v>1549</v>
      </c>
      <c r="S71" s="1"/>
      <c r="T71" s="171"/>
      <c r="X71" s="3" t="s">
        <v>1557</v>
      </c>
      <c r="Y71" s="2"/>
      <c r="Z71" s="6"/>
      <c r="AA71" s="66"/>
      <c r="AB71" s="39">
        <f>PACKAGING!E3</f>
        <v>150</v>
      </c>
      <c r="AC71" s="1"/>
      <c r="AD71" s="171"/>
    </row>
    <row r="72" spans="1:40" ht="16.5" thickBot="1" x14ac:dyDescent="0.3">
      <c r="A72" s="3" t="s">
        <v>1538</v>
      </c>
      <c r="B72" s="2"/>
      <c r="C72" s="39">
        <f>PACKAGING!E8</f>
        <v>420</v>
      </c>
      <c r="D72" s="1"/>
      <c r="E72" s="1"/>
      <c r="F72" s="1"/>
      <c r="N72" s="3" t="s">
        <v>1897</v>
      </c>
      <c r="O72" s="2"/>
      <c r="P72" s="6">
        <v>1</v>
      </c>
      <c r="Q72" s="66">
        <f>'AROS, CADENAS, DIJES, ETC'!D96</f>
        <v>1195</v>
      </c>
      <c r="R72" s="39">
        <f>Q72</f>
        <v>1195</v>
      </c>
      <c r="S72" s="1"/>
      <c r="T72" s="171"/>
      <c r="X72" s="3" t="s">
        <v>3974</v>
      </c>
      <c r="Y72" s="2"/>
      <c r="Z72" s="6"/>
      <c r="AA72" s="66"/>
      <c r="AB72" s="39">
        <f>PACKAGING!E9</f>
        <v>450</v>
      </c>
      <c r="AC72" s="1"/>
      <c r="AD72" s="171"/>
      <c r="AH72" s="1568" t="s">
        <v>106</v>
      </c>
      <c r="AI72" s="1569"/>
      <c r="AJ72" s="1569"/>
      <c r="AK72" s="1569"/>
      <c r="AL72" s="1570"/>
      <c r="AM72" s="23"/>
      <c r="AN72" s="171"/>
    </row>
    <row r="73" spans="1:40" ht="16.5" thickBot="1" x14ac:dyDescent="0.3">
      <c r="A73" s="3" t="s">
        <v>525</v>
      </c>
      <c r="B73" s="2"/>
      <c r="C73" s="39">
        <f>SUM(C70:C72)</f>
        <v>1770</v>
      </c>
      <c r="D73" s="1"/>
      <c r="E73" s="134"/>
      <c r="F73" s="1"/>
      <c r="N73" s="3" t="s">
        <v>755</v>
      </c>
      <c r="O73" s="2"/>
      <c r="P73" s="6">
        <v>1</v>
      </c>
      <c r="Q73" s="66">
        <f>'AROS, CADENAS, DIJES, ETC'!O113</f>
        <v>2220</v>
      </c>
      <c r="R73" s="39">
        <f>Q73*P73</f>
        <v>2220</v>
      </c>
      <c r="S73" s="1"/>
      <c r="T73" s="171"/>
      <c r="X73" s="79" t="s">
        <v>525</v>
      </c>
      <c r="Y73" s="70"/>
      <c r="Z73" s="85"/>
      <c r="AA73" s="85"/>
      <c r="AB73" s="51">
        <f>SUM(AB66:AB72)</f>
        <v>5485.5</v>
      </c>
      <c r="AC73" s="134"/>
      <c r="AD73" s="171"/>
      <c r="AH73" s="501" t="s">
        <v>916</v>
      </c>
      <c r="AI73" s="502" t="s">
        <v>1073</v>
      </c>
      <c r="AJ73" s="503" t="s">
        <v>1547</v>
      </c>
      <c r="AK73" s="503" t="s">
        <v>1035</v>
      </c>
      <c r="AL73" s="504" t="s">
        <v>1549</v>
      </c>
      <c r="AM73" s="1"/>
      <c r="AN73" s="171"/>
    </row>
    <row r="74" spans="1:40" x14ac:dyDescent="0.25">
      <c r="A74" s="295" t="s">
        <v>544</v>
      </c>
      <c r="B74" s="296"/>
      <c r="C74" s="297">
        <f>C73*2</f>
        <v>3540</v>
      </c>
      <c r="D74" s="748">
        <f>C74+C74*50%</f>
        <v>5310</v>
      </c>
      <c r="E74" s="298">
        <v>5200</v>
      </c>
      <c r="F74" s="1"/>
      <c r="N74" s="3" t="s">
        <v>1557</v>
      </c>
      <c r="O74" s="2"/>
      <c r="P74" s="6"/>
      <c r="Q74" s="66"/>
      <c r="R74" s="39">
        <f>PACKAGING!E3</f>
        <v>150</v>
      </c>
      <c r="S74" s="1"/>
      <c r="T74" s="171"/>
      <c r="X74" s="80" t="s">
        <v>544</v>
      </c>
      <c r="Y74" s="220"/>
      <c r="Z74" s="220"/>
      <c r="AA74" s="220"/>
      <c r="AB74" s="267">
        <f>AB73*2</f>
        <v>10971</v>
      </c>
      <c r="AC74" s="473">
        <f>AB74+AB74*70%</f>
        <v>18650.7</v>
      </c>
      <c r="AD74" s="268">
        <v>30000</v>
      </c>
      <c r="AH74" s="3" t="s">
        <v>2219</v>
      </c>
      <c r="AI74" s="2"/>
      <c r="AJ74" s="6">
        <v>1</v>
      </c>
      <c r="AK74" s="66">
        <f>'AROS, CADENAS, DIJES, ETC'!C185</f>
        <v>4029</v>
      </c>
      <c r="AL74" s="39">
        <f>AK74</f>
        <v>4029</v>
      </c>
      <c r="AM74" s="1"/>
      <c r="AN74" s="171"/>
    </row>
    <row r="75" spans="1:40" ht="16.5" thickBot="1" x14ac:dyDescent="0.3">
      <c r="A75" s="299" t="s">
        <v>1559</v>
      </c>
      <c r="B75" s="300"/>
      <c r="C75" s="301"/>
      <c r="D75" s="749">
        <f>C75+C75*25%</f>
        <v>0</v>
      </c>
      <c r="E75" s="302">
        <f>E74*2</f>
        <v>10400</v>
      </c>
      <c r="F75" s="1"/>
      <c r="N75" s="3" t="s">
        <v>1538</v>
      </c>
      <c r="O75" s="2"/>
      <c r="P75" s="6"/>
      <c r="Q75" s="66"/>
      <c r="R75" s="39">
        <f>PACKAGING!E8</f>
        <v>420</v>
      </c>
      <c r="S75" s="1"/>
      <c r="T75" s="171"/>
      <c r="X75" s="275" t="s">
        <v>1559</v>
      </c>
      <c r="Y75" s="269"/>
      <c r="Z75" s="269"/>
      <c r="AA75" s="269"/>
      <c r="AB75" s="270"/>
      <c r="AC75" s="474"/>
      <c r="AD75" s="281"/>
      <c r="AH75" s="3" t="s">
        <v>1557</v>
      </c>
      <c r="AI75" s="2"/>
      <c r="AJ75" s="6"/>
      <c r="AK75" s="66"/>
      <c r="AL75" s="39">
        <f>PACKAGING!E3</f>
        <v>150</v>
      </c>
      <c r="AM75" s="1"/>
      <c r="AN75" s="171"/>
    </row>
    <row r="76" spans="1:40" ht="16.5" thickBot="1" x14ac:dyDescent="0.3">
      <c r="N76" s="348" t="s">
        <v>525</v>
      </c>
      <c r="O76" s="70"/>
      <c r="P76" s="70"/>
      <c r="Q76" s="70"/>
      <c r="R76" s="352">
        <f>SUM(R72:R75)</f>
        <v>3985</v>
      </c>
      <c r="S76" s="1"/>
      <c r="T76" s="171"/>
      <c r="AH76" s="3" t="s">
        <v>1538</v>
      </c>
      <c r="AI76" s="2"/>
      <c r="AJ76" s="6"/>
      <c r="AK76" s="66"/>
      <c r="AL76" s="39">
        <f>PACKAGING!E8</f>
        <v>420</v>
      </c>
      <c r="AM76" s="1"/>
      <c r="AN76" s="171"/>
    </row>
    <row r="77" spans="1:40" ht="16.5" thickBot="1" x14ac:dyDescent="0.3">
      <c r="A77" s="1597" t="s">
        <v>572</v>
      </c>
      <c r="B77" s="1599"/>
      <c r="C77" s="1598"/>
      <c r="D77" s="1"/>
      <c r="N77" s="1438" t="s">
        <v>1559</v>
      </c>
      <c r="O77" s="617"/>
      <c r="P77" s="617"/>
      <c r="Q77" s="617"/>
      <c r="R77" s="762">
        <f>R76*2</f>
        <v>7970</v>
      </c>
      <c r="S77" s="615">
        <f>R77+R77*50%</f>
        <v>11955</v>
      </c>
      <c r="T77" s="540">
        <v>16000</v>
      </c>
      <c r="X77" s="1589" t="s">
        <v>4003</v>
      </c>
      <c r="Y77" s="1596"/>
      <c r="Z77" s="1596"/>
      <c r="AA77" s="1596"/>
      <c r="AB77" s="1590"/>
      <c r="AC77" s="23"/>
      <c r="AD77" s="171"/>
      <c r="AH77" s="79" t="s">
        <v>525</v>
      </c>
      <c r="AI77" s="70"/>
      <c r="AJ77" s="85"/>
      <c r="AK77" s="85"/>
      <c r="AL77" s="51">
        <f>SUM(AL74:AL76)</f>
        <v>4599</v>
      </c>
      <c r="AM77" s="134"/>
      <c r="AN77" s="171"/>
    </row>
    <row r="78" spans="1:40" ht="16.5" thickBot="1" x14ac:dyDescent="0.3">
      <c r="A78" s="271"/>
      <c r="B78" s="272" t="s">
        <v>1073</v>
      </c>
      <c r="C78" s="274" t="s">
        <v>1549</v>
      </c>
      <c r="D78" s="1"/>
      <c r="X78" s="271" t="s">
        <v>916</v>
      </c>
      <c r="Y78" s="272" t="s">
        <v>1073</v>
      </c>
      <c r="Z78" s="273" t="s">
        <v>1547</v>
      </c>
      <c r="AA78" s="273" t="s">
        <v>1035</v>
      </c>
      <c r="AB78" s="274" t="s">
        <v>1549</v>
      </c>
      <c r="AC78" s="1"/>
      <c r="AD78" s="171"/>
      <c r="AH78" s="211" t="s">
        <v>544</v>
      </c>
      <c r="AI78" s="276"/>
      <c r="AJ78" s="276"/>
      <c r="AK78" s="276"/>
      <c r="AL78" s="213">
        <f>AL77*2</f>
        <v>9198</v>
      </c>
      <c r="AM78" s="514">
        <f>AL78+AL78*50%</f>
        <v>13797</v>
      </c>
      <c r="AN78" s="491">
        <v>11400</v>
      </c>
    </row>
    <row r="79" spans="1:40" ht="16.5" thickBot="1" x14ac:dyDescent="0.3">
      <c r="A79" s="3" t="s">
        <v>748</v>
      </c>
      <c r="B79" s="2" t="s">
        <v>770</v>
      </c>
      <c r="C79" s="39">
        <f>'AROS, CADENAS, DIJES, ETC'!C6</f>
        <v>1300</v>
      </c>
      <c r="D79" s="1"/>
      <c r="N79" s="1589" t="s">
        <v>202</v>
      </c>
      <c r="O79" s="1596"/>
      <c r="P79" s="1596"/>
      <c r="Q79" s="1596"/>
      <c r="R79" s="1590"/>
      <c r="S79" s="23"/>
      <c r="T79" s="171"/>
      <c r="X79" s="3" t="s">
        <v>3982</v>
      </c>
      <c r="Y79" s="2"/>
      <c r="Z79" s="6">
        <v>1</v>
      </c>
      <c r="AA79" s="66">
        <f>'AROS, CADENAS, DIJES, ETC'!D155</f>
        <v>1228</v>
      </c>
      <c r="AB79" s="39">
        <f>AA79</f>
        <v>1228</v>
      </c>
      <c r="AC79" s="1"/>
      <c r="AD79" s="171"/>
    </row>
    <row r="80" spans="1:40" ht="16.5" thickBot="1" x14ac:dyDescent="0.3">
      <c r="A80" s="3" t="s">
        <v>1588</v>
      </c>
      <c r="B80" s="2"/>
      <c r="C80" s="39">
        <f>PACKAGING!E3</f>
        <v>150</v>
      </c>
      <c r="D80" s="1"/>
      <c r="N80" s="271" t="s">
        <v>916</v>
      </c>
      <c r="O80" s="272" t="s">
        <v>1073</v>
      </c>
      <c r="P80" s="273" t="s">
        <v>1547</v>
      </c>
      <c r="Q80" s="273" t="s">
        <v>1035</v>
      </c>
      <c r="R80" s="274" t="s">
        <v>1549</v>
      </c>
      <c r="S80" s="1"/>
      <c r="T80" s="171"/>
      <c r="X80" s="3" t="s">
        <v>3983</v>
      </c>
      <c r="Y80" s="2"/>
      <c r="Z80" s="6">
        <v>1</v>
      </c>
      <c r="AA80" s="66">
        <f>'AROS, CADENAS, DIJES, ETC'!D160</f>
        <v>2267</v>
      </c>
      <c r="AB80" s="39">
        <f>AA80</f>
        <v>2267</v>
      </c>
      <c r="AC80" s="1"/>
      <c r="AD80" s="171"/>
      <c r="AH80" s="1568" t="s">
        <v>3345</v>
      </c>
      <c r="AI80" s="1569"/>
      <c r="AJ80" s="1569"/>
      <c r="AK80" s="1569"/>
      <c r="AL80" s="1570"/>
      <c r="AM80" s="23"/>
      <c r="AN80" s="171"/>
    </row>
    <row r="81" spans="1:40" x14ac:dyDescent="0.25">
      <c r="A81" s="3" t="s">
        <v>1538</v>
      </c>
      <c r="B81" s="2"/>
      <c r="C81" s="39">
        <f>PACKAGING!E8</f>
        <v>420</v>
      </c>
      <c r="D81" s="1"/>
      <c r="N81" s="3" t="s">
        <v>1908</v>
      </c>
      <c r="O81" s="2" t="s">
        <v>797</v>
      </c>
      <c r="P81" s="6">
        <v>1</v>
      </c>
      <c r="Q81" s="66">
        <f>'AROS, CADENAS, DIJES, ETC'!D11</f>
        <v>800</v>
      </c>
      <c r="R81" s="39">
        <f>Q81*P81</f>
        <v>800</v>
      </c>
      <c r="S81" s="1"/>
      <c r="T81" s="171"/>
      <c r="X81" s="3" t="s">
        <v>3984</v>
      </c>
      <c r="Y81" s="2" t="s">
        <v>3985</v>
      </c>
      <c r="Z81" s="6">
        <v>1</v>
      </c>
      <c r="AA81" s="66">
        <f>'AROS, CADENAS, DIJES, ETC'!D63</f>
        <v>2226.5</v>
      </c>
      <c r="AB81" s="39">
        <f>AA81*Z81</f>
        <v>2226.5</v>
      </c>
      <c r="AC81" s="1"/>
      <c r="AD81" s="171"/>
      <c r="AH81" s="501" t="s">
        <v>916</v>
      </c>
      <c r="AI81" s="502" t="s">
        <v>1073</v>
      </c>
      <c r="AJ81" s="503" t="s">
        <v>1547</v>
      </c>
      <c r="AK81" s="503" t="s">
        <v>1035</v>
      </c>
      <c r="AL81" s="504" t="s">
        <v>1549</v>
      </c>
      <c r="AM81" s="1"/>
      <c r="AN81" s="171"/>
    </row>
    <row r="82" spans="1:40" ht="16.5" thickBot="1" x14ac:dyDescent="0.3">
      <c r="A82" s="3" t="s">
        <v>525</v>
      </c>
      <c r="B82" s="2"/>
      <c r="C82" s="39">
        <f>SUM(C79:C81)</f>
        <v>1870</v>
      </c>
      <c r="D82" s="38"/>
      <c r="N82" s="3" t="s">
        <v>1909</v>
      </c>
      <c r="O82" s="2"/>
      <c r="P82" s="6">
        <v>1</v>
      </c>
      <c r="Q82" s="66">
        <f>'AROS, CADENAS, DIJES, ETC'!O117</f>
        <v>780</v>
      </c>
      <c r="R82" s="39">
        <f>Q82*P82</f>
        <v>780</v>
      </c>
      <c r="S82" s="1"/>
      <c r="T82" s="171"/>
      <c r="X82" s="3" t="s">
        <v>1557</v>
      </c>
      <c r="Y82" s="2"/>
      <c r="Z82" s="6"/>
      <c r="AA82" s="66"/>
      <c r="AB82" s="39">
        <f>PACKAGING!E3</f>
        <v>150</v>
      </c>
      <c r="AC82" s="1"/>
      <c r="AD82" s="171"/>
      <c r="AH82" s="3"/>
      <c r="AI82" s="2"/>
      <c r="AJ82" s="6">
        <v>1</v>
      </c>
      <c r="AK82" s="66">
        <f>'AROS, CADENAS, DIJES, ETC'!C187</f>
        <v>5450</v>
      </c>
      <c r="AL82" s="39">
        <f>AK82</f>
        <v>5450</v>
      </c>
      <c r="AM82" s="1"/>
      <c r="AN82" s="171"/>
    </row>
    <row r="83" spans="1:40" x14ac:dyDescent="0.25">
      <c r="A83" s="292" t="s">
        <v>544</v>
      </c>
      <c r="B83" s="304"/>
      <c r="C83" s="800">
        <f>C82*2</f>
        <v>3740</v>
      </c>
      <c r="D83" s="801">
        <f>C83+C83*50%</f>
        <v>5610</v>
      </c>
      <c r="E83" s="802">
        <v>7200</v>
      </c>
      <c r="N83" s="3" t="s">
        <v>1555</v>
      </c>
      <c r="O83" s="2"/>
      <c r="P83" s="6">
        <v>1</v>
      </c>
      <c r="Q83" s="66">
        <f>FORNITURAS!D3</f>
        <v>19.260000000000002</v>
      </c>
      <c r="R83" s="39">
        <f>Q83*P83</f>
        <v>19.260000000000002</v>
      </c>
      <c r="S83" s="1"/>
      <c r="T83" s="171"/>
      <c r="X83" s="3" t="s">
        <v>3974</v>
      </c>
      <c r="Y83" s="2"/>
      <c r="Z83" s="6"/>
      <c r="AA83" s="66"/>
      <c r="AB83" s="39">
        <f>PACKAGING!E9</f>
        <v>450</v>
      </c>
      <c r="AC83" s="1"/>
      <c r="AD83" s="171"/>
      <c r="AH83" s="3" t="s">
        <v>1557</v>
      </c>
      <c r="AI83" s="2"/>
      <c r="AJ83" s="6"/>
      <c r="AK83" s="66"/>
      <c r="AL83" s="39">
        <f>PACKAGING!E13</f>
        <v>6</v>
      </c>
      <c r="AM83" s="1"/>
      <c r="AN83" s="171"/>
    </row>
    <row r="84" spans="1:40" ht="16.5" thickBot="1" x14ac:dyDescent="0.3">
      <c r="A84" s="750" t="s">
        <v>1559</v>
      </c>
      <c r="B84" s="751"/>
      <c r="C84" s="803"/>
      <c r="D84" s="752">
        <f>C84+C84*25%</f>
        <v>0</v>
      </c>
      <c r="E84" s="753">
        <f>E83*2</f>
        <v>14400</v>
      </c>
      <c r="N84" s="3" t="s">
        <v>1557</v>
      </c>
      <c r="O84" s="2"/>
      <c r="P84" s="6"/>
      <c r="Q84" s="66"/>
      <c r="R84" s="39">
        <f>PACKAGING!E3</f>
        <v>150</v>
      </c>
      <c r="S84" s="1"/>
      <c r="T84" s="171"/>
      <c r="X84" s="79" t="s">
        <v>525</v>
      </c>
      <c r="Y84" s="70"/>
      <c r="Z84" s="85"/>
      <c r="AA84" s="85"/>
      <c r="AB84" s="51">
        <f>SUM(AB79:AB83)</f>
        <v>6321.5</v>
      </c>
      <c r="AC84" s="134"/>
      <c r="AD84" s="171"/>
      <c r="AH84" s="3" t="s">
        <v>1538</v>
      </c>
      <c r="AI84" s="2"/>
      <c r="AJ84" s="6"/>
      <c r="AK84" s="66"/>
      <c r="AL84" s="39">
        <f>PACKAGING!E8</f>
        <v>420</v>
      </c>
      <c r="AM84" s="1"/>
      <c r="AN84" s="171"/>
    </row>
    <row r="85" spans="1:40" ht="16.5" thickBot="1" x14ac:dyDescent="0.3">
      <c r="N85" s="3" t="s">
        <v>1538</v>
      </c>
      <c r="O85" s="2"/>
      <c r="P85" s="6"/>
      <c r="Q85" s="66"/>
      <c r="R85" s="39">
        <f>PACKAGING!E8</f>
        <v>420</v>
      </c>
      <c r="S85" s="1"/>
      <c r="T85" s="171"/>
      <c r="X85" s="80" t="s">
        <v>544</v>
      </c>
      <c r="Y85" s="220"/>
      <c r="Z85" s="220"/>
      <c r="AA85" s="220"/>
      <c r="AB85" s="267">
        <f>AB84*2</f>
        <v>12643</v>
      </c>
      <c r="AC85" s="473">
        <f>AB85+AB85*70%</f>
        <v>21493.1</v>
      </c>
      <c r="AD85" s="268">
        <v>34000</v>
      </c>
      <c r="AH85" s="79" t="s">
        <v>525</v>
      </c>
      <c r="AI85" s="70"/>
      <c r="AJ85" s="85"/>
      <c r="AK85" s="85"/>
      <c r="AL85" s="51">
        <f>SUM(AL82:AL84)</f>
        <v>5876</v>
      </c>
      <c r="AM85" s="134"/>
      <c r="AN85" s="171"/>
    </row>
    <row r="86" spans="1:40" ht="16.5" thickBot="1" x14ac:dyDescent="0.3">
      <c r="A86" s="1589" t="s">
        <v>557</v>
      </c>
      <c r="B86" s="1596"/>
      <c r="C86" s="1596"/>
      <c r="D86" s="1596"/>
      <c r="E86" s="1590"/>
      <c r="F86" s="23"/>
      <c r="G86" s="171"/>
      <c r="N86" s="348" t="s">
        <v>525</v>
      </c>
      <c r="O86" s="350"/>
      <c r="P86" s="351"/>
      <c r="Q86" s="351"/>
      <c r="R86" s="352">
        <f>SUM(R81:R85)</f>
        <v>2169.2600000000002</v>
      </c>
      <c r="S86" s="1"/>
      <c r="T86" s="171"/>
      <c r="X86" s="275" t="s">
        <v>1559</v>
      </c>
      <c r="Y86" s="269"/>
      <c r="Z86" s="269"/>
      <c r="AA86" s="269"/>
      <c r="AB86" s="270"/>
      <c r="AC86" s="474"/>
      <c r="AD86" s="281"/>
      <c r="AH86" s="211" t="s">
        <v>544</v>
      </c>
      <c r="AI86" s="276"/>
      <c r="AJ86" s="276"/>
      <c r="AK86" s="276"/>
      <c r="AL86" s="213">
        <f>AL85*2</f>
        <v>11752</v>
      </c>
      <c r="AM86" s="514">
        <f>AL86+AL86*50%</f>
        <v>17628</v>
      </c>
      <c r="AN86" s="491">
        <v>18000</v>
      </c>
    </row>
    <row r="87" spans="1:40" ht="16.5" thickBot="1" x14ac:dyDescent="0.3">
      <c r="A87" s="271"/>
      <c r="B87" s="272" t="s">
        <v>1073</v>
      </c>
      <c r="C87" s="273" t="s">
        <v>1566</v>
      </c>
      <c r="D87" s="273" t="s">
        <v>747</v>
      </c>
      <c r="E87" s="274" t="s">
        <v>1549</v>
      </c>
      <c r="F87" s="1"/>
      <c r="G87" s="171"/>
      <c r="N87" s="612" t="s">
        <v>1559</v>
      </c>
      <c r="O87" s="613"/>
      <c r="P87" s="613"/>
      <c r="Q87" s="613"/>
      <c r="R87" s="614">
        <f>R86*2</f>
        <v>4338.5200000000004</v>
      </c>
      <c r="S87" s="615">
        <f>R87+R87*50%</f>
        <v>6507.7800000000007</v>
      </c>
      <c r="T87" s="540">
        <v>8000</v>
      </c>
    </row>
    <row r="88" spans="1:40" ht="16.5" thickBot="1" x14ac:dyDescent="0.3">
      <c r="A88" s="3" t="s">
        <v>1906</v>
      </c>
      <c r="B88" s="2"/>
      <c r="C88" s="6">
        <v>1</v>
      </c>
      <c r="D88" s="66">
        <f>'AROS, CADENAS, DIJES, ETC'!C13</f>
        <v>1380</v>
      </c>
      <c r="E88" s="39">
        <f>D88*C88</f>
        <v>1380</v>
      </c>
      <c r="F88" s="1"/>
      <c r="G88" s="171"/>
      <c r="N88" s="171"/>
      <c r="O88" s="171"/>
      <c r="P88" s="171"/>
      <c r="Q88" s="171"/>
      <c r="R88" s="171"/>
      <c r="S88" s="171"/>
      <c r="T88" s="171"/>
      <c r="X88" s="1589" t="s">
        <v>4004</v>
      </c>
      <c r="Y88" s="1596"/>
      <c r="Z88" s="1596"/>
      <c r="AA88" s="1596"/>
      <c r="AB88" s="1590"/>
      <c r="AC88" s="23"/>
      <c r="AD88" s="171"/>
    </row>
    <row r="89" spans="1:40" x14ac:dyDescent="0.25">
      <c r="A89" s="3" t="s">
        <v>1557</v>
      </c>
      <c r="B89" s="2"/>
      <c r="C89" s="6"/>
      <c r="D89" s="66"/>
      <c r="E89" s="39">
        <f>PACKAGING!E3</f>
        <v>150</v>
      </c>
      <c r="F89" s="1"/>
      <c r="G89" s="171"/>
      <c r="N89" s="1589" t="s">
        <v>201</v>
      </c>
      <c r="O89" s="1596"/>
      <c r="P89" s="1596"/>
      <c r="Q89" s="1596"/>
      <c r="R89" s="1590"/>
      <c r="S89" s="23"/>
      <c r="T89" s="171"/>
      <c r="X89" s="271" t="s">
        <v>916</v>
      </c>
      <c r="Y89" s="272" t="s">
        <v>1073</v>
      </c>
      <c r="Z89" s="273" t="s">
        <v>1547</v>
      </c>
      <c r="AA89" s="273" t="s">
        <v>1035</v>
      </c>
      <c r="AB89" s="274" t="s">
        <v>1549</v>
      </c>
      <c r="AC89" s="1"/>
      <c r="AD89" s="171"/>
    </row>
    <row r="90" spans="1:40" x14ac:dyDescent="0.25">
      <c r="A90" s="3" t="s">
        <v>1538</v>
      </c>
      <c r="B90" s="2"/>
      <c r="C90" s="6"/>
      <c r="D90" s="66"/>
      <c r="E90" s="39">
        <f>PACKAGING!E8</f>
        <v>420</v>
      </c>
      <c r="F90" s="1"/>
      <c r="G90" s="171"/>
      <c r="N90" s="271" t="s">
        <v>916</v>
      </c>
      <c r="O90" s="272" t="s">
        <v>1073</v>
      </c>
      <c r="P90" s="273" t="s">
        <v>1547</v>
      </c>
      <c r="Q90" s="273" t="s">
        <v>1035</v>
      </c>
      <c r="R90" s="274" t="s">
        <v>1549</v>
      </c>
      <c r="S90" s="1"/>
      <c r="T90" s="171"/>
      <c r="X90" s="3" t="s">
        <v>3918</v>
      </c>
      <c r="Y90" s="2"/>
      <c r="Z90" s="6">
        <v>1</v>
      </c>
      <c r="AA90" s="66">
        <f>'AROS, CADENAS, DIJES, ETC'!D156</f>
        <v>1119.5</v>
      </c>
      <c r="AB90" s="39">
        <f>AA90</f>
        <v>1119.5</v>
      </c>
      <c r="AC90" s="1"/>
      <c r="AD90" s="171"/>
    </row>
    <row r="91" spans="1:40" ht="16.5" thickBot="1" x14ac:dyDescent="0.3">
      <c r="A91" s="79" t="s">
        <v>525</v>
      </c>
      <c r="B91" s="70"/>
      <c r="C91" s="85"/>
      <c r="D91" s="85"/>
      <c r="E91" s="51">
        <f>SUM(E88:E90)</f>
        <v>1950</v>
      </c>
      <c r="F91" s="134"/>
      <c r="G91" s="171"/>
      <c r="N91" s="3" t="s">
        <v>1897</v>
      </c>
      <c r="O91" s="2"/>
      <c r="P91" s="6">
        <v>1</v>
      </c>
      <c r="Q91" s="66">
        <f>'AROS, CADENAS, DIJES, ETC'!D96</f>
        <v>1195</v>
      </c>
      <c r="R91" s="39">
        <f>Q91*P91</f>
        <v>1195</v>
      </c>
      <c r="S91" s="1"/>
      <c r="T91" s="171"/>
      <c r="X91" s="3" t="s">
        <v>3986</v>
      </c>
      <c r="Y91" s="2" t="s">
        <v>777</v>
      </c>
      <c r="Z91" s="6">
        <v>1</v>
      </c>
      <c r="AA91" s="66">
        <f>'AROS, CADENAS, DIJES, ETC'!D159</f>
        <v>1360.5</v>
      </c>
      <c r="AB91" s="39">
        <f>AA91</f>
        <v>1360.5</v>
      </c>
      <c r="AC91" s="1"/>
      <c r="AD91" s="171"/>
    </row>
    <row r="92" spans="1:40" x14ac:dyDescent="0.25">
      <c r="A92" s="80" t="s">
        <v>544</v>
      </c>
      <c r="B92" s="220"/>
      <c r="C92" s="220"/>
      <c r="D92" s="220"/>
      <c r="E92" s="221">
        <f>E91*2</f>
        <v>3900</v>
      </c>
      <c r="F92" s="492">
        <f>E92+E92*50%</f>
        <v>5850</v>
      </c>
      <c r="G92" s="268">
        <v>5000</v>
      </c>
      <c r="N92" s="3" t="s">
        <v>1911</v>
      </c>
      <c r="O92" s="2"/>
      <c r="P92" s="6">
        <v>1</v>
      </c>
      <c r="Q92" s="66">
        <f>'AROS, CADENAS, DIJES, ETC'!O120</f>
        <v>472</v>
      </c>
      <c r="R92" s="39">
        <f>Q92*P92</f>
        <v>472</v>
      </c>
      <c r="S92" s="1"/>
      <c r="T92" s="171"/>
      <c r="X92" s="3" t="s">
        <v>3988</v>
      </c>
      <c r="Y92" s="2"/>
      <c r="Z92" s="6">
        <v>1</v>
      </c>
      <c r="AA92" s="66">
        <f>'AROS, CADENAS, DIJES, ETC'!D152</f>
        <v>2480</v>
      </c>
      <c r="AB92" s="39">
        <f>AA92*Z92</f>
        <v>2480</v>
      </c>
      <c r="AC92" s="1"/>
      <c r="AD92" s="171"/>
    </row>
    <row r="93" spans="1:40" ht="16.5" thickBot="1" x14ac:dyDescent="0.3">
      <c r="A93" s="81" t="s">
        <v>1559</v>
      </c>
      <c r="B93" s="222"/>
      <c r="C93" s="222"/>
      <c r="D93" s="222"/>
      <c r="E93" s="223"/>
      <c r="F93" s="493"/>
      <c r="G93" s="281">
        <f>G92*2</f>
        <v>10000</v>
      </c>
      <c r="N93" s="3" t="s">
        <v>1557</v>
      </c>
      <c r="O93" s="2"/>
      <c r="P93" s="6"/>
      <c r="Q93" s="66"/>
      <c r="R93" s="39">
        <f>PACKAGING!E3</f>
        <v>150</v>
      </c>
      <c r="S93" s="1"/>
      <c r="T93" s="171"/>
      <c r="X93" s="3" t="s">
        <v>3989</v>
      </c>
      <c r="Y93" s="2" t="s">
        <v>805</v>
      </c>
      <c r="Z93" s="6">
        <v>1</v>
      </c>
      <c r="AA93" s="66">
        <f>'AROS, CADENAS, DIJES, ETC'!D88</f>
        <v>3192.5</v>
      </c>
      <c r="AB93" s="39">
        <f>AA93</f>
        <v>3192.5</v>
      </c>
      <c r="AC93" s="1"/>
      <c r="AD93" s="171"/>
    </row>
    <row r="94" spans="1:40" ht="16.5" thickBot="1" x14ac:dyDescent="0.3">
      <c r="N94" s="3" t="s">
        <v>1538</v>
      </c>
      <c r="O94" s="2"/>
      <c r="P94" s="6"/>
      <c r="Q94" s="66"/>
      <c r="R94" s="39">
        <f>PACKAGING!E8</f>
        <v>420</v>
      </c>
      <c r="S94" s="1"/>
      <c r="T94" s="171"/>
      <c r="X94" s="3" t="s">
        <v>1557</v>
      </c>
      <c r="Y94" s="2"/>
      <c r="Z94" s="6"/>
      <c r="AA94" s="66"/>
      <c r="AB94" s="39">
        <f>PACKAGING!E3</f>
        <v>150</v>
      </c>
      <c r="AC94" s="1"/>
      <c r="AD94" s="171"/>
    </row>
    <row r="95" spans="1:40" ht="16.5" thickBot="1" x14ac:dyDescent="0.3">
      <c r="A95" s="1589" t="s">
        <v>555</v>
      </c>
      <c r="B95" s="1596"/>
      <c r="C95" s="1596"/>
      <c r="D95" s="1596"/>
      <c r="E95" s="1590"/>
      <c r="F95" s="23"/>
      <c r="G95" s="171"/>
      <c r="N95" s="348" t="s">
        <v>525</v>
      </c>
      <c r="O95" s="350"/>
      <c r="P95" s="351"/>
      <c r="Q95" s="351"/>
      <c r="R95" s="352">
        <f>SUM(R91:R94)</f>
        <v>2237</v>
      </c>
      <c r="S95" s="1"/>
      <c r="T95" s="171"/>
      <c r="X95" s="3" t="s">
        <v>3974</v>
      </c>
      <c r="Y95" s="2"/>
      <c r="Z95" s="6"/>
      <c r="AA95" s="66"/>
      <c r="AB95" s="39">
        <f>PACKAGING!E9</f>
        <v>450</v>
      </c>
      <c r="AC95" s="1"/>
      <c r="AD95" s="171"/>
    </row>
    <row r="96" spans="1:40" ht="16.5" thickBot="1" x14ac:dyDescent="0.3">
      <c r="A96" s="271"/>
      <c r="B96" s="272" t="s">
        <v>1073</v>
      </c>
      <c r="C96" s="273" t="s">
        <v>1566</v>
      </c>
      <c r="D96" s="273" t="s">
        <v>747</v>
      </c>
      <c r="E96" s="274" t="s">
        <v>1549</v>
      </c>
      <c r="F96" s="1"/>
      <c r="G96" s="171"/>
      <c r="N96" s="626" t="s">
        <v>1559</v>
      </c>
      <c r="O96" s="627"/>
      <c r="P96" s="627"/>
      <c r="Q96" s="627"/>
      <c r="R96" s="600">
        <f>R95*2</f>
        <v>4474</v>
      </c>
      <c r="S96" s="609">
        <f>R96+R96*50%</f>
        <v>6711</v>
      </c>
      <c r="T96" s="516">
        <v>8600</v>
      </c>
      <c r="X96" s="79" t="s">
        <v>525</v>
      </c>
      <c r="Y96" s="70"/>
      <c r="Z96" s="85"/>
      <c r="AA96" s="85"/>
      <c r="AB96" s="51">
        <f>SUM(AB90:AB95)</f>
        <v>8752.5</v>
      </c>
      <c r="AC96" s="134"/>
      <c r="AD96" s="171"/>
    </row>
    <row r="97" spans="1:30" ht="16.5" thickBot="1" x14ac:dyDescent="0.3">
      <c r="A97" s="3" t="s">
        <v>1907</v>
      </c>
      <c r="B97" s="2"/>
      <c r="C97" s="6">
        <v>1</v>
      </c>
      <c r="D97" s="66">
        <f>'AROS, CADENAS, DIJES, ETC'!C14</f>
        <v>1392</v>
      </c>
      <c r="E97" s="39">
        <f>D97*C97</f>
        <v>1392</v>
      </c>
      <c r="F97" s="1"/>
      <c r="G97" s="171"/>
      <c r="N97" s="171"/>
      <c r="O97" s="171"/>
      <c r="P97" s="171"/>
      <c r="Q97" s="171"/>
      <c r="R97" s="171"/>
      <c r="S97" s="171"/>
      <c r="T97" s="171"/>
      <c r="X97" s="80" t="s">
        <v>544</v>
      </c>
      <c r="Y97" s="220"/>
      <c r="Z97" s="220"/>
      <c r="AA97" s="220"/>
      <c r="AB97" s="267">
        <f>AB96*2</f>
        <v>17505</v>
      </c>
      <c r="AC97" s="473">
        <f>AB97+AB97*70%</f>
        <v>29758.5</v>
      </c>
      <c r="AD97" s="268">
        <v>36000</v>
      </c>
    </row>
    <row r="98" spans="1:30" ht="16.5" thickBot="1" x14ac:dyDescent="0.3">
      <c r="A98" s="3" t="s">
        <v>1557</v>
      </c>
      <c r="B98" s="2"/>
      <c r="C98" s="6"/>
      <c r="D98" s="66"/>
      <c r="E98" s="39">
        <f>PACKAGING!E3</f>
        <v>150</v>
      </c>
      <c r="F98" s="1"/>
      <c r="G98" s="171"/>
      <c r="N98" s="1589" t="s">
        <v>598</v>
      </c>
      <c r="O98" s="1596"/>
      <c r="P98" s="1596"/>
      <c r="Q98" s="1596"/>
      <c r="R98" s="1590"/>
      <c r="S98" s="23"/>
      <c r="T98" s="171"/>
      <c r="X98" s="275" t="s">
        <v>1559</v>
      </c>
      <c r="Y98" s="269"/>
      <c r="Z98" s="269"/>
      <c r="AA98" s="269"/>
      <c r="AB98" s="270"/>
      <c r="AC98" s="474"/>
      <c r="AD98" s="281"/>
    </row>
    <row r="99" spans="1:30" ht="16.5" thickBot="1" x14ac:dyDescent="0.3">
      <c r="A99" s="3" t="s">
        <v>1538</v>
      </c>
      <c r="B99" s="2"/>
      <c r="C99" s="6"/>
      <c r="D99" s="66"/>
      <c r="E99" s="39">
        <f>PACKAGING!E8</f>
        <v>420</v>
      </c>
      <c r="F99" s="1"/>
      <c r="G99" s="171"/>
      <c r="N99" s="271" t="s">
        <v>916</v>
      </c>
      <c r="O99" s="272" t="s">
        <v>1073</v>
      </c>
      <c r="P99" s="273" t="s">
        <v>1547</v>
      </c>
      <c r="Q99" s="273" t="s">
        <v>1035</v>
      </c>
      <c r="R99" s="274" t="s">
        <v>1549</v>
      </c>
      <c r="S99" s="1"/>
      <c r="T99" s="171"/>
    </row>
    <row r="100" spans="1:30" ht="16.5" thickBot="1" x14ac:dyDescent="0.3">
      <c r="A100" s="79" t="s">
        <v>525</v>
      </c>
      <c r="B100" s="70"/>
      <c r="C100" s="85"/>
      <c r="D100" s="85"/>
      <c r="E100" s="51">
        <f>SUM(E97:E99)</f>
        <v>1962</v>
      </c>
      <c r="F100" s="134"/>
      <c r="G100" s="171"/>
      <c r="N100" s="3" t="s">
        <v>1901</v>
      </c>
      <c r="O100" s="2"/>
      <c r="P100" s="6">
        <v>1</v>
      </c>
      <c r="Q100" s="66">
        <f>'AROS, CADENAS, DIJES, ETC'!D102</f>
        <v>1619</v>
      </c>
      <c r="R100" s="39">
        <f>Q100*P100</f>
        <v>1619</v>
      </c>
      <c r="S100" s="1"/>
      <c r="T100" s="171"/>
      <c r="X100" s="1589" t="s">
        <v>455</v>
      </c>
      <c r="Y100" s="1596"/>
      <c r="Z100" s="1596"/>
      <c r="AA100" s="1596"/>
      <c r="AB100" s="1590"/>
      <c r="AC100" s="23"/>
      <c r="AD100" s="171"/>
    </row>
    <row r="101" spans="1:30" x14ac:dyDescent="0.25">
      <c r="A101" s="80" t="s">
        <v>544</v>
      </c>
      <c r="B101" s="220"/>
      <c r="C101" s="220"/>
      <c r="D101" s="220"/>
      <c r="E101" s="221">
        <f>E100*2</f>
        <v>3924</v>
      </c>
      <c r="F101" s="492">
        <f>E101+E101*50%</f>
        <v>5886</v>
      </c>
      <c r="G101" s="268">
        <v>6000</v>
      </c>
      <c r="N101" s="3" t="s">
        <v>892</v>
      </c>
      <c r="O101" s="2"/>
      <c r="P101" s="6">
        <v>1</v>
      </c>
      <c r="Q101" s="66">
        <f>'AROS, CADENAS, DIJES, ETC'!O121</f>
        <v>354</v>
      </c>
      <c r="R101" s="39">
        <f>Q101*P101</f>
        <v>354</v>
      </c>
      <c r="S101" s="1"/>
      <c r="T101" s="171"/>
      <c r="X101" s="271" t="s">
        <v>916</v>
      </c>
      <c r="Y101" s="272" t="s">
        <v>1073</v>
      </c>
      <c r="Z101" s="273" t="s">
        <v>1547</v>
      </c>
      <c r="AA101" s="273" t="s">
        <v>1035</v>
      </c>
      <c r="AB101" s="274" t="s">
        <v>1549</v>
      </c>
      <c r="AC101" s="1"/>
      <c r="AD101" s="171"/>
    </row>
    <row r="102" spans="1:30" ht="16.5" thickBot="1" x14ac:dyDescent="0.3">
      <c r="A102" s="81" t="s">
        <v>1559</v>
      </c>
      <c r="B102" s="222"/>
      <c r="C102" s="222"/>
      <c r="D102" s="222"/>
      <c r="E102" s="223"/>
      <c r="F102" s="493"/>
      <c r="G102" s="281">
        <f>G101*2</f>
        <v>12000</v>
      </c>
      <c r="N102" s="3" t="s">
        <v>1557</v>
      </c>
      <c r="O102" s="2"/>
      <c r="P102" s="6"/>
      <c r="Q102" s="66"/>
      <c r="R102" s="39">
        <f>PACKAGING!E3</f>
        <v>150</v>
      </c>
      <c r="S102" s="1"/>
      <c r="T102" s="171"/>
      <c r="X102" s="3" t="s">
        <v>3990</v>
      </c>
      <c r="Y102" s="2" t="s">
        <v>3967</v>
      </c>
      <c r="Z102" s="6">
        <v>1</v>
      </c>
      <c r="AA102" s="66">
        <f>'AROS, CADENAS, DIJES, ETC'!D31</f>
        <v>837.5</v>
      </c>
      <c r="AB102" s="39">
        <f>AA102</f>
        <v>837.5</v>
      </c>
      <c r="AC102" s="1"/>
      <c r="AD102" s="171"/>
    </row>
    <row r="103" spans="1:30" ht="16.5" thickBot="1" x14ac:dyDescent="0.3">
      <c r="N103" s="3" t="s">
        <v>1538</v>
      </c>
      <c r="O103" s="2"/>
      <c r="P103" s="6"/>
      <c r="Q103" s="66"/>
      <c r="R103" s="39">
        <f>PACKAGING!E8</f>
        <v>420</v>
      </c>
      <c r="S103" s="1"/>
      <c r="T103" s="171"/>
      <c r="X103" s="3" t="s">
        <v>3986</v>
      </c>
      <c r="Y103" s="2"/>
      <c r="Z103" s="6">
        <v>1</v>
      </c>
      <c r="AA103" s="66">
        <f>'AROS, CADENAS, DIJES, ETC'!D159</f>
        <v>1360.5</v>
      </c>
      <c r="AB103" s="39">
        <f>AA103</f>
        <v>1360.5</v>
      </c>
      <c r="AC103" s="1"/>
      <c r="AD103" s="171"/>
    </row>
    <row r="104" spans="1:30" ht="16.5" thickBot="1" x14ac:dyDescent="0.3">
      <c r="A104" s="1589" t="s">
        <v>553</v>
      </c>
      <c r="B104" s="1596"/>
      <c r="C104" s="1596"/>
      <c r="D104" s="1596"/>
      <c r="E104" s="1590"/>
      <c r="F104" s="23"/>
      <c r="G104" s="171"/>
      <c r="N104" s="79" t="s">
        <v>525</v>
      </c>
      <c r="O104" s="70"/>
      <c r="P104" s="85"/>
      <c r="Q104" s="85"/>
      <c r="R104" s="51">
        <f>SUM(R100:R103)</f>
        <v>2543</v>
      </c>
      <c r="S104" s="134"/>
      <c r="T104" s="171"/>
      <c r="X104" s="3" t="s">
        <v>3999</v>
      </c>
      <c r="Y104" s="2" t="s">
        <v>846</v>
      </c>
      <c r="Z104" s="6">
        <v>1</v>
      </c>
      <c r="AA104" s="66">
        <f>'AROS, CADENAS, DIJES, ETC'!D129</f>
        <v>710</v>
      </c>
      <c r="AB104" s="39">
        <f>AA104*Z104</f>
        <v>710</v>
      </c>
      <c r="AC104" s="1"/>
      <c r="AD104" s="171"/>
    </row>
    <row r="105" spans="1:30" ht="15.6" customHeight="1" thickBot="1" x14ac:dyDescent="0.3">
      <c r="A105" s="271"/>
      <c r="B105" s="272" t="s">
        <v>1073</v>
      </c>
      <c r="C105" s="273" t="s">
        <v>1566</v>
      </c>
      <c r="D105" s="273" t="s">
        <v>747</v>
      </c>
      <c r="E105" s="274" t="s">
        <v>1549</v>
      </c>
      <c r="F105" s="1"/>
      <c r="G105" s="171"/>
      <c r="N105" s="275" t="s">
        <v>1559</v>
      </c>
      <c r="O105" s="269"/>
      <c r="P105" s="269"/>
      <c r="Q105" s="269"/>
      <c r="R105" s="518">
        <f>R104*2</f>
        <v>5086</v>
      </c>
      <c r="S105" s="519">
        <f>R105+R105*50%</f>
        <v>7629</v>
      </c>
      <c r="T105" s="516">
        <v>8600</v>
      </c>
      <c r="X105" s="3" t="s">
        <v>3883</v>
      </c>
      <c r="Y105" s="2"/>
      <c r="Z105" s="6">
        <v>1</v>
      </c>
      <c r="AA105" s="66">
        <f>'AROS, CADENAS, DIJES, ETC'!O136</f>
        <v>2075</v>
      </c>
      <c r="AB105" s="39">
        <f>AA105</f>
        <v>2075</v>
      </c>
      <c r="AC105" s="1"/>
      <c r="AD105" s="171"/>
    </row>
    <row r="106" spans="1:30" ht="16.5" thickBot="1" x14ac:dyDescent="0.3">
      <c r="A106" s="3" t="s">
        <v>1910</v>
      </c>
      <c r="B106" s="2"/>
      <c r="C106" s="6">
        <v>1</v>
      </c>
      <c r="D106" s="66">
        <f>'AROS, CADENAS, DIJES, ETC'!C15</f>
        <v>1410</v>
      </c>
      <c r="E106" s="39">
        <f>D106*C106</f>
        <v>1410</v>
      </c>
      <c r="F106" s="1"/>
      <c r="G106" s="171"/>
      <c r="X106" s="3" t="s">
        <v>1557</v>
      </c>
      <c r="Y106" s="2"/>
      <c r="Z106" s="6"/>
      <c r="AA106" s="66"/>
      <c r="AB106" s="39">
        <f>PACKAGING!E3</f>
        <v>150</v>
      </c>
      <c r="AC106" s="1"/>
      <c r="AD106" s="171"/>
    </row>
    <row r="107" spans="1:30" ht="16.5" thickBot="1" x14ac:dyDescent="0.3">
      <c r="A107" s="3" t="s">
        <v>1557</v>
      </c>
      <c r="B107" s="2"/>
      <c r="C107" s="6"/>
      <c r="D107" s="66"/>
      <c r="E107" s="39">
        <f>PACKAGING!E3</f>
        <v>150</v>
      </c>
      <c r="F107" s="1"/>
      <c r="G107" s="171"/>
      <c r="N107" s="1565" t="s">
        <v>3304</v>
      </c>
      <c r="O107" s="1566"/>
      <c r="P107" s="1566"/>
      <c r="Q107" s="1566"/>
      <c r="R107" s="1567"/>
      <c r="S107" s="171"/>
      <c r="T107" s="171"/>
      <c r="X107" s="3" t="s">
        <v>3974</v>
      </c>
      <c r="Y107" s="2"/>
      <c r="Z107" s="6"/>
      <c r="AA107" s="66"/>
      <c r="AB107" s="39">
        <f>PACKAGING!E9</f>
        <v>450</v>
      </c>
      <c r="AC107" s="1"/>
      <c r="AD107" s="171"/>
    </row>
    <row r="108" spans="1:30" ht="16.5" thickBot="1" x14ac:dyDescent="0.3">
      <c r="A108" s="3" t="s">
        <v>1538</v>
      </c>
      <c r="B108" s="2"/>
      <c r="C108" s="6"/>
      <c r="D108" s="66"/>
      <c r="E108" s="39">
        <f>PACKAGING!E8</f>
        <v>420</v>
      </c>
      <c r="F108" s="1"/>
      <c r="G108" s="171"/>
      <c r="N108" s="501" t="s">
        <v>916</v>
      </c>
      <c r="O108" s="502" t="s">
        <v>1073</v>
      </c>
      <c r="P108" s="503" t="s">
        <v>1547</v>
      </c>
      <c r="Q108" s="503" t="s">
        <v>1035</v>
      </c>
      <c r="R108" s="504" t="s">
        <v>1549</v>
      </c>
      <c r="S108" s="171"/>
      <c r="T108" s="171"/>
      <c r="X108" s="79" t="s">
        <v>525</v>
      </c>
      <c r="Y108" s="70"/>
      <c r="Z108" s="85"/>
      <c r="AA108" s="85"/>
      <c r="AB108" s="51">
        <f>SUM(AB102:AB107)</f>
        <v>5583</v>
      </c>
      <c r="AC108" s="134"/>
      <c r="AD108" s="171"/>
    </row>
    <row r="109" spans="1:30" ht="16.5" thickBot="1" x14ac:dyDescent="0.3">
      <c r="A109" s="79" t="s">
        <v>525</v>
      </c>
      <c r="B109" s="70"/>
      <c r="C109" s="85"/>
      <c r="D109" s="85"/>
      <c r="E109" s="51">
        <f>SUM(E106:E108)</f>
        <v>1980</v>
      </c>
      <c r="F109" s="134"/>
      <c r="G109" s="171"/>
      <c r="N109" s="3" t="s">
        <v>784</v>
      </c>
      <c r="O109" s="2" t="s">
        <v>789</v>
      </c>
      <c r="P109" s="6">
        <v>1</v>
      </c>
      <c r="Q109" s="66">
        <f>'AROS, CADENAS, DIJES, ETC'!D9</f>
        <v>1500</v>
      </c>
      <c r="R109" s="39">
        <f>Q109*P109</f>
        <v>1500</v>
      </c>
      <c r="S109" s="1"/>
      <c r="T109" s="171"/>
      <c r="X109" s="80" t="s">
        <v>544</v>
      </c>
      <c r="Y109" s="220"/>
      <c r="Z109" s="220"/>
      <c r="AA109" s="220"/>
      <c r="AB109" s="267">
        <f>AB108*2</f>
        <v>11166</v>
      </c>
      <c r="AC109" s="473">
        <f>AB109+AB109*70%</f>
        <v>18982.2</v>
      </c>
      <c r="AD109" s="268">
        <v>30000</v>
      </c>
    </row>
    <row r="110" spans="1:30" ht="16.5" thickBot="1" x14ac:dyDescent="0.3">
      <c r="A110" s="80" t="s">
        <v>544</v>
      </c>
      <c r="B110" s="220"/>
      <c r="C110" s="220"/>
      <c r="D110" s="220"/>
      <c r="E110" s="221">
        <f>E109*2</f>
        <v>3960</v>
      </c>
      <c r="F110" s="492">
        <f>E110+E110*50%</f>
        <v>5940</v>
      </c>
      <c r="G110" s="268">
        <v>6500</v>
      </c>
      <c r="N110" s="3" t="s">
        <v>1914</v>
      </c>
      <c r="O110" s="2"/>
      <c r="P110" s="6">
        <v>1</v>
      </c>
      <c r="Q110" s="66">
        <f>'INS VARIOS'!C10</f>
        <v>216.66666666666666</v>
      </c>
      <c r="R110" s="39">
        <f>Q110*P110</f>
        <v>216.66666666666666</v>
      </c>
      <c r="S110" s="1"/>
      <c r="T110" s="171"/>
      <c r="X110" s="275" t="s">
        <v>1559</v>
      </c>
      <c r="Y110" s="269"/>
      <c r="Z110" s="269"/>
      <c r="AA110" s="269"/>
      <c r="AB110" s="270"/>
      <c r="AC110" s="474"/>
      <c r="AD110" s="281"/>
    </row>
    <row r="111" spans="1:30" ht="16.5" thickBot="1" x14ac:dyDescent="0.3">
      <c r="A111" s="81" t="s">
        <v>1559</v>
      </c>
      <c r="B111" s="222"/>
      <c r="C111" s="222"/>
      <c r="D111" s="222"/>
      <c r="E111" s="223"/>
      <c r="F111" s="493"/>
      <c r="G111" s="281">
        <f>G110*2</f>
        <v>13000</v>
      </c>
      <c r="N111" s="3" t="s">
        <v>1557</v>
      </c>
      <c r="O111" s="2"/>
      <c r="P111" s="6"/>
      <c r="Q111" s="66"/>
      <c r="R111" s="39">
        <f>PACKAGING!E3</f>
        <v>150</v>
      </c>
      <c r="S111" s="1"/>
      <c r="T111" s="171"/>
    </row>
    <row r="112" spans="1:30" x14ac:dyDescent="0.25">
      <c r="N112" s="3" t="s">
        <v>1538</v>
      </c>
      <c r="O112" s="2"/>
      <c r="P112" s="6"/>
      <c r="Q112" s="66"/>
      <c r="R112" s="39">
        <f>PACKAGING!E8</f>
        <v>420</v>
      </c>
      <c r="S112" s="1"/>
      <c r="T112" s="171"/>
      <c r="X112" s="1589" t="s">
        <v>496</v>
      </c>
      <c r="Y112" s="1596"/>
      <c r="Z112" s="1596"/>
      <c r="AA112" s="1596"/>
      <c r="AB112" s="1590"/>
      <c r="AC112" s="23"/>
      <c r="AD112" s="171"/>
    </row>
    <row r="113" spans="1:30" ht="16.5" thickBot="1" x14ac:dyDescent="0.3">
      <c r="A113" s="1688" t="s">
        <v>156</v>
      </c>
      <c r="B113" s="1571"/>
      <c r="C113" s="1571"/>
      <c r="D113" s="1571"/>
      <c r="E113" s="1571"/>
      <c r="F113" s="1571"/>
      <c r="G113" s="171"/>
      <c r="H113" s="171"/>
      <c r="N113" s="79" t="s">
        <v>525</v>
      </c>
      <c r="O113" s="70"/>
      <c r="P113" s="85"/>
      <c r="Q113" s="85"/>
      <c r="R113" s="51">
        <f>SUM(R109:R112)</f>
        <v>2286.666666666667</v>
      </c>
      <c r="S113" s="1"/>
      <c r="T113" s="171"/>
      <c r="X113" s="271" t="s">
        <v>916</v>
      </c>
      <c r="Y113" s="272" t="s">
        <v>1073</v>
      </c>
      <c r="Z113" s="273" t="s">
        <v>1547</v>
      </c>
      <c r="AA113" s="273" t="s">
        <v>1035</v>
      </c>
      <c r="AB113" s="274" t="s">
        <v>1549</v>
      </c>
      <c r="AC113" s="1"/>
      <c r="AD113" s="171"/>
    </row>
    <row r="114" spans="1:30" x14ac:dyDescent="0.25">
      <c r="A114" s="271" t="s">
        <v>916</v>
      </c>
      <c r="B114" s="272" t="s">
        <v>1073</v>
      </c>
      <c r="C114" s="273" t="s">
        <v>1089</v>
      </c>
      <c r="D114" s="273" t="s">
        <v>1547</v>
      </c>
      <c r="E114" s="273" t="s">
        <v>1035</v>
      </c>
      <c r="F114" s="274" t="s">
        <v>1549</v>
      </c>
      <c r="G114" s="1"/>
      <c r="H114" s="171"/>
      <c r="N114" s="80" t="s">
        <v>544</v>
      </c>
      <c r="O114" s="220"/>
      <c r="P114" s="220"/>
      <c r="Q114" s="220"/>
      <c r="R114" s="221">
        <f>R113*2</f>
        <v>4573.3333333333339</v>
      </c>
      <c r="S114" s="492">
        <f>R114+R114*50%</f>
        <v>6860.0000000000009</v>
      </c>
      <c r="T114" s="268">
        <v>3900</v>
      </c>
      <c r="X114" s="3" t="s">
        <v>3990</v>
      </c>
      <c r="Y114" s="2" t="s">
        <v>3967</v>
      </c>
      <c r="Z114" s="6">
        <v>2</v>
      </c>
      <c r="AA114" s="66">
        <f>'AROS, CADENAS, DIJES, ETC'!J102</f>
        <v>3767</v>
      </c>
      <c r="AB114" s="39">
        <f>AA114</f>
        <v>3767</v>
      </c>
      <c r="AC114" s="1"/>
      <c r="AD114" s="171"/>
    </row>
    <row r="115" spans="1:30" ht="16.5" thickBot="1" x14ac:dyDescent="0.3">
      <c r="A115" s="3" t="s">
        <v>1912</v>
      </c>
      <c r="B115" s="2"/>
      <c r="C115" s="6"/>
      <c r="D115" s="6" t="s">
        <v>1649</v>
      </c>
      <c r="E115" s="66">
        <f>'AROS, CADENAS, DIJES, ETC'!C22</f>
        <v>4893</v>
      </c>
      <c r="F115" s="39">
        <f>E115</f>
        <v>4893</v>
      </c>
      <c r="G115" s="1"/>
      <c r="H115" s="171"/>
      <c r="N115" s="275" t="s">
        <v>1559</v>
      </c>
      <c r="O115" s="269"/>
      <c r="P115" s="269"/>
      <c r="Q115" s="269"/>
      <c r="R115" s="488"/>
      <c r="S115" s="493"/>
      <c r="T115" s="281">
        <f>T114*2</f>
        <v>7800</v>
      </c>
      <c r="X115" s="3" t="s">
        <v>4005</v>
      </c>
      <c r="Y115" s="2"/>
      <c r="Z115" s="6">
        <v>1</v>
      </c>
      <c r="AA115" s="66">
        <f>'AROS, CADENAS, DIJES, ETC'!D147</f>
        <v>2866</v>
      </c>
      <c r="AB115" s="39">
        <f>AA115</f>
        <v>2866</v>
      </c>
      <c r="AC115" s="1"/>
      <c r="AD115" s="171"/>
    </row>
    <row r="116" spans="1:30" ht="16.5" thickBot="1" x14ac:dyDescent="0.3">
      <c r="A116" s="3" t="s">
        <v>1557</v>
      </c>
      <c r="B116" s="2"/>
      <c r="C116" s="6"/>
      <c r="D116" s="6"/>
      <c r="E116" s="66"/>
      <c r="F116" s="39">
        <f>PACKAGING!E3</f>
        <v>150</v>
      </c>
      <c r="G116" s="1"/>
      <c r="H116" s="171"/>
      <c r="X116" s="3" t="s">
        <v>4006</v>
      </c>
      <c r="Y116" s="2"/>
      <c r="Z116" s="6">
        <v>1</v>
      </c>
      <c r="AA116" s="66">
        <f>'AROS, CADENAS, DIJES, ETC'!D122</f>
        <v>1868.5</v>
      </c>
      <c r="AB116" s="39">
        <f>AA116*Z116</f>
        <v>1868.5</v>
      </c>
      <c r="AC116" s="1"/>
      <c r="AD116" s="171"/>
    </row>
    <row r="117" spans="1:30" x14ac:dyDescent="0.25">
      <c r="A117" s="3" t="s">
        <v>1538</v>
      </c>
      <c r="B117" s="2"/>
      <c r="C117" s="6"/>
      <c r="D117" s="6"/>
      <c r="E117" s="66"/>
      <c r="F117" s="39">
        <f>PACKAGING!E8</f>
        <v>420</v>
      </c>
      <c r="G117" s="1"/>
      <c r="H117" s="171"/>
      <c r="N117" s="1589" t="s">
        <v>3025</v>
      </c>
      <c r="O117" s="1596"/>
      <c r="P117" s="1596"/>
      <c r="Q117" s="1596"/>
      <c r="R117" s="1590"/>
      <c r="S117" s="23"/>
      <c r="T117" s="171"/>
      <c r="X117" s="3" t="s">
        <v>1557</v>
      </c>
      <c r="Y117" s="2"/>
      <c r="Z117" s="6"/>
      <c r="AA117" s="66"/>
      <c r="AB117" s="39">
        <f>PACKAGING!E3</f>
        <v>150</v>
      </c>
      <c r="AC117" s="1"/>
      <c r="AD117" s="171"/>
    </row>
    <row r="118" spans="1:30" ht="16.5" thickBot="1" x14ac:dyDescent="0.3">
      <c r="A118" s="79" t="s">
        <v>525</v>
      </c>
      <c r="B118" s="70"/>
      <c r="C118" s="85"/>
      <c r="D118" s="85"/>
      <c r="E118" s="85"/>
      <c r="F118" s="51">
        <f>SUM(F115:F117)</f>
        <v>5463</v>
      </c>
      <c r="G118" s="134"/>
      <c r="H118" s="171"/>
      <c r="N118" s="271" t="s">
        <v>916</v>
      </c>
      <c r="O118" s="272" t="s">
        <v>1073</v>
      </c>
      <c r="P118" s="273" t="s">
        <v>1547</v>
      </c>
      <c r="Q118" s="273" t="s">
        <v>1035</v>
      </c>
      <c r="R118" s="274" t="s">
        <v>1549</v>
      </c>
      <c r="S118" s="1"/>
      <c r="T118" s="171"/>
      <c r="X118" s="3" t="s">
        <v>3974</v>
      </c>
      <c r="Y118" s="2"/>
      <c r="Z118" s="6"/>
      <c r="AA118" s="66"/>
      <c r="AB118" s="39">
        <f>PACKAGING!E9</f>
        <v>450</v>
      </c>
      <c r="AC118" s="1"/>
      <c r="AD118" s="171"/>
    </row>
    <row r="119" spans="1:30" ht="16.5" thickBot="1" x14ac:dyDescent="0.3">
      <c r="A119" s="80" t="s">
        <v>1559</v>
      </c>
      <c r="B119" s="220"/>
      <c r="C119" s="220"/>
      <c r="D119" s="220"/>
      <c r="E119" s="220"/>
      <c r="F119" s="267">
        <f>F118*2</f>
        <v>10926</v>
      </c>
      <c r="G119" s="267">
        <f>F119+F119*70%</f>
        <v>18574.2</v>
      </c>
      <c r="H119" s="268">
        <v>20000</v>
      </c>
      <c r="N119" s="3" t="s">
        <v>1897</v>
      </c>
      <c r="O119" s="2"/>
      <c r="P119" s="6">
        <v>1</v>
      </c>
      <c r="Q119" s="66">
        <f>'AROS, CADENAS, DIJES, ETC'!D102</f>
        <v>1619</v>
      </c>
      <c r="R119" s="39">
        <f>Q119</f>
        <v>1619</v>
      </c>
      <c r="S119" s="1"/>
      <c r="T119" s="171"/>
      <c r="X119" s="79" t="s">
        <v>525</v>
      </c>
      <c r="Y119" s="70"/>
      <c r="Z119" s="85"/>
      <c r="AA119" s="85"/>
      <c r="AB119" s="51">
        <f>SUM(AB114:AB118)</f>
        <v>9101.5</v>
      </c>
      <c r="AC119" s="134"/>
      <c r="AD119" s="171"/>
    </row>
    <row r="120" spans="1:30" x14ac:dyDescent="0.25">
      <c r="A120" s="449"/>
      <c r="B120" s="306"/>
      <c r="C120" s="306"/>
      <c r="D120" s="306"/>
      <c r="E120" s="306"/>
      <c r="F120" s="745"/>
      <c r="G120" s="60"/>
      <c r="H120" s="61"/>
      <c r="N120" s="3" t="s">
        <v>1919</v>
      </c>
      <c r="O120" s="2"/>
      <c r="P120" s="6">
        <v>1</v>
      </c>
      <c r="Q120" s="66">
        <f>'PALAIS DU BIJOU'!M57</f>
        <v>150</v>
      </c>
      <c r="R120" s="39">
        <f>Q120*P120</f>
        <v>150</v>
      </c>
      <c r="S120" s="1"/>
      <c r="T120" s="171"/>
      <c r="X120" s="80" t="s">
        <v>544</v>
      </c>
      <c r="Y120" s="220"/>
      <c r="Z120" s="220"/>
      <c r="AA120" s="220"/>
      <c r="AB120" s="267">
        <f>AB119*2</f>
        <v>18203</v>
      </c>
      <c r="AC120" s="473">
        <f>AB120+AB120*70%</f>
        <v>30945.1</v>
      </c>
      <c r="AD120" s="268">
        <v>34000</v>
      </c>
    </row>
    <row r="121" spans="1:30" ht="16.5" thickBot="1" x14ac:dyDescent="0.3">
      <c r="A121" s="449"/>
      <c r="B121" s="306"/>
      <c r="C121" s="306"/>
      <c r="D121" s="306"/>
      <c r="E121" s="306"/>
      <c r="F121" s="745"/>
      <c r="G121" s="60"/>
      <c r="H121" s="61"/>
      <c r="N121" s="3" t="s">
        <v>1557</v>
      </c>
      <c r="O121" s="2"/>
      <c r="P121" s="6"/>
      <c r="Q121" s="66"/>
      <c r="R121" s="39">
        <f>PACKAGING!E3</f>
        <v>150</v>
      </c>
      <c r="S121" s="1"/>
      <c r="T121" s="171"/>
      <c r="X121" s="275" t="s">
        <v>1559</v>
      </c>
      <c r="Y121" s="269"/>
      <c r="Z121" s="269"/>
      <c r="AA121" s="269"/>
      <c r="AB121" s="270"/>
      <c r="AC121" s="474"/>
      <c r="AD121" s="281"/>
    </row>
    <row r="122" spans="1:30" ht="16.5" thickBot="1" x14ac:dyDescent="0.3">
      <c r="A122" s="1602" t="s">
        <v>2254</v>
      </c>
      <c r="B122" s="1600"/>
      <c r="C122" s="1600"/>
      <c r="D122" s="1600"/>
      <c r="E122" s="1600"/>
      <c r="F122" s="1600"/>
      <c r="G122" s="171"/>
      <c r="H122" s="171"/>
      <c r="N122" s="3" t="s">
        <v>1538</v>
      </c>
      <c r="O122" s="2"/>
      <c r="P122" s="6"/>
      <c r="Q122" s="66"/>
      <c r="R122" s="39">
        <f>PACKAGING!E8</f>
        <v>420</v>
      </c>
      <c r="S122" s="1"/>
      <c r="T122" s="171"/>
    </row>
    <row r="123" spans="1:30" ht="16.5" thickBot="1" x14ac:dyDescent="0.3">
      <c r="A123" s="483" t="s">
        <v>916</v>
      </c>
      <c r="B123" s="484" t="s">
        <v>1073</v>
      </c>
      <c r="C123" s="485" t="s">
        <v>1089</v>
      </c>
      <c r="D123" s="485" t="s">
        <v>1547</v>
      </c>
      <c r="E123" s="485" t="s">
        <v>1035</v>
      </c>
      <c r="F123" s="486" t="s">
        <v>1549</v>
      </c>
      <c r="G123" s="1"/>
      <c r="H123" s="171"/>
      <c r="N123" s="79" t="s">
        <v>525</v>
      </c>
      <c r="O123" s="70"/>
      <c r="P123" s="85"/>
      <c r="Q123" s="85"/>
      <c r="R123" s="51">
        <f>SUM(R119:R122)</f>
        <v>2339</v>
      </c>
      <c r="S123" s="134"/>
      <c r="T123" s="171"/>
      <c r="X123" s="1589" t="s">
        <v>283</v>
      </c>
      <c r="Y123" s="1596"/>
      <c r="Z123" s="1596"/>
      <c r="AA123" s="1596"/>
      <c r="AB123" s="1590"/>
      <c r="AC123" s="23"/>
      <c r="AD123" s="171"/>
    </row>
    <row r="124" spans="1:30" x14ac:dyDescent="0.25">
      <c r="A124" s="3" t="s">
        <v>2253</v>
      </c>
      <c r="B124" s="2"/>
      <c r="C124" s="6"/>
      <c r="D124" s="6" t="s">
        <v>1649</v>
      </c>
      <c r="E124" s="66">
        <f>'AROS, CADENAS, DIJES, ETC'!C100</f>
        <v>4570</v>
      </c>
      <c r="F124" s="39">
        <f>E124</f>
        <v>4570</v>
      </c>
      <c r="G124" s="1"/>
      <c r="H124" s="171"/>
      <c r="N124" s="80" t="s">
        <v>544</v>
      </c>
      <c r="O124" s="220"/>
      <c r="P124" s="220"/>
      <c r="Q124" s="220"/>
      <c r="R124" s="221">
        <f>R123*2</f>
        <v>4678</v>
      </c>
      <c r="S124" s="492">
        <f>R124+R124*25%</f>
        <v>5847.5</v>
      </c>
      <c r="T124" s="268">
        <v>2500</v>
      </c>
      <c r="X124" s="271" t="s">
        <v>916</v>
      </c>
      <c r="Y124" s="1437" t="s">
        <v>1073</v>
      </c>
      <c r="Z124" s="273" t="s">
        <v>1547</v>
      </c>
      <c r="AA124" s="273" t="s">
        <v>1035</v>
      </c>
      <c r="AB124" s="274" t="s">
        <v>1549</v>
      </c>
      <c r="AC124" s="1"/>
      <c r="AD124" s="171"/>
    </row>
    <row r="125" spans="1:30" ht="16.5" thickBot="1" x14ac:dyDescent="0.3">
      <c r="A125" s="3" t="s">
        <v>1557</v>
      </c>
      <c r="B125" s="2"/>
      <c r="C125" s="6"/>
      <c r="D125" s="6"/>
      <c r="E125" s="66"/>
      <c r="F125" s="39">
        <f>PACKAGING!E3</f>
        <v>150</v>
      </c>
      <c r="G125" s="1"/>
      <c r="H125" s="171"/>
      <c r="N125" s="275" t="s">
        <v>1559</v>
      </c>
      <c r="O125" s="269"/>
      <c r="P125" s="269"/>
      <c r="Q125" s="269"/>
      <c r="R125" s="488"/>
      <c r="S125" s="493"/>
      <c r="T125" s="281">
        <f>T124*2</f>
        <v>5000</v>
      </c>
      <c r="X125" s="340" t="s">
        <v>4541</v>
      </c>
      <c r="Y125" s="2" t="s">
        <v>4092</v>
      </c>
      <c r="Z125" s="6">
        <v>1</v>
      </c>
      <c r="AA125" s="66">
        <f>'AROS, CADENAS, DIJES, ETC'!D163</f>
        <v>2409.5</v>
      </c>
      <c r="AB125" s="39">
        <f>AA125</f>
        <v>2409.5</v>
      </c>
      <c r="AC125" s="1"/>
      <c r="AD125" s="171"/>
    </row>
    <row r="126" spans="1:30" ht="16.5" thickBot="1" x14ac:dyDescent="0.3">
      <c r="A126" s="3" t="s">
        <v>1538</v>
      </c>
      <c r="B126" s="2"/>
      <c r="C126" s="6"/>
      <c r="D126" s="6"/>
      <c r="E126" s="66"/>
      <c r="F126" s="39">
        <f>PACKAGING!E8</f>
        <v>420</v>
      </c>
      <c r="G126" s="1"/>
      <c r="H126" s="171"/>
      <c r="X126" s="3" t="s">
        <v>4542</v>
      </c>
      <c r="Y126" s="190" t="s">
        <v>3916</v>
      </c>
      <c r="Z126" s="6">
        <v>1</v>
      </c>
      <c r="AA126" s="66">
        <f>'AROS, CADENAS, DIJES, ETC'!D158</f>
        <v>241</v>
      </c>
      <c r="AB126" s="39">
        <f>AA126</f>
        <v>241</v>
      </c>
      <c r="AC126" s="1"/>
      <c r="AD126" s="171"/>
    </row>
    <row r="127" spans="1:30" ht="16.5" thickBot="1" x14ac:dyDescent="0.3">
      <c r="A127" s="79" t="s">
        <v>525</v>
      </c>
      <c r="B127" s="70"/>
      <c r="C127" s="85"/>
      <c r="D127" s="85"/>
      <c r="E127" s="85"/>
      <c r="F127" s="51">
        <f>SUM(F124:F126)</f>
        <v>5140</v>
      </c>
      <c r="G127" s="134"/>
      <c r="H127" s="171"/>
      <c r="N127" s="1589" t="s">
        <v>216</v>
      </c>
      <c r="O127" s="1596"/>
      <c r="P127" s="1596"/>
      <c r="Q127" s="1596"/>
      <c r="R127" s="1590"/>
      <c r="S127" s="23"/>
      <c r="T127" s="171"/>
      <c r="X127" s="3" t="s">
        <v>4543</v>
      </c>
      <c r="Y127" s="2" t="s">
        <v>4054</v>
      </c>
      <c r="Z127" s="6">
        <v>1</v>
      </c>
      <c r="AA127" s="66">
        <f>'AROS, CADENAS, DIJES, ETC'!D161</f>
        <v>680.5</v>
      </c>
      <c r="AB127" s="39">
        <f>AA127*Z127</f>
        <v>680.5</v>
      </c>
      <c r="AC127" s="1"/>
      <c r="AD127" s="171"/>
    </row>
    <row r="128" spans="1:30" ht="16.5" thickBot="1" x14ac:dyDescent="0.3">
      <c r="A128" s="211" t="s">
        <v>1559</v>
      </c>
      <c r="B128" s="276"/>
      <c r="C128" s="276"/>
      <c r="D128" s="276"/>
      <c r="E128" s="276"/>
      <c r="F128" s="372">
        <f>F127*2</f>
        <v>10280</v>
      </c>
      <c r="G128" s="489">
        <f>F128+F128*70%</f>
        <v>17476</v>
      </c>
      <c r="H128" s="491">
        <v>17000</v>
      </c>
      <c r="I128" t="s">
        <v>2256</v>
      </c>
      <c r="N128" s="271" t="s">
        <v>916</v>
      </c>
      <c r="O128" s="272" t="s">
        <v>1073</v>
      </c>
      <c r="P128" s="273" t="s">
        <v>1547</v>
      </c>
      <c r="Q128" s="273" t="s">
        <v>1035</v>
      </c>
      <c r="R128" s="274" t="s">
        <v>1549</v>
      </c>
      <c r="S128" s="1"/>
      <c r="T128" s="171"/>
      <c r="X128" s="3" t="s">
        <v>1557</v>
      </c>
      <c r="Y128" s="2"/>
      <c r="Z128" s="6"/>
      <c r="AA128" s="66"/>
      <c r="AB128" s="39">
        <f>PACKAGING!E3</f>
        <v>150</v>
      </c>
      <c r="AC128" s="1"/>
      <c r="AD128" s="171"/>
    </row>
    <row r="129" spans="1:30" ht="16.5" thickBot="1" x14ac:dyDescent="0.3">
      <c r="A129" s="211" t="s">
        <v>1559</v>
      </c>
      <c r="B129" s="276"/>
      <c r="C129" s="276"/>
      <c r="D129" s="276"/>
      <c r="E129" s="276"/>
      <c r="F129" s="372"/>
      <c r="G129" s="489"/>
      <c r="H129" s="491">
        <v>19000</v>
      </c>
      <c r="I129" t="s">
        <v>2257</v>
      </c>
      <c r="N129" s="3" t="s">
        <v>784</v>
      </c>
      <c r="O129" s="2" t="s">
        <v>785</v>
      </c>
      <c r="P129" s="6">
        <v>1</v>
      </c>
      <c r="Q129" s="66">
        <f>'AROS, CADENAS, DIJES, ETC'!D8</f>
        <v>1400</v>
      </c>
      <c r="R129" s="39">
        <f>Q129</f>
        <v>1400</v>
      </c>
      <c r="S129" s="1"/>
      <c r="T129" s="171"/>
      <c r="X129" s="3" t="s">
        <v>3974</v>
      </c>
      <c r="Y129" s="2"/>
      <c r="Z129" s="6"/>
      <c r="AA129" s="66"/>
      <c r="AB129" s="39">
        <f>PACKAGING!E9</f>
        <v>450</v>
      </c>
      <c r="AC129" s="1"/>
      <c r="AD129" s="171"/>
    </row>
    <row r="130" spans="1:30" ht="16.5" thickBot="1" x14ac:dyDescent="0.3">
      <c r="A130" s="171"/>
      <c r="B130" s="171"/>
      <c r="C130" s="171"/>
      <c r="D130" s="171"/>
      <c r="E130" s="171"/>
      <c r="F130" s="171"/>
      <c r="G130" s="171"/>
      <c r="H130" s="171"/>
      <c r="N130" s="3" t="s">
        <v>1921</v>
      </c>
      <c r="O130" s="2"/>
      <c r="P130" s="6">
        <v>1</v>
      </c>
      <c r="Q130" s="66">
        <f>'AROS, CADENAS, DIJES, ETC'!O126</f>
        <v>550</v>
      </c>
      <c r="R130" s="39">
        <f>Q130*P130</f>
        <v>550</v>
      </c>
      <c r="S130" s="1"/>
      <c r="T130" s="171"/>
      <c r="X130" s="79" t="s">
        <v>525</v>
      </c>
      <c r="Y130" s="70"/>
      <c r="Z130" s="85"/>
      <c r="AA130" s="85"/>
      <c r="AB130" s="51">
        <f>SUM(AB125:AB129)</f>
        <v>3931</v>
      </c>
      <c r="AC130" s="134"/>
      <c r="AD130" s="171"/>
    </row>
    <row r="131" spans="1:30" ht="16.5" thickBot="1" x14ac:dyDescent="0.3">
      <c r="A131" s="1585" t="s">
        <v>3207</v>
      </c>
      <c r="B131" s="1586"/>
      <c r="C131" s="1586"/>
      <c r="D131" s="1586"/>
      <c r="E131" s="1587"/>
      <c r="F131" s="23"/>
      <c r="G131" s="171"/>
      <c r="H131" s="171"/>
      <c r="N131" s="184" t="s">
        <v>908</v>
      </c>
      <c r="O131" s="2">
        <v>0.6</v>
      </c>
      <c r="P131" s="6">
        <v>2.5000000000000001E-2</v>
      </c>
      <c r="Q131" s="66">
        <f>'AROS, CADENAS, DIJES, ETC'!I42</f>
        <v>2800</v>
      </c>
      <c r="R131" s="39">
        <f>Q131*P131/O131</f>
        <v>116.66666666666667</v>
      </c>
      <c r="S131" s="1"/>
      <c r="T131" s="171"/>
      <c r="X131" s="80" t="s">
        <v>544</v>
      </c>
      <c r="Y131" s="220"/>
      <c r="Z131" s="220"/>
      <c r="AA131" s="220"/>
      <c r="AB131" s="267">
        <f>AB130*2</f>
        <v>7862</v>
      </c>
      <c r="AC131" s="473">
        <f>AB131+AB131*70%</f>
        <v>13365.4</v>
      </c>
      <c r="AD131" s="268">
        <v>30000</v>
      </c>
    </row>
    <row r="132" spans="1:30" ht="16.5" thickBot="1" x14ac:dyDescent="0.3">
      <c r="A132" s="483"/>
      <c r="B132" s="484" t="s">
        <v>1073</v>
      </c>
      <c r="C132" s="485" t="s">
        <v>1566</v>
      </c>
      <c r="D132" s="485" t="s">
        <v>747</v>
      </c>
      <c r="E132" s="486" t="s">
        <v>1549</v>
      </c>
      <c r="F132" s="1"/>
      <c r="G132" s="171"/>
      <c r="H132" s="171"/>
      <c r="N132" s="3" t="s">
        <v>1557</v>
      </c>
      <c r="O132" s="2"/>
      <c r="P132" s="6"/>
      <c r="Q132" s="66"/>
      <c r="R132" s="39">
        <f>PACKAGING!E3</f>
        <v>150</v>
      </c>
      <c r="S132" s="1"/>
      <c r="T132" s="171"/>
      <c r="X132" s="275" t="s">
        <v>1559</v>
      </c>
      <c r="Y132" s="269"/>
      <c r="Z132" s="269"/>
      <c r="AA132" s="269"/>
      <c r="AB132" s="270"/>
      <c r="AC132" s="474"/>
      <c r="AD132" s="281"/>
    </row>
    <row r="133" spans="1:30" x14ac:dyDescent="0.25">
      <c r="A133" s="3" t="s">
        <v>1913</v>
      </c>
      <c r="B133" s="2"/>
      <c r="C133" s="6">
        <v>1</v>
      </c>
      <c r="D133" s="66">
        <f>'AROS, CADENAS, DIJES, ETC'!C51</f>
        <v>4350</v>
      </c>
      <c r="E133" s="39">
        <f>D133*C133</f>
        <v>4350</v>
      </c>
      <c r="F133" s="1"/>
      <c r="G133" s="171"/>
      <c r="H133" s="171"/>
      <c r="N133" s="3" t="s">
        <v>1538</v>
      </c>
      <c r="O133" s="2"/>
      <c r="P133" s="6"/>
      <c r="Q133" s="66"/>
      <c r="R133" s="39">
        <f>PACKAGING!E8</f>
        <v>420</v>
      </c>
      <c r="S133" s="1"/>
      <c r="T133" s="171"/>
    </row>
    <row r="134" spans="1:30" x14ac:dyDescent="0.25">
      <c r="A134" s="3" t="s">
        <v>1557</v>
      </c>
      <c r="B134" s="2"/>
      <c r="C134" s="6"/>
      <c r="D134" s="66"/>
      <c r="E134" s="39">
        <f>PACKAGING!E3</f>
        <v>150</v>
      </c>
      <c r="F134" s="1"/>
      <c r="G134" s="171"/>
      <c r="H134" s="171"/>
      <c r="N134" s="3" t="s">
        <v>1558</v>
      </c>
      <c r="O134" s="2">
        <v>60</v>
      </c>
      <c r="P134" s="6">
        <v>10</v>
      </c>
      <c r="Q134" s="66">
        <f>'INSUMOS VARIOS'!B3</f>
        <v>3500</v>
      </c>
      <c r="R134" s="39">
        <f>Q134*P134/O134</f>
        <v>583.33333333333337</v>
      </c>
      <c r="T134" s="1"/>
    </row>
    <row r="135" spans="1:30" ht="16.5" thickBot="1" x14ac:dyDescent="0.3">
      <c r="A135" s="3" t="s">
        <v>1538</v>
      </c>
      <c r="B135" s="2"/>
      <c r="C135" s="6"/>
      <c r="D135" s="66"/>
      <c r="E135" s="39">
        <f>PACKAGING!E8</f>
        <v>420</v>
      </c>
      <c r="F135" s="1"/>
      <c r="G135" s="171"/>
      <c r="H135" s="171"/>
      <c r="N135" s="79" t="s">
        <v>525</v>
      </c>
      <c r="O135" s="70"/>
      <c r="P135" s="85"/>
      <c r="Q135" s="85"/>
      <c r="R135" s="51">
        <f>SUM(R129:R134)</f>
        <v>3220</v>
      </c>
      <c r="S135" s="134"/>
      <c r="T135" s="171"/>
    </row>
    <row r="136" spans="1:30" ht="16.5" thickBot="1" x14ac:dyDescent="0.3">
      <c r="A136" s="79" t="s">
        <v>525</v>
      </c>
      <c r="B136" s="70"/>
      <c r="C136" s="85"/>
      <c r="D136" s="85"/>
      <c r="E136" s="51">
        <f>SUM(E133:E135)</f>
        <v>4920</v>
      </c>
      <c r="F136" s="134"/>
      <c r="G136" s="171"/>
      <c r="H136" s="171"/>
      <c r="N136" s="616" t="s">
        <v>1559</v>
      </c>
      <c r="O136" s="617"/>
      <c r="P136" s="617"/>
      <c r="Q136" s="617"/>
      <c r="R136" s="618">
        <f>R135*2</f>
        <v>6440</v>
      </c>
      <c r="S136" s="615">
        <f>R136+R136*50%</f>
        <v>9660</v>
      </c>
      <c r="T136" s="540">
        <v>7200</v>
      </c>
    </row>
    <row r="137" spans="1:30" ht="16.5" thickBot="1" x14ac:dyDescent="0.3">
      <c r="A137" s="80" t="s">
        <v>1915</v>
      </c>
      <c r="B137" s="220"/>
      <c r="C137" s="220"/>
      <c r="D137" s="220"/>
      <c r="E137" s="72">
        <f>E136*2</f>
        <v>9840</v>
      </c>
      <c r="F137" s="496">
        <f>E137+E137*70%</f>
        <v>16728</v>
      </c>
      <c r="G137" s="494">
        <v>16000</v>
      </c>
      <c r="H137" s="171" t="s">
        <v>1916</v>
      </c>
    </row>
    <row r="138" spans="1:30" ht="16.5" thickBot="1" x14ac:dyDescent="0.3">
      <c r="A138" s="211" t="s">
        <v>1917</v>
      </c>
      <c r="B138" s="276"/>
      <c r="C138" s="276"/>
      <c r="D138" s="276"/>
      <c r="E138" s="215"/>
      <c r="F138" s="497"/>
      <c r="G138" s="495">
        <v>18000</v>
      </c>
      <c r="H138" s="171" t="s">
        <v>1681</v>
      </c>
      <c r="N138" s="1727" t="s">
        <v>3960</v>
      </c>
      <c r="O138" s="1728"/>
      <c r="P138" s="1728"/>
      <c r="Q138" s="1728"/>
      <c r="R138" s="1729"/>
      <c r="S138" s="23"/>
      <c r="T138" s="171"/>
    </row>
    <row r="139" spans="1:30" ht="16.5" thickBot="1" x14ac:dyDescent="0.3">
      <c r="A139" s="171"/>
      <c r="B139" s="171"/>
      <c r="C139" s="171"/>
      <c r="D139" s="171"/>
      <c r="E139" s="171"/>
      <c r="F139" s="171"/>
      <c r="G139" s="171"/>
      <c r="H139" s="171"/>
      <c r="N139" s="501" t="s">
        <v>916</v>
      </c>
      <c r="O139" s="502" t="s">
        <v>1073</v>
      </c>
      <c r="P139" s="503" t="s">
        <v>1547</v>
      </c>
      <c r="Q139" s="503" t="s">
        <v>1035</v>
      </c>
      <c r="R139" s="504" t="s">
        <v>1549</v>
      </c>
      <c r="S139" s="1"/>
      <c r="T139" s="171"/>
    </row>
    <row r="140" spans="1:30" ht="16.5" thickBot="1" x14ac:dyDescent="0.3">
      <c r="A140" s="1585" t="s">
        <v>1918</v>
      </c>
      <c r="B140" s="1586"/>
      <c r="C140" s="1586"/>
      <c r="D140" s="1586"/>
      <c r="E140" s="1587"/>
      <c r="F140" s="23"/>
      <c r="G140" s="171"/>
      <c r="H140" s="171"/>
      <c r="N140" s="3" t="s">
        <v>1897</v>
      </c>
      <c r="O140" s="2"/>
      <c r="P140" s="6">
        <v>1</v>
      </c>
      <c r="Q140" s="66">
        <f>'AROS, CADENAS, DIJES, ETC'!D96</f>
        <v>1195</v>
      </c>
      <c r="R140" s="39">
        <f>Q140</f>
        <v>1195</v>
      </c>
      <c r="S140" s="1"/>
      <c r="T140" s="171"/>
    </row>
    <row r="141" spans="1:30" x14ac:dyDescent="0.25">
      <c r="A141" s="483"/>
      <c r="B141" s="484" t="s">
        <v>1073</v>
      </c>
      <c r="C141" s="485" t="s">
        <v>1566</v>
      </c>
      <c r="D141" s="485" t="s">
        <v>747</v>
      </c>
      <c r="E141" s="486" t="s">
        <v>1549</v>
      </c>
      <c r="F141" s="1"/>
      <c r="G141" s="171"/>
      <c r="H141" s="171"/>
      <c r="N141" s="3" t="s">
        <v>922</v>
      </c>
      <c r="O141" s="2"/>
      <c r="P141" s="6">
        <v>1</v>
      </c>
      <c r="Q141" s="66">
        <f>'AROS, CADENAS, DIJES, ETC'!O128</f>
        <v>2820</v>
      </c>
      <c r="R141" s="39">
        <f>Q141*P141</f>
        <v>2820</v>
      </c>
      <c r="S141" s="1"/>
      <c r="T141" s="171"/>
    </row>
    <row r="142" spans="1:30" x14ac:dyDescent="0.25">
      <c r="A142" s="3" t="s">
        <v>1913</v>
      </c>
      <c r="B142" s="2"/>
      <c r="C142" s="6">
        <v>1</v>
      </c>
      <c r="D142" s="66">
        <f>'AROS, CADENAS, DIJES, ETC'!C53</f>
        <v>4920</v>
      </c>
      <c r="E142" s="39">
        <f>D142*C142</f>
        <v>4920</v>
      </c>
      <c r="F142" s="1"/>
      <c r="G142" s="171"/>
      <c r="H142" s="171"/>
      <c r="N142" s="3" t="s">
        <v>1557</v>
      </c>
      <c r="O142" s="2"/>
      <c r="P142" s="6"/>
      <c r="Q142" s="66"/>
      <c r="R142" s="39">
        <f>PACKAGING!E3</f>
        <v>150</v>
      </c>
      <c r="S142" s="1"/>
      <c r="T142" s="171"/>
    </row>
    <row r="143" spans="1:30" ht="16.5" thickBot="1" x14ac:dyDescent="0.3">
      <c r="A143" s="3" t="s">
        <v>1557</v>
      </c>
      <c r="B143" s="2"/>
      <c r="C143" s="6"/>
      <c r="D143" s="66"/>
      <c r="E143" s="39">
        <f>PACKAGING!E3</f>
        <v>150</v>
      </c>
      <c r="F143" s="1"/>
      <c r="G143" s="171"/>
      <c r="H143" s="171"/>
      <c r="N143" s="79" t="s">
        <v>525</v>
      </c>
      <c r="O143" s="70"/>
      <c r="P143" s="85"/>
      <c r="Q143" s="85"/>
      <c r="R143" s="51">
        <f>SUM(R140:R142)</f>
        <v>4165</v>
      </c>
      <c r="S143" s="134"/>
      <c r="T143" s="171"/>
    </row>
    <row r="144" spans="1:30" ht="16.5" thickBot="1" x14ac:dyDescent="0.3">
      <c r="A144" s="3" t="s">
        <v>1538</v>
      </c>
      <c r="B144" s="2"/>
      <c r="C144" s="6"/>
      <c r="D144" s="66"/>
      <c r="E144" s="39">
        <f>PACKAGING!E9</f>
        <v>450</v>
      </c>
      <c r="F144" s="1"/>
      <c r="G144" s="171"/>
      <c r="H144" s="171"/>
      <c r="N144" s="275" t="s">
        <v>1559</v>
      </c>
      <c r="O144" s="269"/>
      <c r="P144" s="269"/>
      <c r="Q144" s="269"/>
      <c r="R144" s="518">
        <f>R143*2</f>
        <v>8330</v>
      </c>
      <c r="S144" s="519">
        <f>R144+R144*40%</f>
        <v>11662</v>
      </c>
      <c r="T144" s="516">
        <v>16000</v>
      </c>
    </row>
    <row r="145" spans="1:20" ht="16.5" thickBot="1" x14ac:dyDescent="0.3">
      <c r="A145" s="79" t="s">
        <v>525</v>
      </c>
      <c r="B145" s="70"/>
      <c r="C145" s="85"/>
      <c r="D145" s="85"/>
      <c r="E145" s="51">
        <f>SUM(E142:E144)</f>
        <v>5520</v>
      </c>
      <c r="F145" s="134"/>
      <c r="G145" s="171"/>
      <c r="H145" s="171"/>
    </row>
    <row r="146" spans="1:20" x14ac:dyDescent="0.25">
      <c r="A146" s="80" t="s">
        <v>1559</v>
      </c>
      <c r="B146" s="220"/>
      <c r="C146" s="220"/>
      <c r="D146" s="220"/>
      <c r="E146" s="72">
        <f>E145*2</f>
        <v>11040</v>
      </c>
      <c r="F146" s="496">
        <f>E146+E146*70%</f>
        <v>18768</v>
      </c>
      <c r="G146" s="494">
        <v>16000</v>
      </c>
      <c r="H146" s="171" t="s">
        <v>1916</v>
      </c>
      <c r="N146" s="1589" t="s">
        <v>215</v>
      </c>
      <c r="O146" s="1596"/>
      <c r="P146" s="1596"/>
      <c r="Q146" s="1596"/>
      <c r="R146" s="1590"/>
      <c r="S146" s="23"/>
      <c r="T146" s="171"/>
    </row>
    <row r="147" spans="1:20" ht="16.5" thickBot="1" x14ac:dyDescent="0.3">
      <c r="A147" s="211" t="s">
        <v>1559</v>
      </c>
      <c r="B147" s="276"/>
      <c r="C147" s="276"/>
      <c r="D147" s="276"/>
      <c r="E147" s="215"/>
      <c r="F147" s="497"/>
      <c r="G147" s="495">
        <v>18000</v>
      </c>
      <c r="H147" s="171" t="s">
        <v>1681</v>
      </c>
      <c r="N147" s="271" t="s">
        <v>916</v>
      </c>
      <c r="O147" s="272" t="s">
        <v>1073</v>
      </c>
      <c r="P147" s="273" t="s">
        <v>1547</v>
      </c>
      <c r="Q147" s="273" t="s">
        <v>1035</v>
      </c>
      <c r="R147" s="274" t="s">
        <v>1549</v>
      </c>
      <c r="S147" s="1"/>
      <c r="T147" s="171"/>
    </row>
    <row r="148" spans="1:20" ht="16.5" thickBot="1" x14ac:dyDescent="0.3">
      <c r="A148" s="171"/>
      <c r="B148" s="171"/>
      <c r="C148" s="171"/>
      <c r="D148" s="171"/>
      <c r="E148" s="171"/>
      <c r="F148" s="171"/>
      <c r="G148" s="171"/>
      <c r="H148" s="171"/>
      <c r="N148" s="3" t="s">
        <v>1897</v>
      </c>
      <c r="O148" s="2"/>
      <c r="P148" s="6">
        <v>1</v>
      </c>
      <c r="Q148" s="66">
        <f>'AROS, CADENAS, DIJES, ETC'!D96</f>
        <v>1195</v>
      </c>
      <c r="R148" s="39">
        <f>Q148</f>
        <v>1195</v>
      </c>
      <c r="S148" s="1"/>
      <c r="T148" s="171"/>
    </row>
    <row r="149" spans="1:20" x14ac:dyDescent="0.25">
      <c r="A149" s="1589" t="s">
        <v>99</v>
      </c>
      <c r="B149" s="1596"/>
      <c r="C149" s="1596"/>
      <c r="D149" s="1596"/>
      <c r="E149" s="1590"/>
      <c r="F149" s="23"/>
      <c r="G149" s="171"/>
      <c r="H149" s="171"/>
      <c r="N149" s="3" t="s">
        <v>922</v>
      </c>
      <c r="O149" s="2"/>
      <c r="P149" s="6">
        <v>1</v>
      </c>
      <c r="Q149" s="66">
        <f>'AROS, CADENAS, DIJES, ETC'!O130</f>
        <v>761</v>
      </c>
      <c r="R149" s="39">
        <f>Q149*P149</f>
        <v>761</v>
      </c>
      <c r="S149" s="1"/>
      <c r="T149" s="171"/>
    </row>
    <row r="150" spans="1:20" x14ac:dyDescent="0.25">
      <c r="A150" s="271"/>
      <c r="B150" s="272" t="s">
        <v>1073</v>
      </c>
      <c r="C150" s="273" t="s">
        <v>1566</v>
      </c>
      <c r="D150" s="273" t="s">
        <v>747</v>
      </c>
      <c r="E150" s="274" t="s">
        <v>1549</v>
      </c>
      <c r="F150" s="1"/>
      <c r="G150" s="171"/>
      <c r="H150" s="171"/>
      <c r="N150" s="3" t="s">
        <v>1557</v>
      </c>
      <c r="O150" s="2"/>
      <c r="P150" s="6"/>
      <c r="Q150" s="66"/>
      <c r="R150" s="39">
        <f>PACKAGING!E3</f>
        <v>150</v>
      </c>
      <c r="S150" s="1"/>
      <c r="T150" s="171"/>
    </row>
    <row r="151" spans="1:20" x14ac:dyDescent="0.25">
      <c r="A151" s="3" t="s">
        <v>1920</v>
      </c>
      <c r="B151" s="2"/>
      <c r="C151" s="6">
        <v>1</v>
      </c>
      <c r="D151" s="66">
        <f>'AROS, CADENAS, DIJES, ETC'!C19</f>
        <v>1209</v>
      </c>
      <c r="E151" s="39">
        <f>D151*C151</f>
        <v>1209</v>
      </c>
      <c r="F151" s="1"/>
      <c r="G151" s="171"/>
      <c r="H151" s="171"/>
      <c r="N151" s="3" t="s">
        <v>1538</v>
      </c>
      <c r="O151" s="2"/>
      <c r="P151" s="6"/>
      <c r="Q151" s="66"/>
      <c r="R151" s="39">
        <f>PACKAGING!E8</f>
        <v>420</v>
      </c>
      <c r="S151" s="1"/>
      <c r="T151" s="171"/>
    </row>
    <row r="152" spans="1:20" ht="16.5" thickBot="1" x14ac:dyDescent="0.3">
      <c r="A152" s="3" t="s">
        <v>1557</v>
      </c>
      <c r="B152" s="2"/>
      <c r="C152" s="6"/>
      <c r="D152" s="66"/>
      <c r="E152" s="39">
        <f>PACKAGING!E3</f>
        <v>150</v>
      </c>
      <c r="F152" s="1"/>
      <c r="G152" s="171"/>
      <c r="H152" s="171"/>
      <c r="N152" s="79" t="s">
        <v>525</v>
      </c>
      <c r="O152" s="70"/>
      <c r="P152" s="85"/>
      <c r="Q152" s="85"/>
      <c r="R152" s="51">
        <f>SUM(R148:R151)</f>
        <v>2526</v>
      </c>
      <c r="S152" s="134"/>
      <c r="T152" s="171"/>
    </row>
    <row r="153" spans="1:20" ht="16.5" thickBot="1" x14ac:dyDescent="0.3">
      <c r="A153" s="3" t="s">
        <v>1538</v>
      </c>
      <c r="B153" s="2"/>
      <c r="C153" s="6"/>
      <c r="D153" s="66"/>
      <c r="E153" s="39">
        <f>PACKAGING!E8</f>
        <v>420</v>
      </c>
      <c r="F153" s="1"/>
      <c r="G153" s="171"/>
      <c r="H153" s="171"/>
      <c r="N153" s="275" t="s">
        <v>1559</v>
      </c>
      <c r="O153" s="269"/>
      <c r="P153" s="269"/>
      <c r="Q153" s="269"/>
      <c r="R153" s="518">
        <f>R152*2</f>
        <v>5052</v>
      </c>
      <c r="S153" s="519">
        <f>R153+R153*50%</f>
        <v>7578</v>
      </c>
      <c r="T153" s="516">
        <v>7200</v>
      </c>
    </row>
    <row r="154" spans="1:20" ht="16.5" thickBot="1" x14ac:dyDescent="0.3">
      <c r="A154" s="79" t="s">
        <v>525</v>
      </c>
      <c r="B154" s="70"/>
      <c r="C154" s="85"/>
      <c r="D154" s="85"/>
      <c r="E154" s="51">
        <f>SUM(E151:E153)</f>
        <v>1779</v>
      </c>
      <c r="F154" s="134"/>
      <c r="G154" s="171"/>
      <c r="H154" s="171"/>
    </row>
    <row r="155" spans="1:20" ht="16.5" thickBot="1" x14ac:dyDescent="0.3">
      <c r="A155" s="80" t="s">
        <v>1559</v>
      </c>
      <c r="B155" s="220"/>
      <c r="C155" s="220"/>
      <c r="D155" s="220"/>
      <c r="E155" s="267">
        <f>E154*2</f>
        <v>3558</v>
      </c>
      <c r="F155" s="267">
        <f>E155+E155*70%</f>
        <v>6048.6</v>
      </c>
      <c r="G155" s="268">
        <v>6800</v>
      </c>
      <c r="H155" s="171"/>
      <c r="N155" s="1727" t="s">
        <v>217</v>
      </c>
      <c r="O155" s="1728"/>
      <c r="P155" s="1728"/>
      <c r="Q155" s="1728"/>
      <c r="R155" s="1729"/>
      <c r="S155" s="23"/>
      <c r="T155" s="171"/>
    </row>
    <row r="156" spans="1:20" x14ac:dyDescent="0.25">
      <c r="A156" s="171"/>
      <c r="B156" s="171"/>
      <c r="C156" s="171"/>
      <c r="D156" s="171"/>
      <c r="E156" s="171"/>
      <c r="F156" s="171"/>
      <c r="G156" s="171"/>
      <c r="H156" s="171"/>
      <c r="N156" s="501" t="s">
        <v>916</v>
      </c>
      <c r="O156" s="502" t="s">
        <v>1073</v>
      </c>
      <c r="P156" s="503" t="s">
        <v>1547</v>
      </c>
      <c r="Q156" s="503" t="s">
        <v>1035</v>
      </c>
      <c r="R156" s="504" t="s">
        <v>1549</v>
      </c>
      <c r="S156" s="1"/>
      <c r="T156" s="171"/>
    </row>
    <row r="157" spans="1:20" ht="16.5" thickBot="1" x14ac:dyDescent="0.3">
      <c r="A157" s="1602" t="s">
        <v>3024</v>
      </c>
      <c r="B157" s="1600"/>
      <c r="C157" s="1600"/>
      <c r="D157" s="1600"/>
      <c r="E157" s="1600"/>
      <c r="F157" s="1600"/>
      <c r="G157" s="171"/>
      <c r="H157" s="171"/>
      <c r="N157" s="3" t="s">
        <v>1897</v>
      </c>
      <c r="O157" s="2"/>
      <c r="P157" s="6">
        <v>1</v>
      </c>
      <c r="Q157" s="66">
        <f>'AROS, CADENAS, DIJES, ETC'!D96</f>
        <v>1195</v>
      </c>
      <c r="R157" s="39">
        <f>Q157</f>
        <v>1195</v>
      </c>
      <c r="S157" s="1"/>
      <c r="T157" s="171"/>
    </row>
    <row r="158" spans="1:20" x14ac:dyDescent="0.25">
      <c r="A158" s="483" t="s">
        <v>916</v>
      </c>
      <c r="B158" s="484" t="s">
        <v>1073</v>
      </c>
      <c r="C158" s="485" t="s">
        <v>1089</v>
      </c>
      <c r="D158" s="485" t="s">
        <v>1547</v>
      </c>
      <c r="E158" s="485" t="s">
        <v>1035</v>
      </c>
      <c r="F158" s="486" t="s">
        <v>1549</v>
      </c>
      <c r="G158" s="1"/>
      <c r="H158" s="171"/>
      <c r="N158" s="3" t="s">
        <v>3944</v>
      </c>
      <c r="O158" s="2"/>
      <c r="P158" s="6">
        <v>1</v>
      </c>
      <c r="Q158" s="66">
        <f>'AROS, CADENAS, DIJES, ETC'!O127</f>
        <v>1880</v>
      </c>
      <c r="R158" s="39">
        <f>Q158*P158</f>
        <v>1880</v>
      </c>
      <c r="S158" s="1"/>
      <c r="T158" s="171"/>
    </row>
    <row r="159" spans="1:20" x14ac:dyDescent="0.25">
      <c r="A159" s="3" t="s">
        <v>860</v>
      </c>
      <c r="B159" s="2"/>
      <c r="C159" s="6"/>
      <c r="D159" s="6" t="s">
        <v>1649</v>
      </c>
      <c r="E159" s="66">
        <f>'AROS, CADENAS, DIJES, ETC'!C132</f>
        <v>1141</v>
      </c>
      <c r="F159" s="39">
        <f>E159</f>
        <v>1141</v>
      </c>
      <c r="G159" s="1"/>
      <c r="H159" s="171"/>
      <c r="N159" s="3" t="s">
        <v>1557</v>
      </c>
      <c r="O159" s="2"/>
      <c r="P159" s="6"/>
      <c r="Q159" s="66"/>
      <c r="R159" s="39">
        <f>PACKAGING!E3</f>
        <v>150</v>
      </c>
      <c r="S159" s="1"/>
      <c r="T159" s="171"/>
    </row>
    <row r="160" spans="1:20" ht="16.5" thickBot="1" x14ac:dyDescent="0.3">
      <c r="A160" s="3" t="s">
        <v>1557</v>
      </c>
      <c r="B160" s="2"/>
      <c r="C160" s="6"/>
      <c r="D160" s="6"/>
      <c r="E160" s="66"/>
      <c r="F160" s="39">
        <f>PACKAGING!E3</f>
        <v>150</v>
      </c>
      <c r="G160" s="1"/>
      <c r="H160" s="171"/>
      <c r="N160" s="79" t="s">
        <v>525</v>
      </c>
      <c r="O160" s="70"/>
      <c r="P160" s="85"/>
      <c r="Q160" s="85"/>
      <c r="R160" s="51">
        <f>SUM(R157:R159)</f>
        <v>3225</v>
      </c>
      <c r="S160" s="134"/>
      <c r="T160" s="171"/>
    </row>
    <row r="161" spans="1:21" ht="16.5" thickBot="1" x14ac:dyDescent="0.3">
      <c r="A161" s="3" t="s">
        <v>1538</v>
      </c>
      <c r="B161" s="2"/>
      <c r="C161" s="6"/>
      <c r="D161" s="6"/>
      <c r="E161" s="66"/>
      <c r="F161" s="39">
        <f>PACKAGING!E8</f>
        <v>420</v>
      </c>
      <c r="G161" s="1"/>
      <c r="H161" s="171"/>
      <c r="N161" s="275" t="s">
        <v>1559</v>
      </c>
      <c r="O161" s="269"/>
      <c r="P161" s="269"/>
      <c r="Q161" s="269"/>
      <c r="R161" s="518">
        <f>R160*2</f>
        <v>6450</v>
      </c>
      <c r="S161" s="519">
        <f>R161+R161*60%</f>
        <v>10320</v>
      </c>
      <c r="T161" s="516">
        <v>16000</v>
      </c>
    </row>
    <row r="162" spans="1:21" ht="16.5" thickBot="1" x14ac:dyDescent="0.3">
      <c r="A162" s="79" t="s">
        <v>525</v>
      </c>
      <c r="B162" s="70"/>
      <c r="C162" s="85"/>
      <c r="D162" s="85"/>
      <c r="E162" s="85"/>
      <c r="F162" s="51">
        <f>SUM(F159:F161)</f>
        <v>1711</v>
      </c>
      <c r="G162" s="134"/>
      <c r="H162" s="171"/>
    </row>
    <row r="163" spans="1:21" x14ac:dyDescent="0.25">
      <c r="A163" s="80" t="s">
        <v>544</v>
      </c>
      <c r="B163" s="220"/>
      <c r="C163" s="220"/>
      <c r="D163" s="220"/>
      <c r="E163" s="220"/>
      <c r="F163" s="267">
        <f>F162*2</f>
        <v>3422</v>
      </c>
      <c r="G163" s="267">
        <f>F163+F163*70%</f>
        <v>5817.4</v>
      </c>
      <c r="H163" s="268">
        <v>12000</v>
      </c>
      <c r="N163" s="1589" t="s">
        <v>2179</v>
      </c>
      <c r="O163" s="1596"/>
      <c r="P163" s="1596"/>
      <c r="Q163" s="1596"/>
      <c r="R163" s="1590"/>
      <c r="S163" s="23"/>
      <c r="T163" s="171"/>
    </row>
    <row r="164" spans="1:21" ht="16.5" thickBot="1" x14ac:dyDescent="0.3">
      <c r="A164" s="275" t="s">
        <v>1559</v>
      </c>
      <c r="B164" s="269"/>
      <c r="C164" s="269"/>
      <c r="D164" s="269"/>
      <c r="E164" s="269"/>
      <c r="F164" s="270"/>
      <c r="G164" s="270"/>
      <c r="H164" s="281"/>
      <c r="N164" s="271" t="s">
        <v>916</v>
      </c>
      <c r="O164" s="272" t="s">
        <v>1073</v>
      </c>
      <c r="P164" s="273" t="s">
        <v>1547</v>
      </c>
      <c r="Q164" s="273" t="s">
        <v>1035</v>
      </c>
      <c r="R164" s="274" t="s">
        <v>1549</v>
      </c>
      <c r="S164" s="1"/>
      <c r="T164" s="171"/>
    </row>
    <row r="165" spans="1:21" ht="16.5" thickBot="1" x14ac:dyDescent="0.3">
      <c r="N165" s="3" t="s">
        <v>1897</v>
      </c>
      <c r="O165" s="2"/>
      <c r="P165" s="6">
        <v>1</v>
      </c>
      <c r="Q165" s="66">
        <f>'AROS, CADENAS, DIJES, ETC'!D81</f>
        <v>985</v>
      </c>
      <c r="R165" s="39">
        <f>Q165</f>
        <v>985</v>
      </c>
      <c r="S165" s="1"/>
      <c r="T165" s="171"/>
    </row>
    <row r="166" spans="1:21" x14ac:dyDescent="0.25">
      <c r="A166" s="1589" t="s">
        <v>1922</v>
      </c>
      <c r="B166" s="1596"/>
      <c r="C166" s="1596"/>
      <c r="D166" s="1596"/>
      <c r="E166" s="1590"/>
      <c r="F166" s="23"/>
      <c r="G166" s="171"/>
      <c r="H166" s="171"/>
      <c r="N166" s="3" t="s">
        <v>1557</v>
      </c>
      <c r="O166" s="2"/>
      <c r="P166" s="6"/>
      <c r="Q166" s="66"/>
      <c r="R166" s="39">
        <f>PACKAGING!E3</f>
        <v>150</v>
      </c>
      <c r="S166" s="1"/>
      <c r="T166" s="171"/>
    </row>
    <row r="167" spans="1:21" x14ac:dyDescent="0.25">
      <c r="A167" s="271" t="s">
        <v>916</v>
      </c>
      <c r="B167" s="272" t="s">
        <v>1073</v>
      </c>
      <c r="C167" s="273" t="s">
        <v>1547</v>
      </c>
      <c r="D167" s="273" t="s">
        <v>1035</v>
      </c>
      <c r="E167" s="274" t="s">
        <v>1549</v>
      </c>
      <c r="F167" s="1"/>
      <c r="G167" s="171"/>
      <c r="H167" s="171"/>
      <c r="N167" s="3" t="s">
        <v>1538</v>
      </c>
      <c r="O167" s="2"/>
      <c r="P167" s="6"/>
      <c r="Q167" s="66"/>
      <c r="R167" s="39">
        <f>PACKAGING!E8</f>
        <v>420</v>
      </c>
      <c r="S167" s="1"/>
      <c r="T167" s="171"/>
    </row>
    <row r="168" spans="1:21" ht="16.5" thickBot="1" x14ac:dyDescent="0.3">
      <c r="A168" s="3" t="s">
        <v>1923</v>
      </c>
      <c r="B168" s="2"/>
      <c r="C168" s="6">
        <v>1</v>
      </c>
      <c r="D168" s="66">
        <f>'AROS, CADENAS, DIJES, ETC'!D128</f>
        <v>2866</v>
      </c>
      <c r="E168" s="39">
        <f>D168</f>
        <v>2866</v>
      </c>
      <c r="F168" s="1"/>
      <c r="G168" s="171"/>
      <c r="H168" s="171"/>
      <c r="N168" s="79" t="s">
        <v>525</v>
      </c>
      <c r="O168" s="70"/>
      <c r="P168" s="85"/>
      <c r="Q168" s="85"/>
      <c r="R168" s="51">
        <f>SUM(R165:R167)</f>
        <v>1555</v>
      </c>
      <c r="S168" s="134"/>
      <c r="T168" s="171"/>
    </row>
    <row r="169" spans="1:21" ht="16.5" thickBot="1" x14ac:dyDescent="0.3">
      <c r="A169" s="3" t="s">
        <v>1902</v>
      </c>
      <c r="B169" s="2"/>
      <c r="C169" s="6">
        <v>1</v>
      </c>
      <c r="D169" s="66">
        <f>'AROS, CADENAS, DIJES, ETC'!D127</f>
        <v>207</v>
      </c>
      <c r="E169" s="39">
        <f>D169*C169</f>
        <v>207</v>
      </c>
      <c r="F169" s="1"/>
      <c r="G169" s="171"/>
      <c r="H169" s="171"/>
      <c r="N169" s="275" t="s">
        <v>1559</v>
      </c>
      <c r="O169" s="269"/>
      <c r="P169" s="269"/>
      <c r="Q169" s="269"/>
      <c r="R169" s="518">
        <f>R168*2</f>
        <v>3110</v>
      </c>
      <c r="S169" s="519">
        <f>R169+R169*70%</f>
        <v>5287</v>
      </c>
      <c r="T169" s="516">
        <v>7200</v>
      </c>
    </row>
    <row r="170" spans="1:21" ht="16.5" thickBot="1" x14ac:dyDescent="0.3">
      <c r="A170" s="3" t="s">
        <v>1557</v>
      </c>
      <c r="B170" s="2"/>
      <c r="C170" s="6"/>
      <c r="D170" s="66"/>
      <c r="E170" s="39">
        <f>PACKAGING!E3</f>
        <v>150</v>
      </c>
      <c r="F170" s="1"/>
      <c r="G170" s="171"/>
      <c r="H170" s="171"/>
    </row>
    <row r="171" spans="1:21" x14ac:dyDescent="0.25">
      <c r="A171" s="3" t="s">
        <v>1538</v>
      </c>
      <c r="B171" s="2"/>
      <c r="C171" s="6"/>
      <c r="D171" s="66"/>
      <c r="E171" s="39">
        <f>PACKAGING!E8</f>
        <v>420</v>
      </c>
      <c r="F171" s="1"/>
      <c r="G171" s="171"/>
      <c r="H171" s="171"/>
      <c r="N171" s="1589" t="s">
        <v>2180</v>
      </c>
      <c r="O171" s="1596"/>
      <c r="P171" s="1596"/>
      <c r="Q171" s="1596"/>
      <c r="R171" s="1590"/>
      <c r="S171" s="23"/>
      <c r="T171" s="171"/>
    </row>
    <row r="172" spans="1:21" ht="16.5" thickBot="1" x14ac:dyDescent="0.3">
      <c r="A172" s="79" t="s">
        <v>525</v>
      </c>
      <c r="B172" s="70"/>
      <c r="C172" s="85"/>
      <c r="D172" s="85"/>
      <c r="E172" s="51">
        <f>SUM(E168:E171)</f>
        <v>3643</v>
      </c>
      <c r="F172" s="134"/>
      <c r="G172" s="171"/>
      <c r="H172" s="171"/>
      <c r="N172" s="271" t="s">
        <v>916</v>
      </c>
      <c r="O172" s="272" t="s">
        <v>1073</v>
      </c>
      <c r="P172" s="273" t="s">
        <v>1547</v>
      </c>
      <c r="Q172" s="273" t="s">
        <v>1035</v>
      </c>
      <c r="R172" s="274" t="s">
        <v>1549</v>
      </c>
      <c r="S172" s="1"/>
      <c r="T172" s="171"/>
      <c r="U172" s="171"/>
    </row>
    <row r="173" spans="1:21" x14ac:dyDescent="0.25">
      <c r="A173" s="80" t="s">
        <v>544</v>
      </c>
      <c r="B173" s="220"/>
      <c r="C173" s="220"/>
      <c r="D173" s="220"/>
      <c r="E173" s="267">
        <f>E172*2</f>
        <v>7286</v>
      </c>
      <c r="F173" s="473">
        <f>E173+E173*50%</f>
        <v>10929</v>
      </c>
      <c r="G173" s="268">
        <v>6000</v>
      </c>
      <c r="H173" s="171"/>
      <c r="N173" s="3" t="s">
        <v>1897</v>
      </c>
      <c r="O173" s="2"/>
      <c r="P173" s="6">
        <v>1</v>
      </c>
      <c r="Q173" s="66">
        <f>'AROS, CADENAS, DIJES, ETC'!D81</f>
        <v>985</v>
      </c>
      <c r="R173" s="39">
        <f>Q173</f>
        <v>985</v>
      </c>
      <c r="S173" s="1"/>
      <c r="T173" s="171"/>
    </row>
    <row r="174" spans="1:21" ht="16.5" thickBot="1" x14ac:dyDescent="0.3">
      <c r="A174" s="275" t="s">
        <v>1559</v>
      </c>
      <c r="B174" s="269"/>
      <c r="C174" s="269"/>
      <c r="D174" s="269"/>
      <c r="E174" s="270"/>
      <c r="F174" s="474"/>
      <c r="G174" s="281">
        <f>G173*2</f>
        <v>12000</v>
      </c>
      <c r="H174" s="171"/>
      <c r="N174" s="3" t="s">
        <v>1557</v>
      </c>
      <c r="O174" s="2"/>
      <c r="P174" s="6"/>
      <c r="Q174" s="66"/>
      <c r="R174" s="39">
        <f>PACKAGING!E3</f>
        <v>150</v>
      </c>
      <c r="S174" s="1"/>
      <c r="T174" s="171"/>
    </row>
    <row r="175" spans="1:21" ht="16.5" thickBot="1" x14ac:dyDescent="0.3">
      <c r="A175" s="171"/>
      <c r="B175" s="171"/>
      <c r="C175" s="171"/>
      <c r="D175" s="171"/>
      <c r="E175" s="171"/>
      <c r="F175" s="171"/>
      <c r="G175" s="171"/>
      <c r="H175" s="171"/>
      <c r="N175" s="3" t="s">
        <v>1538</v>
      </c>
      <c r="O175" s="2"/>
      <c r="P175" s="6"/>
      <c r="Q175" s="66"/>
      <c r="R175" s="39">
        <f>PACKAGING!E8</f>
        <v>420</v>
      </c>
      <c r="S175" s="1"/>
      <c r="T175" s="171"/>
    </row>
    <row r="176" spans="1:21" ht="16.5" thickBot="1" x14ac:dyDescent="0.3">
      <c r="A176" s="1589" t="s">
        <v>283</v>
      </c>
      <c r="B176" s="1596"/>
      <c r="C176" s="1596"/>
      <c r="D176" s="1596"/>
      <c r="E176" s="1590"/>
      <c r="F176" s="23"/>
      <c r="G176" s="171"/>
      <c r="H176" s="171"/>
      <c r="N176" s="79" t="s">
        <v>525</v>
      </c>
      <c r="O176" s="70"/>
      <c r="P176" s="85"/>
      <c r="Q176" s="85"/>
      <c r="R176" s="51">
        <f>SUM(R173:R175)</f>
        <v>1555</v>
      </c>
      <c r="S176" s="134"/>
      <c r="T176" s="171"/>
    </row>
    <row r="177" spans="1:20" ht="16.5" thickBot="1" x14ac:dyDescent="0.3">
      <c r="A177" s="271" t="s">
        <v>916</v>
      </c>
      <c r="B177" s="272" t="s">
        <v>1073</v>
      </c>
      <c r="C177" s="273" t="s">
        <v>1547</v>
      </c>
      <c r="D177" s="273" t="s">
        <v>1035</v>
      </c>
      <c r="E177" s="274" t="s">
        <v>1549</v>
      </c>
      <c r="F177" s="1"/>
      <c r="G177" s="171"/>
      <c r="H177" s="171"/>
      <c r="N177" s="275" t="s">
        <v>1559</v>
      </c>
      <c r="O177" s="269"/>
      <c r="P177" s="269"/>
      <c r="Q177" s="269"/>
      <c r="R177" s="518">
        <f>R176*2</f>
        <v>3110</v>
      </c>
      <c r="S177" s="519">
        <f>R177+R177*70%</f>
        <v>5287</v>
      </c>
      <c r="T177" s="516">
        <f>T169</f>
        <v>7200</v>
      </c>
    </row>
    <row r="178" spans="1:20" ht="16.5" thickBot="1" x14ac:dyDescent="0.3">
      <c r="A178" s="3" t="s">
        <v>899</v>
      </c>
      <c r="B178" s="2"/>
      <c r="C178" s="6">
        <v>1</v>
      </c>
      <c r="D178" s="66">
        <f>'AROS, CADENAS, DIJES, ETC'!C99</f>
        <v>924</v>
      </c>
      <c r="E178" s="39">
        <f>D178</f>
        <v>924</v>
      </c>
      <c r="F178" s="1"/>
      <c r="G178" s="171"/>
      <c r="H178" s="171"/>
    </row>
    <row r="179" spans="1:20" x14ac:dyDescent="0.25">
      <c r="A179" s="3" t="s">
        <v>1924</v>
      </c>
      <c r="B179" s="2"/>
      <c r="C179" s="6">
        <v>6</v>
      </c>
      <c r="D179" s="66">
        <f>'AROS, CADENAS, DIJES, ETC'!O47</f>
        <v>68</v>
      </c>
      <c r="E179" s="39">
        <f>D179*C179</f>
        <v>408</v>
      </c>
      <c r="F179" s="1"/>
      <c r="G179" s="171"/>
      <c r="H179" s="171"/>
      <c r="N179" s="1589" t="s">
        <v>181</v>
      </c>
      <c r="O179" s="1596"/>
      <c r="P179" s="1596"/>
      <c r="Q179" s="1596"/>
      <c r="R179" s="1590"/>
      <c r="S179" s="23"/>
      <c r="T179" s="171"/>
    </row>
    <row r="180" spans="1:20" x14ac:dyDescent="0.25">
      <c r="A180" s="3" t="s">
        <v>1557</v>
      </c>
      <c r="B180" s="2"/>
      <c r="C180" s="6"/>
      <c r="D180" s="66"/>
      <c r="E180" s="39">
        <f>PACKAGING!E3</f>
        <v>150</v>
      </c>
      <c r="F180" s="1"/>
      <c r="G180" s="171"/>
      <c r="H180" s="171"/>
      <c r="N180" s="271" t="s">
        <v>916</v>
      </c>
      <c r="O180" s="272" t="s">
        <v>1073</v>
      </c>
      <c r="P180" s="273" t="s">
        <v>1547</v>
      </c>
      <c r="Q180" s="273" t="s">
        <v>1035</v>
      </c>
      <c r="R180" s="274" t="s">
        <v>1549</v>
      </c>
      <c r="S180" s="1"/>
      <c r="T180" s="171"/>
    </row>
    <row r="181" spans="1:20" x14ac:dyDescent="0.25">
      <c r="A181" s="3" t="s">
        <v>1538</v>
      </c>
      <c r="B181" s="2"/>
      <c r="C181" s="6"/>
      <c r="D181" s="66"/>
      <c r="E181" s="39">
        <f>PACKAGING!E8</f>
        <v>420</v>
      </c>
      <c r="F181" s="1"/>
      <c r="G181" s="171"/>
      <c r="H181" s="171"/>
      <c r="N181" s="3" t="s">
        <v>1897</v>
      </c>
      <c r="O181" s="2"/>
      <c r="P181" s="6">
        <v>1</v>
      </c>
      <c r="Q181" s="66">
        <f>'AROS, CADENAS, DIJES, ETC'!D83</f>
        <v>1024.5</v>
      </c>
      <c r="R181" s="39">
        <f>Q181</f>
        <v>1024.5</v>
      </c>
      <c r="S181" s="1"/>
      <c r="T181" s="171"/>
    </row>
    <row r="182" spans="1:20" x14ac:dyDescent="0.25">
      <c r="A182" s="3" t="s">
        <v>1558</v>
      </c>
      <c r="B182" s="2">
        <v>60</v>
      </c>
      <c r="C182" s="6">
        <v>4</v>
      </c>
      <c r="D182" s="66">
        <f>'INSUMOS VARIOS'!B3</f>
        <v>3500</v>
      </c>
      <c r="E182" s="39">
        <f>D182*C182/B182</f>
        <v>233.33333333333334</v>
      </c>
      <c r="F182" s="1"/>
      <c r="G182" s="171"/>
      <c r="H182" s="171"/>
      <c r="N182" s="3" t="s">
        <v>1557</v>
      </c>
      <c r="O182" s="2"/>
      <c r="P182" s="6"/>
      <c r="Q182" s="66"/>
      <c r="R182" s="39">
        <f>PACKAGING!E3</f>
        <v>150</v>
      </c>
      <c r="S182" s="1"/>
      <c r="T182" s="171"/>
    </row>
    <row r="183" spans="1:20" ht="16.5" thickBot="1" x14ac:dyDescent="0.3">
      <c r="A183" s="79" t="s">
        <v>525</v>
      </c>
      <c r="B183" s="70"/>
      <c r="C183" s="85"/>
      <c r="D183" s="85"/>
      <c r="E183" s="51">
        <f>SUM(E178:E182)</f>
        <v>2135.3333333333335</v>
      </c>
      <c r="F183" s="134"/>
      <c r="G183" s="171"/>
      <c r="H183" s="171"/>
      <c r="N183" s="3" t="s">
        <v>1538</v>
      </c>
      <c r="O183" s="2"/>
      <c r="P183" s="6"/>
      <c r="Q183" s="66"/>
      <c r="R183" s="39">
        <f>PACKAGING!E8</f>
        <v>420</v>
      </c>
      <c r="S183" s="1"/>
      <c r="T183" s="171"/>
    </row>
    <row r="184" spans="1:20" ht="16.5" thickBot="1" x14ac:dyDescent="0.3">
      <c r="A184" s="80" t="s">
        <v>544</v>
      </c>
      <c r="B184" s="220"/>
      <c r="C184" s="220"/>
      <c r="D184" s="220"/>
      <c r="E184" s="221">
        <f>E183*2</f>
        <v>4270.666666666667</v>
      </c>
      <c r="F184" s="492">
        <f>E184+E184*50%</f>
        <v>6406</v>
      </c>
      <c r="G184" s="268">
        <v>8500</v>
      </c>
      <c r="H184" s="171"/>
      <c r="N184" s="79" t="s">
        <v>525</v>
      </c>
      <c r="O184" s="70"/>
      <c r="P184" s="85"/>
      <c r="Q184" s="85"/>
      <c r="R184" s="51">
        <f>SUM(R181:R183)</f>
        <v>1594.5</v>
      </c>
      <c r="S184" s="134"/>
      <c r="T184" s="171"/>
    </row>
    <row r="185" spans="1:20" ht="16.5" thickBot="1" x14ac:dyDescent="0.3">
      <c r="A185" s="275" t="s">
        <v>1559</v>
      </c>
      <c r="B185" s="269"/>
      <c r="C185" s="269"/>
      <c r="D185" s="269"/>
      <c r="E185" s="488"/>
      <c r="F185" s="493"/>
      <c r="G185" s="281">
        <f>G184*2</f>
        <v>17000</v>
      </c>
      <c r="H185" s="171"/>
      <c r="N185" s="275" t="s">
        <v>1559</v>
      </c>
      <c r="O185" s="269"/>
      <c r="P185" s="269"/>
      <c r="Q185" s="269"/>
      <c r="R185" s="518">
        <f>R184*2</f>
        <v>3189</v>
      </c>
      <c r="S185" s="519">
        <f>R185+R185*70%</f>
        <v>5421.2999999999993</v>
      </c>
      <c r="T185" s="516">
        <v>7200</v>
      </c>
    </row>
    <row r="186" spans="1:20" ht="16.5" thickBot="1" x14ac:dyDescent="0.3">
      <c r="A186" s="325"/>
      <c r="B186" s="174"/>
      <c r="C186" s="174"/>
      <c r="D186" s="174"/>
      <c r="E186" s="175"/>
      <c r="F186" s="175"/>
      <c r="G186" s="746"/>
      <c r="H186" s="171"/>
    </row>
    <row r="187" spans="1:20" x14ac:dyDescent="0.25">
      <c r="A187" s="1601" t="s">
        <v>133</v>
      </c>
      <c r="B187" s="1588"/>
      <c r="C187" s="1588"/>
      <c r="D187" s="1588"/>
      <c r="E187" s="1588"/>
      <c r="F187" s="1588"/>
      <c r="G187" s="171"/>
      <c r="H187" s="171"/>
      <c r="N187" s="1589" t="s">
        <v>2274</v>
      </c>
      <c r="O187" s="1596"/>
      <c r="P187" s="1596"/>
      <c r="Q187" s="1596"/>
      <c r="R187" s="1590"/>
      <c r="S187" s="23"/>
      <c r="T187" s="171"/>
    </row>
    <row r="188" spans="1:20" x14ac:dyDescent="0.25">
      <c r="A188" s="289"/>
      <c r="B188" s="290" t="s">
        <v>1073</v>
      </c>
      <c r="C188" s="318" t="s">
        <v>1089</v>
      </c>
      <c r="D188" s="318" t="s">
        <v>1566</v>
      </c>
      <c r="E188" s="318" t="s">
        <v>747</v>
      </c>
      <c r="F188" s="291" t="s">
        <v>1549</v>
      </c>
      <c r="G188" s="194"/>
      <c r="H188" s="171"/>
      <c r="N188" s="271" t="s">
        <v>916</v>
      </c>
      <c r="O188" s="272" t="s">
        <v>1073</v>
      </c>
      <c r="P188" s="273" t="s">
        <v>1547</v>
      </c>
      <c r="Q188" s="273" t="s">
        <v>1035</v>
      </c>
      <c r="R188" s="274" t="s">
        <v>1549</v>
      </c>
      <c r="S188" s="1"/>
      <c r="T188" s="171"/>
    </row>
    <row r="189" spans="1:20" x14ac:dyDescent="0.25">
      <c r="A189" s="3" t="s">
        <v>1648</v>
      </c>
      <c r="B189" s="2" t="s">
        <v>785</v>
      </c>
      <c r="C189" s="6"/>
      <c r="D189" s="6" t="s">
        <v>1649</v>
      </c>
      <c r="E189" s="66">
        <f>'AROS, CADENAS, DIJES, ETC'!C8</f>
        <v>2800</v>
      </c>
      <c r="F189" s="39">
        <f>E189</f>
        <v>2800</v>
      </c>
      <c r="G189" s="1"/>
      <c r="H189" s="171"/>
      <c r="N189" s="3" t="s">
        <v>1897</v>
      </c>
      <c r="O189" s="2"/>
      <c r="P189" s="6">
        <v>1</v>
      </c>
      <c r="Q189" s="66">
        <f>'AROS, CADENAS, DIJES, ETC'!D96</f>
        <v>1195</v>
      </c>
      <c r="R189" s="39">
        <f>Q189</f>
        <v>1195</v>
      </c>
      <c r="S189" s="1"/>
      <c r="T189" s="171"/>
    </row>
    <row r="190" spans="1:20" x14ac:dyDescent="0.25">
      <c r="A190" s="3" t="s">
        <v>3111</v>
      </c>
      <c r="B190" s="2"/>
      <c r="C190" s="6"/>
      <c r="D190" s="6">
        <v>2</v>
      </c>
      <c r="E190" s="66">
        <f>FORNITURAS!D15</f>
        <v>142</v>
      </c>
      <c r="F190" s="39">
        <f>E190*D190</f>
        <v>284</v>
      </c>
      <c r="G190" s="1"/>
      <c r="H190" s="171"/>
      <c r="N190" s="3" t="s">
        <v>882</v>
      </c>
      <c r="O190" s="2"/>
      <c r="P190" s="6">
        <v>1</v>
      </c>
      <c r="Q190" s="66">
        <f>'AROS, CADENAS, DIJES, ETC'!O119</f>
        <v>860</v>
      </c>
      <c r="R190" s="39">
        <f>Q190*P190</f>
        <v>860</v>
      </c>
      <c r="S190" s="1"/>
      <c r="T190" s="171"/>
    </row>
    <row r="191" spans="1:20" x14ac:dyDescent="0.25">
      <c r="A191" s="3" t="s">
        <v>1748</v>
      </c>
      <c r="B191" s="2"/>
      <c r="C191" s="6"/>
      <c r="D191" s="6">
        <v>2</v>
      </c>
      <c r="E191" s="66">
        <f>'PERLAS 2'!O7</f>
        <v>146.77966101694915</v>
      </c>
      <c r="F191" s="39">
        <f>E191*D191</f>
        <v>293.5593220338983</v>
      </c>
      <c r="G191" s="1"/>
      <c r="H191" s="171"/>
      <c r="N191" s="3" t="s">
        <v>1557</v>
      </c>
      <c r="O191" s="2"/>
      <c r="P191" s="6"/>
      <c r="Q191" s="66"/>
      <c r="R191" s="39">
        <f>PACKAGING!E3</f>
        <v>150</v>
      </c>
      <c r="S191" s="1"/>
      <c r="T191" s="171"/>
    </row>
    <row r="192" spans="1:20" x14ac:dyDescent="0.25">
      <c r="A192" s="2" t="s">
        <v>1557</v>
      </c>
      <c r="B192" s="2"/>
      <c r="C192" s="6"/>
      <c r="D192" s="6"/>
      <c r="E192" s="66"/>
      <c r="F192" s="39">
        <f>PACKAGING!E3</f>
        <v>150</v>
      </c>
      <c r="G192" s="1"/>
      <c r="H192" s="171"/>
      <c r="N192" s="3" t="s">
        <v>1538</v>
      </c>
      <c r="O192" s="2"/>
      <c r="P192" s="6"/>
      <c r="Q192" s="66"/>
      <c r="R192" s="39">
        <f>PACKAGING!E8</f>
        <v>420</v>
      </c>
      <c r="S192" s="1"/>
      <c r="T192" s="171"/>
    </row>
    <row r="193" spans="1:20" ht="16.5" thickBot="1" x14ac:dyDescent="0.3">
      <c r="A193" s="2" t="s">
        <v>3568</v>
      </c>
      <c r="B193" s="2"/>
      <c r="C193" s="6"/>
      <c r="D193" s="6"/>
      <c r="E193" s="66"/>
      <c r="F193" s="39">
        <f>PACKAGING!I5</f>
        <v>845</v>
      </c>
      <c r="G193" s="60"/>
      <c r="H193" s="171"/>
      <c r="N193" s="79" t="s">
        <v>525</v>
      </c>
      <c r="O193" s="70"/>
      <c r="P193" s="85"/>
      <c r="Q193" s="85"/>
      <c r="R193" s="51">
        <f>SUM(R189:R192)</f>
        <v>2625</v>
      </c>
      <c r="S193" s="134"/>
      <c r="T193" s="171"/>
    </row>
    <row r="194" spans="1:20" ht="16.5" thickBot="1" x14ac:dyDescent="0.3">
      <c r="A194" s="3" t="s">
        <v>1558</v>
      </c>
      <c r="B194" s="2">
        <v>60</v>
      </c>
      <c r="C194" s="6">
        <v>20</v>
      </c>
      <c r="D194" s="6"/>
      <c r="E194" s="66">
        <f>'INSUMOS VARIOS'!B3</f>
        <v>3500</v>
      </c>
      <c r="F194" s="39">
        <f>E194*C194/B194</f>
        <v>1166.6666666666667</v>
      </c>
      <c r="G194" s="1"/>
      <c r="H194" s="171"/>
      <c r="N194" s="275" t="s">
        <v>1559</v>
      </c>
      <c r="O194" s="269"/>
      <c r="P194" s="269"/>
      <c r="Q194" s="269"/>
      <c r="R194" s="518">
        <f>R193*2</f>
        <v>5250</v>
      </c>
      <c r="S194" s="519">
        <f>R194+R194*70%</f>
        <v>8925</v>
      </c>
      <c r="T194" s="516">
        <v>8600</v>
      </c>
    </row>
    <row r="195" spans="1:20" ht="16.5" thickBot="1" x14ac:dyDescent="0.3">
      <c r="A195" s="292" t="s">
        <v>525</v>
      </c>
      <c r="B195" s="293"/>
      <c r="C195" s="304"/>
      <c r="D195" s="304"/>
      <c r="E195" s="304"/>
      <c r="F195" s="294">
        <f>SUM(F189:F194)</f>
        <v>5539.2259887005648</v>
      </c>
      <c r="G195" s="38"/>
      <c r="H195" s="171"/>
    </row>
    <row r="196" spans="1:20" ht="16.5" thickBot="1" x14ac:dyDescent="0.3">
      <c r="A196" s="295" t="s">
        <v>544</v>
      </c>
      <c r="B196" s="296"/>
      <c r="C196" s="296"/>
      <c r="D196" s="296"/>
      <c r="E196" s="296"/>
      <c r="F196" s="297">
        <f>F195*2</f>
        <v>11078.45197740113</v>
      </c>
      <c r="G196" s="512">
        <f>F196+F196*50%</f>
        <v>16617.677966101695</v>
      </c>
      <c r="H196" s="510">
        <v>10000</v>
      </c>
    </row>
    <row r="197" spans="1:20" ht="16.5" thickBot="1" x14ac:dyDescent="0.3">
      <c r="A197" s="299" t="s">
        <v>1559</v>
      </c>
      <c r="B197" s="300"/>
      <c r="C197" s="300"/>
      <c r="D197" s="300"/>
      <c r="E197" s="300"/>
      <c r="F197" s="301"/>
      <c r="G197" s="513"/>
      <c r="H197" s="511">
        <f>H196*2</f>
        <v>20000</v>
      </c>
      <c r="N197" s="1585" t="s">
        <v>3010</v>
      </c>
      <c r="O197" s="1586"/>
      <c r="P197" s="1586"/>
      <c r="Q197" s="1586"/>
      <c r="R197" s="1587"/>
      <c r="S197" s="23"/>
      <c r="T197" s="171"/>
    </row>
    <row r="198" spans="1:20" x14ac:dyDescent="0.25">
      <c r="A198" s="325"/>
      <c r="B198" s="174"/>
      <c r="C198" s="174"/>
      <c r="D198" s="174"/>
      <c r="E198" s="175"/>
      <c r="F198" s="175"/>
      <c r="G198" s="746"/>
      <c r="H198" s="171"/>
      <c r="N198" s="483" t="s">
        <v>916</v>
      </c>
      <c r="O198" s="484" t="s">
        <v>1073</v>
      </c>
      <c r="P198" s="485" t="s">
        <v>1547</v>
      </c>
      <c r="Q198" s="485" t="s">
        <v>1035</v>
      </c>
      <c r="R198" s="486" t="s">
        <v>1549</v>
      </c>
      <c r="S198" s="1"/>
      <c r="T198" s="171"/>
    </row>
    <row r="199" spans="1:20" x14ac:dyDescent="0.25">
      <c r="A199" s="1688" t="s">
        <v>134</v>
      </c>
      <c r="B199" s="1571"/>
      <c r="C199" s="1571"/>
      <c r="D199" s="1571"/>
      <c r="E199" s="1571"/>
      <c r="F199" s="171"/>
      <c r="G199" s="171"/>
      <c r="H199" s="171"/>
      <c r="N199" s="3" t="s">
        <v>1901</v>
      </c>
      <c r="O199" s="2"/>
      <c r="P199" s="6">
        <v>1</v>
      </c>
      <c r="Q199" s="66">
        <f>'AROS, CADENAS, DIJES, ETC'!D102</f>
        <v>1619</v>
      </c>
      <c r="R199" s="39">
        <f>Q199</f>
        <v>1619</v>
      </c>
      <c r="S199" s="1"/>
      <c r="T199" s="171"/>
    </row>
    <row r="200" spans="1:20" x14ac:dyDescent="0.25">
      <c r="A200" s="271" t="s">
        <v>916</v>
      </c>
      <c r="B200" s="272" t="s">
        <v>1073</v>
      </c>
      <c r="C200" s="273" t="s">
        <v>1547</v>
      </c>
      <c r="D200" s="273" t="s">
        <v>1035</v>
      </c>
      <c r="E200" s="274" t="s">
        <v>1549</v>
      </c>
      <c r="F200" s="1"/>
      <c r="G200" s="171"/>
      <c r="H200" s="171"/>
      <c r="N200" s="3" t="s">
        <v>900</v>
      </c>
      <c r="O200" s="2"/>
      <c r="P200" s="6">
        <v>1</v>
      </c>
      <c r="Q200" s="66">
        <f>'AROS, CADENAS, DIJES, ETC'!O39</f>
        <v>1800</v>
      </c>
      <c r="R200" s="39">
        <f>Q200*P200</f>
        <v>1800</v>
      </c>
      <c r="S200" s="1"/>
      <c r="T200" s="171"/>
    </row>
    <row r="201" spans="1:20" x14ac:dyDescent="0.25">
      <c r="A201" s="3" t="s">
        <v>748</v>
      </c>
      <c r="B201" s="2" t="s">
        <v>789</v>
      </c>
      <c r="C201" s="6">
        <v>1</v>
      </c>
      <c r="D201" s="66">
        <f>'AROS, CADENAS, DIJES, ETC'!C4</f>
        <v>1200</v>
      </c>
      <c r="E201" s="39">
        <f>D201*C201</f>
        <v>1200</v>
      </c>
      <c r="F201" s="1"/>
      <c r="G201" s="171"/>
      <c r="H201" s="171"/>
      <c r="N201" s="3" t="s">
        <v>1557</v>
      </c>
      <c r="O201" s="2"/>
      <c r="P201" s="6"/>
      <c r="Q201" s="66"/>
      <c r="R201" s="39">
        <f>PACKAGING!E3</f>
        <v>150</v>
      </c>
      <c r="S201" s="1"/>
      <c r="T201" s="171"/>
    </row>
    <row r="202" spans="1:20" x14ac:dyDescent="0.25">
      <c r="A202" s="3" t="s">
        <v>1691</v>
      </c>
      <c r="B202" s="2"/>
      <c r="C202" s="6">
        <v>2</v>
      </c>
      <c r="D202" s="66">
        <f>'PERLAS 2'!H33</f>
        <v>625</v>
      </c>
      <c r="E202" s="39">
        <f>D202*C202</f>
        <v>1250</v>
      </c>
      <c r="F202" s="1"/>
      <c r="G202" s="171"/>
      <c r="H202" s="171"/>
      <c r="N202" s="3" t="s">
        <v>1538</v>
      </c>
      <c r="O202" s="2"/>
      <c r="P202" s="6"/>
      <c r="Q202" s="66"/>
      <c r="R202" s="39">
        <f>PACKAGING!E8</f>
        <v>420</v>
      </c>
      <c r="S202" s="1"/>
      <c r="T202" s="171"/>
    </row>
    <row r="203" spans="1:20" ht="16.5" thickBot="1" x14ac:dyDescent="0.3">
      <c r="A203" s="3" t="s">
        <v>1743</v>
      </c>
      <c r="B203" s="2" t="s">
        <v>1887</v>
      </c>
      <c r="C203" s="6">
        <v>2</v>
      </c>
      <c r="D203" s="66">
        <f>FORNITURAS!D15</f>
        <v>142</v>
      </c>
      <c r="E203" s="39">
        <f>D203*C203</f>
        <v>284</v>
      </c>
      <c r="F203" s="171"/>
      <c r="G203" s="171"/>
      <c r="H203" s="171"/>
      <c r="N203" s="79" t="s">
        <v>525</v>
      </c>
      <c r="O203" s="70"/>
      <c r="P203" s="85"/>
      <c r="Q203" s="85"/>
      <c r="R203" s="51">
        <f>SUM(R199:R202)</f>
        <v>3989</v>
      </c>
      <c r="S203" s="1"/>
      <c r="T203" s="171"/>
    </row>
    <row r="204" spans="1:20" ht="16.5" thickBot="1" x14ac:dyDescent="0.3">
      <c r="A204" s="184" t="s">
        <v>1925</v>
      </c>
      <c r="B204" s="2" t="s">
        <v>803</v>
      </c>
      <c r="C204" s="6">
        <v>2</v>
      </c>
      <c r="D204" s="66">
        <f>FORNITURAS!D5</f>
        <v>46.8</v>
      </c>
      <c r="E204" s="39">
        <f>D204*C204</f>
        <v>93.6</v>
      </c>
      <c r="F204" s="1"/>
      <c r="G204" s="171"/>
      <c r="H204" s="171"/>
      <c r="N204" s="211" t="s">
        <v>544</v>
      </c>
      <c r="O204" s="276"/>
      <c r="P204" s="276"/>
      <c r="Q204" s="276"/>
      <c r="R204" s="213">
        <f>R203*2</f>
        <v>7978</v>
      </c>
      <c r="S204" s="517">
        <f>R204+R204*70%</f>
        <v>13562.599999999999</v>
      </c>
      <c r="T204" s="1069">
        <v>8600</v>
      </c>
    </row>
    <row r="205" spans="1:20" ht="16.5" thickBot="1" x14ac:dyDescent="0.3">
      <c r="A205" s="3" t="s">
        <v>1557</v>
      </c>
      <c r="B205" s="2"/>
      <c r="C205" s="6"/>
      <c r="D205" s="66"/>
      <c r="E205" s="39">
        <f>PACKAGING!E3</f>
        <v>150</v>
      </c>
      <c r="F205" s="1"/>
      <c r="G205" s="171"/>
      <c r="H205" s="171"/>
    </row>
    <row r="206" spans="1:20" ht="16.5" thickBot="1" x14ac:dyDescent="0.3">
      <c r="A206" s="3" t="s">
        <v>3568</v>
      </c>
      <c r="B206" s="2"/>
      <c r="C206" s="6"/>
      <c r="D206" s="66"/>
      <c r="E206" s="39">
        <f>PACKAGING!I5</f>
        <v>845</v>
      </c>
      <c r="F206" s="1"/>
      <c r="G206" s="171"/>
      <c r="H206" s="171"/>
      <c r="N206" s="1723" t="s">
        <v>151</v>
      </c>
      <c r="O206" s="1724"/>
      <c r="P206" s="1724"/>
      <c r="Q206" s="1724"/>
      <c r="R206" s="1725"/>
      <c r="S206" s="23"/>
      <c r="T206" s="171"/>
    </row>
    <row r="207" spans="1:20" x14ac:dyDescent="0.25">
      <c r="A207" s="3" t="s">
        <v>1558</v>
      </c>
      <c r="B207" s="2">
        <v>60</v>
      </c>
      <c r="C207" s="6">
        <v>20</v>
      </c>
      <c r="D207" s="66">
        <f>'INSUMOS VARIOS'!B3</f>
        <v>3500</v>
      </c>
      <c r="E207" s="39">
        <f>D207*C207/B207</f>
        <v>1166.6666666666667</v>
      </c>
      <c r="F207" s="1"/>
      <c r="G207" s="171"/>
      <c r="H207" s="171"/>
      <c r="N207" s="483" t="s">
        <v>916</v>
      </c>
      <c r="O207" s="484" t="s">
        <v>1073</v>
      </c>
      <c r="P207" s="485" t="s">
        <v>1547</v>
      </c>
      <c r="Q207" s="485" t="s">
        <v>1035</v>
      </c>
      <c r="R207" s="486" t="s">
        <v>1549</v>
      </c>
      <c r="S207" s="1"/>
      <c r="T207" s="171"/>
    </row>
    <row r="208" spans="1:20" ht="16.5" thickBot="1" x14ac:dyDescent="0.3">
      <c r="A208" s="79" t="s">
        <v>525</v>
      </c>
      <c r="B208" s="70"/>
      <c r="C208" s="85"/>
      <c r="D208" s="85"/>
      <c r="E208" s="51">
        <f>SUM(E201:E207)</f>
        <v>4989.2666666666664</v>
      </c>
      <c r="F208" s="134"/>
      <c r="G208" s="171"/>
      <c r="H208" s="171"/>
      <c r="N208" s="3" t="s">
        <v>1901</v>
      </c>
      <c r="O208" s="2"/>
      <c r="P208" s="6">
        <v>1</v>
      </c>
      <c r="Q208" s="66">
        <f>'AROS, CADENAS, DIJES, ETC'!D102</f>
        <v>1619</v>
      </c>
      <c r="R208" s="39">
        <f>Q208</f>
        <v>1619</v>
      </c>
      <c r="S208" s="1"/>
      <c r="T208" s="171"/>
    </row>
    <row r="209" spans="1:20" x14ac:dyDescent="0.25">
      <c r="A209" s="80" t="s">
        <v>544</v>
      </c>
      <c r="B209" s="220"/>
      <c r="C209" s="220"/>
      <c r="D209" s="220"/>
      <c r="E209" s="221">
        <f>E208*2</f>
        <v>9978.5333333333328</v>
      </c>
      <c r="F209" s="492">
        <f>E209+E209*50%</f>
        <v>14967.8</v>
      </c>
      <c r="G209" s="268">
        <v>12000</v>
      </c>
      <c r="H209" s="171"/>
      <c r="N209" s="3" t="s">
        <v>906</v>
      </c>
      <c r="O209" s="2"/>
      <c r="P209" s="6">
        <v>1</v>
      </c>
      <c r="Q209" s="66">
        <f>'AROS, CADENAS, DIJES, ETC'!O101</f>
        <v>1828</v>
      </c>
      <c r="R209" s="39">
        <f>Q209*P209</f>
        <v>1828</v>
      </c>
      <c r="S209" s="1"/>
      <c r="T209" s="171"/>
    </row>
    <row r="210" spans="1:20" ht="16.5" thickBot="1" x14ac:dyDescent="0.3">
      <c r="A210" s="275" t="s">
        <v>1559</v>
      </c>
      <c r="B210" s="269"/>
      <c r="C210" s="269"/>
      <c r="D210" s="269"/>
      <c r="E210" s="488"/>
      <c r="F210" s="493"/>
      <c r="G210" s="281">
        <f>G209*2</f>
        <v>24000</v>
      </c>
      <c r="H210" s="171"/>
      <c r="N210" s="3" t="s">
        <v>1557</v>
      </c>
      <c r="O210" s="2"/>
      <c r="P210" s="6"/>
      <c r="Q210" s="66"/>
      <c r="R210" s="39">
        <f>PACKAGING!E3</f>
        <v>150</v>
      </c>
      <c r="S210" s="1"/>
      <c r="T210" s="171"/>
    </row>
    <row r="211" spans="1:20" ht="16.5" thickBot="1" x14ac:dyDescent="0.3">
      <c r="A211" s="747"/>
      <c r="B211" s="174"/>
      <c r="C211" s="174"/>
      <c r="D211" s="174"/>
      <c r="E211" s="175"/>
      <c r="F211" s="175"/>
      <c r="G211" s="746"/>
      <c r="H211" s="171"/>
      <c r="N211" s="79" t="s">
        <v>525</v>
      </c>
      <c r="O211" s="70"/>
      <c r="P211" s="85"/>
      <c r="Q211" s="85"/>
      <c r="R211" s="51">
        <f>SUM(R208:R210)</f>
        <v>3597</v>
      </c>
      <c r="S211" s="1"/>
      <c r="T211" s="171"/>
    </row>
    <row r="212" spans="1:20" ht="16.5" thickBot="1" x14ac:dyDescent="0.3">
      <c r="A212" s="1688" t="s">
        <v>145</v>
      </c>
      <c r="B212" s="1571"/>
      <c r="C212" s="1571"/>
      <c r="D212" s="1571"/>
      <c r="E212" s="1571"/>
      <c r="F212" s="1571"/>
      <c r="G212" s="171"/>
      <c r="H212" s="171"/>
      <c r="N212" s="211" t="s">
        <v>544</v>
      </c>
      <c r="O212" s="276"/>
      <c r="P212" s="276"/>
      <c r="Q212" s="276"/>
      <c r="R212" s="213">
        <f>R211*2</f>
        <v>7194</v>
      </c>
      <c r="S212" s="517">
        <f>R212+R212*70%</f>
        <v>12229.8</v>
      </c>
      <c r="T212" s="1069">
        <v>14000</v>
      </c>
    </row>
    <row r="213" spans="1:20" ht="16.5" thickBot="1" x14ac:dyDescent="0.3">
      <c r="A213" s="271" t="s">
        <v>916</v>
      </c>
      <c r="B213" s="272" t="s">
        <v>1073</v>
      </c>
      <c r="C213" s="273" t="s">
        <v>1089</v>
      </c>
      <c r="D213" s="273" t="s">
        <v>1547</v>
      </c>
      <c r="E213" s="273" t="s">
        <v>1035</v>
      </c>
      <c r="F213" s="274" t="s">
        <v>1549</v>
      </c>
      <c r="G213" s="1"/>
      <c r="H213" s="171"/>
    </row>
    <row r="214" spans="1:20" ht="16.5" thickBot="1" x14ac:dyDescent="0.3">
      <c r="A214" s="1613" t="s">
        <v>1908</v>
      </c>
      <c r="B214" s="2" t="s">
        <v>797</v>
      </c>
      <c r="C214" s="6"/>
      <c r="D214" s="6">
        <v>1</v>
      </c>
      <c r="E214" s="66">
        <f>'AROS, CADENAS, DIJES, ETC'!D11</f>
        <v>800</v>
      </c>
      <c r="F214" s="39">
        <f>E214*D214</f>
        <v>800</v>
      </c>
      <c r="G214" s="1"/>
      <c r="H214" s="171"/>
      <c r="N214" s="1585" t="s">
        <v>3012</v>
      </c>
      <c r="O214" s="1586"/>
      <c r="P214" s="1586"/>
      <c r="Q214" s="1586"/>
      <c r="R214" s="1587"/>
      <c r="S214" s="23"/>
      <c r="T214" s="171"/>
    </row>
    <row r="215" spans="1:20" x14ac:dyDescent="0.25">
      <c r="A215" s="1615"/>
      <c r="B215" s="2" t="s">
        <v>785</v>
      </c>
      <c r="C215" s="6"/>
      <c r="D215" s="6">
        <v>1</v>
      </c>
      <c r="E215" s="66">
        <f>'AROS, CADENAS, DIJES, ETC'!D9</f>
        <v>1500</v>
      </c>
      <c r="F215" s="39">
        <f>E215*D215</f>
        <v>1500</v>
      </c>
      <c r="G215" s="1"/>
      <c r="H215" s="171"/>
      <c r="N215" s="483" t="s">
        <v>916</v>
      </c>
      <c r="O215" s="484" t="s">
        <v>1073</v>
      </c>
      <c r="P215" s="485" t="s">
        <v>1547</v>
      </c>
      <c r="Q215" s="485" t="s">
        <v>1035</v>
      </c>
      <c r="R215" s="486" t="s">
        <v>1549</v>
      </c>
      <c r="S215" s="1"/>
      <c r="T215" s="171"/>
    </row>
    <row r="216" spans="1:20" x14ac:dyDescent="0.25">
      <c r="A216" s="3" t="s">
        <v>1733</v>
      </c>
      <c r="B216" s="2"/>
      <c r="C216" s="6"/>
      <c r="D216" s="6">
        <v>1</v>
      </c>
      <c r="E216" s="66">
        <f>'AROS, CADENAS, DIJES, ETC'!O17</f>
        <v>92</v>
      </c>
      <c r="F216" s="39">
        <f>E216*D216</f>
        <v>92</v>
      </c>
      <c r="G216" s="1"/>
      <c r="H216" s="171"/>
      <c r="N216" s="3" t="s">
        <v>859</v>
      </c>
      <c r="O216" s="2"/>
      <c r="P216" s="6">
        <v>1</v>
      </c>
      <c r="Q216" s="66">
        <f>'AROS, CADENAS, DIJES, ETC'!D96</f>
        <v>1195</v>
      </c>
      <c r="R216" s="39">
        <f>Q216</f>
        <v>1195</v>
      </c>
      <c r="S216" s="1"/>
      <c r="T216" s="171"/>
    </row>
    <row r="217" spans="1:20" x14ac:dyDescent="0.25">
      <c r="A217" s="3" t="s">
        <v>1748</v>
      </c>
      <c r="B217" s="2" t="s">
        <v>1926</v>
      </c>
      <c r="C217" s="6"/>
      <c r="D217" s="6">
        <v>1</v>
      </c>
      <c r="E217" s="66">
        <f>PERLAS!F36</f>
        <v>111.86440677966101</v>
      </c>
      <c r="F217" s="39">
        <f>E217*D217</f>
        <v>111.86440677966101</v>
      </c>
      <c r="G217" s="1"/>
      <c r="H217" s="171"/>
      <c r="N217" s="3" t="s">
        <v>3011</v>
      </c>
      <c r="O217" s="2"/>
      <c r="P217" s="6">
        <v>1</v>
      </c>
      <c r="Q217" s="66">
        <f>'AROS, CADENAS, DIJES, ETC'!O118</f>
        <v>1218</v>
      </c>
      <c r="R217" s="39">
        <f>Q217*P217</f>
        <v>1218</v>
      </c>
      <c r="S217" s="1"/>
      <c r="T217" s="171"/>
    </row>
    <row r="218" spans="1:20" x14ac:dyDescent="0.25">
      <c r="A218" s="1" t="s">
        <v>1667</v>
      </c>
      <c r="B218" s="2" t="s">
        <v>799</v>
      </c>
      <c r="C218" s="6"/>
      <c r="D218" s="6">
        <v>1</v>
      </c>
      <c r="E218" s="66">
        <f>FORNITURAS!D14</f>
        <v>98.8</v>
      </c>
      <c r="F218" s="39">
        <f>E218*D218</f>
        <v>98.8</v>
      </c>
      <c r="G218" s="1"/>
      <c r="H218" s="171"/>
      <c r="N218" s="3" t="s">
        <v>1557</v>
      </c>
      <c r="O218" s="2"/>
      <c r="P218" s="6"/>
      <c r="Q218" s="66"/>
      <c r="R218" s="39">
        <f>PACKAGING!E3</f>
        <v>150</v>
      </c>
      <c r="S218" s="1"/>
      <c r="T218" s="171"/>
    </row>
    <row r="219" spans="1:20" x14ac:dyDescent="0.25">
      <c r="A219" s="3" t="s">
        <v>1557</v>
      </c>
      <c r="B219" s="2"/>
      <c r="C219" s="6"/>
      <c r="D219" s="6"/>
      <c r="E219" s="66"/>
      <c r="F219" s="39">
        <f>PACKAGING!E3</f>
        <v>150</v>
      </c>
      <c r="G219" s="1"/>
      <c r="H219" s="171"/>
      <c r="N219" s="3" t="s">
        <v>1538</v>
      </c>
      <c r="O219" s="2"/>
      <c r="P219" s="6"/>
      <c r="Q219" s="66"/>
      <c r="R219" s="39">
        <f>PACKAGING!E8</f>
        <v>420</v>
      </c>
      <c r="S219" s="1"/>
      <c r="T219" s="171"/>
    </row>
    <row r="220" spans="1:20" ht="16.5" thickBot="1" x14ac:dyDescent="0.3">
      <c r="A220" s="3" t="s">
        <v>1538</v>
      </c>
      <c r="B220" s="2"/>
      <c r="C220" s="6"/>
      <c r="D220" s="6"/>
      <c r="E220" s="66"/>
      <c r="F220" s="39">
        <f>PACKAGING!E8</f>
        <v>420</v>
      </c>
      <c r="G220" s="1"/>
      <c r="H220" s="171"/>
      <c r="N220" s="79" t="s">
        <v>525</v>
      </c>
      <c r="O220" s="70"/>
      <c r="P220" s="85"/>
      <c r="Q220" s="85"/>
      <c r="R220" s="51">
        <f>SUM(R216:R219)</f>
        <v>2983</v>
      </c>
      <c r="S220" s="1"/>
      <c r="T220" s="171"/>
    </row>
    <row r="221" spans="1:20" ht="16.5" thickBot="1" x14ac:dyDescent="0.3">
      <c r="A221" s="3" t="s">
        <v>1558</v>
      </c>
      <c r="B221" s="2">
        <v>60</v>
      </c>
      <c r="C221" s="6">
        <v>10</v>
      </c>
      <c r="D221" s="6"/>
      <c r="E221" s="66">
        <f>'INSUMOS VARIOS'!B3</f>
        <v>3500</v>
      </c>
      <c r="F221" s="39">
        <f>E221*C221/B221</f>
        <v>583.33333333333337</v>
      </c>
      <c r="G221" s="1"/>
      <c r="H221" s="171"/>
      <c r="N221" s="211" t="s">
        <v>544</v>
      </c>
      <c r="O221" s="276"/>
      <c r="P221" s="276"/>
      <c r="Q221" s="276"/>
      <c r="R221" s="213">
        <f>R220*2</f>
        <v>5966</v>
      </c>
      <c r="S221" s="517">
        <f>R221+R221*50%</f>
        <v>8949</v>
      </c>
      <c r="T221" s="498">
        <v>9200</v>
      </c>
    </row>
    <row r="222" spans="1:20" ht="16.5" thickBot="1" x14ac:dyDescent="0.3">
      <c r="A222" s="79" t="s">
        <v>525</v>
      </c>
      <c r="B222" s="70"/>
      <c r="C222" s="85"/>
      <c r="D222" s="85"/>
      <c r="E222" s="85"/>
      <c r="F222" s="51">
        <f>SUM(F214:F221)</f>
        <v>3755.9977401129945</v>
      </c>
      <c r="G222" s="134"/>
      <c r="H222" s="171"/>
    </row>
    <row r="223" spans="1:20" ht="16.5" thickBot="1" x14ac:dyDescent="0.3">
      <c r="A223" s="80" t="s">
        <v>544</v>
      </c>
      <c r="B223" s="220"/>
      <c r="C223" s="220"/>
      <c r="D223" s="220"/>
      <c r="E223" s="220"/>
      <c r="F223" s="267">
        <f>F222*2</f>
        <v>7511.995480225989</v>
      </c>
      <c r="G223" s="267">
        <f>F223+F223*25%</f>
        <v>9389.9943502824863</v>
      </c>
      <c r="H223" s="268">
        <v>5500</v>
      </c>
      <c r="N223" s="1585" t="s">
        <v>3016</v>
      </c>
      <c r="O223" s="1586"/>
      <c r="P223" s="1586"/>
      <c r="Q223" s="1586"/>
      <c r="R223" s="1587"/>
      <c r="S223" s="23"/>
      <c r="T223" s="171"/>
    </row>
    <row r="224" spans="1:20" ht="16.5" thickBot="1" x14ac:dyDescent="0.3">
      <c r="A224" s="275" t="s">
        <v>1559</v>
      </c>
      <c r="B224" s="269"/>
      <c r="C224" s="269"/>
      <c r="D224" s="269"/>
      <c r="E224" s="269"/>
      <c r="F224" s="270"/>
      <c r="G224" s="270"/>
      <c r="H224" s="281">
        <f>H223*2</f>
        <v>11000</v>
      </c>
      <c r="N224" s="483" t="s">
        <v>916</v>
      </c>
      <c r="O224" s="484" t="s">
        <v>1073</v>
      </c>
      <c r="P224" s="485" t="s">
        <v>1547</v>
      </c>
      <c r="Q224" s="485" t="s">
        <v>1035</v>
      </c>
      <c r="R224" s="486" t="s">
        <v>1549</v>
      </c>
      <c r="S224" s="1"/>
      <c r="T224" s="171"/>
    </row>
    <row r="225" spans="1:20" x14ac:dyDescent="0.25">
      <c r="N225" s="3" t="s">
        <v>859</v>
      </c>
      <c r="O225" s="2"/>
      <c r="P225" s="6">
        <v>1</v>
      </c>
      <c r="Q225" s="66">
        <f>'AROS, CADENAS, DIJES, ETC'!D96</f>
        <v>1195</v>
      </c>
      <c r="R225" s="39">
        <f>Q225</f>
        <v>1195</v>
      </c>
      <c r="S225" s="1"/>
      <c r="T225" s="171"/>
    </row>
    <row r="226" spans="1:20" x14ac:dyDescent="0.25">
      <c r="A226" s="1688" t="s">
        <v>129</v>
      </c>
      <c r="B226" s="1571"/>
      <c r="C226" s="1571"/>
      <c r="D226" s="1571"/>
      <c r="E226" s="1571"/>
      <c r="F226" s="1571"/>
      <c r="G226" s="171"/>
      <c r="H226" s="171"/>
      <c r="N226" s="3" t="s">
        <v>3013</v>
      </c>
      <c r="O226" s="2"/>
      <c r="P226" s="6">
        <v>1</v>
      </c>
      <c r="Q226" s="66">
        <f>'AROS, CADENAS, DIJES, ETC'!O131</f>
        <v>830</v>
      </c>
      <c r="R226" s="39">
        <f>Q226*P226</f>
        <v>830</v>
      </c>
      <c r="S226" s="1"/>
      <c r="T226" s="171"/>
    </row>
    <row r="227" spans="1:20" x14ac:dyDescent="0.25">
      <c r="A227" s="271" t="s">
        <v>916</v>
      </c>
      <c r="B227" s="272" t="s">
        <v>1073</v>
      </c>
      <c r="C227" s="273" t="s">
        <v>1089</v>
      </c>
      <c r="D227" s="273" t="s">
        <v>1547</v>
      </c>
      <c r="E227" s="273" t="s">
        <v>1035</v>
      </c>
      <c r="F227" s="274" t="s">
        <v>1549</v>
      </c>
      <c r="G227" s="1"/>
      <c r="H227" s="171"/>
      <c r="N227" s="3" t="s">
        <v>1557</v>
      </c>
      <c r="O227" s="2"/>
      <c r="P227" s="6"/>
      <c r="Q227" s="66"/>
      <c r="R227" s="39">
        <f>PACKAGING!E3</f>
        <v>150</v>
      </c>
      <c r="S227" s="1"/>
      <c r="T227" s="171"/>
    </row>
    <row r="228" spans="1:20" x14ac:dyDescent="0.25">
      <c r="A228" s="3" t="s">
        <v>748</v>
      </c>
      <c r="B228" s="2" t="s">
        <v>754</v>
      </c>
      <c r="C228" s="6"/>
      <c r="D228" s="6" t="s">
        <v>1649</v>
      </c>
      <c r="E228" s="66">
        <f>'AROS, CADENAS, DIJES, ETC'!C4</f>
        <v>1200</v>
      </c>
      <c r="F228" s="39">
        <f>E228</f>
        <v>1200</v>
      </c>
      <c r="G228" s="1"/>
      <c r="H228" s="171"/>
      <c r="N228" s="3" t="s">
        <v>1538</v>
      </c>
      <c r="O228" s="2"/>
      <c r="P228" s="6"/>
      <c r="Q228" s="66"/>
      <c r="R228" s="39">
        <f>PACKAGING!E8</f>
        <v>420</v>
      </c>
      <c r="S228" s="1"/>
      <c r="T228" s="171"/>
    </row>
    <row r="229" spans="1:20" ht="16.5" thickBot="1" x14ac:dyDescent="0.3">
      <c r="A229" s="3" t="s">
        <v>1665</v>
      </c>
      <c r="B229" s="2"/>
      <c r="C229" s="6"/>
      <c r="D229" s="6">
        <v>9</v>
      </c>
      <c r="E229" s="66">
        <f>PERLAS!F4</f>
        <v>81</v>
      </c>
      <c r="F229" s="39">
        <f>E229*D229</f>
        <v>729</v>
      </c>
      <c r="G229" s="1"/>
      <c r="H229" s="171"/>
      <c r="N229" s="79" t="s">
        <v>525</v>
      </c>
      <c r="O229" s="70"/>
      <c r="P229" s="85"/>
      <c r="Q229" s="85"/>
      <c r="R229" s="51">
        <f>SUM(R225:R228)</f>
        <v>2595</v>
      </c>
      <c r="S229" s="1"/>
      <c r="T229" s="171"/>
    </row>
    <row r="230" spans="1:20" ht="16.5" thickBot="1" x14ac:dyDescent="0.3">
      <c r="A230" s="3" t="s">
        <v>1748</v>
      </c>
      <c r="B230" s="2"/>
      <c r="C230" s="6"/>
      <c r="D230" s="6">
        <v>1</v>
      </c>
      <c r="E230" s="66">
        <f>PERLAS!F20</f>
        <v>101.53846153846153</v>
      </c>
      <c r="F230" s="39">
        <f>E230*D230</f>
        <v>101.53846153846153</v>
      </c>
      <c r="G230" s="1"/>
      <c r="H230" s="171"/>
      <c r="N230" s="211" t="s">
        <v>544</v>
      </c>
      <c r="O230" s="276"/>
      <c r="P230" s="276"/>
      <c r="Q230" s="276"/>
      <c r="R230" s="213">
        <f>R229*2</f>
        <v>5190</v>
      </c>
      <c r="S230" s="517">
        <f>R230+R230*70%</f>
        <v>8823</v>
      </c>
      <c r="T230" s="498">
        <v>8600</v>
      </c>
    </row>
    <row r="231" spans="1:20" ht="16.5" thickBot="1" x14ac:dyDescent="0.3">
      <c r="A231" s="3" t="s">
        <v>1927</v>
      </c>
      <c r="B231" s="2"/>
      <c r="C231" s="6"/>
      <c r="D231" s="6">
        <v>2</v>
      </c>
      <c r="E231" s="66">
        <f>PERLAS!F28</f>
        <v>188.57142857142858</v>
      </c>
      <c r="F231" s="39">
        <f>E231*D231</f>
        <v>377.14285714285717</v>
      </c>
      <c r="G231" s="1"/>
      <c r="H231" s="171"/>
    </row>
    <row r="232" spans="1:20" ht="16.5" thickBot="1" x14ac:dyDescent="0.3">
      <c r="A232" s="1" t="s">
        <v>1667</v>
      </c>
      <c r="B232" s="2" t="s">
        <v>1887</v>
      </c>
      <c r="C232" s="6"/>
      <c r="D232" s="6">
        <v>1</v>
      </c>
      <c r="E232" s="66">
        <f>FORNITURAS!D14</f>
        <v>98.8</v>
      </c>
      <c r="F232" s="39">
        <f>E232*D232</f>
        <v>98.8</v>
      </c>
      <c r="G232" s="1"/>
      <c r="H232" s="171"/>
      <c r="N232" s="1585" t="s">
        <v>266</v>
      </c>
      <c r="O232" s="1586"/>
      <c r="P232" s="1586"/>
      <c r="Q232" s="1586"/>
      <c r="R232" s="1587"/>
      <c r="S232" s="23"/>
      <c r="T232" s="171"/>
    </row>
    <row r="233" spans="1:20" x14ac:dyDescent="0.25">
      <c r="A233" s="1701" t="s">
        <v>1050</v>
      </c>
      <c r="B233" s="2" t="s">
        <v>1059</v>
      </c>
      <c r="C233" s="6">
        <v>0.05</v>
      </c>
      <c r="D233" s="6">
        <v>1</v>
      </c>
      <c r="E233" s="66">
        <f>FORNITURAS!W5</f>
        <v>906.42857142857144</v>
      </c>
      <c r="F233" s="39">
        <f>E233*D233*C233</f>
        <v>45.321428571428577</v>
      </c>
      <c r="G233" s="1"/>
      <c r="H233" s="171"/>
      <c r="N233" s="483" t="s">
        <v>916</v>
      </c>
      <c r="O233" s="484" t="s">
        <v>1073</v>
      </c>
      <c r="P233" s="485" t="s">
        <v>1547</v>
      </c>
      <c r="Q233" s="485" t="s">
        <v>1035</v>
      </c>
      <c r="R233" s="486" t="s">
        <v>1549</v>
      </c>
      <c r="S233" s="1"/>
      <c r="T233" s="171"/>
    </row>
    <row r="234" spans="1:20" x14ac:dyDescent="0.25">
      <c r="A234" s="1702"/>
      <c r="B234" s="2" t="s">
        <v>1059</v>
      </c>
      <c r="C234" s="6">
        <v>0.08</v>
      </c>
      <c r="D234" s="6">
        <v>1</v>
      </c>
      <c r="E234" s="66">
        <f>FORNITURAS!W5</f>
        <v>906.42857142857144</v>
      </c>
      <c r="F234" s="39">
        <f>E234*D234*C234</f>
        <v>72.51428571428572</v>
      </c>
      <c r="G234" s="1"/>
      <c r="H234" s="171"/>
      <c r="N234" s="3" t="s">
        <v>859</v>
      </c>
      <c r="O234" s="2"/>
      <c r="P234" s="6">
        <v>1</v>
      </c>
      <c r="Q234" s="66">
        <f>'AROS, CADENAS, DIJES, ETC'!D96</f>
        <v>1195</v>
      </c>
      <c r="R234" s="39">
        <f>Q234</f>
        <v>1195</v>
      </c>
      <c r="S234" s="1"/>
      <c r="T234" s="171"/>
    </row>
    <row r="235" spans="1:20" x14ac:dyDescent="0.25">
      <c r="A235" s="3" t="s">
        <v>1557</v>
      </c>
      <c r="B235" s="2"/>
      <c r="C235" s="6"/>
      <c r="D235" s="6"/>
      <c r="E235" s="66"/>
      <c r="F235" s="39">
        <f>PACKAGING!E3</f>
        <v>150</v>
      </c>
      <c r="G235" s="1"/>
      <c r="H235" s="171"/>
      <c r="N235" s="3" t="s">
        <v>907</v>
      </c>
      <c r="O235" s="2"/>
      <c r="P235" s="6">
        <v>1</v>
      </c>
      <c r="Q235" s="66">
        <f>'AROS, CADENAS, DIJES, ETC'!O124</f>
        <v>510</v>
      </c>
      <c r="R235" s="39">
        <f>Q235*P235</f>
        <v>510</v>
      </c>
      <c r="S235" s="1"/>
      <c r="T235" s="171"/>
    </row>
    <row r="236" spans="1:20" x14ac:dyDescent="0.25">
      <c r="A236" s="3" t="s">
        <v>1538</v>
      </c>
      <c r="B236" s="2"/>
      <c r="C236" s="6"/>
      <c r="D236" s="6"/>
      <c r="E236" s="66"/>
      <c r="F236" s="39">
        <f>PACKAGING!E8</f>
        <v>420</v>
      </c>
      <c r="G236" s="1"/>
      <c r="H236" s="171"/>
      <c r="N236" s="3" t="s">
        <v>1557</v>
      </c>
      <c r="O236" s="2"/>
      <c r="P236" s="6"/>
      <c r="Q236" s="66"/>
      <c r="R236" s="39">
        <f>PACKAGING!E3</f>
        <v>150</v>
      </c>
      <c r="S236" s="1"/>
      <c r="T236" s="171"/>
    </row>
    <row r="237" spans="1:20" x14ac:dyDescent="0.25">
      <c r="A237" s="3" t="s">
        <v>1558</v>
      </c>
      <c r="B237" s="2">
        <v>60</v>
      </c>
      <c r="C237" s="6">
        <v>15</v>
      </c>
      <c r="D237" s="6"/>
      <c r="E237" s="66">
        <v>450</v>
      </c>
      <c r="F237" s="39">
        <f>E237*C237/B237</f>
        <v>112.5</v>
      </c>
      <c r="G237" s="1"/>
      <c r="H237" s="171"/>
      <c r="N237" s="3" t="s">
        <v>1538</v>
      </c>
      <c r="O237" s="2"/>
      <c r="P237" s="6"/>
      <c r="Q237" s="66"/>
      <c r="R237" s="39">
        <f>PACKAGING!E8</f>
        <v>420</v>
      </c>
      <c r="S237" s="1"/>
      <c r="T237" s="171"/>
    </row>
    <row r="238" spans="1:20" ht="16.5" thickBot="1" x14ac:dyDescent="0.3">
      <c r="A238" s="79" t="s">
        <v>525</v>
      </c>
      <c r="B238" s="70"/>
      <c r="C238" s="85"/>
      <c r="D238" s="85"/>
      <c r="E238" s="85"/>
      <c r="F238" s="51">
        <f>SUM(F228:F237)</f>
        <v>3306.8170329670329</v>
      </c>
      <c r="G238" s="134"/>
      <c r="H238" s="171"/>
      <c r="N238" s="79" t="s">
        <v>525</v>
      </c>
      <c r="O238" s="70"/>
      <c r="P238" s="85"/>
      <c r="Q238" s="85"/>
      <c r="R238" s="51">
        <f>SUM(R234:R237)</f>
        <v>2275</v>
      </c>
      <c r="S238" s="1"/>
      <c r="T238" s="171"/>
    </row>
    <row r="239" spans="1:20" ht="16.5" thickBot="1" x14ac:dyDescent="0.3">
      <c r="A239" s="80" t="s">
        <v>544</v>
      </c>
      <c r="B239" s="220"/>
      <c r="C239" s="220"/>
      <c r="D239" s="220"/>
      <c r="E239" s="220"/>
      <c r="F239" s="267">
        <f>F238*2</f>
        <v>6613.6340659340658</v>
      </c>
      <c r="G239" s="492">
        <f>F239+F239*25%</f>
        <v>8267.0425824175818</v>
      </c>
      <c r="H239" s="268">
        <v>3800</v>
      </c>
      <c r="N239" s="211" t="s">
        <v>544</v>
      </c>
      <c r="O239" s="276"/>
      <c r="P239" s="276"/>
      <c r="Q239" s="276"/>
      <c r="R239" s="213">
        <f>R238*2</f>
        <v>4550</v>
      </c>
      <c r="S239" s="517">
        <f>R239+R239*70%</f>
        <v>7735</v>
      </c>
      <c r="T239" s="498">
        <v>11000</v>
      </c>
    </row>
    <row r="240" spans="1:20" ht="16.5" thickBot="1" x14ac:dyDescent="0.3">
      <c r="A240" s="275" t="s">
        <v>1559</v>
      </c>
      <c r="B240" s="269"/>
      <c r="C240" s="269"/>
      <c r="D240" s="269"/>
      <c r="E240" s="269"/>
      <c r="F240" s="270"/>
      <c r="G240" s="493"/>
      <c r="H240" s="281">
        <f>H239*2</f>
        <v>7600</v>
      </c>
    </row>
    <row r="241" spans="1:20" x14ac:dyDescent="0.25">
      <c r="N241" s="1589" t="s">
        <v>3186</v>
      </c>
      <c r="O241" s="1596"/>
      <c r="P241" s="1596"/>
      <c r="Q241" s="1596"/>
      <c r="R241" s="1590"/>
      <c r="S241" s="23"/>
      <c r="T241" s="171"/>
    </row>
    <row r="242" spans="1:20" x14ac:dyDescent="0.25">
      <c r="A242" s="1688" t="s">
        <v>154</v>
      </c>
      <c r="B242" s="1571"/>
      <c r="C242" s="1571"/>
      <c r="D242" s="1571"/>
      <c r="E242" s="1571"/>
      <c r="F242" s="1571"/>
      <c r="G242" s="171"/>
      <c r="H242" s="171"/>
      <c r="N242" s="271" t="s">
        <v>916</v>
      </c>
      <c r="O242" s="272" t="s">
        <v>1073</v>
      </c>
      <c r="P242" s="273" t="s">
        <v>1547</v>
      </c>
      <c r="Q242" s="273" t="s">
        <v>1035</v>
      </c>
      <c r="R242" s="274" t="s">
        <v>1549</v>
      </c>
      <c r="S242" s="1"/>
      <c r="T242" s="171"/>
    </row>
    <row r="243" spans="1:20" x14ac:dyDescent="0.25">
      <c r="A243" s="271" t="s">
        <v>916</v>
      </c>
      <c r="B243" s="272" t="s">
        <v>1073</v>
      </c>
      <c r="C243" s="273" t="s">
        <v>1089</v>
      </c>
      <c r="D243" s="273" t="s">
        <v>1547</v>
      </c>
      <c r="E243" s="273" t="s">
        <v>1035</v>
      </c>
      <c r="F243" s="274" t="s">
        <v>1549</v>
      </c>
      <c r="G243" s="1"/>
      <c r="H243" s="171"/>
      <c r="N243" s="3" t="s">
        <v>784</v>
      </c>
      <c r="O243" s="2" t="s">
        <v>789</v>
      </c>
      <c r="P243" s="6">
        <v>1</v>
      </c>
      <c r="Q243" s="66">
        <f>'AROS, CADENAS, DIJES, ETC'!D9</f>
        <v>1500</v>
      </c>
      <c r="R243" s="39">
        <f>Q243</f>
        <v>1500</v>
      </c>
      <c r="S243" s="1"/>
      <c r="T243" s="171"/>
    </row>
    <row r="244" spans="1:20" x14ac:dyDescent="0.25">
      <c r="A244" s="3" t="s">
        <v>3736</v>
      </c>
      <c r="B244" s="2" t="s">
        <v>792</v>
      </c>
      <c r="C244" s="6"/>
      <c r="D244" s="6" t="s">
        <v>1649</v>
      </c>
      <c r="E244" s="66">
        <f>'AROS, CADENAS, DIJES, ETC'!J104</f>
        <v>4855</v>
      </c>
      <c r="F244" s="39">
        <f>E244</f>
        <v>4855</v>
      </c>
      <c r="G244" s="1"/>
      <c r="H244" s="171"/>
      <c r="N244" s="3" t="s">
        <v>3138</v>
      </c>
      <c r="O244" s="2"/>
      <c r="P244" s="6">
        <v>1</v>
      </c>
      <c r="Q244" s="66">
        <f>PIEDRAS!K70</f>
        <v>500</v>
      </c>
      <c r="R244" s="39">
        <f>Q244*P244</f>
        <v>500</v>
      </c>
      <c r="S244" s="1"/>
      <c r="T244" s="171"/>
    </row>
    <row r="245" spans="1:20" x14ac:dyDescent="0.25">
      <c r="A245" s="3" t="s">
        <v>3626</v>
      </c>
      <c r="B245" s="2"/>
      <c r="C245" s="6"/>
      <c r="D245" s="6">
        <v>12</v>
      </c>
      <c r="E245" s="66">
        <f>'PERLAS 2'!H29</f>
        <v>405.04109589041099</v>
      </c>
      <c r="F245" s="39">
        <f>E245*D245</f>
        <v>4860.4931506849316</v>
      </c>
      <c r="G245" s="1"/>
      <c r="H245" s="171"/>
      <c r="N245" s="3" t="s">
        <v>1557</v>
      </c>
      <c r="O245" s="2"/>
      <c r="P245" s="6"/>
      <c r="Q245" s="66"/>
      <c r="R245" s="39">
        <f>PACKAGING!E3</f>
        <v>150</v>
      </c>
      <c r="S245" s="1"/>
      <c r="T245" s="171"/>
    </row>
    <row r="246" spans="1:20" x14ac:dyDescent="0.25">
      <c r="A246" s="185" t="s">
        <v>1050</v>
      </c>
      <c r="B246" s="2" t="s">
        <v>1062</v>
      </c>
      <c r="C246" s="6">
        <v>0.09</v>
      </c>
      <c r="D246" s="6">
        <v>2</v>
      </c>
      <c r="E246" s="66">
        <f>FORNITURAS!W6</f>
        <v>541.13207547169816</v>
      </c>
      <c r="F246" s="39">
        <f>E246*D246*C246</f>
        <v>97.403773584905665</v>
      </c>
      <c r="G246" s="1"/>
      <c r="H246" s="171"/>
      <c r="N246" s="3" t="s">
        <v>1538</v>
      </c>
      <c r="O246" s="2"/>
      <c r="P246" s="6"/>
      <c r="Q246" s="66"/>
      <c r="R246" s="39">
        <f>PACKAGING!E8</f>
        <v>420</v>
      </c>
      <c r="S246" s="1"/>
      <c r="T246" s="171"/>
    </row>
    <row r="247" spans="1:20" x14ac:dyDescent="0.25">
      <c r="A247" s="3" t="s">
        <v>1557</v>
      </c>
      <c r="B247" s="2"/>
      <c r="C247" s="6"/>
      <c r="D247" s="6"/>
      <c r="E247" s="66"/>
      <c r="F247" s="39">
        <f>PACKAGING!E3</f>
        <v>150</v>
      </c>
      <c r="G247" s="1"/>
      <c r="H247" s="171"/>
      <c r="N247" s="3" t="s">
        <v>1558</v>
      </c>
      <c r="O247" s="2">
        <v>60</v>
      </c>
      <c r="P247" s="6">
        <v>10</v>
      </c>
      <c r="Q247" s="66">
        <f>'INSUMOS VARIOS'!B3</f>
        <v>3500</v>
      </c>
      <c r="R247" s="39">
        <f>Q247*P247/O247</f>
        <v>583.33333333333337</v>
      </c>
      <c r="S247" s="1"/>
      <c r="T247" s="171"/>
    </row>
    <row r="248" spans="1:20" ht="16.5" thickBot="1" x14ac:dyDescent="0.3">
      <c r="A248" s="3" t="s">
        <v>3568</v>
      </c>
      <c r="B248" s="2"/>
      <c r="C248" s="6"/>
      <c r="D248" s="6"/>
      <c r="E248" s="66"/>
      <c r="F248" s="39">
        <f>PACKAGING!I5</f>
        <v>845</v>
      </c>
      <c r="G248" s="1"/>
      <c r="H248" s="171"/>
      <c r="N248" s="79" t="s">
        <v>525</v>
      </c>
      <c r="O248" s="70"/>
      <c r="P248" s="85"/>
      <c r="Q248" s="85"/>
      <c r="R248" s="51">
        <f>SUM(R243:R247)</f>
        <v>3153.3333333333335</v>
      </c>
    </row>
    <row r="249" spans="1:20" x14ac:dyDescent="0.25">
      <c r="A249" s="3" t="s">
        <v>1558</v>
      </c>
      <c r="B249" s="2">
        <v>60</v>
      </c>
      <c r="C249" s="6">
        <v>20</v>
      </c>
      <c r="D249" s="6"/>
      <c r="E249" s="66">
        <f>'SALE AROS'!E109</f>
        <v>3500</v>
      </c>
      <c r="F249" s="39">
        <f>E249*C249/B249</f>
        <v>1166.6666666666667</v>
      </c>
      <c r="G249" s="1"/>
      <c r="H249" s="171"/>
      <c r="N249" s="80" t="s">
        <v>544</v>
      </c>
      <c r="O249" s="220"/>
      <c r="P249" s="220"/>
      <c r="Q249" s="220"/>
      <c r="R249" s="72">
        <f>R248*2</f>
        <v>6306.666666666667</v>
      </c>
      <c r="S249" s="496">
        <f>R249+R249*70%</f>
        <v>10721.333333333334</v>
      </c>
      <c r="T249" s="268">
        <v>3100</v>
      </c>
    </row>
    <row r="250" spans="1:20" ht="16.5" thickBot="1" x14ac:dyDescent="0.3">
      <c r="A250" s="79" t="s">
        <v>525</v>
      </c>
      <c r="B250" s="70"/>
      <c r="C250" s="85"/>
      <c r="D250" s="85"/>
      <c r="E250" s="85"/>
      <c r="F250" s="51">
        <f>SUM(F244:F249)</f>
        <v>11974.563590936503</v>
      </c>
      <c r="G250" s="134"/>
      <c r="H250" s="171"/>
      <c r="N250" s="275" t="s">
        <v>1559</v>
      </c>
      <c r="O250" s="269"/>
      <c r="P250" s="269"/>
      <c r="Q250" s="269"/>
      <c r="R250" s="493"/>
      <c r="S250" s="505"/>
      <c r="T250" s="281">
        <f>T249*2</f>
        <v>6200</v>
      </c>
    </row>
    <row r="251" spans="1:20" ht="16.5" thickBot="1" x14ac:dyDescent="0.3">
      <c r="A251" s="80" t="s">
        <v>544</v>
      </c>
      <c r="B251" s="220"/>
      <c r="C251" s="220"/>
      <c r="D251" s="220"/>
      <c r="E251" s="220"/>
      <c r="F251" s="267">
        <f>F250*2</f>
        <v>23949.127181873006</v>
      </c>
      <c r="G251" s="267">
        <f>F251+F251*70%</f>
        <v>40713.516209184105</v>
      </c>
      <c r="H251" s="268">
        <v>42000</v>
      </c>
    </row>
    <row r="252" spans="1:20" ht="16.5" thickBot="1" x14ac:dyDescent="0.3">
      <c r="A252" s="275" t="s">
        <v>1559</v>
      </c>
      <c r="B252" s="269"/>
      <c r="C252" s="269"/>
      <c r="D252" s="269"/>
      <c r="E252" s="269"/>
      <c r="F252" s="270"/>
      <c r="G252" s="270"/>
      <c r="H252" s="281">
        <f>H251*60%</f>
        <v>25200</v>
      </c>
      <c r="N252" s="1589" t="s">
        <v>462</v>
      </c>
      <c r="O252" s="1596"/>
      <c r="P252" s="1596"/>
      <c r="Q252" s="1596"/>
      <c r="R252" s="1590"/>
      <c r="S252" s="23"/>
      <c r="T252" s="171"/>
    </row>
    <row r="253" spans="1:20" ht="16.5" thickBot="1" x14ac:dyDescent="0.3">
      <c r="A253" s="171"/>
      <c r="B253" s="171"/>
      <c r="C253" s="171"/>
      <c r="D253" s="171"/>
      <c r="E253" s="171"/>
      <c r="F253" s="171"/>
      <c r="G253" s="171"/>
      <c r="H253" s="171"/>
      <c r="N253" s="271" t="s">
        <v>916</v>
      </c>
      <c r="O253" s="272" t="s">
        <v>1073</v>
      </c>
      <c r="P253" s="273" t="s">
        <v>1547</v>
      </c>
      <c r="Q253" s="273" t="s">
        <v>1035</v>
      </c>
      <c r="R253" s="274" t="s">
        <v>1549</v>
      </c>
      <c r="S253" s="1"/>
      <c r="T253" s="171"/>
    </row>
    <row r="254" spans="1:20" ht="16.5" thickBot="1" x14ac:dyDescent="0.3">
      <c r="A254" s="1565" t="s">
        <v>137</v>
      </c>
      <c r="B254" s="1566"/>
      <c r="C254" s="1566"/>
      <c r="D254" s="1566"/>
      <c r="E254" s="1567"/>
      <c r="F254" s="171"/>
      <c r="G254" s="171"/>
      <c r="N254" s="3" t="s">
        <v>811</v>
      </c>
      <c r="O254" s="2" t="s">
        <v>3201</v>
      </c>
      <c r="P254" s="6">
        <v>1</v>
      </c>
      <c r="Q254" s="66">
        <f>'AROS, CADENAS, DIJES, ETC'!D15</f>
        <v>705</v>
      </c>
      <c r="R254" s="39">
        <f>Q254</f>
        <v>705</v>
      </c>
      <c r="S254" s="1"/>
      <c r="T254" s="171"/>
    </row>
    <row r="255" spans="1:20" x14ac:dyDescent="0.25">
      <c r="A255" s="501" t="s">
        <v>916</v>
      </c>
      <c r="B255" s="502" t="s">
        <v>1073</v>
      </c>
      <c r="C255" s="503" t="s">
        <v>1547</v>
      </c>
      <c r="D255" s="503" t="s">
        <v>1035</v>
      </c>
      <c r="E255" s="504" t="s">
        <v>1549</v>
      </c>
      <c r="F255" s="1"/>
      <c r="G255" s="171"/>
      <c r="N255" s="3" t="s">
        <v>3200</v>
      </c>
      <c r="O255" s="2"/>
      <c r="P255" s="6">
        <v>1</v>
      </c>
      <c r="Q255" s="66">
        <f>'AROS, CADENAS, DIJES, ETC'!O20</f>
        <v>780</v>
      </c>
      <c r="R255" s="39">
        <f>Q255*P255</f>
        <v>780</v>
      </c>
      <c r="S255" s="1"/>
      <c r="T255" s="171"/>
    </row>
    <row r="256" spans="1:20" x14ac:dyDescent="0.25">
      <c r="A256" s="184" t="s">
        <v>1928</v>
      </c>
      <c r="B256" s="2"/>
      <c r="C256" s="6">
        <v>1</v>
      </c>
      <c r="D256" s="66">
        <f>'AROS, CADENAS, DIJES, ETC'!C129</f>
        <v>1420</v>
      </c>
      <c r="E256" s="39">
        <f>D256*C256</f>
        <v>1420</v>
      </c>
      <c r="F256" s="1"/>
      <c r="G256" s="171"/>
      <c r="N256" s="3" t="s">
        <v>1557</v>
      </c>
      <c r="O256" s="2"/>
      <c r="P256" s="6"/>
      <c r="Q256" s="66"/>
      <c r="R256" s="39">
        <f>PACKAGING!E3</f>
        <v>150</v>
      </c>
      <c r="S256" s="1"/>
      <c r="T256" s="171"/>
    </row>
    <row r="257" spans="1:20" x14ac:dyDescent="0.25">
      <c r="A257" s="3" t="s">
        <v>1748</v>
      </c>
      <c r="B257" s="2" t="s">
        <v>1323</v>
      </c>
      <c r="C257" s="6">
        <v>10</v>
      </c>
      <c r="D257" s="66">
        <f>'PERLAS 2'!H5</f>
        <v>434</v>
      </c>
      <c r="E257" s="39">
        <f>D257*C257</f>
        <v>4340</v>
      </c>
      <c r="F257" s="1"/>
      <c r="G257" s="171"/>
      <c r="N257" s="3" t="s">
        <v>1538</v>
      </c>
      <c r="O257" s="2"/>
      <c r="P257" s="6"/>
      <c r="Q257" s="66"/>
      <c r="R257" s="39">
        <f>PACKAGING!E8</f>
        <v>420</v>
      </c>
      <c r="S257" s="1"/>
      <c r="T257" s="171"/>
    </row>
    <row r="258" spans="1:20" x14ac:dyDescent="0.25">
      <c r="A258" s="3" t="s">
        <v>1872</v>
      </c>
      <c r="B258" s="2"/>
      <c r="C258" s="6">
        <v>0.16</v>
      </c>
      <c r="D258" s="66">
        <f>'HILOS-CORDONES-TANZA-CUERO'!L3</f>
        <v>6.8</v>
      </c>
      <c r="E258" s="39">
        <f>D258*C258</f>
        <v>1.0880000000000001</v>
      </c>
      <c r="F258" s="1"/>
      <c r="G258" s="171"/>
      <c r="N258" s="3" t="s">
        <v>1558</v>
      </c>
      <c r="O258" s="2">
        <v>60</v>
      </c>
      <c r="P258" s="6">
        <v>5</v>
      </c>
      <c r="Q258" s="66">
        <f>'INSUMOS VARIOS'!B3</f>
        <v>3500</v>
      </c>
      <c r="R258" s="39">
        <f>Q258*P258/O258</f>
        <v>291.66666666666669</v>
      </c>
      <c r="S258" s="1"/>
      <c r="T258" s="171"/>
    </row>
    <row r="259" spans="1:20" ht="16.5" thickBot="1" x14ac:dyDescent="0.3">
      <c r="A259" s="3" t="s">
        <v>1012</v>
      </c>
      <c r="B259" s="2"/>
      <c r="C259" s="6">
        <v>2</v>
      </c>
      <c r="D259" s="66">
        <f>FORNITURAS!D17</f>
        <v>45.05</v>
      </c>
      <c r="E259" s="39">
        <f>D259*C259</f>
        <v>90.1</v>
      </c>
      <c r="F259" s="1"/>
      <c r="G259" s="171"/>
      <c r="N259" s="79" t="s">
        <v>525</v>
      </c>
      <c r="O259" s="70"/>
      <c r="P259" s="85"/>
      <c r="Q259" s="85"/>
      <c r="R259" s="51">
        <f>SUM(R254:R258)</f>
        <v>2346.6666666666665</v>
      </c>
    </row>
    <row r="260" spans="1:20" x14ac:dyDescent="0.25">
      <c r="A260" s="3" t="s">
        <v>1557</v>
      </c>
      <c r="B260" s="2"/>
      <c r="C260" s="6"/>
      <c r="D260" s="66"/>
      <c r="E260" s="39">
        <f>PACKAGING!E3</f>
        <v>150</v>
      </c>
      <c r="F260" s="1"/>
      <c r="G260" s="171"/>
      <c r="N260" s="80" t="s">
        <v>544</v>
      </c>
      <c r="O260" s="220"/>
      <c r="P260" s="220"/>
      <c r="Q260" s="220"/>
      <c r="R260" s="72">
        <f>R259*2</f>
        <v>4693.333333333333</v>
      </c>
      <c r="S260" s="496">
        <f>R260+R260*70%</f>
        <v>7978.6666666666661</v>
      </c>
      <c r="T260" s="268">
        <v>9200</v>
      </c>
    </row>
    <row r="261" spans="1:20" ht="16.5" thickBot="1" x14ac:dyDescent="0.3">
      <c r="A261" s="3" t="s">
        <v>1558</v>
      </c>
      <c r="B261" s="2">
        <v>60</v>
      </c>
      <c r="C261" s="6">
        <v>45</v>
      </c>
      <c r="D261" s="66">
        <f>'INSUMOS VARIOS'!B3</f>
        <v>3500</v>
      </c>
      <c r="E261" s="39">
        <f>D261*C261/B261</f>
        <v>2625</v>
      </c>
      <c r="F261" s="1" t="s">
        <v>3023</v>
      </c>
      <c r="G261" s="171"/>
      <c r="N261" s="275" t="s">
        <v>1559</v>
      </c>
      <c r="O261" s="269"/>
      <c r="P261" s="269"/>
      <c r="Q261" s="269"/>
      <c r="R261" s="493"/>
      <c r="S261" s="505"/>
      <c r="T261" s="281"/>
    </row>
    <row r="262" spans="1:20" ht="16.5" thickBot="1" x14ac:dyDescent="0.3">
      <c r="A262" s="79" t="s">
        <v>525</v>
      </c>
      <c r="B262" s="70"/>
      <c r="C262" s="85"/>
      <c r="D262" s="85"/>
      <c r="E262" s="51">
        <f>SUM(E256:E261)</f>
        <v>8626.1880000000001</v>
      </c>
      <c r="F262" s="1072">
        <f>E262+G263+G264</f>
        <v>11904.188</v>
      </c>
      <c r="G262" s="171"/>
    </row>
    <row r="263" spans="1:20" ht="16.5" thickBot="1" x14ac:dyDescent="0.3">
      <c r="A263" s="275" t="s">
        <v>1559</v>
      </c>
      <c r="B263" s="269"/>
      <c r="C263" s="269"/>
      <c r="D263" s="269"/>
      <c r="E263" s="608">
        <f>E262*2</f>
        <v>17252.376</v>
      </c>
      <c r="F263" s="700">
        <f>E263+E263*70%</f>
        <v>29329.039199999999</v>
      </c>
      <c r="G263" s="701">
        <f>PACKAGING!I3</f>
        <v>2433</v>
      </c>
      <c r="H263" s="702">
        <f>F263+G263+G264</f>
        <v>32607.039199999999</v>
      </c>
      <c r="I263" s="703">
        <v>34000</v>
      </c>
      <c r="N263" s="1589" t="s">
        <v>3211</v>
      </c>
      <c r="O263" s="1596"/>
      <c r="P263" s="1596"/>
      <c r="Q263" s="1596"/>
      <c r="R263" s="1590"/>
      <c r="S263" s="23"/>
      <c r="T263" s="171"/>
    </row>
    <row r="264" spans="1:20" ht="16.5" thickBot="1" x14ac:dyDescent="0.3">
      <c r="F264" s="698"/>
      <c r="G264" s="701">
        <f>PACKAGING!I5</f>
        <v>845</v>
      </c>
      <c r="H264" s="1"/>
      <c r="I264" s="1"/>
      <c r="N264" s="271" t="s">
        <v>916</v>
      </c>
      <c r="O264" s="272" t="s">
        <v>1073</v>
      </c>
      <c r="P264" s="273" t="s">
        <v>1547</v>
      </c>
      <c r="Q264" s="273" t="s">
        <v>1035</v>
      </c>
      <c r="R264" s="274" t="s">
        <v>1549</v>
      </c>
      <c r="S264" s="1"/>
      <c r="T264" s="171"/>
    </row>
    <row r="265" spans="1:20" x14ac:dyDescent="0.25">
      <c r="A265" s="1688" t="s">
        <v>141</v>
      </c>
      <c r="B265" s="1571"/>
      <c r="C265" s="1571"/>
      <c r="D265" s="1571"/>
      <c r="E265" s="1571"/>
      <c r="F265" s="171"/>
      <c r="G265" s="171"/>
      <c r="N265" s="3" t="s">
        <v>811</v>
      </c>
      <c r="O265" s="2" t="s">
        <v>3201</v>
      </c>
      <c r="P265" s="6">
        <v>1</v>
      </c>
      <c r="Q265" s="66">
        <f>'AROS, CADENAS, DIJES, ETC'!D15</f>
        <v>705</v>
      </c>
      <c r="R265" s="39">
        <f>Q265</f>
        <v>705</v>
      </c>
      <c r="S265" s="1"/>
      <c r="T265" s="171"/>
    </row>
    <row r="266" spans="1:20" x14ac:dyDescent="0.25">
      <c r="A266" s="271" t="s">
        <v>916</v>
      </c>
      <c r="B266" s="272" t="s">
        <v>1073</v>
      </c>
      <c r="C266" s="273" t="s">
        <v>1547</v>
      </c>
      <c r="D266" s="273" t="s">
        <v>1035</v>
      </c>
      <c r="E266" s="274" t="s">
        <v>1549</v>
      </c>
      <c r="F266" s="1"/>
      <c r="G266" s="171"/>
      <c r="N266" s="3" t="s">
        <v>2055</v>
      </c>
      <c r="O266" s="2"/>
      <c r="P266" s="6">
        <v>9</v>
      </c>
      <c r="Q266" s="66">
        <f>VIDRIOS!E8</f>
        <v>8.9473684210526319</v>
      </c>
      <c r="R266" s="39">
        <f>Q266*P266</f>
        <v>80.526315789473685</v>
      </c>
      <c r="S266" s="1"/>
      <c r="T266" s="171"/>
    </row>
    <row r="267" spans="1:20" x14ac:dyDescent="0.25">
      <c r="A267" s="3" t="s">
        <v>1929</v>
      </c>
      <c r="B267" s="2"/>
      <c r="C267" s="6">
        <v>1</v>
      </c>
      <c r="D267" s="66">
        <f>'AROS, CADENAS, DIJES, ETC'!C117</f>
        <v>4027</v>
      </c>
      <c r="E267" s="39">
        <f>D267*C267</f>
        <v>4027</v>
      </c>
      <c r="F267" s="1"/>
      <c r="G267" s="171"/>
      <c r="N267" s="184" t="s">
        <v>1050</v>
      </c>
      <c r="O267" s="2"/>
      <c r="P267" s="6">
        <v>0.09</v>
      </c>
      <c r="Q267" s="66">
        <f>FORNITURAS!W6</f>
        <v>541.13207547169816</v>
      </c>
      <c r="R267" s="39">
        <f>Q267*P267</f>
        <v>48.701886792452832</v>
      </c>
      <c r="S267" s="1"/>
      <c r="T267" s="171"/>
    </row>
    <row r="268" spans="1:20" x14ac:dyDescent="0.25">
      <c r="A268" s="3" t="s">
        <v>1691</v>
      </c>
      <c r="B268" s="2" t="s">
        <v>1930</v>
      </c>
      <c r="C268" s="6">
        <v>2</v>
      </c>
      <c r="D268" s="66">
        <f>PERLAS!O14</f>
        <v>2400</v>
      </c>
      <c r="E268" s="39">
        <f>D268*C268</f>
        <v>4800</v>
      </c>
      <c r="F268" s="1"/>
      <c r="G268" s="171"/>
      <c r="N268" s="3" t="s">
        <v>1557</v>
      </c>
      <c r="O268" s="2"/>
      <c r="P268" s="6"/>
      <c r="Q268" s="66"/>
      <c r="R268" s="39">
        <f>PACKAGING!E3</f>
        <v>150</v>
      </c>
      <c r="S268" s="1"/>
      <c r="T268" s="171"/>
    </row>
    <row r="269" spans="1:20" x14ac:dyDescent="0.25">
      <c r="A269" s="3" t="s">
        <v>1931</v>
      </c>
      <c r="B269" s="2"/>
      <c r="C269" s="6">
        <v>2</v>
      </c>
      <c r="D269" s="66">
        <f>'AROS, CADENAS, DIJES, ETC'!O49</f>
        <v>130</v>
      </c>
      <c r="E269" s="39">
        <f>D269*C269</f>
        <v>260</v>
      </c>
      <c r="F269" s="171"/>
      <c r="G269" s="171"/>
      <c r="N269" s="3" t="s">
        <v>1538</v>
      </c>
      <c r="O269" s="2"/>
      <c r="P269" s="6"/>
      <c r="Q269" s="66"/>
      <c r="R269" s="39">
        <f>PACKAGING!E8</f>
        <v>420</v>
      </c>
      <c r="S269" s="1"/>
      <c r="T269" s="171"/>
    </row>
    <row r="270" spans="1:20" x14ac:dyDescent="0.25">
      <c r="A270" s="184" t="s">
        <v>1050</v>
      </c>
      <c r="B270" s="2" t="s">
        <v>1059</v>
      </c>
      <c r="C270" s="6">
        <v>0.1</v>
      </c>
      <c r="D270" s="66">
        <f>FORNITURAS!W5</f>
        <v>906.42857142857144</v>
      </c>
      <c r="E270" s="39">
        <f>D270*C270</f>
        <v>90.642857142857153</v>
      </c>
      <c r="F270" s="1"/>
      <c r="G270" s="171"/>
      <c r="N270" s="3" t="s">
        <v>1558</v>
      </c>
      <c r="O270" s="2">
        <v>60</v>
      </c>
      <c r="P270" s="6">
        <v>15</v>
      </c>
      <c r="Q270" s="66">
        <f>'INSUMOS VARIOS'!B3</f>
        <v>3500</v>
      </c>
      <c r="R270" s="39">
        <f>Q270*P270/O270</f>
        <v>875</v>
      </c>
      <c r="T270" s="1"/>
    </row>
    <row r="271" spans="1:20" ht="16.5" thickBot="1" x14ac:dyDescent="0.3">
      <c r="A271" s="3" t="s">
        <v>1557</v>
      </c>
      <c r="B271" s="2"/>
      <c r="C271" s="6"/>
      <c r="D271" s="66"/>
      <c r="E271" s="39">
        <f>PACKAGING!E3</f>
        <v>150</v>
      </c>
      <c r="F271" s="1"/>
      <c r="G271" s="171"/>
      <c r="N271" s="79" t="s">
        <v>525</v>
      </c>
      <c r="O271" s="70"/>
      <c r="P271" s="85"/>
      <c r="Q271" s="85"/>
      <c r="R271" s="51">
        <f>SUM(R265:R270)</f>
        <v>2279.2282025819263</v>
      </c>
      <c r="S271" s="134"/>
      <c r="T271" s="171"/>
    </row>
    <row r="272" spans="1:20" x14ac:dyDescent="0.25">
      <c r="A272" s="3" t="s">
        <v>1538</v>
      </c>
      <c r="B272" s="2"/>
      <c r="C272" s="6"/>
      <c r="D272" s="66"/>
      <c r="E272" s="39">
        <f>PACKAGING!E8</f>
        <v>420</v>
      </c>
      <c r="F272" s="1"/>
      <c r="G272" s="171"/>
      <c r="N272" s="80" t="s">
        <v>544</v>
      </c>
      <c r="O272" s="220"/>
      <c r="P272" s="220"/>
      <c r="Q272" s="220"/>
      <c r="R272" s="72">
        <f>R271*2</f>
        <v>4558.4564051638527</v>
      </c>
      <c r="S272" s="496">
        <f>R272+R272*50%</f>
        <v>6837.6846077457794</v>
      </c>
      <c r="T272" s="268">
        <v>4600</v>
      </c>
    </row>
    <row r="273" spans="1:20" ht="16.5" thickBot="1" x14ac:dyDescent="0.3">
      <c r="A273" s="3" t="s">
        <v>1558</v>
      </c>
      <c r="B273" s="2">
        <v>60</v>
      </c>
      <c r="C273" s="6">
        <v>20</v>
      </c>
      <c r="D273" s="66">
        <f>'INSUMOS VARIOS'!B3</f>
        <v>3500</v>
      </c>
      <c r="E273" s="39">
        <f>D273*C273/B273</f>
        <v>1166.6666666666667</v>
      </c>
      <c r="F273" s="1" t="s">
        <v>3023</v>
      </c>
      <c r="G273" s="171"/>
      <c r="N273" s="275" t="s">
        <v>1559</v>
      </c>
      <c r="O273" s="269"/>
      <c r="P273" s="269"/>
      <c r="Q273" s="269"/>
      <c r="R273" s="493"/>
      <c r="S273" s="505"/>
      <c r="T273" s="281">
        <f>T272*2</f>
        <v>9200</v>
      </c>
    </row>
    <row r="274" spans="1:20" ht="16.5" thickBot="1" x14ac:dyDescent="0.3">
      <c r="A274" s="79" t="s">
        <v>525</v>
      </c>
      <c r="B274" s="70"/>
      <c r="C274" s="85"/>
      <c r="D274" s="85"/>
      <c r="E274" s="51">
        <f>SUM(E267:E273)</f>
        <v>10914.309523809523</v>
      </c>
      <c r="F274" s="60">
        <f>E274+G275+G276</f>
        <v>14192.309523809523</v>
      </c>
      <c r="G274" s="171"/>
    </row>
    <row r="275" spans="1:20" ht="16.5" thickBot="1" x14ac:dyDescent="0.3">
      <c r="A275" s="275" t="s">
        <v>1559</v>
      </c>
      <c r="B275" s="269"/>
      <c r="C275" s="269"/>
      <c r="D275" s="269"/>
      <c r="E275" s="608">
        <f>E274*2</f>
        <v>21828.619047619046</v>
      </c>
      <c r="F275" s="700">
        <f>E275+E275*50%</f>
        <v>32742.928571428569</v>
      </c>
      <c r="G275" s="701">
        <f>PACKAGING!I3</f>
        <v>2433</v>
      </c>
      <c r="H275" s="702">
        <f>F275+G275+G276</f>
        <v>36020.928571428565</v>
      </c>
      <c r="I275" s="703">
        <v>23000</v>
      </c>
      <c r="N275" s="1589" t="s">
        <v>3212</v>
      </c>
      <c r="O275" s="1596"/>
      <c r="P275" s="1596"/>
      <c r="Q275" s="1596"/>
      <c r="R275" s="1590"/>
      <c r="S275" s="23"/>
      <c r="T275" s="171"/>
    </row>
    <row r="276" spans="1:20" ht="16.5" thickBot="1" x14ac:dyDescent="0.3">
      <c r="F276" s="698"/>
      <c r="G276" s="701">
        <f>PACKAGING!I5</f>
        <v>845</v>
      </c>
      <c r="H276" s="1"/>
      <c r="I276" s="1"/>
      <c r="N276" s="271" t="s">
        <v>916</v>
      </c>
      <c r="O276" s="272" t="s">
        <v>1073</v>
      </c>
      <c r="P276" s="273" t="s">
        <v>1547</v>
      </c>
      <c r="Q276" s="273" t="s">
        <v>1035</v>
      </c>
      <c r="R276" s="274" t="s">
        <v>1549</v>
      </c>
      <c r="S276" s="1"/>
      <c r="T276" s="171"/>
    </row>
    <row r="277" spans="1:20" x14ac:dyDescent="0.25">
      <c r="A277" s="171"/>
      <c r="B277" s="171"/>
      <c r="C277" s="171"/>
      <c r="D277" s="171"/>
      <c r="E277" s="171"/>
      <c r="F277" s="171"/>
      <c r="G277" s="171"/>
      <c r="H277" s="171"/>
      <c r="N277" s="3" t="s">
        <v>811</v>
      </c>
      <c r="O277" s="2">
        <v>2.5</v>
      </c>
      <c r="P277" s="6">
        <v>1</v>
      </c>
      <c r="Q277" s="66">
        <f>'AROS, CADENAS, DIJES, ETC'!D15</f>
        <v>705</v>
      </c>
      <c r="R277" s="39">
        <f>Q277</f>
        <v>705</v>
      </c>
      <c r="S277" s="1"/>
      <c r="T277" s="171"/>
    </row>
    <row r="278" spans="1:20" x14ac:dyDescent="0.25">
      <c r="A278" s="1688" t="s">
        <v>136</v>
      </c>
      <c r="B278" s="1571"/>
      <c r="C278" s="1571"/>
      <c r="D278" s="1571"/>
      <c r="E278" s="1571"/>
      <c r="F278" s="171"/>
      <c r="G278" s="171"/>
      <c r="N278" s="3" t="s">
        <v>2055</v>
      </c>
      <c r="O278" s="2"/>
      <c r="P278" s="6">
        <v>10</v>
      </c>
      <c r="Q278" s="66">
        <f>VIDRIOS!E34</f>
        <v>18.478260869565219</v>
      </c>
      <c r="R278" s="39">
        <f>Q278*P278</f>
        <v>184.78260869565219</v>
      </c>
      <c r="S278" s="1"/>
      <c r="T278" s="171"/>
    </row>
    <row r="279" spans="1:20" x14ac:dyDescent="0.25">
      <c r="A279" s="271" t="s">
        <v>916</v>
      </c>
      <c r="B279" s="272" t="s">
        <v>1073</v>
      </c>
      <c r="C279" s="273" t="s">
        <v>1547</v>
      </c>
      <c r="D279" s="273" t="s">
        <v>1035</v>
      </c>
      <c r="E279" s="274" t="s">
        <v>1549</v>
      </c>
      <c r="F279" s="1"/>
      <c r="G279" s="171"/>
      <c r="N279" s="184" t="s">
        <v>1050</v>
      </c>
      <c r="O279" s="2"/>
      <c r="P279" s="6">
        <v>0.09</v>
      </c>
      <c r="Q279" s="66">
        <f>FORNITURAS!W6</f>
        <v>541.13207547169816</v>
      </c>
      <c r="R279" s="39">
        <f>Q279*P279</f>
        <v>48.701886792452832</v>
      </c>
      <c r="S279" s="1"/>
      <c r="T279" s="171"/>
    </row>
    <row r="280" spans="1:20" x14ac:dyDescent="0.25">
      <c r="A280" s="184" t="s">
        <v>1928</v>
      </c>
      <c r="B280" s="2"/>
      <c r="C280" s="6">
        <v>2</v>
      </c>
      <c r="D280" s="66">
        <f>'AROS, CADENAS, DIJES, ETC'!D129</f>
        <v>710</v>
      </c>
      <c r="E280" s="39">
        <f>D280*C280</f>
        <v>1420</v>
      </c>
      <c r="F280" s="1"/>
      <c r="G280" s="171"/>
      <c r="N280" s="3" t="s">
        <v>1557</v>
      </c>
      <c r="O280" s="2"/>
      <c r="P280" s="6"/>
      <c r="Q280" s="66"/>
      <c r="R280" s="39">
        <f>PACKAGING!E3</f>
        <v>150</v>
      </c>
      <c r="S280" s="1"/>
      <c r="T280" s="171"/>
    </row>
    <row r="281" spans="1:20" x14ac:dyDescent="0.25">
      <c r="A281" s="3" t="s">
        <v>3597</v>
      </c>
      <c r="B281" s="2"/>
      <c r="C281" s="6">
        <v>2</v>
      </c>
      <c r="D281" s="66">
        <f>'PERLAS 2'!H8</f>
        <v>1525.3333333333333</v>
      </c>
      <c r="E281" s="39">
        <f>D281*C281</f>
        <v>3050.6666666666665</v>
      </c>
      <c r="F281" s="1"/>
      <c r="G281" s="171"/>
      <c r="N281" s="3" t="s">
        <v>1538</v>
      </c>
      <c r="O281" s="2"/>
      <c r="P281" s="6"/>
      <c r="Q281" s="66"/>
      <c r="R281" s="39">
        <f>PACKAGING!E8</f>
        <v>420</v>
      </c>
      <c r="S281" s="1"/>
      <c r="T281" s="171"/>
    </row>
    <row r="282" spans="1:20" x14ac:dyDescent="0.25">
      <c r="A282" s="3" t="s">
        <v>1743</v>
      </c>
      <c r="B282" s="2" t="s">
        <v>1744</v>
      </c>
      <c r="C282" s="6">
        <v>2</v>
      </c>
      <c r="D282" s="66">
        <f>FORNITURAS!D15</f>
        <v>142</v>
      </c>
      <c r="E282" s="39">
        <f>D282*C282</f>
        <v>284</v>
      </c>
      <c r="F282" s="1"/>
      <c r="G282" s="171"/>
      <c r="N282" s="3" t="s">
        <v>1558</v>
      </c>
      <c r="O282" s="2">
        <v>60</v>
      </c>
      <c r="P282" s="6">
        <v>15</v>
      </c>
      <c r="Q282" s="66">
        <f>'INSUMOS VARIOS'!B3</f>
        <v>3500</v>
      </c>
      <c r="R282" s="39">
        <f>Q282*P282/O282</f>
        <v>875</v>
      </c>
      <c r="T282" s="1"/>
    </row>
    <row r="283" spans="1:20" ht="16.5" thickBot="1" x14ac:dyDescent="0.3">
      <c r="A283" s="3" t="s">
        <v>1557</v>
      </c>
      <c r="B283" s="2"/>
      <c r="C283" s="6"/>
      <c r="D283" s="66"/>
      <c r="E283" s="39">
        <f>PACKAGING!E3</f>
        <v>150</v>
      </c>
      <c r="F283" s="1"/>
      <c r="G283" s="171"/>
      <c r="N283" s="79" t="s">
        <v>525</v>
      </c>
      <c r="O283" s="70"/>
      <c r="P283" s="85"/>
      <c r="Q283" s="85"/>
      <c r="R283" s="51">
        <f>SUM(R277:R282)</f>
        <v>2383.484495488105</v>
      </c>
      <c r="S283" s="134"/>
      <c r="T283" s="171"/>
    </row>
    <row r="284" spans="1:20" x14ac:dyDescent="0.25">
      <c r="A284" s="3" t="s">
        <v>3568</v>
      </c>
      <c r="B284" s="2"/>
      <c r="C284" s="6"/>
      <c r="D284" s="66"/>
      <c r="E284" s="39">
        <f>PACKAGING!I5</f>
        <v>845</v>
      </c>
      <c r="F284" s="1"/>
      <c r="G284" s="171"/>
      <c r="N284" s="80" t="s">
        <v>544</v>
      </c>
      <c r="O284" s="220"/>
      <c r="P284" s="220"/>
      <c r="Q284" s="220"/>
      <c r="R284" s="72">
        <f>R283*2</f>
        <v>4766.9689909762101</v>
      </c>
      <c r="S284" s="496">
        <f>R284+R284*50%</f>
        <v>7150.4534864643156</v>
      </c>
      <c r="T284" s="268">
        <v>3800</v>
      </c>
    </row>
    <row r="285" spans="1:20" ht="16.5" thickBot="1" x14ac:dyDescent="0.3">
      <c r="A285" s="3" t="s">
        <v>1558</v>
      </c>
      <c r="B285" s="2">
        <v>60</v>
      </c>
      <c r="C285" s="6">
        <v>15</v>
      </c>
      <c r="D285" s="66">
        <f>'INSUMOS VARIOS'!B3</f>
        <v>3500</v>
      </c>
      <c r="E285" s="39">
        <f>D285*C285/B285</f>
        <v>875</v>
      </c>
      <c r="F285" s="1" t="s">
        <v>3023</v>
      </c>
      <c r="G285" s="171"/>
      <c r="N285" s="275" t="s">
        <v>1559</v>
      </c>
      <c r="O285" s="269"/>
      <c r="P285" s="269"/>
      <c r="Q285" s="269"/>
      <c r="R285" s="493"/>
      <c r="S285" s="505"/>
      <c r="T285" s="281">
        <f>T284*2</f>
        <v>7600</v>
      </c>
    </row>
    <row r="286" spans="1:20" ht="16.5" thickBot="1" x14ac:dyDescent="0.3">
      <c r="A286" s="79" t="s">
        <v>525</v>
      </c>
      <c r="B286" s="70"/>
      <c r="C286" s="85"/>
      <c r="D286" s="85"/>
      <c r="E286" s="51">
        <f>SUM(E280:E285)</f>
        <v>6624.6666666666661</v>
      </c>
      <c r="F286" s="1072">
        <f>E286+G287+G288</f>
        <v>9902.6666666666661</v>
      </c>
      <c r="G286" s="171"/>
    </row>
    <row r="287" spans="1:20" ht="16.5" thickBot="1" x14ac:dyDescent="0.3">
      <c r="A287" s="275" t="s">
        <v>1559</v>
      </c>
      <c r="B287" s="269"/>
      <c r="C287" s="269"/>
      <c r="D287" s="269"/>
      <c r="E287" s="608">
        <f>E286*2</f>
        <v>13249.333333333332</v>
      </c>
      <c r="F287" s="700">
        <f>E287+E287*70%</f>
        <v>22523.866666666661</v>
      </c>
      <c r="G287" s="701">
        <f>PACKAGING!I3</f>
        <v>2433</v>
      </c>
      <c r="H287" s="702">
        <f>F287+G287+G288</f>
        <v>25801.866666666661</v>
      </c>
      <c r="I287" s="703">
        <v>30000</v>
      </c>
      <c r="N287" s="1589" t="s">
        <v>3213</v>
      </c>
      <c r="O287" s="1596"/>
      <c r="P287" s="1596"/>
      <c r="Q287" s="1596"/>
      <c r="R287" s="1590"/>
      <c r="S287" s="23"/>
      <c r="T287" s="171"/>
    </row>
    <row r="288" spans="1:20" ht="16.5" thickBot="1" x14ac:dyDescent="0.3">
      <c r="G288" s="701">
        <f>PACKAGING!I5</f>
        <v>845</v>
      </c>
      <c r="I288" s="1"/>
      <c r="J288" s="1"/>
      <c r="N288" s="271" t="s">
        <v>916</v>
      </c>
      <c r="O288" s="272" t="s">
        <v>1073</v>
      </c>
      <c r="P288" s="273" t="s">
        <v>1547</v>
      </c>
      <c r="Q288" s="273" t="s">
        <v>1035</v>
      </c>
      <c r="R288" s="274" t="s">
        <v>1549</v>
      </c>
      <c r="S288" s="1"/>
      <c r="T288" s="171"/>
    </row>
    <row r="289" spans="1:20" x14ac:dyDescent="0.25">
      <c r="A289" s="171"/>
      <c r="B289" s="171"/>
      <c r="C289" s="171"/>
      <c r="D289" s="171"/>
      <c r="E289" s="171"/>
      <c r="F289" s="171"/>
      <c r="G289" s="171"/>
      <c r="H289" s="171"/>
      <c r="N289" s="3" t="s">
        <v>811</v>
      </c>
      <c r="O289" s="2">
        <v>2.5</v>
      </c>
      <c r="P289" s="6">
        <v>1</v>
      </c>
      <c r="Q289" s="66">
        <f>'AROS, CADENAS, DIJES, ETC'!D15</f>
        <v>705</v>
      </c>
      <c r="R289" s="39">
        <f>Q289</f>
        <v>705</v>
      </c>
      <c r="S289" s="1"/>
      <c r="T289" s="171"/>
    </row>
    <row r="290" spans="1:20" x14ac:dyDescent="0.25">
      <c r="A290" s="1601" t="s">
        <v>150</v>
      </c>
      <c r="B290" s="1588"/>
      <c r="C290" s="1588"/>
      <c r="D290" s="1588"/>
      <c r="E290" s="1588"/>
      <c r="F290" s="1722"/>
      <c r="G290" s="23"/>
      <c r="H290" s="171"/>
      <c r="N290" s="3" t="s">
        <v>2055</v>
      </c>
      <c r="O290" s="2"/>
      <c r="P290" s="6">
        <v>9</v>
      </c>
      <c r="Q290" s="66">
        <f>VIDRIOS!E32</f>
        <v>59.583333333333336</v>
      </c>
      <c r="R290" s="39">
        <f>Q290*P290</f>
        <v>536.25</v>
      </c>
      <c r="S290" s="1"/>
      <c r="T290" s="171"/>
    </row>
    <row r="291" spans="1:20" x14ac:dyDescent="0.25">
      <c r="A291" s="271" t="s">
        <v>916</v>
      </c>
      <c r="B291" s="272" t="s">
        <v>1073</v>
      </c>
      <c r="C291" s="273" t="s">
        <v>1607</v>
      </c>
      <c r="D291" s="273" t="s">
        <v>1547</v>
      </c>
      <c r="E291" s="273" t="s">
        <v>1035</v>
      </c>
      <c r="F291" s="274" t="s">
        <v>1549</v>
      </c>
      <c r="G291" s="1"/>
      <c r="H291" s="171"/>
      <c r="N291" s="184" t="s">
        <v>1050</v>
      </c>
      <c r="O291" s="2"/>
      <c r="P291" s="6">
        <v>0.09</v>
      </c>
      <c r="Q291" s="66">
        <f>FORNITURAS!W6</f>
        <v>541.13207547169816</v>
      </c>
      <c r="R291" s="39">
        <f>Q291*P291</f>
        <v>48.701886792452832</v>
      </c>
      <c r="S291" s="1"/>
      <c r="T291" s="171"/>
    </row>
    <row r="292" spans="1:20" x14ac:dyDescent="0.25">
      <c r="A292" s="3" t="s">
        <v>811</v>
      </c>
      <c r="B292" s="2" t="s">
        <v>759</v>
      </c>
      <c r="C292" s="6"/>
      <c r="D292" s="6">
        <v>1</v>
      </c>
      <c r="E292" s="66">
        <f>'AROS, CADENAS, DIJES, ETC'!D14</f>
        <v>696</v>
      </c>
      <c r="F292" s="39">
        <f>E292*D292</f>
        <v>696</v>
      </c>
      <c r="G292" s="1"/>
      <c r="H292" s="171"/>
      <c r="N292" s="3" t="s">
        <v>1557</v>
      </c>
      <c r="O292" s="2"/>
      <c r="P292" s="6"/>
      <c r="Q292" s="66"/>
      <c r="R292" s="39">
        <f>PACKAGING!E3</f>
        <v>150</v>
      </c>
      <c r="S292" s="1"/>
      <c r="T292" s="171"/>
    </row>
    <row r="293" spans="1:20" x14ac:dyDescent="0.25">
      <c r="A293" s="3" t="s">
        <v>811</v>
      </c>
      <c r="B293" s="2" t="s">
        <v>765</v>
      </c>
      <c r="C293" s="6"/>
      <c r="D293" s="6">
        <v>1</v>
      </c>
      <c r="E293" s="66">
        <f>'AROS, CADENAS, DIJES, ETC'!D15</f>
        <v>705</v>
      </c>
      <c r="F293" s="39">
        <f>E293*D293</f>
        <v>705</v>
      </c>
      <c r="G293" s="1"/>
      <c r="H293" s="171"/>
      <c r="N293" s="3" t="s">
        <v>1538</v>
      </c>
      <c r="O293" s="2"/>
      <c r="P293" s="6"/>
      <c r="Q293" s="66"/>
      <c r="R293" s="39">
        <f>PACKAGING!E8</f>
        <v>420</v>
      </c>
      <c r="S293" s="1"/>
      <c r="T293" s="171"/>
    </row>
    <row r="294" spans="1:20" x14ac:dyDescent="0.25">
      <c r="A294" s="3" t="s">
        <v>908</v>
      </c>
      <c r="B294" s="2">
        <v>0.6</v>
      </c>
      <c r="C294" s="6">
        <v>0.03</v>
      </c>
      <c r="D294" s="6"/>
      <c r="E294" s="66">
        <f>'AROS, CADENAS, DIJES, ETC'!I42</f>
        <v>2800</v>
      </c>
      <c r="F294" s="39">
        <f>E294*C294/B294</f>
        <v>140</v>
      </c>
      <c r="G294" s="1"/>
      <c r="H294" s="171"/>
      <c r="N294" s="3" t="s">
        <v>1558</v>
      </c>
      <c r="O294" s="2">
        <v>60</v>
      </c>
      <c r="P294" s="6">
        <v>15</v>
      </c>
      <c r="Q294" s="66">
        <f>'INSUMOS VARIOS'!B3</f>
        <v>3500</v>
      </c>
      <c r="R294" s="39">
        <f>Q294*P294/O294</f>
        <v>875</v>
      </c>
      <c r="T294" s="1"/>
    </row>
    <row r="295" spans="1:20" ht="16.5" thickBot="1" x14ac:dyDescent="0.3">
      <c r="A295" s="3" t="s">
        <v>1742</v>
      </c>
      <c r="B295" s="2"/>
      <c r="C295" s="6"/>
      <c r="D295" s="6">
        <v>1</v>
      </c>
      <c r="E295" s="66">
        <f>PERLAS!O25</f>
        <v>350</v>
      </c>
      <c r="F295" s="39">
        <f t="shared" ref="F295:F300" si="0">E295*D295</f>
        <v>350</v>
      </c>
      <c r="G295" s="1"/>
      <c r="H295" s="171"/>
      <c r="N295" s="79" t="s">
        <v>525</v>
      </c>
      <c r="O295" s="70"/>
      <c r="P295" s="85"/>
      <c r="Q295" s="85"/>
      <c r="R295" s="51">
        <f>SUM(R289:R294)</f>
        <v>2734.9518867924526</v>
      </c>
      <c r="S295" s="134"/>
      <c r="T295" s="171"/>
    </row>
    <row r="296" spans="1:20" x14ac:dyDescent="0.25">
      <c r="A296" s="3" t="s">
        <v>1932</v>
      </c>
      <c r="B296" s="2"/>
      <c r="C296" s="6"/>
      <c r="D296" s="6">
        <v>1</v>
      </c>
      <c r="E296" s="66">
        <f>'AROS, CADENAS, DIJES, ETC'!R180</f>
        <v>1500</v>
      </c>
      <c r="F296" s="39">
        <f t="shared" si="0"/>
        <v>1500</v>
      </c>
      <c r="G296" s="1"/>
      <c r="H296" s="171"/>
      <c r="N296" s="80" t="s">
        <v>544</v>
      </c>
      <c r="O296" s="220"/>
      <c r="P296" s="220"/>
      <c r="Q296" s="220"/>
      <c r="R296" s="72">
        <f>R295*2</f>
        <v>5469.9037735849051</v>
      </c>
      <c r="S296" s="496">
        <f>R296+R296*50%</f>
        <v>8204.8556603773577</v>
      </c>
      <c r="T296" s="268">
        <v>3800</v>
      </c>
    </row>
    <row r="297" spans="1:20" ht="16.5" thickBot="1" x14ac:dyDescent="0.3">
      <c r="A297" s="3" t="s">
        <v>1743</v>
      </c>
      <c r="B297" s="2"/>
      <c r="C297" s="6"/>
      <c r="D297" s="6">
        <v>1</v>
      </c>
      <c r="E297" s="66">
        <f>FORNITURAS!D14</f>
        <v>98.8</v>
      </c>
      <c r="F297" s="39">
        <f t="shared" si="0"/>
        <v>98.8</v>
      </c>
      <c r="G297" s="1"/>
      <c r="H297" s="171"/>
      <c r="N297" s="275" t="s">
        <v>1559</v>
      </c>
      <c r="O297" s="269"/>
      <c r="P297" s="269"/>
      <c r="Q297" s="269"/>
      <c r="R297" s="493"/>
      <c r="S297" s="505"/>
      <c r="T297" s="281">
        <f>T296*2</f>
        <v>7600</v>
      </c>
    </row>
    <row r="298" spans="1:20" ht="16.5" thickBot="1" x14ac:dyDescent="0.3">
      <c r="A298" s="1613" t="s">
        <v>1555</v>
      </c>
      <c r="B298" s="2" t="s">
        <v>1933</v>
      </c>
      <c r="C298" s="6"/>
      <c r="D298" s="6">
        <v>1</v>
      </c>
      <c r="E298" s="66">
        <f>FORNITURAS!D5</f>
        <v>46.8</v>
      </c>
      <c r="F298" s="39">
        <f t="shared" si="0"/>
        <v>46.8</v>
      </c>
      <c r="G298" s="1"/>
      <c r="H298" s="171"/>
    </row>
    <row r="299" spans="1:20" x14ac:dyDescent="0.25">
      <c r="A299" s="1614"/>
      <c r="B299" s="2" t="s">
        <v>1573</v>
      </c>
      <c r="C299" s="6"/>
      <c r="D299" s="6">
        <v>1</v>
      </c>
      <c r="E299" s="66">
        <f>FORNITURAS!D7</f>
        <v>52</v>
      </c>
      <c r="F299" s="39">
        <f t="shared" si="0"/>
        <v>52</v>
      </c>
      <c r="G299" s="1"/>
      <c r="H299" s="171"/>
      <c r="N299" s="1589" t="s">
        <v>3276</v>
      </c>
      <c r="O299" s="1596"/>
      <c r="P299" s="1596"/>
      <c r="Q299" s="1596"/>
      <c r="R299" s="1590"/>
      <c r="S299" s="23"/>
      <c r="T299" s="171"/>
    </row>
    <row r="300" spans="1:20" x14ac:dyDescent="0.25">
      <c r="A300" s="1615"/>
      <c r="B300" s="2" t="s">
        <v>777</v>
      </c>
      <c r="C300" s="6"/>
      <c r="D300" s="6">
        <v>1</v>
      </c>
      <c r="E300" s="66">
        <f>FORNITURAS!D3</f>
        <v>19.260000000000002</v>
      </c>
      <c r="F300" s="39">
        <f t="shared" si="0"/>
        <v>19.260000000000002</v>
      </c>
      <c r="G300" s="1"/>
      <c r="H300" s="171"/>
      <c r="N300" s="271" t="s">
        <v>916</v>
      </c>
      <c r="O300" s="272" t="s">
        <v>1073</v>
      </c>
      <c r="P300" s="273" t="s">
        <v>1547</v>
      </c>
      <c r="Q300" s="273" t="s">
        <v>1035</v>
      </c>
      <c r="R300" s="274" t="s">
        <v>1549</v>
      </c>
      <c r="S300" s="1"/>
      <c r="T300" s="171"/>
    </row>
    <row r="301" spans="1:20" x14ac:dyDescent="0.25">
      <c r="A301" s="3" t="s">
        <v>1557</v>
      </c>
      <c r="B301" s="2"/>
      <c r="C301" s="6"/>
      <c r="D301" s="6"/>
      <c r="E301" s="66"/>
      <c r="F301" s="39">
        <f>PACKAGING!E3</f>
        <v>150</v>
      </c>
      <c r="G301" s="1"/>
      <c r="H301" s="171"/>
      <c r="N301" s="3" t="s">
        <v>784</v>
      </c>
      <c r="O301" s="2">
        <v>1.5</v>
      </c>
      <c r="P301" s="6">
        <v>1</v>
      </c>
      <c r="Q301" s="66">
        <f>'AROS, CADENAS, DIJES, ETC'!D9</f>
        <v>1500</v>
      </c>
      <c r="R301" s="39">
        <f>Q301</f>
        <v>1500</v>
      </c>
      <c r="S301" s="1"/>
      <c r="T301" s="171"/>
    </row>
    <row r="302" spans="1:20" x14ac:dyDescent="0.25">
      <c r="A302" s="3" t="s">
        <v>1538</v>
      </c>
      <c r="B302" s="2"/>
      <c r="C302" s="6"/>
      <c r="D302" s="6"/>
      <c r="E302" s="66"/>
      <c r="F302" s="39">
        <f>PACKAGING!E8</f>
        <v>420</v>
      </c>
      <c r="G302" s="1"/>
      <c r="H302" s="171"/>
      <c r="N302" s="3" t="s">
        <v>3279</v>
      </c>
      <c r="O302" s="2"/>
      <c r="P302" s="6">
        <v>1</v>
      </c>
      <c r="Q302" s="66">
        <f>'PALAIS DU BIJOU'!M61</f>
        <v>350</v>
      </c>
      <c r="R302" s="39">
        <f>Q302*P302</f>
        <v>350</v>
      </c>
      <c r="S302" s="1"/>
      <c r="T302" s="171"/>
    </row>
    <row r="303" spans="1:20" x14ac:dyDescent="0.25">
      <c r="A303" s="3" t="s">
        <v>1558</v>
      </c>
      <c r="B303" s="2">
        <v>60</v>
      </c>
      <c r="C303" s="6"/>
      <c r="D303" s="6">
        <v>15</v>
      </c>
      <c r="E303" s="66">
        <f>'INSUMOS VARIOS'!B3</f>
        <v>3500</v>
      </c>
      <c r="F303" s="39">
        <f>E303*D303/B303</f>
        <v>875</v>
      </c>
      <c r="G303" s="1"/>
      <c r="H303" s="171"/>
      <c r="N303" s="3" t="s">
        <v>1557</v>
      </c>
      <c r="O303" s="2"/>
      <c r="P303" s="6"/>
      <c r="Q303" s="66"/>
      <c r="R303" s="39">
        <f>PACKAGING!E3</f>
        <v>150</v>
      </c>
      <c r="S303" s="1"/>
      <c r="T303" s="171"/>
    </row>
    <row r="304" spans="1:20" ht="16.5" thickBot="1" x14ac:dyDescent="0.3">
      <c r="A304" s="79" t="s">
        <v>525</v>
      </c>
      <c r="B304" s="70"/>
      <c r="C304" s="85"/>
      <c r="D304" s="85"/>
      <c r="E304" s="85"/>
      <c r="F304" s="51">
        <f>SUM(F292:F303)</f>
        <v>5052.8600000000006</v>
      </c>
      <c r="G304" s="134"/>
      <c r="H304" s="171"/>
      <c r="N304" s="3" t="s">
        <v>1538</v>
      </c>
      <c r="O304" s="2"/>
      <c r="P304" s="6"/>
      <c r="Q304" s="66"/>
      <c r="R304" s="39">
        <f>PACKAGING!E8</f>
        <v>420</v>
      </c>
      <c r="S304" s="1"/>
      <c r="T304" s="171"/>
    </row>
    <row r="305" spans="1:20" x14ac:dyDescent="0.25">
      <c r="A305" s="80" t="s">
        <v>544</v>
      </c>
      <c r="B305" s="220"/>
      <c r="C305" s="220"/>
      <c r="D305" s="220"/>
      <c r="E305" s="220"/>
      <c r="F305" s="221">
        <f>F304*2</f>
        <v>10105.720000000001</v>
      </c>
      <c r="G305" s="492">
        <f>F305+F305*50%</f>
        <v>15158.580000000002</v>
      </c>
      <c r="H305" s="268">
        <v>6800</v>
      </c>
      <c r="N305" s="3" t="s">
        <v>1558</v>
      </c>
      <c r="O305" s="2">
        <v>60</v>
      </c>
      <c r="P305" s="6">
        <v>10</v>
      </c>
      <c r="Q305" s="66">
        <f>'INSUMOS VARIOS'!B3</f>
        <v>3500</v>
      </c>
      <c r="R305" s="39">
        <f>Q305*P305/O305</f>
        <v>583.33333333333337</v>
      </c>
      <c r="T305" s="1"/>
    </row>
    <row r="306" spans="1:20" ht="16.5" thickBot="1" x14ac:dyDescent="0.3">
      <c r="A306" s="275" t="s">
        <v>1559</v>
      </c>
      <c r="B306" s="269"/>
      <c r="C306" s="269"/>
      <c r="D306" s="269"/>
      <c r="E306" s="269"/>
      <c r="F306" s="488"/>
      <c r="G306" s="493"/>
      <c r="H306" s="281">
        <f>H305*2</f>
        <v>13600</v>
      </c>
      <c r="N306" s="79" t="s">
        <v>525</v>
      </c>
      <c r="O306" s="70"/>
      <c r="P306" s="85"/>
      <c r="Q306" s="85"/>
      <c r="R306" s="51">
        <f>SUM(R301:R305)</f>
        <v>3003.3333333333335</v>
      </c>
      <c r="S306" s="134"/>
      <c r="T306" s="171"/>
    </row>
    <row r="307" spans="1:20" x14ac:dyDescent="0.25">
      <c r="A307" s="171"/>
      <c r="B307" s="171"/>
      <c r="C307" s="171"/>
      <c r="D307" s="171"/>
      <c r="E307" s="171"/>
      <c r="F307" s="171"/>
      <c r="G307" s="171"/>
      <c r="H307" s="171"/>
      <c r="N307" s="80" t="s">
        <v>544</v>
      </c>
      <c r="O307" s="220"/>
      <c r="P307" s="220"/>
      <c r="Q307" s="220"/>
      <c r="R307" s="72">
        <f>R306*2</f>
        <v>6006.666666666667</v>
      </c>
      <c r="S307" s="496">
        <f>R307+R307*50%</f>
        <v>9010</v>
      </c>
      <c r="T307" s="268">
        <v>3800</v>
      </c>
    </row>
    <row r="308" spans="1:20" ht="16.5" thickBot="1" x14ac:dyDescent="0.3">
      <c r="A308" s="1688" t="s">
        <v>414</v>
      </c>
      <c r="B308" s="1571"/>
      <c r="C308" s="1571"/>
      <c r="D308" s="1571"/>
      <c r="E308" s="1571"/>
      <c r="F308" s="171"/>
      <c r="G308" s="171"/>
      <c r="N308" s="275" t="s">
        <v>1559</v>
      </c>
      <c r="O308" s="269"/>
      <c r="P308" s="269"/>
      <c r="Q308" s="269"/>
      <c r="R308" s="493"/>
      <c r="S308" s="505"/>
      <c r="T308" s="281">
        <f>T307*2</f>
        <v>7600</v>
      </c>
    </row>
    <row r="309" spans="1:20" ht="16.5" thickBot="1" x14ac:dyDescent="0.3">
      <c r="A309" s="271" t="s">
        <v>916</v>
      </c>
      <c r="B309" s="272" t="s">
        <v>1073</v>
      </c>
      <c r="C309" s="273" t="s">
        <v>1547</v>
      </c>
      <c r="D309" s="273" t="s">
        <v>1035</v>
      </c>
      <c r="E309" s="274" t="s">
        <v>1549</v>
      </c>
      <c r="F309" s="1"/>
      <c r="G309" s="171"/>
    </row>
    <row r="310" spans="1:20" x14ac:dyDescent="0.25">
      <c r="A310" s="3" t="s">
        <v>1929</v>
      </c>
      <c r="B310" s="2"/>
      <c r="C310" s="6">
        <v>2</v>
      </c>
      <c r="D310" s="66">
        <f>'AROS, CADENAS, DIJES, ETC'!D118</f>
        <v>1544</v>
      </c>
      <c r="E310" s="39">
        <f>D310*C310</f>
        <v>3088</v>
      </c>
      <c r="F310" s="1"/>
      <c r="G310" s="171"/>
      <c r="N310" s="1589" t="s">
        <v>3277</v>
      </c>
      <c r="O310" s="1596"/>
      <c r="P310" s="1596"/>
      <c r="Q310" s="1596"/>
      <c r="R310" s="1590"/>
      <c r="S310" s="23"/>
      <c r="T310" s="171"/>
    </row>
    <row r="311" spans="1:20" x14ac:dyDescent="0.25">
      <c r="A311" s="3" t="s">
        <v>3634</v>
      </c>
      <c r="B311" s="2"/>
      <c r="C311" s="6">
        <v>2</v>
      </c>
      <c r="D311" s="66">
        <f>'PERLAS 2'!H17</f>
        <v>1809.5</v>
      </c>
      <c r="E311" s="39">
        <f>D311*C311</f>
        <v>3619</v>
      </c>
      <c r="F311" s="1"/>
      <c r="G311" s="171"/>
      <c r="N311" s="271" t="s">
        <v>916</v>
      </c>
      <c r="O311" s="272" t="s">
        <v>1073</v>
      </c>
      <c r="P311" s="273" t="s">
        <v>1547</v>
      </c>
      <c r="Q311" s="273" t="s">
        <v>1035</v>
      </c>
      <c r="R311" s="274" t="s">
        <v>1549</v>
      </c>
      <c r="S311" s="1"/>
      <c r="T311" s="171"/>
    </row>
    <row r="312" spans="1:20" x14ac:dyDescent="0.25">
      <c r="A312" s="184" t="s">
        <v>1012</v>
      </c>
      <c r="B312" s="2"/>
      <c r="C312" s="6">
        <v>4</v>
      </c>
      <c r="D312" s="66">
        <f>FORNITURAS!D17</f>
        <v>45.05</v>
      </c>
      <c r="E312" s="39">
        <f>D312*C312</f>
        <v>180.2</v>
      </c>
      <c r="F312" s="1"/>
      <c r="G312" s="171"/>
      <c r="N312" s="3" t="s">
        <v>784</v>
      </c>
      <c r="O312" s="2">
        <v>1.5</v>
      </c>
      <c r="P312" s="6">
        <v>1</v>
      </c>
      <c r="Q312" s="66">
        <f>'AROS, CADENAS, DIJES, ETC'!D9</f>
        <v>1500</v>
      </c>
      <c r="R312" s="39">
        <f>Q312</f>
        <v>1500</v>
      </c>
      <c r="S312" s="1"/>
      <c r="T312" s="171"/>
    </row>
    <row r="313" spans="1:20" x14ac:dyDescent="0.25">
      <c r="A313" s="184" t="s">
        <v>1743</v>
      </c>
      <c r="B313" s="2" t="s">
        <v>1744</v>
      </c>
      <c r="C313" s="6">
        <v>2</v>
      </c>
      <c r="D313" s="66">
        <f>FORNITURAS!D15</f>
        <v>142</v>
      </c>
      <c r="E313" s="39">
        <f>D313*C313</f>
        <v>284</v>
      </c>
      <c r="F313" s="1"/>
      <c r="G313" s="171"/>
      <c r="N313" s="3" t="s">
        <v>3278</v>
      </c>
      <c r="O313" s="2"/>
      <c r="P313" s="6">
        <v>1</v>
      </c>
      <c r="Q313" s="66">
        <f>'PALAIS DU BIJOU'!M58</f>
        <v>300</v>
      </c>
      <c r="R313" s="39">
        <f>Q313*P313</f>
        <v>300</v>
      </c>
      <c r="S313" s="1"/>
      <c r="T313" s="171"/>
    </row>
    <row r="314" spans="1:20" x14ac:dyDescent="0.25">
      <c r="A314" s="3" t="s">
        <v>1557</v>
      </c>
      <c r="B314" s="2"/>
      <c r="C314" s="6"/>
      <c r="D314" s="66"/>
      <c r="E314" s="39">
        <f>PACKAGING!E3</f>
        <v>150</v>
      </c>
      <c r="F314" s="1"/>
      <c r="G314" s="171"/>
      <c r="N314" s="3" t="s">
        <v>1557</v>
      </c>
      <c r="O314" s="2"/>
      <c r="P314" s="6"/>
      <c r="Q314" s="66"/>
      <c r="R314" s="39">
        <f>PACKAGING!E3</f>
        <v>150</v>
      </c>
      <c r="S314" s="1"/>
      <c r="T314" s="171"/>
    </row>
    <row r="315" spans="1:20" x14ac:dyDescent="0.25">
      <c r="A315" s="3" t="s">
        <v>3484</v>
      </c>
      <c r="B315" s="2"/>
      <c r="C315" s="6"/>
      <c r="D315" s="66"/>
      <c r="E315" s="39">
        <f>PACKAGING!I5</f>
        <v>845</v>
      </c>
      <c r="F315" s="1"/>
      <c r="G315" s="171"/>
      <c r="N315" s="3" t="s">
        <v>1538</v>
      </c>
      <c r="O315" s="2"/>
      <c r="P315" s="6"/>
      <c r="Q315" s="66"/>
      <c r="R315" s="39">
        <f>PACKAGING!E8</f>
        <v>420</v>
      </c>
      <c r="S315" s="1"/>
      <c r="T315" s="171"/>
    </row>
    <row r="316" spans="1:20" x14ac:dyDescent="0.25">
      <c r="A316" s="3" t="s">
        <v>1558</v>
      </c>
      <c r="B316" s="2">
        <v>60</v>
      </c>
      <c r="C316" s="6">
        <v>20</v>
      </c>
      <c r="D316" s="66">
        <f>'INSUMOS VARIOS'!B3</f>
        <v>3500</v>
      </c>
      <c r="E316" s="39">
        <f>D316*C316/B316</f>
        <v>1166.6666666666667</v>
      </c>
      <c r="F316" s="1" t="s">
        <v>3023</v>
      </c>
      <c r="G316" s="171"/>
      <c r="N316" s="3" t="s">
        <v>1558</v>
      </c>
      <c r="O316" s="2">
        <v>60</v>
      </c>
      <c r="P316" s="6">
        <v>10</v>
      </c>
      <c r="Q316" s="66">
        <f>'INSUMOS VARIOS'!B3</f>
        <v>3500</v>
      </c>
      <c r="R316" s="39">
        <f>Q316*P316/O316</f>
        <v>583.33333333333337</v>
      </c>
      <c r="T316" s="1"/>
    </row>
    <row r="317" spans="1:20" ht="16.5" thickBot="1" x14ac:dyDescent="0.3">
      <c r="A317" s="79" t="s">
        <v>525</v>
      </c>
      <c r="B317" s="70"/>
      <c r="C317" s="85"/>
      <c r="D317" s="85"/>
      <c r="E317" s="51">
        <f>SUM(E310:E316)</f>
        <v>9332.8666666666668</v>
      </c>
      <c r="F317" s="60">
        <f>E317+G318+G319</f>
        <v>12610.866666666667</v>
      </c>
      <c r="G317" s="171"/>
      <c r="N317" s="79" t="s">
        <v>525</v>
      </c>
      <c r="O317" s="70"/>
      <c r="P317" s="85"/>
      <c r="Q317" s="85"/>
      <c r="R317" s="51">
        <f>SUM(R312:R316)</f>
        <v>2953.3333333333335</v>
      </c>
      <c r="S317" s="134"/>
      <c r="T317" s="171"/>
    </row>
    <row r="318" spans="1:20" ht="16.5" thickBot="1" x14ac:dyDescent="0.3">
      <c r="A318" s="275" t="s">
        <v>1559</v>
      </c>
      <c r="B318" s="269"/>
      <c r="C318" s="269"/>
      <c r="D318" s="269"/>
      <c r="E318" s="608">
        <f>E317*2</f>
        <v>18665.733333333334</v>
      </c>
      <c r="F318" s="700">
        <f>E318+E318*70%</f>
        <v>31731.746666666666</v>
      </c>
      <c r="G318" s="701">
        <f>PACKAGING!I3</f>
        <v>2433</v>
      </c>
      <c r="H318" s="702">
        <f>F318+G318+G319</f>
        <v>35009.746666666666</v>
      </c>
      <c r="I318" s="703">
        <v>36000</v>
      </c>
      <c r="N318" s="80" t="s">
        <v>544</v>
      </c>
      <c r="O318" s="220"/>
      <c r="P318" s="220"/>
      <c r="Q318" s="220"/>
      <c r="R318" s="72">
        <f>R317*2</f>
        <v>5906.666666666667</v>
      </c>
      <c r="S318" s="496">
        <f>R318+R318*50%</f>
        <v>8860</v>
      </c>
      <c r="T318" s="268">
        <v>3800</v>
      </c>
    </row>
    <row r="319" spans="1:20" ht="16.5" thickBot="1" x14ac:dyDescent="0.3">
      <c r="F319" s="698"/>
      <c r="G319" s="701">
        <f>PACKAGING!I5</f>
        <v>845</v>
      </c>
      <c r="H319" s="1"/>
      <c r="I319" s="1"/>
      <c r="N319" s="275" t="s">
        <v>1559</v>
      </c>
      <c r="O319" s="269"/>
      <c r="P319" s="269"/>
      <c r="Q319" s="269"/>
      <c r="R319" s="493"/>
      <c r="S319" s="505"/>
      <c r="T319" s="281">
        <f>T318*2</f>
        <v>7600</v>
      </c>
    </row>
    <row r="320" spans="1:20" ht="16.5" thickBot="1" x14ac:dyDescent="0.3">
      <c r="F320" s="698"/>
      <c r="G320" s="698"/>
      <c r="H320" s="1"/>
      <c r="I320" s="1"/>
    </row>
    <row r="321" spans="1:20" x14ac:dyDescent="0.25">
      <c r="A321" s="1688" t="s">
        <v>138</v>
      </c>
      <c r="B321" s="1571"/>
      <c r="C321" s="1571"/>
      <c r="D321" s="1571"/>
      <c r="E321" s="1571"/>
      <c r="F321" s="171"/>
      <c r="G321" s="171"/>
      <c r="H321" s="171"/>
      <c r="N321" s="1589" t="s">
        <v>3807</v>
      </c>
      <c r="O321" s="1596"/>
      <c r="P321" s="1596"/>
      <c r="Q321" s="1596"/>
      <c r="R321" s="1590"/>
      <c r="S321" s="188"/>
      <c r="T321" s="171"/>
    </row>
    <row r="322" spans="1:20" x14ac:dyDescent="0.25">
      <c r="A322" s="271" t="s">
        <v>916</v>
      </c>
      <c r="B322" s="272" t="s">
        <v>1073</v>
      </c>
      <c r="C322" s="273" t="s">
        <v>1547</v>
      </c>
      <c r="D322" s="273" t="s">
        <v>1035</v>
      </c>
      <c r="E322" s="274" t="s">
        <v>1549</v>
      </c>
      <c r="F322" s="1"/>
      <c r="G322" s="171"/>
      <c r="H322" s="171"/>
      <c r="N322" s="271" t="s">
        <v>916</v>
      </c>
      <c r="O322" s="272" t="s">
        <v>1073</v>
      </c>
      <c r="P322" s="273" t="s">
        <v>1547</v>
      </c>
      <c r="Q322" s="273" t="s">
        <v>1035</v>
      </c>
      <c r="R322" s="274" t="s">
        <v>1549</v>
      </c>
      <c r="S322" s="1"/>
      <c r="T322" s="171"/>
    </row>
    <row r="323" spans="1:20" x14ac:dyDescent="0.25">
      <c r="A323" s="3" t="s">
        <v>748</v>
      </c>
      <c r="B323" s="2" t="s">
        <v>789</v>
      </c>
      <c r="C323" s="6">
        <v>1</v>
      </c>
      <c r="D323" s="66">
        <f>'AROS, CADENAS, DIJES, ETC'!C4</f>
        <v>1200</v>
      </c>
      <c r="E323" s="39">
        <f>D323*C323</f>
        <v>1200</v>
      </c>
      <c r="F323" s="1"/>
      <c r="G323" s="171"/>
      <c r="H323" s="171"/>
      <c r="N323" s="3" t="s">
        <v>3736</v>
      </c>
      <c r="O323" s="2" t="s">
        <v>3578</v>
      </c>
      <c r="P323" s="6">
        <v>1</v>
      </c>
      <c r="Q323" s="66">
        <f>'AROS, CADENAS, DIJES, ETC'!D32</f>
        <v>837.5</v>
      </c>
      <c r="R323" s="39">
        <f>Q323</f>
        <v>837.5</v>
      </c>
      <c r="S323" s="1"/>
      <c r="T323" s="171"/>
    </row>
    <row r="324" spans="1:20" x14ac:dyDescent="0.25">
      <c r="A324" s="3" t="s">
        <v>1691</v>
      </c>
      <c r="B324" s="2" t="s">
        <v>1930</v>
      </c>
      <c r="C324" s="6">
        <v>2</v>
      </c>
      <c r="D324" s="66">
        <f>CADENAS!Q63</f>
        <v>1235.8620689655172</v>
      </c>
      <c r="E324" s="39">
        <f>D324*C324</f>
        <v>2471.7241379310344</v>
      </c>
      <c r="F324" s="1"/>
      <c r="G324" s="171"/>
      <c r="H324" s="171"/>
      <c r="N324" s="3" t="s">
        <v>3200</v>
      </c>
      <c r="O324" s="2"/>
      <c r="P324" s="6">
        <v>1</v>
      </c>
      <c r="Q324" s="66">
        <f>'AROS, CADENAS, DIJES, ETC'!O20</f>
        <v>780</v>
      </c>
      <c r="R324" s="39">
        <f>Q324*P324</f>
        <v>780</v>
      </c>
      <c r="S324" s="1"/>
      <c r="T324" s="171"/>
    </row>
    <row r="325" spans="1:20" x14ac:dyDescent="0.25">
      <c r="A325" s="3" t="s">
        <v>1050</v>
      </c>
      <c r="B325" s="2" t="s">
        <v>1744</v>
      </c>
      <c r="C325" s="6">
        <v>2</v>
      </c>
      <c r="D325" s="66">
        <f>FORNITURAS!D15</f>
        <v>142</v>
      </c>
      <c r="E325" s="39">
        <f>D325*C325</f>
        <v>284</v>
      </c>
      <c r="F325" s="171"/>
      <c r="G325" s="171"/>
      <c r="H325" s="171"/>
      <c r="N325" s="3" t="s">
        <v>1557</v>
      </c>
      <c r="O325" s="2"/>
      <c r="P325" s="6"/>
      <c r="Q325" s="66"/>
      <c r="R325" s="39">
        <f>PACKAGING!E3</f>
        <v>150</v>
      </c>
      <c r="S325" s="1"/>
      <c r="T325" s="171"/>
    </row>
    <row r="326" spans="1:20" x14ac:dyDescent="0.25">
      <c r="A326" s="184" t="s">
        <v>1925</v>
      </c>
      <c r="B326" s="2" t="s">
        <v>1054</v>
      </c>
      <c r="C326" s="6">
        <v>2</v>
      </c>
      <c r="D326" s="66">
        <f>FORNITURAS!D10</f>
        <v>32.628571428571426</v>
      </c>
      <c r="E326" s="39">
        <f>D326*C326</f>
        <v>65.257142857142853</v>
      </c>
      <c r="F326" s="1"/>
      <c r="G326" s="171"/>
      <c r="H326" s="171"/>
      <c r="N326" s="3" t="s">
        <v>1538</v>
      </c>
      <c r="O326" s="2"/>
      <c r="P326" s="6"/>
      <c r="Q326" s="66"/>
      <c r="R326" s="39">
        <f>PACKAGING!E8</f>
        <v>420</v>
      </c>
      <c r="S326" s="1"/>
      <c r="T326" s="171"/>
    </row>
    <row r="327" spans="1:20" x14ac:dyDescent="0.25">
      <c r="A327" s="184" t="s">
        <v>1934</v>
      </c>
      <c r="B327" s="2"/>
      <c r="C327" s="6">
        <v>2</v>
      </c>
      <c r="D327" s="66">
        <f>'INSUMOS VARIOS'!B7</f>
        <v>5</v>
      </c>
      <c r="E327" s="39">
        <f>D327*C327</f>
        <v>10</v>
      </c>
      <c r="F327" s="1"/>
      <c r="G327" s="171"/>
      <c r="H327" s="171"/>
      <c r="N327" s="3" t="s">
        <v>1558</v>
      </c>
      <c r="O327" s="2">
        <v>60</v>
      </c>
      <c r="P327" s="6">
        <v>5</v>
      </c>
      <c r="Q327" s="66">
        <f>'INSUMOS VARIOS'!B3</f>
        <v>3500</v>
      </c>
      <c r="R327" s="39">
        <f>Q327*P327/O327</f>
        <v>291.66666666666669</v>
      </c>
      <c r="S327" s="1"/>
      <c r="T327" s="171"/>
    </row>
    <row r="328" spans="1:20" ht="16.5" thickBot="1" x14ac:dyDescent="0.3">
      <c r="A328" s="3" t="s">
        <v>1557</v>
      </c>
      <c r="B328" s="2"/>
      <c r="C328" s="6"/>
      <c r="D328" s="66"/>
      <c r="E328" s="39">
        <f>PACKAGING!E3</f>
        <v>150</v>
      </c>
      <c r="F328" s="1"/>
      <c r="G328" s="171"/>
      <c r="H328" s="171"/>
      <c r="N328" s="79" t="s">
        <v>525</v>
      </c>
      <c r="O328" s="70"/>
      <c r="P328" s="85"/>
      <c r="Q328" s="85"/>
      <c r="R328" s="51">
        <f>SUM(R323:R327)</f>
        <v>2479.1666666666665</v>
      </c>
    </row>
    <row r="329" spans="1:20" x14ac:dyDescent="0.25">
      <c r="A329" s="3" t="s">
        <v>1538</v>
      </c>
      <c r="B329" s="2"/>
      <c r="C329" s="6"/>
      <c r="D329" s="66"/>
      <c r="E329" s="39">
        <f>PACKAGING!E8</f>
        <v>420</v>
      </c>
      <c r="F329" s="1"/>
      <c r="G329" s="171"/>
      <c r="H329" s="171"/>
      <c r="N329" s="80" t="s">
        <v>544</v>
      </c>
      <c r="O329" s="220"/>
      <c r="P329" s="220"/>
      <c r="Q329" s="220"/>
      <c r="R329" s="72">
        <f>R328*2</f>
        <v>4958.333333333333</v>
      </c>
      <c r="S329" s="496">
        <f>R329+R329*70%</f>
        <v>8429.1666666666661</v>
      </c>
      <c r="T329" s="268">
        <v>12000</v>
      </c>
    </row>
    <row r="330" spans="1:20" ht="16.5" thickBot="1" x14ac:dyDescent="0.3">
      <c r="A330" s="3" t="s">
        <v>1558</v>
      </c>
      <c r="B330" s="2">
        <v>60</v>
      </c>
      <c r="C330" s="6">
        <v>20</v>
      </c>
      <c r="D330" s="66">
        <f>'INSUMOS VARIOS'!B3</f>
        <v>3500</v>
      </c>
      <c r="E330" s="39">
        <f>D330*C330/B330</f>
        <v>1166.6666666666667</v>
      </c>
      <c r="F330" s="1"/>
      <c r="G330" s="171"/>
      <c r="H330" s="171"/>
      <c r="N330" s="275" t="s">
        <v>1559</v>
      </c>
      <c r="O330" s="269"/>
      <c r="P330" s="269"/>
      <c r="Q330" s="269"/>
      <c r="R330" s="493"/>
      <c r="S330" s="505"/>
      <c r="T330" s="281"/>
    </row>
    <row r="331" spans="1:20" ht="16.5" thickBot="1" x14ac:dyDescent="0.3">
      <c r="A331" s="79" t="s">
        <v>525</v>
      </c>
      <c r="B331" s="70"/>
      <c r="C331" s="85"/>
      <c r="D331" s="85"/>
      <c r="E331" s="51">
        <f>SUM(E323:E330)</f>
        <v>5767.6479474548441</v>
      </c>
      <c r="F331" s="134"/>
      <c r="G331" s="171"/>
      <c r="H331" s="171"/>
    </row>
    <row r="332" spans="1:20" ht="16.5" thickBot="1" x14ac:dyDescent="0.3">
      <c r="A332" s="80" t="s">
        <v>544</v>
      </c>
      <c r="B332" s="220"/>
      <c r="C332" s="220"/>
      <c r="D332" s="220"/>
      <c r="E332" s="72">
        <f>E331*2</f>
        <v>11535.295894909688</v>
      </c>
      <c r="F332" s="473">
        <f>E332+E332*30%</f>
        <v>14995.884663382594</v>
      </c>
      <c r="G332" s="268">
        <v>9000</v>
      </c>
      <c r="H332" s="171"/>
      <c r="N332" s="1589" t="s">
        <v>3739</v>
      </c>
      <c r="O332" s="1596"/>
      <c r="P332" s="1596"/>
      <c r="Q332" s="1596"/>
      <c r="R332" s="1590"/>
      <c r="S332" s="23"/>
      <c r="T332" s="171"/>
    </row>
    <row r="333" spans="1:20" ht="16.5" thickBot="1" x14ac:dyDescent="0.3">
      <c r="A333" s="275" t="s">
        <v>1559</v>
      </c>
      <c r="B333" s="269"/>
      <c r="C333" s="269"/>
      <c r="D333" s="269"/>
      <c r="E333" s="493"/>
      <c r="F333" s="474"/>
      <c r="G333" s="268">
        <f>G332*2</f>
        <v>18000</v>
      </c>
      <c r="H333" s="171"/>
      <c r="N333" s="271" t="s">
        <v>916</v>
      </c>
      <c r="O333" s="272" t="s">
        <v>1073</v>
      </c>
      <c r="P333" s="273" t="s">
        <v>1547</v>
      </c>
      <c r="Q333" s="273" t="s">
        <v>1035</v>
      </c>
      <c r="R333" s="274" t="s">
        <v>1549</v>
      </c>
      <c r="S333" s="1"/>
      <c r="T333" s="171"/>
    </row>
    <row r="334" spans="1:20" x14ac:dyDescent="0.25">
      <c r="A334" s="171"/>
      <c r="B334" s="171"/>
      <c r="C334" s="171"/>
      <c r="D334" s="171"/>
      <c r="E334" s="171"/>
      <c r="F334" s="171"/>
      <c r="G334" s="171"/>
      <c r="H334" s="171"/>
      <c r="N334" s="3" t="s">
        <v>3736</v>
      </c>
      <c r="O334" s="2" t="s">
        <v>3578</v>
      </c>
      <c r="P334" s="6">
        <v>1</v>
      </c>
      <c r="Q334" s="66">
        <f>PLATEADO!F34</f>
        <v>1520</v>
      </c>
      <c r="R334" s="39">
        <f>Q334</f>
        <v>1520</v>
      </c>
      <c r="S334" s="1"/>
      <c r="T334" s="171"/>
    </row>
    <row r="335" spans="1:20" x14ac:dyDescent="0.25">
      <c r="A335" s="1688" t="s">
        <v>162</v>
      </c>
      <c r="B335" s="1571"/>
      <c r="C335" s="1571"/>
      <c r="D335" s="1571"/>
      <c r="E335" s="1571"/>
      <c r="F335" s="1571"/>
      <c r="G335" s="171"/>
      <c r="H335" s="171"/>
      <c r="N335" s="3" t="s">
        <v>3200</v>
      </c>
      <c r="O335" s="2"/>
      <c r="P335" s="6">
        <v>1</v>
      </c>
      <c r="Q335" s="66">
        <f>PLATEADO!M13</f>
        <v>1634</v>
      </c>
      <c r="R335" s="39">
        <f>Q335*P335</f>
        <v>1634</v>
      </c>
      <c r="S335" s="1"/>
      <c r="T335" s="171"/>
    </row>
    <row r="336" spans="1:20" x14ac:dyDescent="0.25">
      <c r="A336" s="271" t="s">
        <v>916</v>
      </c>
      <c r="B336" s="272" t="s">
        <v>1073</v>
      </c>
      <c r="C336" s="273" t="s">
        <v>1089</v>
      </c>
      <c r="D336" s="273" t="s">
        <v>1547</v>
      </c>
      <c r="E336" s="273" t="s">
        <v>1035</v>
      </c>
      <c r="F336" s="274" t="s">
        <v>1549</v>
      </c>
      <c r="G336" s="1"/>
      <c r="H336" s="171"/>
      <c r="N336" s="3" t="s">
        <v>1557</v>
      </c>
      <c r="O336" s="2"/>
      <c r="P336" s="6"/>
      <c r="Q336" s="66"/>
      <c r="R336" s="39">
        <f>PACKAGING!E3</f>
        <v>150</v>
      </c>
      <c r="S336" s="1"/>
      <c r="T336" s="171"/>
    </row>
    <row r="337" spans="1:21" x14ac:dyDescent="0.25">
      <c r="A337" s="3" t="s">
        <v>748</v>
      </c>
      <c r="B337" s="2" t="s">
        <v>1935</v>
      </c>
      <c r="C337" s="6"/>
      <c r="D337" s="6" t="s">
        <v>1649</v>
      </c>
      <c r="E337" s="66">
        <f>'AROS, CADENAS, DIJES, ETC'!C4</f>
        <v>1200</v>
      </c>
      <c r="F337" s="39">
        <f>E337</f>
        <v>1200</v>
      </c>
      <c r="G337" s="1"/>
      <c r="H337" s="171"/>
      <c r="N337" s="3" t="s">
        <v>1538</v>
      </c>
      <c r="O337" s="2"/>
      <c r="P337" s="6"/>
      <c r="Q337" s="66"/>
      <c r="R337" s="39">
        <f>PACKAGING!E8</f>
        <v>420</v>
      </c>
      <c r="S337" s="1"/>
      <c r="T337" s="171"/>
    </row>
    <row r="338" spans="1:21" x14ac:dyDescent="0.25">
      <c r="A338" s="184" t="s">
        <v>1936</v>
      </c>
      <c r="B338" s="2" t="s">
        <v>1006</v>
      </c>
      <c r="C338" s="6"/>
      <c r="D338" s="6">
        <v>12</v>
      </c>
      <c r="E338" s="66">
        <f>'PALAIS DU BIJOU'!F34</f>
        <v>53.333333333333336</v>
      </c>
      <c r="F338" s="39">
        <f>E338*D338</f>
        <v>640</v>
      </c>
      <c r="G338" s="1"/>
      <c r="H338" s="171"/>
      <c r="N338" s="3" t="s">
        <v>1558</v>
      </c>
      <c r="O338" s="2">
        <v>60</v>
      </c>
      <c r="P338" s="6">
        <v>5</v>
      </c>
      <c r="Q338" s="66">
        <f>'INSUMOS VARIOS'!B3</f>
        <v>3500</v>
      </c>
      <c r="R338" s="39">
        <f>Q338*P338/O338</f>
        <v>291.66666666666669</v>
      </c>
      <c r="S338" s="1"/>
      <c r="T338" s="171"/>
    </row>
    <row r="339" spans="1:21" ht="16.5" thickBot="1" x14ac:dyDescent="0.3">
      <c r="A339" s="185" t="s">
        <v>1050</v>
      </c>
      <c r="B339" s="2" t="s">
        <v>1062</v>
      </c>
      <c r="C339" s="6">
        <v>0.09</v>
      </c>
      <c r="D339" s="6">
        <v>2</v>
      </c>
      <c r="E339" s="66">
        <f>FORNITURAS!W6</f>
        <v>541.13207547169816</v>
      </c>
      <c r="F339" s="39">
        <f>E339*D339*C339</f>
        <v>97.403773584905665</v>
      </c>
      <c r="G339" s="1"/>
      <c r="H339" s="171"/>
      <c r="N339" s="79" t="s">
        <v>525</v>
      </c>
      <c r="O339" s="70"/>
      <c r="P339" s="85"/>
      <c r="Q339" s="85"/>
      <c r="R339" s="51">
        <f>SUM(R334:R338)</f>
        <v>4015.6666666666665</v>
      </c>
    </row>
    <row r="340" spans="1:21" ht="16.5" thickBot="1" x14ac:dyDescent="0.3">
      <c r="A340" s="3" t="s">
        <v>1557</v>
      </c>
      <c r="B340" s="2"/>
      <c r="C340" s="6"/>
      <c r="D340" s="6"/>
      <c r="E340" s="66"/>
      <c r="F340" s="39">
        <f>PACKAGING!E3</f>
        <v>150</v>
      </c>
      <c r="G340" s="1"/>
      <c r="H340" s="171"/>
      <c r="N340" s="80" t="s">
        <v>544</v>
      </c>
      <c r="O340" s="220"/>
      <c r="P340" s="220"/>
      <c r="Q340" s="220"/>
      <c r="R340" s="72">
        <f>R339*2</f>
        <v>8031.333333333333</v>
      </c>
      <c r="S340" s="496">
        <f>R340+R340*70%</f>
        <v>13653.266666666666</v>
      </c>
      <c r="T340" s="268">
        <v>12000</v>
      </c>
    </row>
    <row r="341" spans="1:21" ht="16.5" thickBot="1" x14ac:dyDescent="0.3">
      <c r="A341" s="3" t="s">
        <v>1538</v>
      </c>
      <c r="B341" s="2"/>
      <c r="C341" s="6"/>
      <c r="D341" s="6"/>
      <c r="E341" s="66"/>
      <c r="F341" s="39">
        <f>PACKAGING!E8</f>
        <v>420</v>
      </c>
      <c r="G341" s="1"/>
      <c r="H341" s="171"/>
      <c r="N341" s="275" t="s">
        <v>1559</v>
      </c>
      <c r="O341" s="269"/>
      <c r="P341" s="269"/>
      <c r="Q341" s="269"/>
      <c r="R341" s="493"/>
      <c r="S341" s="505"/>
      <c r="T341" s="1275">
        <f>T340*60%</f>
        <v>7200</v>
      </c>
      <c r="U341" s="1273" t="s">
        <v>3687</v>
      </c>
    </row>
    <row r="342" spans="1:21" ht="16.5" thickBot="1" x14ac:dyDescent="0.3">
      <c r="A342" s="3" t="s">
        <v>1558</v>
      </c>
      <c r="B342" s="2">
        <v>60</v>
      </c>
      <c r="C342" s="6">
        <v>15</v>
      </c>
      <c r="D342" s="6"/>
      <c r="E342" s="66">
        <f>'INSUMOS VARIOS'!B3</f>
        <v>3500</v>
      </c>
      <c r="F342" s="39">
        <f>E342*C342/B342</f>
        <v>875</v>
      </c>
      <c r="G342" s="1"/>
      <c r="H342" s="171"/>
    </row>
    <row r="343" spans="1:21" ht="16.5" thickBot="1" x14ac:dyDescent="0.3">
      <c r="A343" s="79" t="s">
        <v>525</v>
      </c>
      <c r="B343" s="70"/>
      <c r="C343" s="85"/>
      <c r="D343" s="85"/>
      <c r="E343" s="85"/>
      <c r="F343" s="51">
        <f>SUM(F337:F342)</f>
        <v>3382.4037735849056</v>
      </c>
      <c r="G343" s="134"/>
      <c r="H343" s="171"/>
      <c r="N343" s="1589" t="s">
        <v>4277</v>
      </c>
      <c r="O343" s="1596"/>
      <c r="P343" s="1596"/>
      <c r="Q343" s="1596"/>
      <c r="R343" s="1590"/>
      <c r="S343" s="23"/>
      <c r="T343" s="171"/>
    </row>
    <row r="344" spans="1:21" x14ac:dyDescent="0.25">
      <c r="A344" s="80" t="s">
        <v>544</v>
      </c>
      <c r="B344" s="220"/>
      <c r="C344" s="220"/>
      <c r="D344" s="220"/>
      <c r="E344" s="220"/>
      <c r="F344" s="267">
        <f>F343*2</f>
        <v>6764.8075471698112</v>
      </c>
      <c r="G344" s="267">
        <f>F344+F344*50%</f>
        <v>10147.211320754717</v>
      </c>
      <c r="H344" s="268">
        <v>8500</v>
      </c>
      <c r="N344" s="271" t="s">
        <v>916</v>
      </c>
      <c r="O344" s="272" t="s">
        <v>1073</v>
      </c>
      <c r="P344" s="273" t="s">
        <v>1547</v>
      </c>
      <c r="Q344" s="273" t="s">
        <v>1035</v>
      </c>
      <c r="R344" s="274" t="s">
        <v>1549</v>
      </c>
      <c r="S344" s="1"/>
      <c r="T344" s="171"/>
    </row>
    <row r="345" spans="1:21" ht="16.5" thickBot="1" x14ac:dyDescent="0.3">
      <c r="A345" s="275" t="s">
        <v>1559</v>
      </c>
      <c r="B345" s="269"/>
      <c r="C345" s="269"/>
      <c r="D345" s="269"/>
      <c r="E345" s="269"/>
      <c r="F345" s="270"/>
      <c r="G345" s="270"/>
      <c r="H345" s="281">
        <f>H344*2</f>
        <v>17000</v>
      </c>
      <c r="N345" s="3" t="s">
        <v>3736</v>
      </c>
      <c r="O345" s="2" t="s">
        <v>3576</v>
      </c>
      <c r="P345" s="6">
        <v>1</v>
      </c>
      <c r="Q345" s="66">
        <f>PLATEADO!F35</f>
        <v>2211</v>
      </c>
      <c r="R345" s="39">
        <f>Q345</f>
        <v>2211</v>
      </c>
      <c r="S345" s="1"/>
      <c r="T345" s="171"/>
    </row>
    <row r="346" spans="1:21" ht="16.5" thickBot="1" x14ac:dyDescent="0.3">
      <c r="N346" s="3" t="s">
        <v>3738</v>
      </c>
      <c r="O346" s="2"/>
      <c r="P346" s="6">
        <v>1</v>
      </c>
      <c r="Q346" s="66">
        <f>'INSUMOS VARIOS'!K27</f>
        <v>1800</v>
      </c>
      <c r="R346" s="39">
        <f>Q346*P346</f>
        <v>1800</v>
      </c>
      <c r="S346" s="1"/>
      <c r="T346" s="171"/>
    </row>
    <row r="347" spans="1:21" x14ac:dyDescent="0.25">
      <c r="A347" s="1589" t="s">
        <v>164</v>
      </c>
      <c r="B347" s="1596"/>
      <c r="C347" s="1596"/>
      <c r="D347" s="1596"/>
      <c r="E347" s="1590"/>
      <c r="F347" s="23"/>
      <c r="G347" s="171"/>
      <c r="H347" s="171"/>
      <c r="N347" s="3" t="s">
        <v>1557</v>
      </c>
      <c r="O347" s="2"/>
      <c r="P347" s="6"/>
      <c r="Q347" s="66"/>
      <c r="R347" s="39">
        <f>PACKAGING!E3</f>
        <v>150</v>
      </c>
      <c r="S347" s="1"/>
      <c r="T347" s="171"/>
    </row>
    <row r="348" spans="1:21" x14ac:dyDescent="0.25">
      <c r="A348" s="271" t="s">
        <v>916</v>
      </c>
      <c r="B348" s="272" t="s">
        <v>1073</v>
      </c>
      <c r="C348" s="273" t="s">
        <v>1547</v>
      </c>
      <c r="D348" s="273" t="s">
        <v>1035</v>
      </c>
      <c r="E348" s="274" t="s">
        <v>1549</v>
      </c>
      <c r="F348" s="1"/>
      <c r="G348" s="171"/>
      <c r="H348" s="171"/>
      <c r="N348" s="3" t="s">
        <v>1538</v>
      </c>
      <c r="O348" s="2"/>
      <c r="P348" s="6"/>
      <c r="Q348" s="66"/>
      <c r="R348" s="39">
        <f>PACKAGING!E8</f>
        <v>420</v>
      </c>
      <c r="S348" s="1"/>
      <c r="T348" s="171"/>
    </row>
    <row r="349" spans="1:21" x14ac:dyDescent="0.25">
      <c r="A349" s="3" t="s">
        <v>748</v>
      </c>
      <c r="B349" s="2" t="s">
        <v>765</v>
      </c>
      <c r="C349" s="6">
        <v>1</v>
      </c>
      <c r="D349" s="66">
        <f>'AROS, CADENAS, DIJES, ETC'!D6</f>
        <v>650</v>
      </c>
      <c r="E349" s="39">
        <f>D349</f>
        <v>650</v>
      </c>
      <c r="F349" s="1"/>
      <c r="G349" s="171"/>
      <c r="H349" s="171"/>
      <c r="N349" s="3" t="s">
        <v>1558</v>
      </c>
      <c r="O349" s="2">
        <v>60</v>
      </c>
      <c r="P349" s="6">
        <v>5</v>
      </c>
      <c r="Q349" s="66">
        <f>'INSUMOS VARIOS'!B3</f>
        <v>3500</v>
      </c>
      <c r="R349" s="39">
        <f>Q349*P349/O349</f>
        <v>291.66666666666669</v>
      </c>
      <c r="S349" s="1"/>
      <c r="T349" s="171"/>
    </row>
    <row r="350" spans="1:21" ht="16.5" thickBot="1" x14ac:dyDescent="0.3">
      <c r="A350" s="3" t="s">
        <v>784</v>
      </c>
      <c r="B350" s="2" t="s">
        <v>785</v>
      </c>
      <c r="C350" s="6">
        <v>1</v>
      </c>
      <c r="D350" s="66">
        <f>'AROS, CADENAS, DIJES, ETC'!D8</f>
        <v>1400</v>
      </c>
      <c r="E350" s="39">
        <f>D350</f>
        <v>1400</v>
      </c>
      <c r="F350" s="1"/>
      <c r="G350" s="171"/>
      <c r="H350" s="171"/>
      <c r="N350" s="79" t="s">
        <v>525</v>
      </c>
      <c r="O350" s="70"/>
      <c r="P350" s="85"/>
      <c r="Q350" s="85"/>
      <c r="R350" s="51">
        <f>SUM(R345:R349)</f>
        <v>4872.666666666667</v>
      </c>
    </row>
    <row r="351" spans="1:21" ht="16.5" thickBot="1" x14ac:dyDescent="0.3">
      <c r="A351" s="3" t="s">
        <v>942</v>
      </c>
      <c r="B351" s="2"/>
      <c r="C351" s="6">
        <v>1</v>
      </c>
      <c r="D351" s="66">
        <f>'AROS, CADENAS, DIJES, ETC'!O48</f>
        <v>102</v>
      </c>
      <c r="E351" s="39">
        <f>D351</f>
        <v>102</v>
      </c>
      <c r="F351" s="1"/>
      <c r="G351" s="171"/>
      <c r="H351" s="171"/>
      <c r="N351" s="80" t="s">
        <v>544</v>
      </c>
      <c r="O351" s="220"/>
      <c r="P351" s="220"/>
      <c r="Q351" s="220"/>
      <c r="R351" s="72">
        <f>R350*2</f>
        <v>9745.3333333333339</v>
      </c>
      <c r="S351" s="496">
        <f>R351+R351*70%</f>
        <v>16567.066666666666</v>
      </c>
      <c r="T351" s="268">
        <v>16000</v>
      </c>
    </row>
    <row r="352" spans="1:21" ht="16.5" thickBot="1" x14ac:dyDescent="0.3">
      <c r="A352" s="3" t="s">
        <v>1937</v>
      </c>
      <c r="B352" s="2"/>
      <c r="C352" s="6">
        <v>2</v>
      </c>
      <c r="D352" s="66">
        <f>PIEDRAS!F25</f>
        <v>102.05882352941177</v>
      </c>
      <c r="E352" s="39">
        <f>D352*C352</f>
        <v>204.11764705882354</v>
      </c>
      <c r="F352" s="1"/>
      <c r="G352" s="171"/>
      <c r="H352" s="171"/>
      <c r="N352" s="275" t="s">
        <v>1559</v>
      </c>
      <c r="O352" s="269"/>
      <c r="P352" s="269"/>
      <c r="Q352" s="269"/>
      <c r="R352" s="493"/>
      <c r="S352" s="505"/>
      <c r="T352" s="1275">
        <f>T351*60%</f>
        <v>9600</v>
      </c>
      <c r="U352" s="1273" t="s">
        <v>3687</v>
      </c>
    </row>
    <row r="353" spans="1:20" ht="16.5" thickBot="1" x14ac:dyDescent="0.3">
      <c r="A353" s="3" t="s">
        <v>1938</v>
      </c>
      <c r="B353" s="2"/>
      <c r="C353" s="6">
        <v>1</v>
      </c>
      <c r="D353" s="66">
        <f>PIEDRAS!F109</f>
        <v>1.6901408450704225</v>
      </c>
      <c r="E353" s="39">
        <f>D353*C353</f>
        <v>1.6901408450704225</v>
      </c>
      <c r="F353" s="1"/>
      <c r="G353" s="171"/>
      <c r="H353" s="171"/>
    </row>
    <row r="354" spans="1:20" ht="16.5" thickBot="1" x14ac:dyDescent="0.3">
      <c r="A354" s="3" t="s">
        <v>1743</v>
      </c>
      <c r="B354" s="2"/>
      <c r="C354" s="6">
        <v>1</v>
      </c>
      <c r="D354" s="66">
        <f>FORNITURAS!D15</f>
        <v>142</v>
      </c>
      <c r="E354" s="39">
        <f>D354*C354</f>
        <v>142</v>
      </c>
      <c r="F354" s="1"/>
      <c r="G354" s="171"/>
      <c r="H354" s="171"/>
      <c r="N354" s="1589" t="s">
        <v>3852</v>
      </c>
      <c r="O354" s="1596"/>
      <c r="P354" s="1596"/>
      <c r="Q354" s="1596"/>
      <c r="R354" s="1590"/>
      <c r="S354" s="23"/>
      <c r="T354" s="171"/>
    </row>
    <row r="355" spans="1:20" x14ac:dyDescent="0.25">
      <c r="A355" s="3" t="s">
        <v>1557</v>
      </c>
      <c r="B355" s="2"/>
      <c r="C355" s="6"/>
      <c r="D355" s="66"/>
      <c r="E355" s="39">
        <f>PACKAGING!E3</f>
        <v>150</v>
      </c>
      <c r="F355" s="1"/>
      <c r="G355" s="171"/>
      <c r="H355" s="171"/>
      <c r="N355" s="483" t="s">
        <v>916</v>
      </c>
      <c r="O355" s="484" t="s">
        <v>1073</v>
      </c>
      <c r="P355" s="485" t="s">
        <v>1547</v>
      </c>
      <c r="Q355" s="485" t="s">
        <v>1035</v>
      </c>
      <c r="R355" s="486" t="s">
        <v>1549</v>
      </c>
      <c r="S355" s="1"/>
      <c r="T355" s="171"/>
    </row>
    <row r="356" spans="1:20" x14ac:dyDescent="0.25">
      <c r="A356" s="3" t="s">
        <v>1538</v>
      </c>
      <c r="B356" s="2"/>
      <c r="C356" s="6"/>
      <c r="D356" s="66"/>
      <c r="E356" s="39">
        <f>PACKAGING!E8</f>
        <v>420</v>
      </c>
      <c r="F356" s="1"/>
      <c r="G356" s="171"/>
      <c r="H356" s="171"/>
      <c r="N356" s="3" t="s">
        <v>3934</v>
      </c>
      <c r="O356" s="2"/>
      <c r="P356" s="6">
        <v>1</v>
      </c>
      <c r="Q356" s="66">
        <f>'AROS, CADENAS, DIJES, ETC'!D103</f>
        <v>2260</v>
      </c>
      <c r="R356" s="39">
        <f>Q356</f>
        <v>2260</v>
      </c>
      <c r="S356" s="1"/>
      <c r="T356" s="171"/>
    </row>
    <row r="357" spans="1:20" x14ac:dyDescent="0.25">
      <c r="A357" s="3" t="s">
        <v>1558</v>
      </c>
      <c r="B357" s="2">
        <v>60</v>
      </c>
      <c r="C357" s="6">
        <v>15</v>
      </c>
      <c r="D357" s="66">
        <f>'INSUMOS VARIOS'!B3</f>
        <v>3500</v>
      </c>
      <c r="E357" s="39">
        <f>D357*C357/B357</f>
        <v>875</v>
      </c>
      <c r="F357" s="1"/>
      <c r="G357" s="171"/>
      <c r="H357" s="171"/>
      <c r="N357" s="3" t="s">
        <v>3853</v>
      </c>
      <c r="O357" s="2"/>
      <c r="P357" s="6">
        <v>1</v>
      </c>
      <c r="Q357" s="66">
        <f>'AROS, CADENAS, DIJES, ETC'!O141</f>
        <v>1820</v>
      </c>
      <c r="R357" s="39">
        <f>Q357*P357</f>
        <v>1820</v>
      </c>
      <c r="S357" s="1"/>
      <c r="T357" s="171"/>
    </row>
    <row r="358" spans="1:20" ht="16.5" thickBot="1" x14ac:dyDescent="0.3">
      <c r="A358" s="79" t="s">
        <v>525</v>
      </c>
      <c r="B358" s="70"/>
      <c r="C358" s="85"/>
      <c r="D358" s="85"/>
      <c r="E358" s="51">
        <f>SUM(E349:E357)</f>
        <v>3944.8077879038938</v>
      </c>
      <c r="F358" s="134"/>
      <c r="G358" s="171"/>
      <c r="H358" s="171"/>
      <c r="N358" s="3" t="s">
        <v>1557</v>
      </c>
      <c r="O358" s="2"/>
      <c r="P358" s="6"/>
      <c r="Q358" s="66"/>
      <c r="R358" s="39">
        <f>PACKAGING!E3</f>
        <v>150</v>
      </c>
      <c r="S358" s="1"/>
      <c r="T358" s="171"/>
    </row>
    <row r="359" spans="1:20" ht="16.5" thickBot="1" x14ac:dyDescent="0.3">
      <c r="A359" s="80" t="s">
        <v>544</v>
      </c>
      <c r="B359" s="220"/>
      <c r="C359" s="220"/>
      <c r="D359" s="220"/>
      <c r="E359" s="72">
        <f>E358*2</f>
        <v>7889.6155758077875</v>
      </c>
      <c r="F359" s="496">
        <f>E359+E359*50%</f>
        <v>11834.423363711681</v>
      </c>
      <c r="G359" s="268">
        <v>5500</v>
      </c>
      <c r="H359" s="171"/>
      <c r="N359" s="79" t="s">
        <v>525</v>
      </c>
      <c r="O359" s="70"/>
      <c r="P359" s="85"/>
      <c r="Q359" s="85"/>
      <c r="R359" s="51">
        <f>SUM(R356:R358)</f>
        <v>4230</v>
      </c>
      <c r="S359" s="1"/>
      <c r="T359" s="171"/>
    </row>
    <row r="360" spans="1:20" ht="16.5" thickBot="1" x14ac:dyDescent="0.3">
      <c r="A360" s="275" t="s">
        <v>1559</v>
      </c>
      <c r="B360" s="269"/>
      <c r="C360" s="269"/>
      <c r="D360" s="269"/>
      <c r="E360" s="493"/>
      <c r="F360" s="505"/>
      <c r="G360" s="281">
        <f>G359*2</f>
        <v>11000</v>
      </c>
      <c r="H360" s="171"/>
      <c r="N360" s="211" t="s">
        <v>544</v>
      </c>
      <c r="O360" s="276"/>
      <c r="P360" s="276"/>
      <c r="Q360" s="276"/>
      <c r="R360" s="213">
        <f>R359*2</f>
        <v>8460</v>
      </c>
      <c r="S360" s="517">
        <f>R360+R360*70%</f>
        <v>14382</v>
      </c>
      <c r="T360" s="498">
        <v>18000</v>
      </c>
    </row>
    <row r="361" spans="1:20" ht="16.5" thickBot="1" x14ac:dyDescent="0.3">
      <c r="A361" s="171"/>
      <c r="B361" s="171"/>
      <c r="C361" s="171"/>
      <c r="D361" s="171"/>
      <c r="E361" s="171"/>
      <c r="F361" s="171"/>
      <c r="G361" s="171"/>
      <c r="H361" s="171"/>
    </row>
    <row r="362" spans="1:20" ht="16.5" thickBot="1" x14ac:dyDescent="0.3">
      <c r="A362" s="1589" t="s">
        <v>1939</v>
      </c>
      <c r="B362" s="1596"/>
      <c r="C362" s="1596"/>
      <c r="D362" s="1596"/>
      <c r="E362" s="1590"/>
      <c r="F362" s="23"/>
      <c r="G362" s="171"/>
      <c r="N362" s="1589" t="s">
        <v>3955</v>
      </c>
      <c r="O362" s="1596"/>
      <c r="P362" s="1596"/>
      <c r="Q362" s="1596"/>
      <c r="R362" s="1590"/>
      <c r="S362" s="23"/>
      <c r="T362" s="171"/>
    </row>
    <row r="363" spans="1:20" x14ac:dyDescent="0.25">
      <c r="A363" s="271" t="s">
        <v>916</v>
      </c>
      <c r="B363" s="272" t="s">
        <v>1073</v>
      </c>
      <c r="C363" s="273" t="s">
        <v>1547</v>
      </c>
      <c r="D363" s="273" t="s">
        <v>1035</v>
      </c>
      <c r="E363" s="274" t="s">
        <v>1549</v>
      </c>
      <c r="F363" s="1"/>
      <c r="G363" s="171"/>
      <c r="N363" s="483" t="s">
        <v>916</v>
      </c>
      <c r="O363" s="484" t="s">
        <v>1073</v>
      </c>
      <c r="P363" s="485" t="s">
        <v>1547</v>
      </c>
      <c r="Q363" s="485" t="s">
        <v>1035</v>
      </c>
      <c r="R363" s="486" t="s">
        <v>1549</v>
      </c>
      <c r="S363" s="1"/>
      <c r="T363" s="171"/>
    </row>
    <row r="364" spans="1:20" x14ac:dyDescent="0.25">
      <c r="A364" s="3" t="s">
        <v>748</v>
      </c>
      <c r="B364" s="2" t="s">
        <v>789</v>
      </c>
      <c r="C364" s="6">
        <v>1</v>
      </c>
      <c r="D364" s="66">
        <f>'AROS, CADENAS, DIJES, ETC'!C3</f>
        <v>1200</v>
      </c>
      <c r="E364" s="39">
        <f>D364</f>
        <v>1200</v>
      </c>
      <c r="F364" s="1"/>
      <c r="G364" s="171"/>
      <c r="N364" s="3" t="s">
        <v>3887</v>
      </c>
      <c r="O364" s="2"/>
      <c r="P364" s="6">
        <v>1</v>
      </c>
      <c r="Q364" s="66">
        <f>'AROS, CADENAS, DIJES, ETC'!D100</f>
        <v>2285</v>
      </c>
      <c r="R364" s="39">
        <f>Q364</f>
        <v>2285</v>
      </c>
      <c r="S364" s="1"/>
      <c r="T364" s="171"/>
    </row>
    <row r="365" spans="1:20" x14ac:dyDescent="0.25">
      <c r="A365" s="3" t="s">
        <v>1940</v>
      </c>
      <c r="B365" s="2"/>
      <c r="C365" s="6">
        <v>2</v>
      </c>
      <c r="D365" s="66">
        <f>PIEDRAS!F41</f>
        <v>214.28571428571428</v>
      </c>
      <c r="E365" s="39">
        <f>D365*C365</f>
        <v>428.57142857142856</v>
      </c>
      <c r="F365" s="1"/>
      <c r="G365" s="171"/>
      <c r="N365" s="3" t="s">
        <v>3854</v>
      </c>
      <c r="O365" s="2"/>
      <c r="P365" s="6">
        <v>1</v>
      </c>
      <c r="Q365" s="66">
        <f>'AROS, CADENAS, DIJES, ETC'!O148</f>
        <v>1828</v>
      </c>
      <c r="R365" s="39">
        <f>Q365*P365</f>
        <v>1828</v>
      </c>
      <c r="S365" s="1"/>
      <c r="T365" s="171"/>
    </row>
    <row r="366" spans="1:20" x14ac:dyDescent="0.25">
      <c r="A366" s="3" t="s">
        <v>1555</v>
      </c>
      <c r="B366" s="2" t="s">
        <v>1573</v>
      </c>
      <c r="C366" s="6">
        <v>2</v>
      </c>
      <c r="D366" s="66">
        <f>FORNITURAS!D7</f>
        <v>52</v>
      </c>
      <c r="E366" s="39">
        <f>D366*C366</f>
        <v>104</v>
      </c>
      <c r="F366" s="1"/>
      <c r="G366" s="171"/>
      <c r="N366" s="3" t="s">
        <v>1557</v>
      </c>
      <c r="O366" s="2"/>
      <c r="P366" s="6"/>
      <c r="Q366" s="66"/>
      <c r="R366" s="39">
        <f>PACKAGING!E15</f>
        <v>380</v>
      </c>
      <c r="S366" s="1"/>
      <c r="T366" s="171"/>
    </row>
    <row r="367" spans="1:20" ht="16.5" thickBot="1" x14ac:dyDescent="0.3">
      <c r="A367" s="3" t="s">
        <v>1941</v>
      </c>
      <c r="B367" s="2" t="s">
        <v>846</v>
      </c>
      <c r="C367" s="6">
        <v>2</v>
      </c>
      <c r="D367" s="66">
        <f>FORNITURAS!D15</f>
        <v>142</v>
      </c>
      <c r="E367" s="39">
        <f>D367*C367</f>
        <v>284</v>
      </c>
      <c r="F367" s="1"/>
      <c r="G367" s="171"/>
      <c r="N367" s="79" t="s">
        <v>525</v>
      </c>
      <c r="O367" s="70"/>
      <c r="P367" s="85"/>
      <c r="Q367" s="85"/>
      <c r="R367" s="51">
        <f>SUM(R364:R366)</f>
        <v>4493</v>
      </c>
      <c r="S367" s="1"/>
      <c r="T367" s="171"/>
    </row>
    <row r="368" spans="1:20" ht="16.5" thickBot="1" x14ac:dyDescent="0.3">
      <c r="A368" s="3" t="s">
        <v>1557</v>
      </c>
      <c r="B368" s="2"/>
      <c r="C368" s="6"/>
      <c r="D368" s="66"/>
      <c r="E368" s="39">
        <f>PACKAGING!E3</f>
        <v>150</v>
      </c>
      <c r="F368" s="1"/>
      <c r="G368" s="171"/>
      <c r="N368" s="211" t="s">
        <v>544</v>
      </c>
      <c r="O368" s="276"/>
      <c r="P368" s="276"/>
      <c r="Q368" s="276"/>
      <c r="R368" s="213">
        <f>R367*2</f>
        <v>8986</v>
      </c>
      <c r="S368" s="517">
        <f>R368+R368*50%</f>
        <v>13479</v>
      </c>
      <c r="T368" s="498">
        <v>18000</v>
      </c>
    </row>
    <row r="369" spans="1:20" ht="16.5" thickBot="1" x14ac:dyDescent="0.3">
      <c r="A369" s="3" t="s">
        <v>1538</v>
      </c>
      <c r="B369" s="2"/>
      <c r="C369" s="6"/>
      <c r="D369" s="66"/>
      <c r="E369" s="39">
        <f>PACKAGING!E8</f>
        <v>420</v>
      </c>
      <c r="F369" s="1"/>
      <c r="G369" s="171"/>
    </row>
    <row r="370" spans="1:20" ht="16.5" thickBot="1" x14ac:dyDescent="0.3">
      <c r="A370" s="3" t="s">
        <v>1558</v>
      </c>
      <c r="B370" s="2">
        <v>60</v>
      </c>
      <c r="C370" s="6">
        <v>10</v>
      </c>
      <c r="D370" s="66">
        <f>'INSUMOS VARIOS'!B3</f>
        <v>3500</v>
      </c>
      <c r="E370" s="39">
        <f>D370*C370/B370</f>
        <v>583.33333333333337</v>
      </c>
      <c r="F370" s="1"/>
      <c r="G370" s="171"/>
      <c r="N370" s="1589" t="s">
        <v>4551</v>
      </c>
      <c r="O370" s="1596"/>
      <c r="P370" s="1596"/>
      <c r="Q370" s="1596"/>
      <c r="R370" s="1590"/>
      <c r="S370" s="23"/>
      <c r="T370" s="171"/>
    </row>
    <row r="371" spans="1:20" ht="16.5" thickBot="1" x14ac:dyDescent="0.3">
      <c r="A371" s="79" t="s">
        <v>525</v>
      </c>
      <c r="B371" s="70"/>
      <c r="C371" s="85"/>
      <c r="D371" s="85"/>
      <c r="E371" s="51">
        <f>SUM(E364:E370)</f>
        <v>3169.9047619047619</v>
      </c>
      <c r="F371" s="134"/>
      <c r="G371" s="171"/>
      <c r="N371" s="483" t="s">
        <v>916</v>
      </c>
      <c r="O371" s="484" t="s">
        <v>1073</v>
      </c>
      <c r="P371" s="485" t="s">
        <v>1547</v>
      </c>
      <c r="Q371" s="485" t="s">
        <v>1035</v>
      </c>
      <c r="R371" s="486" t="s">
        <v>1549</v>
      </c>
      <c r="S371" s="1"/>
      <c r="T371" s="171"/>
    </row>
    <row r="372" spans="1:20" x14ac:dyDescent="0.25">
      <c r="A372" s="80" t="s">
        <v>544</v>
      </c>
      <c r="B372" s="220"/>
      <c r="C372" s="220"/>
      <c r="D372" s="220"/>
      <c r="E372" s="221">
        <f>E371*2</f>
        <v>6339.8095238095239</v>
      </c>
      <c r="F372" s="492">
        <f>E372+E372*50%</f>
        <v>9509.7142857142862</v>
      </c>
      <c r="G372" s="268">
        <v>8000</v>
      </c>
      <c r="N372" s="3" t="s">
        <v>3887</v>
      </c>
      <c r="O372" s="2"/>
      <c r="P372" s="6">
        <v>1</v>
      </c>
      <c r="Q372" s="66">
        <f>'AROS, CADENAS, DIJES, ETC'!D100</f>
        <v>2285</v>
      </c>
      <c r="R372" s="39">
        <f>Q372</f>
        <v>2285</v>
      </c>
      <c r="S372" s="1"/>
      <c r="T372" s="171"/>
    </row>
    <row r="373" spans="1:20" ht="16.5" thickBot="1" x14ac:dyDescent="0.3">
      <c r="A373" s="275" t="s">
        <v>1559</v>
      </c>
      <c r="B373" s="269"/>
      <c r="C373" s="269"/>
      <c r="D373" s="269"/>
      <c r="E373" s="488"/>
      <c r="F373" s="493"/>
      <c r="G373" s="281">
        <f>G372*2</f>
        <v>16000</v>
      </c>
      <c r="N373" s="3" t="s">
        <v>3863</v>
      </c>
      <c r="O373" s="2"/>
      <c r="P373" s="6">
        <v>1</v>
      </c>
      <c r="Q373" s="66">
        <f>'AROS, CADENAS, DIJES, ETC'!O142</f>
        <v>3921</v>
      </c>
      <c r="R373" s="39">
        <f>Q373*P373</f>
        <v>3921</v>
      </c>
      <c r="S373" s="1"/>
      <c r="T373" s="171"/>
    </row>
    <row r="374" spans="1:20" x14ac:dyDescent="0.25">
      <c r="N374" s="3" t="s">
        <v>1557</v>
      </c>
      <c r="O374" s="2"/>
      <c r="P374" s="6"/>
      <c r="Q374" s="66"/>
      <c r="R374" s="39">
        <f>PACKAGING!E3</f>
        <v>150</v>
      </c>
      <c r="S374" s="1"/>
      <c r="T374" s="171"/>
    </row>
    <row r="375" spans="1:20" ht="16.5" thickBot="1" x14ac:dyDescent="0.3">
      <c r="A375" s="1601" t="s">
        <v>127</v>
      </c>
      <c r="B375" s="1588"/>
      <c r="C375" s="1588"/>
      <c r="D375" s="1588"/>
      <c r="E375" s="1588"/>
      <c r="F375" s="1722"/>
      <c r="G375" s="23"/>
      <c r="H375" s="171"/>
      <c r="N375" s="79" t="s">
        <v>525</v>
      </c>
      <c r="O375" s="70"/>
      <c r="P375" s="85"/>
      <c r="Q375" s="85"/>
      <c r="R375" s="51">
        <f>SUM(R372:R374)</f>
        <v>6356</v>
      </c>
      <c r="S375" s="1"/>
      <c r="T375" s="171"/>
    </row>
    <row r="376" spans="1:20" ht="16.5" thickBot="1" x14ac:dyDescent="0.3">
      <c r="A376" s="271" t="s">
        <v>916</v>
      </c>
      <c r="B376" s="272" t="s">
        <v>1073</v>
      </c>
      <c r="C376" s="273" t="s">
        <v>1607</v>
      </c>
      <c r="D376" s="273" t="s">
        <v>1547</v>
      </c>
      <c r="E376" s="273" t="s">
        <v>1035</v>
      </c>
      <c r="F376" s="274" t="s">
        <v>1549</v>
      </c>
      <c r="G376" s="1"/>
      <c r="H376" s="171"/>
      <c r="N376" s="211" t="s">
        <v>544</v>
      </c>
      <c r="O376" s="276"/>
      <c r="P376" s="276"/>
      <c r="Q376" s="276"/>
      <c r="R376" s="213">
        <f>R375*2</f>
        <v>12712</v>
      </c>
      <c r="S376" s="517">
        <f>R376+R376*40%</f>
        <v>17796.8</v>
      </c>
      <c r="T376" s="498">
        <v>22000</v>
      </c>
    </row>
    <row r="377" spans="1:20" ht="16.5" thickBot="1" x14ac:dyDescent="0.3">
      <c r="A377" s="3" t="s">
        <v>811</v>
      </c>
      <c r="B377" s="2"/>
      <c r="C377" s="6"/>
      <c r="D377" s="6">
        <v>1</v>
      </c>
      <c r="E377" s="66">
        <f>'AROS, CADENAS, DIJES, ETC'!D14</f>
        <v>696</v>
      </c>
      <c r="F377" s="39">
        <f>E377</f>
        <v>696</v>
      </c>
      <c r="G377" s="1"/>
      <c r="H377" s="171"/>
    </row>
    <row r="378" spans="1:20" ht="16.5" thickBot="1" x14ac:dyDescent="0.3">
      <c r="A378" s="3" t="s">
        <v>845</v>
      </c>
      <c r="B378" s="2"/>
      <c r="C378" s="6"/>
      <c r="D378" s="6">
        <v>1</v>
      </c>
      <c r="E378" s="66">
        <f>'AROS, CADENAS, DIJES, ETC'!D129</f>
        <v>710</v>
      </c>
      <c r="F378" s="39">
        <f>E378*D378</f>
        <v>710</v>
      </c>
      <c r="G378" s="1"/>
      <c r="H378" s="171"/>
      <c r="N378" s="1589" t="s">
        <v>204</v>
      </c>
      <c r="O378" s="1596"/>
      <c r="P378" s="1596"/>
      <c r="Q378" s="1596"/>
      <c r="R378" s="1590"/>
      <c r="S378" s="23"/>
      <c r="T378" s="171"/>
    </row>
    <row r="379" spans="1:20" x14ac:dyDescent="0.25">
      <c r="A379" s="3" t="s">
        <v>1942</v>
      </c>
      <c r="B379" s="2" t="s">
        <v>1933</v>
      </c>
      <c r="C379" s="6"/>
      <c r="D379" s="6">
        <v>10</v>
      </c>
      <c r="E379" s="66">
        <f>VIDRIOS!E25</f>
        <v>42.058823529411768</v>
      </c>
      <c r="F379" s="39">
        <f>E379*D379</f>
        <v>420.58823529411768</v>
      </c>
      <c r="G379" s="1"/>
      <c r="H379" s="171"/>
      <c r="N379" s="483" t="s">
        <v>916</v>
      </c>
      <c r="O379" s="484" t="s">
        <v>1073</v>
      </c>
      <c r="P379" s="485" t="s">
        <v>1547</v>
      </c>
      <c r="Q379" s="485" t="s">
        <v>1035</v>
      </c>
      <c r="R379" s="486" t="s">
        <v>1549</v>
      </c>
      <c r="S379" s="1"/>
      <c r="T379" s="171"/>
    </row>
    <row r="380" spans="1:20" x14ac:dyDescent="0.25">
      <c r="A380" s="1613" t="s">
        <v>1050</v>
      </c>
      <c r="B380" s="2" t="s">
        <v>1059</v>
      </c>
      <c r="C380" s="6">
        <v>0.05</v>
      </c>
      <c r="D380" s="6"/>
      <c r="E380" s="66">
        <f>FORNITURAS!W5</f>
        <v>906.42857142857144</v>
      </c>
      <c r="F380" s="39">
        <f>E380*C380</f>
        <v>45.321428571428577</v>
      </c>
      <c r="G380" s="1"/>
      <c r="H380" s="171"/>
      <c r="N380" s="3" t="s">
        <v>3856</v>
      </c>
      <c r="O380" s="2"/>
      <c r="P380" s="6">
        <v>1</v>
      </c>
      <c r="Q380" s="66">
        <f>'AROS, CADENAS, DIJES, ETC'!D90</f>
        <v>3475</v>
      </c>
      <c r="R380" s="39">
        <f>Q380</f>
        <v>3475</v>
      </c>
      <c r="S380" s="1"/>
      <c r="T380" s="171"/>
    </row>
    <row r="381" spans="1:20" x14ac:dyDescent="0.25">
      <c r="A381" s="1615"/>
      <c r="B381" s="2" t="s">
        <v>1059</v>
      </c>
      <c r="C381" s="6">
        <v>0.08</v>
      </c>
      <c r="D381" s="6"/>
      <c r="E381" s="66">
        <f>E380</f>
        <v>906.42857142857144</v>
      </c>
      <c r="F381" s="39">
        <f>E381*C381</f>
        <v>72.51428571428572</v>
      </c>
      <c r="G381" s="1"/>
      <c r="H381" s="171"/>
      <c r="N381" s="3" t="s">
        <v>1557</v>
      </c>
      <c r="O381" s="2"/>
      <c r="P381" s="6"/>
      <c r="Q381" s="66"/>
      <c r="R381" s="39">
        <f>PACKAGING!E3</f>
        <v>150</v>
      </c>
      <c r="S381" s="1"/>
      <c r="T381" s="171"/>
    </row>
    <row r="382" spans="1:20" ht="16.5" thickBot="1" x14ac:dyDescent="0.3">
      <c r="A382" s="3" t="s">
        <v>1554</v>
      </c>
      <c r="B382" s="2" t="s">
        <v>777</v>
      </c>
      <c r="C382" s="6"/>
      <c r="D382" s="6">
        <v>1</v>
      </c>
      <c r="E382" s="66">
        <f>FORNITURAS!D26</f>
        <v>297.14285714285717</v>
      </c>
      <c r="F382" s="39">
        <f>E382*D382</f>
        <v>297.14285714285717</v>
      </c>
      <c r="G382" s="1"/>
      <c r="H382" s="171"/>
      <c r="N382" s="79" t="s">
        <v>525</v>
      </c>
      <c r="O382" s="70"/>
      <c r="P382" s="85"/>
      <c r="Q382" s="85"/>
      <c r="R382" s="51">
        <f>SUM(R380:R381)</f>
        <v>3625</v>
      </c>
      <c r="S382" s="1"/>
      <c r="T382" s="171"/>
    </row>
    <row r="383" spans="1:20" ht="16.5" thickBot="1" x14ac:dyDescent="0.3">
      <c r="A383" s="3" t="s">
        <v>1557</v>
      </c>
      <c r="B383" s="2"/>
      <c r="C383" s="6"/>
      <c r="D383" s="6"/>
      <c r="E383" s="66"/>
      <c r="F383" s="39">
        <f>PACKAGING!E3</f>
        <v>150</v>
      </c>
      <c r="G383" s="1"/>
      <c r="H383" s="171"/>
      <c r="N383" s="211" t="s">
        <v>544</v>
      </c>
      <c r="O383" s="276"/>
      <c r="P383" s="276"/>
      <c r="Q383" s="276"/>
      <c r="R383" s="213">
        <f>R382*2</f>
        <v>7250</v>
      </c>
      <c r="S383" s="517">
        <f>R383+R383*40%</f>
        <v>10150</v>
      </c>
      <c r="T383" s="498">
        <v>22000</v>
      </c>
    </row>
    <row r="384" spans="1:20" ht="16.5" thickBot="1" x14ac:dyDescent="0.3">
      <c r="A384" s="3" t="s">
        <v>1538</v>
      </c>
      <c r="B384" s="2"/>
      <c r="C384" s="6"/>
      <c r="D384" s="6"/>
      <c r="E384" s="66"/>
      <c r="F384" s="39">
        <f>PACKAGING!E8</f>
        <v>420</v>
      </c>
      <c r="G384" s="1"/>
      <c r="H384" s="171"/>
    </row>
    <row r="385" spans="1:20" ht="16.5" thickBot="1" x14ac:dyDescent="0.3">
      <c r="A385" s="3" t="s">
        <v>1558</v>
      </c>
      <c r="B385" s="2">
        <v>60</v>
      </c>
      <c r="C385" s="6"/>
      <c r="D385" s="6">
        <v>25</v>
      </c>
      <c r="E385" s="66">
        <f>'INSUMOS VARIOS'!B3</f>
        <v>3500</v>
      </c>
      <c r="F385" s="39">
        <f>E385*D385/B385</f>
        <v>1458.3333333333333</v>
      </c>
      <c r="G385" s="1"/>
      <c r="H385" s="171"/>
      <c r="N385" s="1589" t="s">
        <v>3855</v>
      </c>
      <c r="O385" s="1596"/>
      <c r="P385" s="1596"/>
      <c r="Q385" s="1596"/>
      <c r="R385" s="1590"/>
      <c r="S385" s="23"/>
      <c r="T385" s="171"/>
    </row>
    <row r="386" spans="1:20" ht="16.5" thickBot="1" x14ac:dyDescent="0.3">
      <c r="A386" s="79" t="s">
        <v>525</v>
      </c>
      <c r="B386" s="70"/>
      <c r="C386" s="85"/>
      <c r="D386" s="85"/>
      <c r="E386" s="85"/>
      <c r="F386" s="51">
        <f>SUM(F377:F385)</f>
        <v>4269.9001400560228</v>
      </c>
      <c r="G386" s="134"/>
      <c r="H386" s="171"/>
      <c r="N386" s="483" t="s">
        <v>916</v>
      </c>
      <c r="O386" s="484" t="s">
        <v>1073</v>
      </c>
      <c r="P386" s="485" t="s">
        <v>1547</v>
      </c>
      <c r="Q386" s="485" t="s">
        <v>1035</v>
      </c>
      <c r="R386" s="486" t="s">
        <v>1549</v>
      </c>
      <c r="S386" s="1"/>
      <c r="T386" s="171"/>
    </row>
    <row r="387" spans="1:20" x14ac:dyDescent="0.25">
      <c r="A387" s="80" t="s">
        <v>544</v>
      </c>
      <c r="B387" s="220"/>
      <c r="C387" s="220"/>
      <c r="D387" s="220"/>
      <c r="E387" s="220"/>
      <c r="F387" s="221">
        <f>F386*2</f>
        <v>8539.8002801120456</v>
      </c>
      <c r="G387" s="492">
        <f>F387+F387*50%</f>
        <v>12809.700420168068</v>
      </c>
      <c r="H387" s="268">
        <v>8200</v>
      </c>
      <c r="N387" s="3" t="s">
        <v>3872</v>
      </c>
      <c r="O387" s="2"/>
      <c r="P387" s="6">
        <v>1</v>
      </c>
      <c r="Q387" s="66">
        <f>'AROS, CADENAS, DIJES, ETC'!D91</f>
        <v>3275</v>
      </c>
      <c r="R387" s="39">
        <f>Q387</f>
        <v>3275</v>
      </c>
      <c r="S387" s="1"/>
      <c r="T387" s="171"/>
    </row>
    <row r="388" spans="1:20" ht="16.5" thickBot="1" x14ac:dyDescent="0.3">
      <c r="A388" s="275" t="s">
        <v>1559</v>
      </c>
      <c r="B388" s="269"/>
      <c r="C388" s="269"/>
      <c r="D388" s="269"/>
      <c r="E388" s="269"/>
      <c r="F388" s="488"/>
      <c r="G388" s="493"/>
      <c r="H388" s="281">
        <f>H387*2</f>
        <v>16400</v>
      </c>
      <c r="N388" s="3" t="s">
        <v>1557</v>
      </c>
      <c r="O388" s="2"/>
      <c r="P388" s="6"/>
      <c r="Q388" s="66"/>
      <c r="R388" s="39">
        <f>PACKAGING!E3</f>
        <v>150</v>
      </c>
      <c r="S388" s="1"/>
      <c r="T388" s="171"/>
    </row>
    <row r="389" spans="1:20" ht="16.5" thickBot="1" x14ac:dyDescent="0.3">
      <c r="N389" s="79" t="s">
        <v>525</v>
      </c>
      <c r="O389" s="70"/>
      <c r="P389" s="85"/>
      <c r="Q389" s="85"/>
      <c r="R389" s="51">
        <f>SUM(R387:R388)</f>
        <v>3425</v>
      </c>
      <c r="S389" s="1"/>
      <c r="T389" s="171"/>
    </row>
    <row r="390" spans="1:20" ht="16.5" thickBot="1" x14ac:dyDescent="0.3">
      <c r="A390" s="1565" t="s">
        <v>166</v>
      </c>
      <c r="B390" s="1566"/>
      <c r="C390" s="1566"/>
      <c r="D390" s="1566"/>
      <c r="E390" s="1566"/>
      <c r="F390" s="1567"/>
      <c r="G390" s="171"/>
      <c r="H390" s="171"/>
      <c r="N390" s="211" t="s">
        <v>544</v>
      </c>
      <c r="O390" s="276"/>
      <c r="P390" s="276"/>
      <c r="Q390" s="276"/>
      <c r="R390" s="213">
        <f>R389*2</f>
        <v>6850</v>
      </c>
      <c r="S390" s="517">
        <f>R390+R390*40%</f>
        <v>9590</v>
      </c>
      <c r="T390" s="498">
        <v>22000</v>
      </c>
    </row>
    <row r="391" spans="1:20" ht="16.5" thickBot="1" x14ac:dyDescent="0.3">
      <c r="A391" s="501" t="s">
        <v>916</v>
      </c>
      <c r="B391" s="502" t="s">
        <v>1073</v>
      </c>
      <c r="C391" s="503" t="s">
        <v>1089</v>
      </c>
      <c r="D391" s="503" t="s">
        <v>1547</v>
      </c>
      <c r="E391" s="503" t="s">
        <v>1035</v>
      </c>
      <c r="F391" s="504" t="s">
        <v>1549</v>
      </c>
      <c r="G391" s="1"/>
      <c r="H391" s="171"/>
    </row>
    <row r="392" spans="1:20" ht="16.5" thickBot="1" x14ac:dyDescent="0.3">
      <c r="A392" s="3" t="s">
        <v>811</v>
      </c>
      <c r="B392" s="2" t="s">
        <v>765</v>
      </c>
      <c r="C392" s="6"/>
      <c r="D392" s="6" t="s">
        <v>1649</v>
      </c>
      <c r="E392" s="66">
        <f>'AROS, CADENAS, DIJES, ETC'!C14</f>
        <v>1392</v>
      </c>
      <c r="F392" s="39">
        <f>E392</f>
        <v>1392</v>
      </c>
      <c r="G392" s="1"/>
      <c r="H392" s="171"/>
      <c r="N392" s="1589" t="s">
        <v>3942</v>
      </c>
      <c r="O392" s="1596"/>
      <c r="P392" s="1596"/>
      <c r="Q392" s="1596"/>
      <c r="R392" s="1590"/>
      <c r="S392" s="23"/>
      <c r="T392" s="171"/>
    </row>
    <row r="393" spans="1:20" x14ac:dyDescent="0.25">
      <c r="A393" s="3" t="s">
        <v>1936</v>
      </c>
      <c r="B393" s="2" t="s">
        <v>1006</v>
      </c>
      <c r="C393" s="6"/>
      <c r="D393" s="6">
        <v>16</v>
      </c>
      <c r="E393" s="66">
        <f>PIEDRAS!F16</f>
        <v>78.026315789473685</v>
      </c>
      <c r="F393" s="39">
        <f>E393*D393</f>
        <v>1248.421052631579</v>
      </c>
      <c r="G393" s="1"/>
      <c r="H393" s="171"/>
      <c r="N393" s="483" t="s">
        <v>916</v>
      </c>
      <c r="O393" s="484" t="s">
        <v>1073</v>
      </c>
      <c r="P393" s="485" t="s">
        <v>1547</v>
      </c>
      <c r="Q393" s="485" t="s">
        <v>1035</v>
      </c>
      <c r="R393" s="486" t="s">
        <v>1549</v>
      </c>
      <c r="S393" s="1"/>
      <c r="T393" s="171"/>
    </row>
    <row r="394" spans="1:20" x14ac:dyDescent="0.25">
      <c r="A394" s="185" t="s">
        <v>1050</v>
      </c>
      <c r="B394" s="2" t="s">
        <v>1059</v>
      </c>
      <c r="C394" s="6">
        <v>0.09</v>
      </c>
      <c r="D394" s="6">
        <v>2</v>
      </c>
      <c r="E394" s="66">
        <f>FORNITURAS!W5</f>
        <v>906.42857142857144</v>
      </c>
      <c r="F394" s="39">
        <f>E394*D394*C394</f>
        <v>163.15714285714284</v>
      </c>
      <c r="G394" s="1"/>
      <c r="H394" s="171"/>
      <c r="N394" s="3" t="s">
        <v>3857</v>
      </c>
      <c r="O394" s="2"/>
      <c r="P394" s="6">
        <v>1</v>
      </c>
      <c r="Q394" s="66">
        <f>'AROS, CADENAS, DIJES, ETC'!D88</f>
        <v>3192.5</v>
      </c>
      <c r="R394" s="39">
        <f>Q394</f>
        <v>3192.5</v>
      </c>
      <c r="S394" s="1"/>
      <c r="T394" s="171"/>
    </row>
    <row r="395" spans="1:20" x14ac:dyDescent="0.25">
      <c r="A395" s="3" t="s">
        <v>1557</v>
      </c>
      <c r="B395" s="2"/>
      <c r="C395" s="6"/>
      <c r="D395" s="6"/>
      <c r="E395" s="66"/>
      <c r="F395" s="39">
        <f>PACKAGING!E3</f>
        <v>150</v>
      </c>
      <c r="G395" s="1"/>
      <c r="H395" s="171"/>
      <c r="N395" s="3" t="s">
        <v>1557</v>
      </c>
      <c r="O395" s="2"/>
      <c r="P395" s="6"/>
      <c r="Q395" s="66"/>
      <c r="R395" s="39">
        <f>PACKAGING!E3</f>
        <v>150</v>
      </c>
      <c r="S395" s="1"/>
      <c r="T395" s="171"/>
    </row>
    <row r="396" spans="1:20" ht="16.5" thickBot="1" x14ac:dyDescent="0.3">
      <c r="A396" s="3" t="s">
        <v>1538</v>
      </c>
      <c r="B396" s="2"/>
      <c r="C396" s="6"/>
      <c r="D396" s="6"/>
      <c r="E396" s="66"/>
      <c r="F396" s="39">
        <f>PACKAGING!E8</f>
        <v>420</v>
      </c>
      <c r="G396" s="1"/>
      <c r="H396" s="171"/>
      <c r="N396" s="79" t="s">
        <v>525</v>
      </c>
      <c r="O396" s="70"/>
      <c r="P396" s="85"/>
      <c r="Q396" s="85"/>
      <c r="R396" s="51">
        <f>SUM(R394:R395)</f>
        <v>3342.5</v>
      </c>
      <c r="S396" s="1"/>
      <c r="T396" s="171"/>
    </row>
    <row r="397" spans="1:20" ht="16.5" thickBot="1" x14ac:dyDescent="0.3">
      <c r="A397" s="3" t="s">
        <v>1558</v>
      </c>
      <c r="B397" s="2">
        <v>60</v>
      </c>
      <c r="C397" s="6">
        <v>15</v>
      </c>
      <c r="D397" s="6"/>
      <c r="E397" s="66">
        <f>'INSUMOS VARIOS'!B3</f>
        <v>3500</v>
      </c>
      <c r="F397" s="39">
        <f>E397*C397/B397</f>
        <v>875</v>
      </c>
      <c r="G397" s="1"/>
      <c r="H397" s="171"/>
      <c r="N397" s="211" t="s">
        <v>544</v>
      </c>
      <c r="O397" s="276"/>
      <c r="P397" s="276"/>
      <c r="Q397" s="276"/>
      <c r="R397" s="213">
        <f>R396*2</f>
        <v>6685</v>
      </c>
      <c r="S397" s="517">
        <f>R397+R397*70%</f>
        <v>11364.5</v>
      </c>
      <c r="T397" s="498">
        <v>11000</v>
      </c>
    </row>
    <row r="398" spans="1:20" ht="16.5" thickBot="1" x14ac:dyDescent="0.3">
      <c r="A398" s="79" t="s">
        <v>525</v>
      </c>
      <c r="B398" s="70"/>
      <c r="C398" s="85"/>
      <c r="D398" s="85"/>
      <c r="E398" s="85"/>
      <c r="F398" s="51">
        <f>SUM(F392:F397)</f>
        <v>4248.5781954887225</v>
      </c>
      <c r="G398" s="134"/>
      <c r="H398" s="171"/>
    </row>
    <row r="399" spans="1:20" ht="16.5" thickBot="1" x14ac:dyDescent="0.3">
      <c r="A399" s="80" t="s">
        <v>544</v>
      </c>
      <c r="B399" s="220"/>
      <c r="C399" s="220"/>
      <c r="D399" s="220"/>
      <c r="E399" s="220"/>
      <c r="F399" s="267">
        <f>F398*2</f>
        <v>8497.156390977445</v>
      </c>
      <c r="G399" s="267">
        <f>F399+F399*70%</f>
        <v>14445.165864661656</v>
      </c>
      <c r="H399" s="268">
        <v>12000</v>
      </c>
      <c r="N399" s="1589" t="s">
        <v>3954</v>
      </c>
      <c r="O399" s="1596"/>
      <c r="P399" s="1596"/>
      <c r="Q399" s="1596"/>
      <c r="R399" s="1590"/>
      <c r="S399" s="23"/>
      <c r="T399" s="171"/>
    </row>
    <row r="400" spans="1:20" ht="16.5" thickBot="1" x14ac:dyDescent="0.3">
      <c r="A400" s="275" t="s">
        <v>1559</v>
      </c>
      <c r="B400" s="269"/>
      <c r="C400" s="269"/>
      <c r="D400" s="269"/>
      <c r="E400" s="269"/>
      <c r="F400" s="270"/>
      <c r="G400" s="270"/>
      <c r="H400" s="268">
        <v>10000</v>
      </c>
      <c r="N400" s="483" t="s">
        <v>916</v>
      </c>
      <c r="O400" s="484" t="s">
        <v>1073</v>
      </c>
      <c r="P400" s="485" t="s">
        <v>1547</v>
      </c>
      <c r="Q400" s="485" t="s">
        <v>1035</v>
      </c>
      <c r="R400" s="486" t="s">
        <v>1549</v>
      </c>
      <c r="S400" s="1"/>
      <c r="T400" s="171"/>
    </row>
    <row r="401" spans="1:20" ht="16.5" thickBot="1" x14ac:dyDescent="0.3">
      <c r="A401" s="171"/>
      <c r="B401" s="171"/>
      <c r="C401" s="171"/>
      <c r="D401" s="171"/>
      <c r="E401" s="171"/>
      <c r="F401" s="171"/>
      <c r="G401" s="171"/>
      <c r="H401" s="171"/>
      <c r="N401" s="3" t="s">
        <v>3858</v>
      </c>
      <c r="O401" s="2"/>
      <c r="P401" s="6">
        <v>1</v>
      </c>
      <c r="Q401" s="66">
        <f>'AROS, CADENAS, DIJES, ETC'!D89</f>
        <v>2350</v>
      </c>
      <c r="R401" s="39">
        <f>Q401</f>
        <v>2350</v>
      </c>
      <c r="S401" s="1"/>
      <c r="T401" s="171"/>
    </row>
    <row r="402" spans="1:20" ht="16.5" thickBot="1" x14ac:dyDescent="0.3">
      <c r="A402" s="1565" t="s">
        <v>167</v>
      </c>
      <c r="B402" s="1566"/>
      <c r="C402" s="1566"/>
      <c r="D402" s="1566"/>
      <c r="E402" s="1566"/>
      <c r="F402" s="1567"/>
      <c r="G402" s="171"/>
      <c r="H402" s="171"/>
      <c r="N402" s="3" t="s">
        <v>1557</v>
      </c>
      <c r="O402" s="2"/>
      <c r="P402" s="6"/>
      <c r="Q402" s="66"/>
      <c r="R402" s="39">
        <f>PACKAGING!E3</f>
        <v>150</v>
      </c>
      <c r="S402" s="1"/>
      <c r="T402" s="171"/>
    </row>
    <row r="403" spans="1:20" ht="16.5" thickBot="1" x14ac:dyDescent="0.3">
      <c r="A403" s="501" t="s">
        <v>916</v>
      </c>
      <c r="B403" s="502" t="s">
        <v>1073</v>
      </c>
      <c r="C403" s="503" t="s">
        <v>1089</v>
      </c>
      <c r="D403" s="503" t="s">
        <v>1547</v>
      </c>
      <c r="E403" s="503" t="s">
        <v>1035</v>
      </c>
      <c r="F403" s="504" t="s">
        <v>1549</v>
      </c>
      <c r="G403" s="1"/>
      <c r="H403" s="171"/>
      <c r="N403" s="79" t="s">
        <v>525</v>
      </c>
      <c r="O403" s="70"/>
      <c r="P403" s="85"/>
      <c r="Q403" s="85"/>
      <c r="R403" s="51">
        <f>SUM(R401:R402)</f>
        <v>2500</v>
      </c>
      <c r="S403" s="1"/>
      <c r="T403" s="171"/>
    </row>
    <row r="404" spans="1:20" ht="16.5" thickBot="1" x14ac:dyDescent="0.3">
      <c r="A404" s="3" t="s">
        <v>811</v>
      </c>
      <c r="B404" s="2" t="s">
        <v>765</v>
      </c>
      <c r="C404" s="6"/>
      <c r="D404" s="6" t="s">
        <v>1649</v>
      </c>
      <c r="E404" s="66">
        <f>'AROS, CADENAS, DIJES, ETC'!C15</f>
        <v>1410</v>
      </c>
      <c r="F404" s="39">
        <f>E404</f>
        <v>1410</v>
      </c>
      <c r="G404" s="1"/>
      <c r="H404" s="171"/>
      <c r="N404" s="211" t="s">
        <v>544</v>
      </c>
      <c r="O404" s="276"/>
      <c r="P404" s="276"/>
      <c r="Q404" s="276"/>
      <c r="R404" s="213">
        <f>R403*2</f>
        <v>5000</v>
      </c>
      <c r="S404" s="517">
        <f>R404+R404*70%</f>
        <v>8500</v>
      </c>
      <c r="T404" s="498">
        <v>11000</v>
      </c>
    </row>
    <row r="405" spans="1:20" ht="16.5" thickBot="1" x14ac:dyDescent="0.3">
      <c r="A405" s="3" t="s">
        <v>1943</v>
      </c>
      <c r="B405" s="2"/>
      <c r="C405" s="6"/>
      <c r="D405" s="6">
        <v>19</v>
      </c>
      <c r="E405" s="66">
        <f>VIDRIOS!E28</f>
        <v>15.74074074074074</v>
      </c>
      <c r="F405" s="39">
        <f>E405*D405</f>
        <v>299.07407407407408</v>
      </c>
      <c r="G405" s="1"/>
      <c r="H405" s="171"/>
    </row>
    <row r="406" spans="1:20" ht="16.5" thickBot="1" x14ac:dyDescent="0.3">
      <c r="A406" s="184" t="s">
        <v>1944</v>
      </c>
      <c r="B406" s="2"/>
      <c r="C406" s="6"/>
      <c r="D406" s="6">
        <v>1</v>
      </c>
      <c r="E406" s="66">
        <f>FORNITURAS!I4</f>
        <v>66.099999999999994</v>
      </c>
      <c r="F406" s="39">
        <f>E406*D406</f>
        <v>66.099999999999994</v>
      </c>
      <c r="G406" s="1"/>
      <c r="H406" s="171"/>
      <c r="N406" s="1589" t="s">
        <v>3859</v>
      </c>
      <c r="O406" s="1596"/>
      <c r="P406" s="1596"/>
      <c r="Q406" s="1596"/>
      <c r="R406" s="1590"/>
      <c r="S406" s="23"/>
      <c r="T406" s="171"/>
    </row>
    <row r="407" spans="1:20" x14ac:dyDescent="0.25">
      <c r="A407" s="185" t="s">
        <v>1050</v>
      </c>
      <c r="B407" s="2" t="s">
        <v>1059</v>
      </c>
      <c r="C407" s="6">
        <v>0.09</v>
      </c>
      <c r="D407" s="6">
        <v>2</v>
      </c>
      <c r="E407" s="66">
        <f>FORNITURAS!W5</f>
        <v>906.42857142857144</v>
      </c>
      <c r="F407" s="39">
        <f>E407*D407*C407</f>
        <v>163.15714285714284</v>
      </c>
      <c r="G407" s="1"/>
      <c r="H407" s="171"/>
      <c r="N407" s="483" t="s">
        <v>916</v>
      </c>
      <c r="O407" s="484" t="s">
        <v>1073</v>
      </c>
      <c r="P407" s="485" t="s">
        <v>1547</v>
      </c>
      <c r="Q407" s="485" t="s">
        <v>1035</v>
      </c>
      <c r="R407" s="486" t="s">
        <v>1549</v>
      </c>
      <c r="S407" s="1"/>
      <c r="T407" s="171"/>
    </row>
    <row r="408" spans="1:20" x14ac:dyDescent="0.25">
      <c r="A408" s="3" t="s">
        <v>1557</v>
      </c>
      <c r="B408" s="2"/>
      <c r="C408" s="6"/>
      <c r="D408" s="6"/>
      <c r="E408" s="66"/>
      <c r="F408" s="39">
        <f>PACKAGING!E3</f>
        <v>150</v>
      </c>
      <c r="G408" s="1"/>
      <c r="H408" s="171"/>
      <c r="N408" s="3" t="s">
        <v>3887</v>
      </c>
      <c r="O408" s="2"/>
      <c r="P408" s="6">
        <v>1</v>
      </c>
      <c r="Q408" s="66">
        <f>'AROS, CADENAS, DIJES, ETC'!D100</f>
        <v>2285</v>
      </c>
      <c r="R408" s="39">
        <f>Q408</f>
        <v>2285</v>
      </c>
      <c r="S408" s="1"/>
      <c r="T408" s="171"/>
    </row>
    <row r="409" spans="1:20" x14ac:dyDescent="0.25">
      <c r="A409" s="3" t="s">
        <v>1538</v>
      </c>
      <c r="B409" s="2"/>
      <c r="C409" s="6"/>
      <c r="D409" s="6"/>
      <c r="E409" s="66"/>
      <c r="F409" s="39">
        <f>PACKAGING!E8</f>
        <v>420</v>
      </c>
      <c r="G409" s="1"/>
      <c r="H409" s="171"/>
      <c r="N409" s="3" t="s">
        <v>3862</v>
      </c>
      <c r="O409" s="2" t="s">
        <v>3860</v>
      </c>
      <c r="P409" s="6">
        <v>1</v>
      </c>
      <c r="Q409" s="66">
        <f>'AROS, CADENAS, DIJES, ETC'!O30</f>
        <v>589</v>
      </c>
      <c r="R409" s="39">
        <f>Q409*P409</f>
        <v>589</v>
      </c>
      <c r="S409" s="1"/>
      <c r="T409" s="171"/>
    </row>
    <row r="410" spans="1:20" x14ac:dyDescent="0.25">
      <c r="A410" s="3" t="s">
        <v>1558</v>
      </c>
      <c r="B410" s="2">
        <v>60</v>
      </c>
      <c r="C410" s="6">
        <v>15</v>
      </c>
      <c r="D410" s="6"/>
      <c r="E410" s="66">
        <f>'INSUMOS VARIOS'!B3</f>
        <v>3500</v>
      </c>
      <c r="F410" s="39">
        <f>E410*C410/B410</f>
        <v>875</v>
      </c>
      <c r="G410" s="1"/>
      <c r="H410" s="171"/>
      <c r="N410" s="3" t="s">
        <v>1557</v>
      </c>
      <c r="O410" s="2"/>
      <c r="P410" s="6"/>
      <c r="Q410" s="66"/>
      <c r="R410" s="39">
        <f>PACKAGING!E3</f>
        <v>150</v>
      </c>
      <c r="S410" s="1"/>
      <c r="T410" s="171"/>
    </row>
    <row r="411" spans="1:20" ht="16.5" thickBot="1" x14ac:dyDescent="0.3">
      <c r="A411" s="79" t="s">
        <v>525</v>
      </c>
      <c r="B411" s="70"/>
      <c r="C411" s="85"/>
      <c r="D411" s="85"/>
      <c r="E411" s="85"/>
      <c r="F411" s="51">
        <f>SUM(F404:F410)</f>
        <v>3383.3312169312167</v>
      </c>
      <c r="G411" s="134"/>
      <c r="H411" s="171"/>
      <c r="N411" s="79" t="s">
        <v>525</v>
      </c>
      <c r="O411" s="70"/>
      <c r="P411" s="85"/>
      <c r="Q411" s="85"/>
      <c r="R411" s="51">
        <f>SUM(R408:R410)</f>
        <v>3024</v>
      </c>
      <c r="S411" s="1"/>
      <c r="T411" s="171"/>
    </row>
    <row r="412" spans="1:20" ht="16.5" thickBot="1" x14ac:dyDescent="0.3">
      <c r="A412" s="80" t="s">
        <v>544</v>
      </c>
      <c r="B412" s="220"/>
      <c r="C412" s="220"/>
      <c r="D412" s="220"/>
      <c r="E412" s="220"/>
      <c r="F412" s="267">
        <f>F411*2</f>
        <v>6766.6624338624333</v>
      </c>
      <c r="G412" s="267">
        <f>F412+F412*50%</f>
        <v>10149.993650793651</v>
      </c>
      <c r="H412" s="268">
        <v>10000</v>
      </c>
      <c r="N412" s="211" t="s">
        <v>544</v>
      </c>
      <c r="O412" s="276"/>
      <c r="P412" s="276"/>
      <c r="Q412" s="276"/>
      <c r="R412" s="213">
        <f>R411*2</f>
        <v>6048</v>
      </c>
      <c r="S412" s="517">
        <f>R412+R412*70%</f>
        <v>10281.599999999999</v>
      </c>
      <c r="T412" s="498">
        <v>16000</v>
      </c>
    </row>
    <row r="413" spans="1:20" ht="16.5" thickBot="1" x14ac:dyDescent="0.3">
      <c r="A413" s="275" t="s">
        <v>1559</v>
      </c>
      <c r="B413" s="269"/>
      <c r="C413" s="269"/>
      <c r="D413" s="269"/>
      <c r="E413" s="269"/>
      <c r="F413" s="270"/>
      <c r="G413" s="270"/>
      <c r="H413" s="281">
        <f>H412*2</f>
        <v>20000</v>
      </c>
    </row>
    <row r="414" spans="1:20" ht="16.5" thickBot="1" x14ac:dyDescent="0.3">
      <c r="N414" s="1589" t="s">
        <v>3861</v>
      </c>
      <c r="O414" s="1596"/>
      <c r="P414" s="1596"/>
      <c r="Q414" s="1596"/>
      <c r="R414" s="1590"/>
      <c r="S414" s="23"/>
      <c r="T414" s="171"/>
    </row>
    <row r="415" spans="1:20" x14ac:dyDescent="0.25">
      <c r="A415" s="1589" t="s">
        <v>2299</v>
      </c>
      <c r="B415" s="1596"/>
      <c r="C415" s="1596"/>
      <c r="D415" s="1596"/>
      <c r="E415" s="1590"/>
      <c r="F415" s="23"/>
      <c r="G415" s="171"/>
      <c r="N415" s="483" t="s">
        <v>916</v>
      </c>
      <c r="O415" s="484" t="s">
        <v>1073</v>
      </c>
      <c r="P415" s="485" t="s">
        <v>1547</v>
      </c>
      <c r="Q415" s="485" t="s">
        <v>1035</v>
      </c>
      <c r="R415" s="486" t="s">
        <v>1549</v>
      </c>
      <c r="S415" s="1"/>
      <c r="T415" s="171"/>
    </row>
    <row r="416" spans="1:20" x14ac:dyDescent="0.25">
      <c r="A416" s="271" t="s">
        <v>916</v>
      </c>
      <c r="B416" s="272" t="s">
        <v>1073</v>
      </c>
      <c r="C416" s="273" t="s">
        <v>1547</v>
      </c>
      <c r="D416" s="273" t="s">
        <v>1035</v>
      </c>
      <c r="E416" s="274" t="s">
        <v>1549</v>
      </c>
      <c r="F416" s="1"/>
      <c r="G416" s="171"/>
      <c r="N416" s="3" t="s">
        <v>859</v>
      </c>
      <c r="O416" s="2"/>
      <c r="P416" s="6">
        <v>1</v>
      </c>
      <c r="Q416" s="66">
        <f>'AROS, CADENAS, DIJES, ETC'!D96</f>
        <v>1195</v>
      </c>
      <c r="R416" s="39">
        <f>Q416</f>
        <v>1195</v>
      </c>
      <c r="S416" s="1"/>
      <c r="T416" s="171"/>
    </row>
    <row r="417" spans="1:20" x14ac:dyDescent="0.25">
      <c r="A417" s="3" t="s">
        <v>748</v>
      </c>
      <c r="B417" s="2" t="s">
        <v>789</v>
      </c>
      <c r="C417" s="6" t="s">
        <v>1649</v>
      </c>
      <c r="D417" s="66">
        <f>'AROS, CADENAS, DIJES, ETC'!C4</f>
        <v>1200</v>
      </c>
      <c r="E417" s="39">
        <f>D417</f>
        <v>1200</v>
      </c>
      <c r="F417" s="1"/>
      <c r="G417" s="171"/>
      <c r="N417" s="3" t="s">
        <v>3864</v>
      </c>
      <c r="O417" s="2"/>
      <c r="P417" s="6">
        <v>1</v>
      </c>
      <c r="Q417" s="66">
        <f>'AROS, CADENAS, DIJES, ETC'!O149</f>
        <v>3047</v>
      </c>
      <c r="R417" s="39">
        <f>Q417*P417</f>
        <v>3047</v>
      </c>
      <c r="S417" s="1"/>
      <c r="T417" s="171"/>
    </row>
    <row r="418" spans="1:20" x14ac:dyDescent="0.25">
      <c r="A418" s="3" t="s">
        <v>2300</v>
      </c>
      <c r="B418" s="2"/>
      <c r="C418" s="6">
        <v>2</v>
      </c>
      <c r="D418" s="66">
        <f>PIEDRAS!F42</f>
        <v>171.42857142857142</v>
      </c>
      <c r="E418" s="39">
        <f>D418*C418</f>
        <v>342.85714285714283</v>
      </c>
      <c r="F418" s="1"/>
      <c r="G418" s="171"/>
      <c r="N418" s="3" t="s">
        <v>1557</v>
      </c>
      <c r="O418" s="2"/>
      <c r="P418" s="6"/>
      <c r="Q418" s="66"/>
      <c r="R418" s="39">
        <f>PACKAGING!E3</f>
        <v>150</v>
      </c>
      <c r="S418" s="1"/>
      <c r="T418" s="171"/>
    </row>
    <row r="419" spans="1:20" ht="16.5" thickBot="1" x14ac:dyDescent="0.3">
      <c r="A419" s="3" t="s">
        <v>1555</v>
      </c>
      <c r="B419" s="2" t="s">
        <v>1573</v>
      </c>
      <c r="C419" s="6">
        <v>2</v>
      </c>
      <c r="D419" s="66">
        <f>FORNITURAS!D7</f>
        <v>52</v>
      </c>
      <c r="E419" s="39">
        <f>D419*C419</f>
        <v>104</v>
      </c>
      <c r="F419" s="1"/>
      <c r="G419" s="171"/>
      <c r="N419" s="79" t="s">
        <v>525</v>
      </c>
      <c r="O419" s="70"/>
      <c r="P419" s="85"/>
      <c r="Q419" s="85"/>
      <c r="R419" s="51">
        <f>SUM(R416:R418)</f>
        <v>4392</v>
      </c>
      <c r="S419" s="1"/>
      <c r="T419" s="171"/>
    </row>
    <row r="420" spans="1:20" ht="16.5" thickBot="1" x14ac:dyDescent="0.3">
      <c r="A420" s="3" t="s">
        <v>1941</v>
      </c>
      <c r="B420" s="2" t="s">
        <v>1744</v>
      </c>
      <c r="C420" s="6">
        <v>2</v>
      </c>
      <c r="D420" s="66">
        <f>FORNITURAS!D15</f>
        <v>142</v>
      </c>
      <c r="E420" s="39">
        <f>D420*C420</f>
        <v>284</v>
      </c>
      <c r="F420" s="1"/>
      <c r="G420" s="171"/>
      <c r="N420" s="211" t="s">
        <v>544</v>
      </c>
      <c r="O420" s="276"/>
      <c r="P420" s="276"/>
      <c r="Q420" s="276"/>
      <c r="R420" s="213">
        <f>R419*2</f>
        <v>8784</v>
      </c>
      <c r="S420" s="517">
        <f>R420+R420*50%</f>
        <v>13176</v>
      </c>
      <c r="T420" s="498">
        <v>14000</v>
      </c>
    </row>
    <row r="421" spans="1:20" ht="16.5" thickBot="1" x14ac:dyDescent="0.3">
      <c r="A421" s="3" t="s">
        <v>1557</v>
      </c>
      <c r="B421" s="2"/>
      <c r="C421" s="6"/>
      <c r="D421" s="66"/>
      <c r="E421" s="39">
        <f>PACKAGING!E3</f>
        <v>150</v>
      </c>
      <c r="F421" s="1"/>
      <c r="G421" s="171"/>
    </row>
    <row r="422" spans="1:20" ht="16.5" thickBot="1" x14ac:dyDescent="0.3">
      <c r="A422" s="3" t="s">
        <v>1538</v>
      </c>
      <c r="B422" s="2"/>
      <c r="C422" s="6"/>
      <c r="D422" s="66"/>
      <c r="E422" s="39">
        <f>PACKAGING!E8</f>
        <v>420</v>
      </c>
      <c r="F422" s="1"/>
      <c r="G422" s="171"/>
      <c r="N422" s="1589" t="s">
        <v>3865</v>
      </c>
      <c r="O422" s="1596"/>
      <c r="P422" s="1596"/>
      <c r="Q422" s="1596"/>
      <c r="R422" s="1590"/>
      <c r="S422" s="23"/>
      <c r="T422" s="171"/>
    </row>
    <row r="423" spans="1:20" x14ac:dyDescent="0.25">
      <c r="A423" s="3" t="s">
        <v>1558</v>
      </c>
      <c r="B423" s="2">
        <v>60</v>
      </c>
      <c r="C423" s="6">
        <v>10</v>
      </c>
      <c r="D423" s="66">
        <f>'INSUMOS VARIOS'!B3</f>
        <v>3500</v>
      </c>
      <c r="E423" s="39">
        <f>D423*C423/B423</f>
        <v>583.33333333333337</v>
      </c>
      <c r="F423" s="1"/>
      <c r="G423" s="171"/>
      <c r="N423" s="483" t="s">
        <v>916</v>
      </c>
      <c r="O423" s="484" t="s">
        <v>1073</v>
      </c>
      <c r="P423" s="485" t="s">
        <v>1547</v>
      </c>
      <c r="Q423" s="485" t="s">
        <v>1035</v>
      </c>
      <c r="R423" s="486" t="s">
        <v>1549</v>
      </c>
      <c r="S423" s="1"/>
      <c r="T423" s="171"/>
    </row>
    <row r="424" spans="1:20" ht="16.5" thickBot="1" x14ac:dyDescent="0.3">
      <c r="A424" s="79" t="s">
        <v>525</v>
      </c>
      <c r="B424" s="70"/>
      <c r="C424" s="85"/>
      <c r="D424" s="85"/>
      <c r="E424" s="51">
        <f>SUM(E417:E423)</f>
        <v>3084.1904761904766</v>
      </c>
      <c r="F424" s="134"/>
      <c r="G424" s="171"/>
      <c r="N424" s="3" t="s">
        <v>859</v>
      </c>
      <c r="O424" s="2"/>
      <c r="P424" s="6">
        <v>1</v>
      </c>
      <c r="Q424" s="66">
        <f>'AROS, CADENAS, DIJES, ETC'!D96</f>
        <v>1195</v>
      </c>
      <c r="R424" s="39">
        <f>Q424</f>
        <v>1195</v>
      </c>
      <c r="S424" s="1"/>
      <c r="T424" s="171"/>
    </row>
    <row r="425" spans="1:20" x14ac:dyDescent="0.25">
      <c r="A425" s="80" t="s">
        <v>544</v>
      </c>
      <c r="B425" s="220"/>
      <c r="C425" s="220"/>
      <c r="D425" s="220"/>
      <c r="E425" s="221">
        <f>E424*2</f>
        <v>6168.3809523809532</v>
      </c>
      <c r="F425" s="492">
        <f>E425+E425*50%</f>
        <v>9252.5714285714294</v>
      </c>
      <c r="G425" s="268">
        <v>6000</v>
      </c>
      <c r="N425" s="3" t="s">
        <v>3867</v>
      </c>
      <c r="O425" s="2"/>
      <c r="P425" s="6">
        <v>1</v>
      </c>
      <c r="Q425" s="66">
        <f>'AROS, CADENAS, DIJES, ETC'!O144</f>
        <v>4626</v>
      </c>
      <c r="R425" s="39">
        <f>Q425*P425</f>
        <v>4626</v>
      </c>
      <c r="S425" s="1"/>
      <c r="T425" s="171"/>
    </row>
    <row r="426" spans="1:20" ht="16.5" thickBot="1" x14ac:dyDescent="0.3">
      <c r="A426" s="275" t="s">
        <v>1559</v>
      </c>
      <c r="B426" s="269"/>
      <c r="C426" s="269"/>
      <c r="D426" s="269"/>
      <c r="E426" s="488"/>
      <c r="F426" s="493"/>
      <c r="G426" s="281">
        <f>G425*2</f>
        <v>12000</v>
      </c>
      <c r="N426" s="3" t="s">
        <v>1557</v>
      </c>
      <c r="O426" s="2"/>
      <c r="P426" s="6"/>
      <c r="Q426" s="66"/>
      <c r="R426" s="39">
        <f>PACKAGING!E3</f>
        <v>150</v>
      </c>
      <c r="S426" s="1"/>
      <c r="T426" s="171"/>
    </row>
    <row r="427" spans="1:20" ht="16.5" thickBot="1" x14ac:dyDescent="0.3">
      <c r="N427" s="79" t="s">
        <v>525</v>
      </c>
      <c r="O427" s="70"/>
      <c r="P427" s="85"/>
      <c r="Q427" s="85"/>
      <c r="R427" s="51">
        <f>SUM(R424:R426)</f>
        <v>5971</v>
      </c>
      <c r="S427" s="1"/>
      <c r="T427" s="171"/>
    </row>
    <row r="428" spans="1:20" ht="16.5" thickBot="1" x14ac:dyDescent="0.3">
      <c r="A428" s="1688" t="s">
        <v>2210</v>
      </c>
      <c r="B428" s="1571"/>
      <c r="C428" s="1571"/>
      <c r="D428" s="1571"/>
      <c r="E428" s="1571"/>
      <c r="F428" s="1571"/>
      <c r="G428" s="171"/>
      <c r="H428" s="171"/>
      <c r="I428" s="171"/>
      <c r="J428" s="171"/>
      <c r="N428" s="211" t="s">
        <v>544</v>
      </c>
      <c r="O428" s="276"/>
      <c r="P428" s="276"/>
      <c r="Q428" s="276"/>
      <c r="R428" s="213">
        <f>R427*2</f>
        <v>11942</v>
      </c>
      <c r="S428" s="517">
        <f>R428+R428*40%</f>
        <v>16718.8</v>
      </c>
      <c r="T428" s="498">
        <v>18000</v>
      </c>
    </row>
    <row r="429" spans="1:20" ht="16.5" thickBot="1" x14ac:dyDescent="0.3">
      <c r="A429" s="271" t="s">
        <v>916</v>
      </c>
      <c r="B429" s="272" t="s">
        <v>1073</v>
      </c>
      <c r="C429" s="273" t="s">
        <v>1089</v>
      </c>
      <c r="D429" s="273" t="s">
        <v>1547</v>
      </c>
      <c r="E429" s="273" t="s">
        <v>1035</v>
      </c>
      <c r="F429" s="274" t="s">
        <v>1549</v>
      </c>
      <c r="G429" s="1"/>
      <c r="H429" s="171"/>
      <c r="I429" s="171"/>
      <c r="J429" s="171"/>
    </row>
    <row r="430" spans="1:20" ht="16.5" thickBot="1" x14ac:dyDescent="0.3">
      <c r="A430" s="3" t="s">
        <v>2211</v>
      </c>
      <c r="B430" s="2"/>
      <c r="C430" s="6"/>
      <c r="D430" s="6" t="s">
        <v>1649</v>
      </c>
      <c r="E430" s="66">
        <f>'AROS, CADENAS, DIJES, ETC'!C25</f>
        <v>6800</v>
      </c>
      <c r="F430" s="39">
        <f>E430</f>
        <v>6800</v>
      </c>
      <c r="G430" s="1"/>
      <c r="H430" s="171"/>
      <c r="I430" s="171"/>
      <c r="J430" s="171"/>
      <c r="N430" s="1589" t="s">
        <v>3953</v>
      </c>
      <c r="O430" s="1596"/>
      <c r="P430" s="1596"/>
      <c r="Q430" s="1596"/>
      <c r="R430" s="1590"/>
      <c r="S430" s="23"/>
      <c r="T430" s="171"/>
    </row>
    <row r="431" spans="1:20" x14ac:dyDescent="0.25">
      <c r="A431" s="3" t="s">
        <v>1557</v>
      </c>
      <c r="B431" s="2"/>
      <c r="C431" s="6"/>
      <c r="D431" s="6"/>
      <c r="E431" s="66"/>
      <c r="F431" s="39">
        <f>PACKAGING!E3</f>
        <v>150</v>
      </c>
      <c r="G431" s="1" t="s">
        <v>3023</v>
      </c>
      <c r="H431" s="171"/>
      <c r="I431" s="171"/>
      <c r="J431" s="171"/>
      <c r="N431" s="483" t="s">
        <v>916</v>
      </c>
      <c r="O431" s="484" t="s">
        <v>1073</v>
      </c>
      <c r="P431" s="485" t="s">
        <v>1547</v>
      </c>
      <c r="Q431" s="485" t="s">
        <v>1035</v>
      </c>
      <c r="R431" s="486" t="s">
        <v>1549</v>
      </c>
      <c r="S431" s="1"/>
      <c r="T431" s="171"/>
    </row>
    <row r="432" spans="1:20" ht="16.5" thickBot="1" x14ac:dyDescent="0.3">
      <c r="A432" s="79" t="s">
        <v>525</v>
      </c>
      <c r="B432" s="70"/>
      <c r="C432" s="85"/>
      <c r="D432" s="85"/>
      <c r="E432" s="85"/>
      <c r="F432" s="51">
        <f>SUM(F430:F431)</f>
        <v>6950</v>
      </c>
      <c r="G432" s="1072">
        <f>(F432+H433+H434)</f>
        <v>10228</v>
      </c>
      <c r="H432" s="162" t="s">
        <v>2283</v>
      </c>
      <c r="I432" s="171"/>
      <c r="J432" s="171"/>
      <c r="N432" s="3" t="s">
        <v>859</v>
      </c>
      <c r="O432" s="2"/>
      <c r="P432" s="6">
        <v>1</v>
      </c>
      <c r="Q432" s="66">
        <f>'AROS, CADENAS, DIJES, ETC'!D96</f>
        <v>1195</v>
      </c>
      <c r="R432" s="39">
        <f>Q432</f>
        <v>1195</v>
      </c>
      <c r="S432" s="1"/>
      <c r="T432" s="171"/>
    </row>
    <row r="433" spans="1:20" ht="16.5" thickBot="1" x14ac:dyDescent="0.3">
      <c r="A433" s="80" t="s">
        <v>1559</v>
      </c>
      <c r="B433" s="220"/>
      <c r="C433" s="220"/>
      <c r="D433" s="220"/>
      <c r="E433" s="220"/>
      <c r="F433" s="267">
        <f>F432*2</f>
        <v>13900</v>
      </c>
      <c r="G433" s="267">
        <f>F433+F433*50%</f>
        <v>20850</v>
      </c>
      <c r="H433" s="702">
        <f>PACKAGING!I3</f>
        <v>2433</v>
      </c>
      <c r="I433" s="702">
        <f>G433+H433+H434</f>
        <v>24128</v>
      </c>
      <c r="J433" s="703">
        <v>29000</v>
      </c>
      <c r="N433" s="3" t="s">
        <v>3868</v>
      </c>
      <c r="O433" s="2"/>
      <c r="P433" s="6">
        <v>1</v>
      </c>
      <c r="Q433" s="66">
        <f>'AROS, CADENAS, DIJES, ETC'!O135</f>
        <v>1572</v>
      </c>
      <c r="R433" s="39">
        <f>Q433*P433</f>
        <v>1572</v>
      </c>
      <c r="S433" s="1"/>
      <c r="T433" s="171"/>
    </row>
    <row r="434" spans="1:20" ht="16.5" thickBot="1" x14ac:dyDescent="0.3">
      <c r="A434" s="171"/>
      <c r="B434" s="171"/>
      <c r="C434" s="171"/>
      <c r="D434" s="171"/>
      <c r="E434" s="171"/>
      <c r="F434" s="171"/>
      <c r="G434" s="171"/>
      <c r="H434" s="702">
        <f>PACKAGING!I5</f>
        <v>845</v>
      </c>
      <c r="I434" s="1"/>
      <c r="J434" s="1"/>
      <c r="N434" s="3" t="s">
        <v>1557</v>
      </c>
      <c r="O434" s="2"/>
      <c r="P434" s="6"/>
      <c r="Q434" s="66"/>
      <c r="R434" s="39">
        <f>PACKAGING!E3</f>
        <v>150</v>
      </c>
      <c r="S434" s="1"/>
      <c r="T434" s="171"/>
    </row>
    <row r="435" spans="1:20" ht="16.5" thickBot="1" x14ac:dyDescent="0.3">
      <c r="A435" s="171"/>
      <c r="B435" s="171"/>
      <c r="C435" s="171"/>
      <c r="D435" s="171"/>
      <c r="E435" s="171"/>
      <c r="F435" s="171"/>
      <c r="G435" s="171"/>
      <c r="H435" s="711"/>
      <c r="I435" s="1"/>
      <c r="J435" s="1"/>
      <c r="N435" s="79" t="s">
        <v>525</v>
      </c>
      <c r="O435" s="70"/>
      <c r="P435" s="85"/>
      <c r="Q435" s="85"/>
      <c r="R435" s="51">
        <f>SUM(R432:R434)</f>
        <v>2917</v>
      </c>
      <c r="S435" s="1"/>
      <c r="T435" s="171"/>
    </row>
    <row r="436" spans="1:20" ht="16.5" thickBot="1" x14ac:dyDescent="0.3">
      <c r="A436" s="1688" t="s">
        <v>2212</v>
      </c>
      <c r="B436" s="1571"/>
      <c r="C436" s="1571"/>
      <c r="D436" s="1571"/>
      <c r="E436" s="1571"/>
      <c r="F436" s="1571"/>
      <c r="G436" s="171"/>
      <c r="H436" s="171"/>
      <c r="I436" s="171"/>
      <c r="J436" s="171"/>
      <c r="N436" s="211" t="s">
        <v>544</v>
      </c>
      <c r="O436" s="276"/>
      <c r="P436" s="276"/>
      <c r="Q436" s="276"/>
      <c r="R436" s="213">
        <f>R435*2</f>
        <v>5834</v>
      </c>
      <c r="S436" s="517">
        <f>R436+R436*70%</f>
        <v>9917.7999999999993</v>
      </c>
      <c r="T436" s="498">
        <v>12000</v>
      </c>
    </row>
    <row r="437" spans="1:20" ht="16.5" thickBot="1" x14ac:dyDescent="0.3">
      <c r="A437" s="271" t="s">
        <v>916</v>
      </c>
      <c r="B437" s="272" t="s">
        <v>1073</v>
      </c>
      <c r="C437" s="273" t="s">
        <v>1089</v>
      </c>
      <c r="D437" s="273" t="s">
        <v>1547</v>
      </c>
      <c r="E437" s="273" t="s">
        <v>1035</v>
      </c>
      <c r="F437" s="274" t="s">
        <v>1549</v>
      </c>
      <c r="G437" s="1"/>
      <c r="H437" s="171"/>
      <c r="I437" s="171"/>
      <c r="J437" s="171"/>
    </row>
    <row r="438" spans="1:20" ht="16.5" thickBot="1" x14ac:dyDescent="0.3">
      <c r="A438" s="3" t="s">
        <v>2213</v>
      </c>
      <c r="B438" s="2"/>
      <c r="C438" s="6"/>
      <c r="D438" s="6" t="s">
        <v>1649</v>
      </c>
      <c r="E438" s="66">
        <f>'AROS, CADENAS, DIJES, ETC'!C26</f>
        <v>7300</v>
      </c>
      <c r="F438" s="39">
        <f>E438</f>
        <v>7300</v>
      </c>
      <c r="G438" s="1"/>
      <c r="H438" s="171"/>
      <c r="I438" s="171"/>
      <c r="J438" s="171"/>
      <c r="N438" s="1589" t="s">
        <v>3871</v>
      </c>
      <c r="O438" s="1596"/>
      <c r="P438" s="1596"/>
      <c r="Q438" s="1596"/>
      <c r="R438" s="1590"/>
      <c r="S438" s="23"/>
      <c r="T438" s="171"/>
    </row>
    <row r="439" spans="1:20" x14ac:dyDescent="0.25">
      <c r="A439" s="3" t="s">
        <v>1557</v>
      </c>
      <c r="B439" s="2"/>
      <c r="C439" s="6"/>
      <c r="D439" s="6"/>
      <c r="E439" s="66"/>
      <c r="F439" s="39">
        <f>PACKAGING!E3</f>
        <v>150</v>
      </c>
      <c r="G439" s="1" t="s">
        <v>3023</v>
      </c>
      <c r="H439" s="171"/>
      <c r="I439" s="171"/>
      <c r="J439" s="171"/>
      <c r="N439" s="483" t="s">
        <v>916</v>
      </c>
      <c r="O439" s="484" t="s">
        <v>1073</v>
      </c>
      <c r="P439" s="485" t="s">
        <v>1547</v>
      </c>
      <c r="Q439" s="485" t="s">
        <v>1035</v>
      </c>
      <c r="R439" s="486" t="s">
        <v>1549</v>
      </c>
      <c r="S439" s="1"/>
      <c r="T439" s="171"/>
    </row>
    <row r="440" spans="1:20" ht="16.5" thickBot="1" x14ac:dyDescent="0.3">
      <c r="A440" s="79" t="s">
        <v>525</v>
      </c>
      <c r="B440" s="70"/>
      <c r="C440" s="85"/>
      <c r="D440" s="85"/>
      <c r="E440" s="85"/>
      <c r="F440" s="51">
        <f>SUM(F438:F439)</f>
        <v>7450</v>
      </c>
      <c r="G440" s="1072">
        <f>(F440+H441+H442)</f>
        <v>10728</v>
      </c>
      <c r="H440" s="162" t="s">
        <v>2283</v>
      </c>
      <c r="I440" s="171"/>
      <c r="J440" s="171"/>
      <c r="N440" s="3" t="s">
        <v>3869</v>
      </c>
      <c r="O440" s="2"/>
      <c r="P440" s="6">
        <v>1</v>
      </c>
      <c r="Q440" s="66">
        <f>'AROS, CADENAS, DIJES, ETC'!D96</f>
        <v>1195</v>
      </c>
      <c r="R440" s="39">
        <f>Q440</f>
        <v>1195</v>
      </c>
      <c r="S440" s="1"/>
      <c r="T440" s="171"/>
    </row>
    <row r="441" spans="1:20" ht="16.5" thickBot="1" x14ac:dyDescent="0.3">
      <c r="A441" s="80" t="s">
        <v>1559</v>
      </c>
      <c r="B441" s="220"/>
      <c r="C441" s="220"/>
      <c r="D441" s="220"/>
      <c r="E441" s="220"/>
      <c r="F441" s="267">
        <f>F440*2</f>
        <v>14900</v>
      </c>
      <c r="G441" s="267">
        <f>F441+F441*50%</f>
        <v>22350</v>
      </c>
      <c r="H441" s="702">
        <f>PACKAGING!I3</f>
        <v>2433</v>
      </c>
      <c r="I441" s="702">
        <f>G441+H441+H442</f>
        <v>25628</v>
      </c>
      <c r="J441" s="703">
        <v>31000</v>
      </c>
      <c r="N441" s="3" t="s">
        <v>3870</v>
      </c>
      <c r="O441" s="2"/>
      <c r="P441" s="6">
        <v>1</v>
      </c>
      <c r="Q441" s="66">
        <f>'AROS, CADENAS, DIJES, ETC'!O143</f>
        <v>5300</v>
      </c>
      <c r="R441" s="39">
        <f>Q441*P441</f>
        <v>5300</v>
      </c>
      <c r="S441" s="1"/>
      <c r="T441" s="171"/>
    </row>
    <row r="442" spans="1:20" ht="16.5" thickBot="1" x14ac:dyDescent="0.3">
      <c r="A442" s="171"/>
      <c r="B442" s="171"/>
      <c r="C442" s="171"/>
      <c r="D442" s="171"/>
      <c r="E442" s="171"/>
      <c r="F442" s="171"/>
      <c r="G442" s="171"/>
      <c r="H442" s="702">
        <f>PACKAGING!I5</f>
        <v>845</v>
      </c>
      <c r="I442" s="1"/>
      <c r="J442" s="1"/>
      <c r="N442" s="3" t="s">
        <v>1557</v>
      </c>
      <c r="O442" s="2"/>
      <c r="P442" s="6"/>
      <c r="Q442" s="66"/>
      <c r="R442" s="39">
        <f>PACKAGING!E3</f>
        <v>150</v>
      </c>
      <c r="S442" s="1"/>
      <c r="T442" s="171"/>
    </row>
    <row r="443" spans="1:20" ht="16.5" thickBot="1" x14ac:dyDescent="0.3">
      <c r="A443" s="171"/>
      <c r="B443" s="171"/>
      <c r="C443" s="171"/>
      <c r="D443" s="171"/>
      <c r="E443" s="171"/>
      <c r="F443" s="171"/>
      <c r="G443" s="171"/>
      <c r="H443" s="711"/>
      <c r="I443" s="1"/>
      <c r="J443" s="1"/>
      <c r="N443" s="79" t="s">
        <v>525</v>
      </c>
      <c r="O443" s="70"/>
      <c r="P443" s="85"/>
      <c r="Q443" s="85"/>
      <c r="R443" s="51">
        <f>SUM(R440:R442)</f>
        <v>6645</v>
      </c>
      <c r="S443" s="1"/>
      <c r="T443" s="171"/>
    </row>
    <row r="444" spans="1:20" ht="16.5" thickBot="1" x14ac:dyDescent="0.3">
      <c r="A444" s="1688" t="s">
        <v>2209</v>
      </c>
      <c r="B444" s="1571"/>
      <c r="C444" s="1571"/>
      <c r="D444" s="1571"/>
      <c r="E444" s="1571"/>
      <c r="F444" s="1571"/>
      <c r="G444" s="171"/>
      <c r="H444" s="171"/>
      <c r="I444" s="171"/>
      <c r="J444" s="171"/>
      <c r="N444" s="211" t="s">
        <v>544</v>
      </c>
      <c r="O444" s="276"/>
      <c r="P444" s="276"/>
      <c r="Q444" s="276"/>
      <c r="R444" s="213">
        <f>R443*2</f>
        <v>13290</v>
      </c>
      <c r="S444" s="517">
        <f>R444+R444*60%</f>
        <v>21264</v>
      </c>
      <c r="T444" s="498">
        <v>22000</v>
      </c>
    </row>
    <row r="445" spans="1:20" ht="16.5" thickBot="1" x14ac:dyDescent="0.3">
      <c r="A445" s="271" t="s">
        <v>916</v>
      </c>
      <c r="B445" s="272" t="s">
        <v>1073</v>
      </c>
      <c r="C445" s="273" t="s">
        <v>1089</v>
      </c>
      <c r="D445" s="273" t="s">
        <v>1547</v>
      </c>
      <c r="E445" s="273" t="s">
        <v>1035</v>
      </c>
      <c r="F445" s="274" t="s">
        <v>1549</v>
      </c>
      <c r="G445" s="1"/>
      <c r="H445" s="171"/>
      <c r="I445" s="171"/>
      <c r="J445" s="171"/>
      <c r="T445" s="467"/>
    </row>
    <row r="446" spans="1:20" ht="16.5" thickBot="1" x14ac:dyDescent="0.3">
      <c r="A446" s="3" t="s">
        <v>2214</v>
      </c>
      <c r="B446" s="2"/>
      <c r="C446" s="6"/>
      <c r="D446" s="6" t="s">
        <v>1649</v>
      </c>
      <c r="E446" s="66">
        <f>'AROS, CADENAS, DIJES, ETC'!C135</f>
        <v>11997</v>
      </c>
      <c r="F446" s="39">
        <f>E446</f>
        <v>11997</v>
      </c>
      <c r="G446" s="1"/>
      <c r="H446" s="171"/>
      <c r="I446" s="171"/>
      <c r="J446" s="171"/>
      <c r="N446" s="1589" t="s">
        <v>3874</v>
      </c>
      <c r="O446" s="1596"/>
      <c r="P446" s="1596"/>
      <c r="Q446" s="1596"/>
      <c r="R446" s="1590"/>
      <c r="S446" s="23"/>
      <c r="T446" s="171"/>
    </row>
    <row r="447" spans="1:20" x14ac:dyDescent="0.25">
      <c r="A447" s="3" t="s">
        <v>1557</v>
      </c>
      <c r="B447" s="2"/>
      <c r="C447" s="6"/>
      <c r="D447" s="6"/>
      <c r="E447" s="66"/>
      <c r="F447" s="39">
        <f>F439</f>
        <v>150</v>
      </c>
      <c r="G447" s="1" t="s">
        <v>3023</v>
      </c>
      <c r="H447" s="171"/>
      <c r="I447" s="171"/>
      <c r="J447" s="171"/>
      <c r="N447" s="483" t="s">
        <v>916</v>
      </c>
      <c r="O447" s="484" t="s">
        <v>1073</v>
      </c>
      <c r="P447" s="485" t="s">
        <v>1547</v>
      </c>
      <c r="Q447" s="485" t="s">
        <v>1035</v>
      </c>
      <c r="R447" s="486" t="s">
        <v>1549</v>
      </c>
      <c r="S447" s="1"/>
      <c r="T447" s="171"/>
    </row>
    <row r="448" spans="1:20" ht="16.5" thickBot="1" x14ac:dyDescent="0.3">
      <c r="A448" s="79" t="s">
        <v>525</v>
      </c>
      <c r="B448" s="70"/>
      <c r="C448" s="85"/>
      <c r="D448" s="85"/>
      <c r="E448" s="85"/>
      <c r="F448" s="51">
        <f>SUM(F446:F447)</f>
        <v>12147</v>
      </c>
      <c r="G448" s="1072">
        <f>(F448+H449+H450)</f>
        <v>15425</v>
      </c>
      <c r="H448" s="162" t="s">
        <v>2283</v>
      </c>
      <c r="I448" s="171"/>
      <c r="J448" s="171"/>
      <c r="N448" s="3" t="s">
        <v>3934</v>
      </c>
      <c r="O448" s="2"/>
      <c r="P448" s="6">
        <v>1</v>
      </c>
      <c r="Q448" s="66">
        <f>'AROS, CADENAS, DIJES, ETC'!D103</f>
        <v>2260</v>
      </c>
      <c r="R448" s="39">
        <f>Q448</f>
        <v>2260</v>
      </c>
      <c r="S448" s="1"/>
      <c r="T448" s="171"/>
    </row>
    <row r="449" spans="1:20" ht="16.5" thickBot="1" x14ac:dyDescent="0.3">
      <c r="A449" s="80" t="s">
        <v>1559</v>
      </c>
      <c r="B449" s="220"/>
      <c r="C449" s="220"/>
      <c r="D449" s="220"/>
      <c r="E449" s="220"/>
      <c r="F449" s="267">
        <f>F448*2</f>
        <v>24294</v>
      </c>
      <c r="G449" s="267">
        <f>F449+F449*50%</f>
        <v>36441</v>
      </c>
      <c r="H449" s="702">
        <f>PACKAGING!I3</f>
        <v>2433</v>
      </c>
      <c r="I449" s="702">
        <f>G449+H449+H450</f>
        <v>39719</v>
      </c>
      <c r="J449" s="703">
        <v>39000</v>
      </c>
      <c r="N449" s="3" t="s">
        <v>3875</v>
      </c>
      <c r="O449" s="2"/>
      <c r="P449" s="6">
        <v>1</v>
      </c>
      <c r="Q449" s="66">
        <f>'AROS, CADENAS, DIJES, ETC'!O58</f>
        <v>1500</v>
      </c>
      <c r="R449" s="39">
        <f>Q449*P449</f>
        <v>1500</v>
      </c>
      <c r="S449" s="1"/>
      <c r="T449" s="171"/>
    </row>
    <row r="450" spans="1:20" ht="16.5" thickBot="1" x14ac:dyDescent="0.3">
      <c r="A450" s="171"/>
      <c r="B450" s="171"/>
      <c r="C450" s="171"/>
      <c r="D450" s="171"/>
      <c r="E450" s="171"/>
      <c r="F450" s="171"/>
      <c r="G450" s="171"/>
      <c r="H450" s="702">
        <f>PACKAGING!I5</f>
        <v>845</v>
      </c>
      <c r="I450" s="1"/>
      <c r="J450" s="1"/>
      <c r="N450" s="3" t="s">
        <v>1557</v>
      </c>
      <c r="O450" s="2"/>
      <c r="P450" s="6"/>
      <c r="Q450" s="66"/>
      <c r="R450" s="39">
        <f>PACKAGING!E3</f>
        <v>150</v>
      </c>
      <c r="S450" s="1"/>
      <c r="T450" s="171"/>
    </row>
    <row r="451" spans="1:20" ht="16.5" thickBot="1" x14ac:dyDescent="0.3">
      <c r="N451" s="79" t="s">
        <v>525</v>
      </c>
      <c r="O451" s="70"/>
      <c r="P451" s="85"/>
      <c r="Q451" s="85"/>
      <c r="R451" s="51">
        <f>SUM(R448:R450)</f>
        <v>3910</v>
      </c>
      <c r="S451" s="1"/>
      <c r="T451" s="171"/>
    </row>
    <row r="452" spans="1:20" ht="16.5" thickBot="1" x14ac:dyDescent="0.3">
      <c r="A452" s="1688" t="s">
        <v>277</v>
      </c>
      <c r="B452" s="1571"/>
      <c r="C452" s="1571"/>
      <c r="D452" s="1571"/>
      <c r="E452" s="1571"/>
      <c r="F452" s="1571"/>
      <c r="G452" s="171"/>
      <c r="H452" s="171"/>
      <c r="I452" s="171"/>
      <c r="J452" s="171"/>
      <c r="N452" s="211" t="s">
        <v>544</v>
      </c>
      <c r="O452" s="276"/>
      <c r="P452" s="276"/>
      <c r="Q452" s="276"/>
      <c r="R452" s="213">
        <f>R451*2</f>
        <v>7820</v>
      </c>
      <c r="S452" s="517">
        <f>R452+R452*70%</f>
        <v>13294</v>
      </c>
      <c r="T452" s="498">
        <v>16000</v>
      </c>
    </row>
    <row r="453" spans="1:20" ht="16.5" thickBot="1" x14ac:dyDescent="0.3">
      <c r="A453" s="271" t="s">
        <v>916</v>
      </c>
      <c r="B453" s="272" t="s">
        <v>1073</v>
      </c>
      <c r="C453" s="273" t="s">
        <v>1089</v>
      </c>
      <c r="D453" s="273" t="s">
        <v>1547</v>
      </c>
      <c r="E453" s="273" t="s">
        <v>1035</v>
      </c>
      <c r="F453" s="274" t="s">
        <v>1549</v>
      </c>
      <c r="G453" s="1"/>
      <c r="H453" s="171"/>
      <c r="I453" s="171"/>
      <c r="J453" s="171"/>
    </row>
    <row r="454" spans="1:20" ht="16.5" thickBot="1" x14ac:dyDescent="0.3">
      <c r="A454" s="3" t="s">
        <v>2280</v>
      </c>
      <c r="B454" s="2"/>
      <c r="C454" s="6"/>
      <c r="D454" s="6" t="s">
        <v>1649</v>
      </c>
      <c r="E454" s="66">
        <f>'AROS, CADENAS, DIJES, ETC'!C179</f>
        <v>0</v>
      </c>
      <c r="F454" s="39">
        <f>'AROS, CADENAS, DIJES, ETC'!C27</f>
        <v>7620</v>
      </c>
      <c r="G454" s="1"/>
      <c r="H454" s="171"/>
      <c r="I454" s="171"/>
      <c r="J454" s="171"/>
      <c r="N454" s="1589" t="s">
        <v>3876</v>
      </c>
      <c r="O454" s="1596"/>
      <c r="P454" s="1596"/>
      <c r="Q454" s="1596"/>
      <c r="R454" s="1590"/>
      <c r="S454" s="23"/>
      <c r="T454" s="171"/>
    </row>
    <row r="455" spans="1:20" x14ac:dyDescent="0.25">
      <c r="A455" s="3" t="s">
        <v>1557</v>
      </c>
      <c r="B455" s="2"/>
      <c r="C455" s="6"/>
      <c r="D455" s="6"/>
      <c r="E455" s="66"/>
      <c r="F455" s="39">
        <f>F439</f>
        <v>150</v>
      </c>
      <c r="G455" s="1" t="s">
        <v>3023</v>
      </c>
      <c r="H455" s="171"/>
      <c r="I455" s="171"/>
      <c r="J455" s="171"/>
      <c r="N455" s="483" t="s">
        <v>916</v>
      </c>
      <c r="O455" s="484" t="s">
        <v>1073</v>
      </c>
      <c r="P455" s="485" t="s">
        <v>1547</v>
      </c>
      <c r="Q455" s="485" t="s">
        <v>1035</v>
      </c>
      <c r="R455" s="486" t="s">
        <v>1549</v>
      </c>
      <c r="S455" s="1"/>
      <c r="T455" s="171"/>
    </row>
    <row r="456" spans="1:20" ht="16.5" thickBot="1" x14ac:dyDescent="0.3">
      <c r="A456" s="79" t="s">
        <v>525</v>
      </c>
      <c r="B456" s="70"/>
      <c r="C456" s="85"/>
      <c r="D456" s="85"/>
      <c r="E456" s="85"/>
      <c r="F456" s="51">
        <f>SUM(F454:F455)</f>
        <v>7770</v>
      </c>
      <c r="G456" s="1072">
        <f>(F456+H457+H458)</f>
        <v>11048</v>
      </c>
      <c r="H456" s="162" t="s">
        <v>2283</v>
      </c>
      <c r="I456" s="171"/>
      <c r="J456" s="171"/>
      <c r="N456" s="3" t="s">
        <v>3869</v>
      </c>
      <c r="O456" s="2"/>
      <c r="P456" s="6">
        <v>1</v>
      </c>
      <c r="Q456" s="66">
        <f>'AROS, CADENAS, DIJES, ETC'!D96</f>
        <v>1195</v>
      </c>
      <c r="R456" s="39">
        <f>Q456</f>
        <v>1195</v>
      </c>
      <c r="S456" s="1"/>
      <c r="T456" s="171"/>
    </row>
    <row r="457" spans="1:20" ht="16.5" thickBot="1" x14ac:dyDescent="0.3">
      <c r="A457" s="80" t="s">
        <v>1559</v>
      </c>
      <c r="B457" s="220"/>
      <c r="C457" s="220"/>
      <c r="D457" s="220"/>
      <c r="E457" s="220"/>
      <c r="F457" s="267">
        <f>F456*2</f>
        <v>15540</v>
      </c>
      <c r="G457" s="267">
        <f>F457+F457*50%</f>
        <v>23310</v>
      </c>
      <c r="H457" s="702">
        <f>H441</f>
        <v>2433</v>
      </c>
      <c r="I457" s="702">
        <f>G457+H457+H458</f>
        <v>26588</v>
      </c>
      <c r="J457" s="703">
        <v>24000</v>
      </c>
      <c r="N457" s="3" t="s">
        <v>3877</v>
      </c>
      <c r="O457" s="2"/>
      <c r="P457" s="6">
        <v>1</v>
      </c>
      <c r="Q457" s="66">
        <f>'AROS, CADENAS, DIJES, ETC'!O140</f>
        <v>3003</v>
      </c>
      <c r="R457" s="39">
        <f>Q457*P457</f>
        <v>3003</v>
      </c>
      <c r="S457" s="1"/>
      <c r="T457" s="171"/>
    </row>
    <row r="458" spans="1:20" ht="16.5" thickBot="1" x14ac:dyDescent="0.3">
      <c r="A458" s="171"/>
      <c r="B458" s="171"/>
      <c r="C458" s="171"/>
      <c r="D458" s="171"/>
      <c r="E458" s="171"/>
      <c r="F458" s="171"/>
      <c r="G458" s="171"/>
      <c r="H458" s="702">
        <f>PACKAGING!I5</f>
        <v>845</v>
      </c>
      <c r="I458" s="1"/>
      <c r="J458" s="1"/>
      <c r="N458" s="3" t="s">
        <v>1557</v>
      </c>
      <c r="O458" s="2"/>
      <c r="P458" s="6"/>
      <c r="Q458" s="66"/>
      <c r="R458" s="39">
        <f>PACKAGING!E3</f>
        <v>150</v>
      </c>
      <c r="S458" s="1"/>
      <c r="T458" s="171"/>
    </row>
    <row r="459" spans="1:20" ht="16.5" thickBot="1" x14ac:dyDescent="0.3">
      <c r="N459" s="79" t="s">
        <v>525</v>
      </c>
      <c r="O459" s="70"/>
      <c r="P459" s="85"/>
      <c r="Q459" s="85"/>
      <c r="R459" s="51">
        <f>SUM(R456:R458)</f>
        <v>4348</v>
      </c>
      <c r="S459" s="1"/>
      <c r="T459" s="171"/>
    </row>
    <row r="460" spans="1:20" ht="16.5" thickBot="1" x14ac:dyDescent="0.3">
      <c r="A460" s="1688" t="s">
        <v>2281</v>
      </c>
      <c r="B460" s="1571"/>
      <c r="C460" s="1571"/>
      <c r="D460" s="1571"/>
      <c r="E460" s="1571"/>
      <c r="F460" s="1571"/>
      <c r="G460" s="171"/>
      <c r="H460" s="171"/>
      <c r="I460" s="171"/>
      <c r="J460" s="171"/>
      <c r="N460" s="211" t="s">
        <v>544</v>
      </c>
      <c r="O460" s="276"/>
      <c r="P460" s="276"/>
      <c r="Q460" s="276"/>
      <c r="R460" s="213">
        <f>R459*2</f>
        <v>8696</v>
      </c>
      <c r="S460" s="517">
        <f>R460+R460*70%</f>
        <v>14783.2</v>
      </c>
      <c r="T460" s="498">
        <v>18000</v>
      </c>
    </row>
    <row r="461" spans="1:20" ht="16.5" thickBot="1" x14ac:dyDescent="0.3">
      <c r="A461" s="271" t="s">
        <v>916</v>
      </c>
      <c r="B461" s="272" t="s">
        <v>1073</v>
      </c>
      <c r="C461" s="273" t="s">
        <v>1089</v>
      </c>
      <c r="D461" s="273" t="s">
        <v>1547</v>
      </c>
      <c r="E461" s="273" t="s">
        <v>1035</v>
      </c>
      <c r="F461" s="274" t="s">
        <v>1549</v>
      </c>
      <c r="G461" s="1"/>
      <c r="H461" s="171"/>
      <c r="I461" s="171"/>
      <c r="J461" s="171"/>
    </row>
    <row r="462" spans="1:20" ht="16.5" thickBot="1" x14ac:dyDescent="0.3">
      <c r="A462" s="3" t="s">
        <v>2282</v>
      </c>
      <c r="B462" s="2"/>
      <c r="C462" s="6"/>
      <c r="D462" s="6" t="s">
        <v>1649</v>
      </c>
      <c r="E462" s="66">
        <f>'AROS, CADENAS, DIJES, ETC'!C190</f>
        <v>4278</v>
      </c>
      <c r="F462" s="39">
        <f>'AROS, CADENAS, DIJES, ETC'!C136</f>
        <v>10961</v>
      </c>
      <c r="G462" s="1"/>
      <c r="H462" s="171"/>
      <c r="I462" s="171"/>
      <c r="J462" s="171"/>
      <c r="N462" s="1589" t="s">
        <v>3878</v>
      </c>
      <c r="O462" s="1596"/>
      <c r="P462" s="1596"/>
      <c r="Q462" s="1596"/>
      <c r="R462" s="1590"/>
      <c r="S462" s="23"/>
      <c r="T462" s="171"/>
    </row>
    <row r="463" spans="1:20" x14ac:dyDescent="0.25">
      <c r="A463" s="3" t="s">
        <v>1557</v>
      </c>
      <c r="B463" s="2"/>
      <c r="C463" s="6"/>
      <c r="D463" s="6"/>
      <c r="E463" s="66"/>
      <c r="F463" s="39">
        <f>F439</f>
        <v>150</v>
      </c>
      <c r="G463" s="1" t="s">
        <v>3023</v>
      </c>
      <c r="H463" s="171"/>
      <c r="I463" s="171"/>
      <c r="J463" s="171"/>
      <c r="N463" s="483" t="s">
        <v>916</v>
      </c>
      <c r="O463" s="484" t="s">
        <v>1073</v>
      </c>
      <c r="P463" s="485" t="s">
        <v>1547</v>
      </c>
      <c r="Q463" s="485" t="s">
        <v>1035</v>
      </c>
      <c r="R463" s="486" t="s">
        <v>1549</v>
      </c>
      <c r="S463" s="1"/>
      <c r="T463" s="171"/>
    </row>
    <row r="464" spans="1:20" ht="16.5" thickBot="1" x14ac:dyDescent="0.3">
      <c r="A464" s="79" t="s">
        <v>525</v>
      </c>
      <c r="B464" s="70"/>
      <c r="C464" s="85"/>
      <c r="D464" s="85"/>
      <c r="E464" s="85"/>
      <c r="F464" s="51">
        <f>SUM(F462:F463)</f>
        <v>11111</v>
      </c>
      <c r="G464" s="1072">
        <f>(F464+H465+H466)</f>
        <v>14389</v>
      </c>
      <c r="H464" s="162" t="s">
        <v>2283</v>
      </c>
      <c r="I464" s="171"/>
      <c r="J464" s="171"/>
      <c r="N464" s="3" t="s">
        <v>3934</v>
      </c>
      <c r="O464" s="2"/>
      <c r="P464" s="6">
        <v>1</v>
      </c>
      <c r="Q464" s="66">
        <f>'AROS, CADENAS, DIJES, ETC'!D103</f>
        <v>2260</v>
      </c>
      <c r="R464" s="39">
        <f>Q464</f>
        <v>2260</v>
      </c>
      <c r="S464" s="1"/>
      <c r="T464" s="171"/>
    </row>
    <row r="465" spans="1:20" ht="16.5" thickBot="1" x14ac:dyDescent="0.3">
      <c r="A465" s="80" t="s">
        <v>1559</v>
      </c>
      <c r="B465" s="220"/>
      <c r="C465" s="220"/>
      <c r="D465" s="220"/>
      <c r="E465" s="220"/>
      <c r="F465" s="267">
        <f>F464*2</f>
        <v>22222</v>
      </c>
      <c r="G465" s="267">
        <f>F465+F465*50%</f>
        <v>33333</v>
      </c>
      <c r="H465" s="702">
        <f>PACKAGING!I3</f>
        <v>2433</v>
      </c>
      <c r="I465" s="702">
        <f>G465+H465+H466</f>
        <v>36611</v>
      </c>
      <c r="J465" s="703">
        <v>36000</v>
      </c>
      <c r="N465" s="3" t="s">
        <v>3879</v>
      </c>
      <c r="O465" s="2"/>
      <c r="P465" s="6">
        <v>1</v>
      </c>
      <c r="Q465" s="66">
        <f>'AROS, CADENAS, DIJES, ETC'!O139</f>
        <v>1478</v>
      </c>
      <c r="R465" s="39">
        <f>Q465*P465</f>
        <v>1478</v>
      </c>
      <c r="S465" s="1"/>
      <c r="T465" s="171"/>
    </row>
    <row r="466" spans="1:20" ht="16.5" thickBot="1" x14ac:dyDescent="0.3">
      <c r="A466" s="171"/>
      <c r="B466" s="171"/>
      <c r="C466" s="171"/>
      <c r="D466" s="171"/>
      <c r="E466" s="171"/>
      <c r="F466" s="171"/>
      <c r="G466" s="171"/>
      <c r="H466" s="702">
        <f>PACKAGING!I5</f>
        <v>845</v>
      </c>
      <c r="I466" s="1"/>
      <c r="J466" s="1"/>
      <c r="N466" s="3" t="s">
        <v>1557</v>
      </c>
      <c r="O466" s="2"/>
      <c r="P466" s="6"/>
      <c r="Q466" s="66"/>
      <c r="R466" s="39">
        <f>PACKAGING!E3</f>
        <v>150</v>
      </c>
      <c r="S466" s="1"/>
      <c r="T466" s="171"/>
    </row>
    <row r="467" spans="1:20" ht="16.5" thickBot="1" x14ac:dyDescent="0.3">
      <c r="N467" s="79" t="s">
        <v>525</v>
      </c>
      <c r="O467" s="70"/>
      <c r="P467" s="85"/>
      <c r="Q467" s="85"/>
      <c r="R467" s="51">
        <f>SUM(R464:R466)</f>
        <v>3888</v>
      </c>
      <c r="S467" s="1"/>
      <c r="T467" s="171"/>
    </row>
    <row r="468" spans="1:20" ht="16.5" thickBot="1" x14ac:dyDescent="0.3">
      <c r="A468" s="1688" t="s">
        <v>3166</v>
      </c>
      <c r="B468" s="1571"/>
      <c r="C468" s="1571"/>
      <c r="D468" s="1571"/>
      <c r="E468" s="1571"/>
      <c r="F468" s="1571"/>
      <c r="G468" s="171"/>
      <c r="H468" s="171"/>
      <c r="N468" s="211" t="s">
        <v>544</v>
      </c>
      <c r="O468" s="276"/>
      <c r="P468" s="276"/>
      <c r="Q468" s="276"/>
      <c r="R468" s="213">
        <f>R467*2</f>
        <v>7776</v>
      </c>
      <c r="S468" s="517">
        <f>R468+R468*70%</f>
        <v>13219.2</v>
      </c>
      <c r="T468" s="498">
        <v>16000</v>
      </c>
    </row>
    <row r="469" spans="1:20" ht="16.5" thickBot="1" x14ac:dyDescent="0.3">
      <c r="A469" s="271" t="s">
        <v>916</v>
      </c>
      <c r="B469" s="272" t="s">
        <v>1073</v>
      </c>
      <c r="C469" s="273" t="s">
        <v>1089</v>
      </c>
      <c r="D469" s="273" t="s">
        <v>1547</v>
      </c>
      <c r="E469" s="273" t="s">
        <v>1035</v>
      </c>
      <c r="F469" s="274" t="s">
        <v>1549</v>
      </c>
      <c r="G469" s="1"/>
      <c r="H469" s="171"/>
    </row>
    <row r="470" spans="1:20" ht="16.5" thickBot="1" x14ac:dyDescent="0.3">
      <c r="A470" s="3" t="s">
        <v>3114</v>
      </c>
      <c r="B470" s="2" t="s">
        <v>3115</v>
      </c>
      <c r="C470" s="6"/>
      <c r="D470" s="6" t="s">
        <v>1649</v>
      </c>
      <c r="E470" s="66">
        <f>'AROS, CADENAS, DIJES, ETC'!D24</f>
        <v>2813.5</v>
      </c>
      <c r="F470" s="39">
        <f>E470*2</f>
        <v>5627</v>
      </c>
      <c r="G470" s="1"/>
      <c r="H470" s="171"/>
      <c r="N470" s="1719" t="s">
        <v>3880</v>
      </c>
      <c r="O470" s="1720"/>
      <c r="P470" s="1720"/>
      <c r="Q470" s="1720"/>
      <c r="R470" s="1721"/>
      <c r="S470" s="23"/>
      <c r="T470" s="171"/>
    </row>
    <row r="471" spans="1:20" x14ac:dyDescent="0.25">
      <c r="A471" s="3" t="s">
        <v>1557</v>
      </c>
      <c r="B471" s="2"/>
      <c r="C471" s="6"/>
      <c r="D471" s="6"/>
      <c r="E471" s="66"/>
      <c r="F471" s="39">
        <f>PACKAGING!E3</f>
        <v>150</v>
      </c>
      <c r="G471" s="1"/>
      <c r="H471" s="171"/>
      <c r="N471" s="483" t="s">
        <v>916</v>
      </c>
      <c r="O471" s="484" t="s">
        <v>1073</v>
      </c>
      <c r="P471" s="485" t="s">
        <v>1547</v>
      </c>
      <c r="Q471" s="485" t="s">
        <v>1035</v>
      </c>
      <c r="R471" s="486" t="s">
        <v>1549</v>
      </c>
      <c r="S471" s="1"/>
      <c r="T471" s="171"/>
    </row>
    <row r="472" spans="1:20" x14ac:dyDescent="0.25">
      <c r="A472" s="3" t="s">
        <v>1538</v>
      </c>
      <c r="B472" s="2"/>
      <c r="C472" s="6"/>
      <c r="D472" s="6"/>
      <c r="E472" s="66"/>
      <c r="F472" s="39">
        <f>PACKAGING!E8</f>
        <v>420</v>
      </c>
      <c r="G472" s="1"/>
      <c r="H472" s="171"/>
      <c r="N472" s="3" t="s">
        <v>3886</v>
      </c>
      <c r="O472" s="2"/>
      <c r="P472" s="6">
        <v>1</v>
      </c>
      <c r="Q472" s="66">
        <f>'AROS, CADENAS, DIJES, ETC'!D101</f>
        <v>2505</v>
      </c>
      <c r="R472" s="39">
        <f>Q472</f>
        <v>2505</v>
      </c>
      <c r="S472" s="1"/>
      <c r="T472" s="171"/>
    </row>
    <row r="473" spans="1:20" ht="16.5" thickBot="1" x14ac:dyDescent="0.3">
      <c r="A473" s="79" t="s">
        <v>525</v>
      </c>
      <c r="B473" s="70"/>
      <c r="C473" s="85"/>
      <c r="D473" s="85"/>
      <c r="E473" s="85"/>
      <c r="F473" s="51">
        <f>SUM(F470:F472)</f>
        <v>6197</v>
      </c>
      <c r="G473" s="134"/>
      <c r="H473" s="171"/>
      <c r="N473" s="3" t="s">
        <v>3882</v>
      </c>
      <c r="O473" s="2"/>
      <c r="P473" s="6">
        <v>1</v>
      </c>
      <c r="Q473" s="66">
        <f>'AROS, CADENAS, DIJES, ETC'!O137</f>
        <v>1210</v>
      </c>
      <c r="R473" s="39">
        <f>Q473*P473</f>
        <v>1210</v>
      </c>
      <c r="S473" s="1"/>
      <c r="T473" s="171"/>
    </row>
    <row r="474" spans="1:20" x14ac:dyDescent="0.25">
      <c r="A474" s="80" t="s">
        <v>1559</v>
      </c>
      <c r="B474" s="220"/>
      <c r="C474" s="220"/>
      <c r="D474" s="220"/>
      <c r="E474" s="220"/>
      <c r="F474" s="267">
        <f>F473*2</f>
        <v>12394</v>
      </c>
      <c r="G474" s="267">
        <f>F474+F474*50%</f>
        <v>18591</v>
      </c>
      <c r="H474" s="268">
        <v>22000</v>
      </c>
      <c r="N474" s="3" t="s">
        <v>1557</v>
      </c>
      <c r="O474" s="2"/>
      <c r="P474" s="6"/>
      <c r="Q474" s="66"/>
      <c r="R474" s="39">
        <f>PACKAGING!E3</f>
        <v>150</v>
      </c>
      <c r="S474" s="1"/>
      <c r="T474" s="171"/>
    </row>
    <row r="475" spans="1:20" ht="16.5" thickBot="1" x14ac:dyDescent="0.3">
      <c r="N475" s="79" t="s">
        <v>525</v>
      </c>
      <c r="O475" s="70"/>
      <c r="P475" s="85"/>
      <c r="Q475" s="85"/>
      <c r="R475" s="51">
        <f>SUM(R472:R474)</f>
        <v>3865</v>
      </c>
      <c r="S475" s="1"/>
      <c r="T475" s="171"/>
    </row>
    <row r="476" spans="1:20" ht="16.5" thickBot="1" x14ac:dyDescent="0.3">
      <c r="A476" s="1688" t="s">
        <v>3168</v>
      </c>
      <c r="B476" s="1571"/>
      <c r="C476" s="1571"/>
      <c r="D476" s="1571"/>
      <c r="E476" s="1571"/>
      <c r="F476" s="1571"/>
      <c r="G476" s="171"/>
      <c r="H476" s="171"/>
      <c r="I476" s="171"/>
      <c r="J476" s="171"/>
      <c r="N476" s="211" t="s">
        <v>544</v>
      </c>
      <c r="O476" s="276"/>
      <c r="P476" s="276"/>
      <c r="Q476" s="276"/>
      <c r="R476" s="213">
        <f>R475*2</f>
        <v>7730</v>
      </c>
      <c r="S476" s="517">
        <f>R476+R476*70%</f>
        <v>13141</v>
      </c>
      <c r="T476" s="498"/>
    </row>
    <row r="477" spans="1:20" ht="16.5" thickBot="1" x14ac:dyDescent="0.3">
      <c r="A477" s="271" t="s">
        <v>916</v>
      </c>
      <c r="B477" s="272" t="s">
        <v>1073</v>
      </c>
      <c r="C477" s="273" t="s">
        <v>1089</v>
      </c>
      <c r="D477" s="273" t="s">
        <v>1547</v>
      </c>
      <c r="E477" s="273" t="s">
        <v>1035</v>
      </c>
      <c r="F477" s="274" t="s">
        <v>1549</v>
      </c>
      <c r="G477" s="1"/>
      <c r="H477" s="171"/>
      <c r="I477" s="171"/>
      <c r="J477" s="171"/>
    </row>
    <row r="478" spans="1:20" ht="16.5" thickBot="1" x14ac:dyDescent="0.3">
      <c r="A478" s="3" t="s">
        <v>3116</v>
      </c>
      <c r="B478" s="2"/>
      <c r="C478" s="6"/>
      <c r="D478" s="6" t="s">
        <v>1649</v>
      </c>
      <c r="E478" s="66">
        <f>'AROS, CADENAS, DIJES, ETC'!D151</f>
        <v>5177</v>
      </c>
      <c r="F478" s="39">
        <f>E478*2</f>
        <v>10354</v>
      </c>
      <c r="G478" s="1"/>
      <c r="H478" s="171"/>
      <c r="I478" s="171"/>
      <c r="J478" s="171"/>
      <c r="N478" s="1719" t="s">
        <v>3881</v>
      </c>
      <c r="O478" s="1720"/>
      <c r="P478" s="1720"/>
      <c r="Q478" s="1720"/>
      <c r="R478" s="1721"/>
      <c r="S478" s="23"/>
      <c r="T478" s="171"/>
    </row>
    <row r="479" spans="1:20" x14ac:dyDescent="0.25">
      <c r="A479" s="3" t="s">
        <v>1557</v>
      </c>
      <c r="B479" s="2"/>
      <c r="C479" s="6"/>
      <c r="D479" s="6"/>
      <c r="E479" s="66"/>
      <c r="F479" s="39">
        <f>F455</f>
        <v>150</v>
      </c>
      <c r="G479" s="1" t="s">
        <v>3023</v>
      </c>
      <c r="H479" s="171"/>
      <c r="I479" s="171"/>
      <c r="J479" s="171"/>
      <c r="N479" s="483" t="s">
        <v>916</v>
      </c>
      <c r="O479" s="484" t="s">
        <v>1073</v>
      </c>
      <c r="P479" s="485" t="s">
        <v>1547</v>
      </c>
      <c r="Q479" s="485" t="s">
        <v>1035</v>
      </c>
      <c r="R479" s="486" t="s">
        <v>1549</v>
      </c>
      <c r="S479" s="1"/>
      <c r="T479" s="171"/>
    </row>
    <row r="480" spans="1:20" ht="16.5" thickBot="1" x14ac:dyDescent="0.3">
      <c r="A480" s="79" t="s">
        <v>525</v>
      </c>
      <c r="B480" s="70"/>
      <c r="C480" s="85"/>
      <c r="D480" s="85"/>
      <c r="E480" s="85"/>
      <c r="F480" s="51">
        <f>SUM(F478:F479)</f>
        <v>10504</v>
      </c>
      <c r="G480" s="1072">
        <f>(F480+H481+H482)</f>
        <v>13782</v>
      </c>
      <c r="H480" s="162" t="s">
        <v>2283</v>
      </c>
      <c r="I480" s="171"/>
      <c r="J480" s="171"/>
      <c r="N480" s="3"/>
      <c r="O480" s="2"/>
      <c r="P480" s="6">
        <v>1</v>
      </c>
      <c r="Q480" s="66"/>
      <c r="R480" s="39">
        <f>Q480</f>
        <v>0</v>
      </c>
      <c r="S480" s="1"/>
      <c r="T480" s="171"/>
    </row>
    <row r="481" spans="1:21" ht="16.5" thickBot="1" x14ac:dyDescent="0.3">
      <c r="A481" s="80" t="s">
        <v>1559</v>
      </c>
      <c r="B481" s="220"/>
      <c r="C481" s="220"/>
      <c r="D481" s="220"/>
      <c r="E481" s="220"/>
      <c r="F481" s="267">
        <f>F480*2</f>
        <v>21008</v>
      </c>
      <c r="G481" s="267">
        <f>F481+F481*50%</f>
        <v>31512</v>
      </c>
      <c r="H481" s="702">
        <f>PACKAGING!I3</f>
        <v>2433</v>
      </c>
      <c r="I481" s="702">
        <f>G481+H481+H482</f>
        <v>34790</v>
      </c>
      <c r="J481" s="703">
        <v>33000</v>
      </c>
      <c r="N481" s="3" t="s">
        <v>3883</v>
      </c>
      <c r="O481" s="2"/>
      <c r="P481" s="6">
        <v>1</v>
      </c>
      <c r="Q481" s="66">
        <f>'AROS, CADENAS, DIJES, ETC'!O136</f>
        <v>2075</v>
      </c>
      <c r="R481" s="39">
        <f>Q481*P481</f>
        <v>2075</v>
      </c>
      <c r="S481" s="1"/>
      <c r="T481" s="171"/>
    </row>
    <row r="482" spans="1:21" ht="16.5" thickBot="1" x14ac:dyDescent="0.3">
      <c r="A482" s="171"/>
      <c r="B482" s="171"/>
      <c r="C482" s="171"/>
      <c r="D482" s="171"/>
      <c r="E482" s="171"/>
      <c r="F482" s="171"/>
      <c r="G482" s="171"/>
      <c r="H482" s="702">
        <f>PACKAGING!I5</f>
        <v>845</v>
      </c>
      <c r="I482" s="1"/>
      <c r="J482" s="1"/>
      <c r="N482" s="3" t="s">
        <v>1557</v>
      </c>
      <c r="O482" s="2"/>
      <c r="P482" s="6"/>
      <c r="Q482" s="66"/>
      <c r="R482" s="39">
        <f>PACKAGING!E3</f>
        <v>150</v>
      </c>
      <c r="S482" s="1"/>
      <c r="T482" s="171"/>
    </row>
    <row r="483" spans="1:21" ht="16.5" thickBot="1" x14ac:dyDescent="0.3">
      <c r="N483" s="79" t="s">
        <v>525</v>
      </c>
      <c r="O483" s="70"/>
      <c r="P483" s="85"/>
      <c r="Q483" s="85"/>
      <c r="R483" s="51">
        <f>SUM(R480:R482)</f>
        <v>2225</v>
      </c>
      <c r="S483" s="1"/>
      <c r="T483" s="171"/>
    </row>
    <row r="484" spans="1:21" ht="16.5" thickBot="1" x14ac:dyDescent="0.3">
      <c r="A484" s="1688" t="s">
        <v>3423</v>
      </c>
      <c r="B484" s="1571"/>
      <c r="C484" s="1571"/>
      <c r="D484" s="1571"/>
      <c r="E484" s="1571"/>
      <c r="F484" s="1571"/>
      <c r="G484" s="171"/>
      <c r="H484" s="171"/>
      <c r="I484" s="171"/>
      <c r="J484" s="171"/>
      <c r="N484" s="211" t="s">
        <v>544</v>
      </c>
      <c r="O484" s="276"/>
      <c r="P484" s="276"/>
      <c r="Q484" s="276"/>
      <c r="R484" s="213">
        <f>R483*2</f>
        <v>4450</v>
      </c>
      <c r="S484" s="517">
        <f>R484+R484*70%</f>
        <v>7565</v>
      </c>
      <c r="T484" s="498"/>
    </row>
    <row r="485" spans="1:21" ht="16.5" thickBot="1" x14ac:dyDescent="0.3">
      <c r="A485" s="271" t="s">
        <v>916</v>
      </c>
      <c r="B485" s="272" t="s">
        <v>1073</v>
      </c>
      <c r="C485" s="273" t="s">
        <v>1089</v>
      </c>
      <c r="D485" s="273" t="s">
        <v>1547</v>
      </c>
      <c r="E485" s="273" t="s">
        <v>1035</v>
      </c>
      <c r="F485" s="274" t="s">
        <v>1549</v>
      </c>
      <c r="G485" s="1"/>
      <c r="H485" s="171"/>
      <c r="I485" s="171"/>
      <c r="J485" s="171"/>
    </row>
    <row r="486" spans="1:21" ht="16.5" thickBot="1" x14ac:dyDescent="0.3">
      <c r="A486" s="3" t="s">
        <v>3196</v>
      </c>
      <c r="B486" s="2"/>
      <c r="C486" s="6"/>
      <c r="D486" s="6" t="s">
        <v>1649</v>
      </c>
      <c r="E486" s="66">
        <f>'AROS, CADENAS, DIJES, ETC'!C138</f>
        <v>13274</v>
      </c>
      <c r="F486" s="39">
        <f>E486</f>
        <v>13274</v>
      </c>
      <c r="G486" s="1"/>
      <c r="H486" s="171"/>
      <c r="I486" s="171"/>
      <c r="J486" s="171"/>
      <c r="N486" s="1589" t="s">
        <v>3956</v>
      </c>
      <c r="O486" s="1596"/>
      <c r="P486" s="1596"/>
      <c r="Q486" s="1596"/>
      <c r="R486" s="1590"/>
      <c r="S486" s="23"/>
      <c r="T486" s="171"/>
    </row>
    <row r="487" spans="1:21" x14ac:dyDescent="0.25">
      <c r="A487" s="3" t="s">
        <v>1557</v>
      </c>
      <c r="B487" s="2"/>
      <c r="C487" s="6"/>
      <c r="D487" s="6"/>
      <c r="E487" s="66"/>
      <c r="F487" s="39">
        <f>F471</f>
        <v>150</v>
      </c>
      <c r="G487" s="1" t="s">
        <v>3023</v>
      </c>
      <c r="H487" s="171"/>
      <c r="I487" s="171"/>
      <c r="J487" s="171"/>
      <c r="N487" s="483" t="s">
        <v>916</v>
      </c>
      <c r="O487" s="484" t="s">
        <v>1073</v>
      </c>
      <c r="P487" s="485" t="s">
        <v>1547</v>
      </c>
      <c r="Q487" s="485" t="s">
        <v>1035</v>
      </c>
      <c r="R487" s="486" t="s">
        <v>1549</v>
      </c>
      <c r="S487" s="1"/>
      <c r="T487" s="171"/>
      <c r="U487" s="171"/>
    </row>
    <row r="488" spans="1:21" ht="16.5" thickBot="1" x14ac:dyDescent="0.3">
      <c r="A488" s="79" t="s">
        <v>525</v>
      </c>
      <c r="B488" s="70"/>
      <c r="C488" s="85"/>
      <c r="D488" s="85"/>
      <c r="E488" s="85"/>
      <c r="F488" s="51">
        <f>SUM(F486:F487)</f>
        <v>13424</v>
      </c>
      <c r="G488" s="1072">
        <f>(F488+H489+H490)</f>
        <v>16702</v>
      </c>
      <c r="H488" s="162" t="s">
        <v>2283</v>
      </c>
      <c r="I488" s="171"/>
      <c r="J488" s="171"/>
      <c r="N488" s="3" t="s">
        <v>3889</v>
      </c>
      <c r="O488" s="2"/>
      <c r="P488" s="6">
        <v>1</v>
      </c>
      <c r="Q488" s="66">
        <f>'AROS, CADENAS, DIJES, ETC'!D144</f>
        <v>2866</v>
      </c>
      <c r="R488" s="39">
        <f>Q488</f>
        <v>2866</v>
      </c>
      <c r="S488" s="1"/>
      <c r="T488" s="171"/>
      <c r="U488" s="171"/>
    </row>
    <row r="489" spans="1:21" ht="16.5" thickBot="1" x14ac:dyDescent="0.3">
      <c r="A489" s="80" t="s">
        <v>1559</v>
      </c>
      <c r="B489" s="220"/>
      <c r="C489" s="220"/>
      <c r="D489" s="220"/>
      <c r="E489" s="220"/>
      <c r="F489" s="267">
        <f>F488*2</f>
        <v>26848</v>
      </c>
      <c r="G489" s="267">
        <f>F489+F489*40%</f>
        <v>37587.199999999997</v>
      </c>
      <c r="H489" s="1134">
        <f>PACKAGING!I3</f>
        <v>2433</v>
      </c>
      <c r="I489" s="1134">
        <f>G489+H489+H490</f>
        <v>40865.199999999997</v>
      </c>
      <c r="J489" s="1135">
        <v>39000</v>
      </c>
      <c r="N489" s="3" t="s">
        <v>1557</v>
      </c>
      <c r="O489" s="2"/>
      <c r="P489" s="6"/>
      <c r="Q489" s="66"/>
      <c r="R489" s="39">
        <f>PACKAGING!E3</f>
        <v>150</v>
      </c>
      <c r="S489" s="1"/>
      <c r="T489" s="171"/>
      <c r="U489" s="171"/>
    </row>
    <row r="490" spans="1:21" ht="16.5" thickBot="1" x14ac:dyDescent="0.3">
      <c r="A490" s="171"/>
      <c r="B490" s="171"/>
      <c r="C490" s="171"/>
      <c r="D490" s="171"/>
      <c r="E490" s="171"/>
      <c r="F490" s="171"/>
      <c r="G490" s="171"/>
      <c r="H490" s="1134">
        <f>PACKAGING!I5</f>
        <v>845</v>
      </c>
      <c r="I490" s="1"/>
      <c r="J490" s="1283">
        <f>J489*70%</f>
        <v>27300</v>
      </c>
      <c r="K490" s="1273" t="s">
        <v>3687</v>
      </c>
      <c r="N490" s="79" t="s">
        <v>525</v>
      </c>
      <c r="O490" s="70"/>
      <c r="P490" s="85"/>
      <c r="Q490" s="85"/>
      <c r="R490" s="51">
        <f>SUM(R488:R489)</f>
        <v>3016</v>
      </c>
      <c r="S490" s="1"/>
      <c r="T490" s="171"/>
      <c r="U490" s="171"/>
    </row>
    <row r="491" spans="1:21" ht="16.5" thickBot="1" x14ac:dyDescent="0.3">
      <c r="N491" s="211" t="s">
        <v>544</v>
      </c>
      <c r="O491" s="276"/>
      <c r="P491" s="276"/>
      <c r="Q491" s="276"/>
      <c r="R491" s="213">
        <f>R490*2</f>
        <v>6032</v>
      </c>
      <c r="S491" s="517">
        <f>R491+R491*70%</f>
        <v>10254.4</v>
      </c>
      <c r="T491" s="498">
        <v>14000</v>
      </c>
      <c r="U491" s="171"/>
    </row>
    <row r="492" spans="1:21" ht="16.5" thickBot="1" x14ac:dyDescent="0.3">
      <c r="A492" s="1688" t="s">
        <v>3224</v>
      </c>
      <c r="B492" s="1571"/>
      <c r="C492" s="1571"/>
      <c r="D492" s="1571"/>
      <c r="E492" s="1571"/>
      <c r="F492" s="1571"/>
      <c r="G492" s="171"/>
      <c r="H492" s="171"/>
      <c r="I492" s="171"/>
      <c r="J492" s="171"/>
      <c r="U492" s="171"/>
    </row>
    <row r="493" spans="1:21" ht="16.5" thickBot="1" x14ac:dyDescent="0.3">
      <c r="A493" s="271" t="s">
        <v>916</v>
      </c>
      <c r="B493" s="272" t="s">
        <v>1073</v>
      </c>
      <c r="C493" s="273" t="s">
        <v>1089</v>
      </c>
      <c r="D493" s="273" t="s">
        <v>1547</v>
      </c>
      <c r="E493" s="273" t="s">
        <v>1035</v>
      </c>
      <c r="F493" s="274" t="s">
        <v>1549</v>
      </c>
      <c r="G493" s="1"/>
      <c r="H493" s="171"/>
      <c r="I493" s="171"/>
      <c r="J493" s="171"/>
      <c r="N493" s="1589" t="s">
        <v>3958</v>
      </c>
      <c r="O493" s="1596"/>
      <c r="P493" s="1596"/>
      <c r="Q493" s="1596"/>
      <c r="R493" s="1590"/>
      <c r="S493" s="23"/>
      <c r="T493" s="171"/>
      <c r="U493" s="171"/>
    </row>
    <row r="494" spans="1:21" x14ac:dyDescent="0.25">
      <c r="A494" s="3" t="s">
        <v>3197</v>
      </c>
      <c r="B494" s="2"/>
      <c r="C494" s="6"/>
      <c r="D494" s="6" t="s">
        <v>1649</v>
      </c>
      <c r="E494" s="66">
        <f>'AROS, CADENAS, DIJES, ETC'!C139</f>
        <v>12666</v>
      </c>
      <c r="F494" s="39">
        <f>E494</f>
        <v>12666</v>
      </c>
      <c r="G494" s="1"/>
      <c r="H494" s="171"/>
      <c r="I494" s="171"/>
      <c r="J494" s="171"/>
      <c r="N494" s="483" t="s">
        <v>916</v>
      </c>
      <c r="O494" s="484" t="s">
        <v>1073</v>
      </c>
      <c r="P494" s="485" t="s">
        <v>1547</v>
      </c>
      <c r="Q494" s="485" t="s">
        <v>1035</v>
      </c>
      <c r="R494" s="486" t="s">
        <v>1549</v>
      </c>
      <c r="S494" s="1"/>
      <c r="T494" s="171"/>
      <c r="U494" s="171"/>
    </row>
    <row r="495" spans="1:21" x14ac:dyDescent="0.25">
      <c r="A495" s="3" t="s">
        <v>1557</v>
      </c>
      <c r="B495" s="2"/>
      <c r="C495" s="6"/>
      <c r="D495" s="6"/>
      <c r="E495" s="66"/>
      <c r="F495" s="39">
        <f>F479</f>
        <v>150</v>
      </c>
      <c r="G495" s="1" t="s">
        <v>3023</v>
      </c>
      <c r="H495" s="171"/>
      <c r="I495" s="171"/>
      <c r="J495" s="171"/>
      <c r="N495" s="3" t="s">
        <v>3891</v>
      </c>
      <c r="O495" s="2"/>
      <c r="P495" s="6">
        <v>1</v>
      </c>
      <c r="Q495" s="66">
        <f>'AROS, CADENAS, DIJES, ETC'!D148</f>
        <v>2866</v>
      </c>
      <c r="R495" s="39">
        <f>Q495</f>
        <v>2866</v>
      </c>
      <c r="S495" s="1"/>
      <c r="T495" s="171"/>
      <c r="U495" s="171"/>
    </row>
    <row r="496" spans="1:21" ht="16.5" thickBot="1" x14ac:dyDescent="0.3">
      <c r="A496" s="79" t="s">
        <v>525</v>
      </c>
      <c r="B496" s="70"/>
      <c r="C496" s="85"/>
      <c r="D496" s="85"/>
      <c r="E496" s="85"/>
      <c r="F496" s="51">
        <f>SUM(F494:F495)</f>
        <v>12816</v>
      </c>
      <c r="G496" s="1072">
        <f>(F496+H497+H498)</f>
        <v>16094</v>
      </c>
      <c r="H496" s="162" t="s">
        <v>2283</v>
      </c>
      <c r="I496" s="171"/>
      <c r="J496" s="171"/>
      <c r="N496" s="3" t="s">
        <v>1557</v>
      </c>
      <c r="O496" s="2"/>
      <c r="P496" s="6"/>
      <c r="Q496" s="66"/>
      <c r="R496" s="39">
        <f>PACKAGING!E3</f>
        <v>150</v>
      </c>
      <c r="S496" s="1"/>
      <c r="T496" s="171"/>
      <c r="U496" s="171"/>
    </row>
    <row r="497" spans="1:21" ht="16.5" thickBot="1" x14ac:dyDescent="0.3">
      <c r="A497" s="80" t="s">
        <v>1559</v>
      </c>
      <c r="B497" s="220"/>
      <c r="C497" s="220"/>
      <c r="D497" s="220"/>
      <c r="E497" s="220"/>
      <c r="F497" s="267">
        <f>F496*2</f>
        <v>25632</v>
      </c>
      <c r="G497" s="267">
        <f>F497+F497*50%</f>
        <v>38448</v>
      </c>
      <c r="H497" s="1134">
        <f>PACKAGING!I3</f>
        <v>2433</v>
      </c>
      <c r="I497" s="1134">
        <f>G497+H497+H498</f>
        <v>41726</v>
      </c>
      <c r="J497" s="1135">
        <v>41000</v>
      </c>
      <c r="N497" s="79" t="s">
        <v>525</v>
      </c>
      <c r="O497" s="70"/>
      <c r="P497" s="85"/>
      <c r="Q497" s="85"/>
      <c r="R497" s="51">
        <f>SUM(R495:R496)</f>
        <v>3016</v>
      </c>
      <c r="S497" s="1"/>
      <c r="T497" s="171"/>
      <c r="U497" s="171"/>
    </row>
    <row r="498" spans="1:21" ht="16.5" thickBot="1" x14ac:dyDescent="0.3">
      <c r="A498" s="171"/>
      <c r="B498" s="171"/>
      <c r="C498" s="171"/>
      <c r="D498" s="171"/>
      <c r="E498" s="171"/>
      <c r="F498" s="171"/>
      <c r="G498" s="171"/>
      <c r="H498" s="1134">
        <f>PACKAGING!I5</f>
        <v>845</v>
      </c>
      <c r="I498" s="1"/>
      <c r="J498" s="1283">
        <f>J497*70%</f>
        <v>28699.999999999996</v>
      </c>
      <c r="K498" s="1273" t="s">
        <v>3687</v>
      </c>
      <c r="N498" s="211" t="s">
        <v>544</v>
      </c>
      <c r="O498" s="276"/>
      <c r="P498" s="276"/>
      <c r="Q498" s="276"/>
      <c r="R498" s="213">
        <f>R497*2</f>
        <v>6032</v>
      </c>
      <c r="S498" s="517">
        <f>R498+R498*70%</f>
        <v>10254.4</v>
      </c>
      <c r="T498" s="498">
        <v>14000</v>
      </c>
      <c r="U498" s="171"/>
    </row>
    <row r="499" spans="1:21" ht="16.5" thickBot="1" x14ac:dyDescent="0.3">
      <c r="U499" s="171"/>
    </row>
    <row r="500" spans="1:21" ht="16.5" thickBot="1" x14ac:dyDescent="0.3">
      <c r="A500" s="1589" t="s">
        <v>3241</v>
      </c>
      <c r="B500" s="1596"/>
      <c r="C500" s="1596"/>
      <c r="D500" s="1596"/>
      <c r="E500" s="1590"/>
      <c r="F500" s="23"/>
      <c r="G500" s="171"/>
      <c r="N500" s="1589" t="s">
        <v>3957</v>
      </c>
      <c r="O500" s="1596"/>
      <c r="P500" s="1596"/>
      <c r="Q500" s="1596"/>
      <c r="R500" s="1590"/>
      <c r="S500" s="23"/>
      <c r="T500" s="171"/>
      <c r="U500" s="171"/>
    </row>
    <row r="501" spans="1:21" x14ac:dyDescent="0.25">
      <c r="A501" s="271" t="s">
        <v>916</v>
      </c>
      <c r="B501" s="272" t="s">
        <v>1073</v>
      </c>
      <c r="C501" s="273" t="s">
        <v>1547</v>
      </c>
      <c r="D501" s="273" t="s">
        <v>1035</v>
      </c>
      <c r="E501" s="274" t="s">
        <v>1549</v>
      </c>
      <c r="F501" s="1"/>
      <c r="G501" s="171"/>
      <c r="N501" s="483" t="s">
        <v>916</v>
      </c>
      <c r="O501" s="484" t="s">
        <v>1073</v>
      </c>
      <c r="P501" s="485" t="s">
        <v>1547</v>
      </c>
      <c r="Q501" s="485" t="s">
        <v>1035</v>
      </c>
      <c r="R501" s="486" t="s">
        <v>1549</v>
      </c>
      <c r="S501" s="1"/>
      <c r="T501" s="171"/>
      <c r="U501" s="171"/>
    </row>
    <row r="502" spans="1:21" x14ac:dyDescent="0.25">
      <c r="A502" s="3" t="s">
        <v>811</v>
      </c>
      <c r="B502" s="2" t="s">
        <v>789</v>
      </c>
      <c r="C502" s="6" t="s">
        <v>1649</v>
      </c>
      <c r="D502" s="66">
        <f>'AROS, CADENAS, DIJES, ETC'!C13</f>
        <v>1380</v>
      </c>
      <c r="E502" s="39">
        <f>D502</f>
        <v>1380</v>
      </c>
      <c r="F502" s="1"/>
      <c r="G502" s="171"/>
      <c r="N502" s="3" t="s">
        <v>3890</v>
      </c>
      <c r="O502" s="2"/>
      <c r="P502" s="6">
        <v>1</v>
      </c>
      <c r="Q502" s="66">
        <f>'AROS, CADENAS, DIJES, ETC'!D153</f>
        <v>2420</v>
      </c>
      <c r="R502" s="39">
        <f>Q502</f>
        <v>2420</v>
      </c>
      <c r="S502" s="1"/>
      <c r="T502" s="171"/>
      <c r="U502" s="171"/>
    </row>
    <row r="503" spans="1:21" x14ac:dyDescent="0.25">
      <c r="A503" s="3" t="s">
        <v>2065</v>
      </c>
      <c r="B503" s="2"/>
      <c r="C503" s="6">
        <v>2</v>
      </c>
      <c r="D503" s="66">
        <f>'INSUMOS VARIOS'!E65</f>
        <v>44.2</v>
      </c>
      <c r="E503" s="39">
        <f>D503*C503</f>
        <v>88.4</v>
      </c>
      <c r="F503" s="1"/>
      <c r="G503" s="171"/>
      <c r="N503" s="3" t="s">
        <v>1557</v>
      </c>
      <c r="O503" s="2"/>
      <c r="P503" s="6"/>
      <c r="Q503" s="66"/>
      <c r="R503" s="39">
        <f>PACKAGING!E3</f>
        <v>150</v>
      </c>
      <c r="S503" s="1"/>
      <c r="T503" s="171"/>
    </row>
    <row r="504" spans="1:21" ht="16.5" thickBot="1" x14ac:dyDescent="0.3">
      <c r="A504" s="3" t="s">
        <v>1585</v>
      </c>
      <c r="B504" s="2"/>
      <c r="C504" s="6">
        <v>2</v>
      </c>
      <c r="D504" s="66">
        <v>2</v>
      </c>
      <c r="E504" s="39">
        <f>D504*C504</f>
        <v>4</v>
      </c>
      <c r="F504" s="1"/>
      <c r="G504" s="1"/>
      <c r="N504" s="79" t="s">
        <v>525</v>
      </c>
      <c r="O504" s="70"/>
      <c r="P504" s="85"/>
      <c r="Q504" s="85"/>
      <c r="R504" s="51">
        <f>SUM(R502:R503)</f>
        <v>2570</v>
      </c>
      <c r="S504" s="1"/>
      <c r="T504" s="171"/>
    </row>
    <row r="505" spans="1:21" ht="16.5" thickBot="1" x14ac:dyDescent="0.3">
      <c r="A505" s="3" t="s">
        <v>3235</v>
      </c>
      <c r="B505" s="2"/>
      <c r="C505" s="6">
        <v>1</v>
      </c>
      <c r="D505" s="66">
        <f>'PALAIS DU BIJOU'!N49</f>
        <v>37.313432835820898</v>
      </c>
      <c r="E505" s="39">
        <f>D505*C505</f>
        <v>37.313432835820898</v>
      </c>
      <c r="F505" s="1"/>
      <c r="G505" s="171"/>
      <c r="N505" s="211" t="s">
        <v>544</v>
      </c>
      <c r="O505" s="276"/>
      <c r="P505" s="276"/>
      <c r="Q505" s="276"/>
      <c r="R505" s="213">
        <f>R504*2</f>
        <v>5140</v>
      </c>
      <c r="S505" s="517">
        <f>R505+R505*70%</f>
        <v>8738</v>
      </c>
      <c r="T505" s="498">
        <v>14000</v>
      </c>
    </row>
    <row r="506" spans="1:21" ht="16.5" thickBot="1" x14ac:dyDescent="0.3">
      <c r="A506" s="3" t="s">
        <v>3236</v>
      </c>
      <c r="B506" s="2"/>
      <c r="C506" s="6">
        <v>1</v>
      </c>
      <c r="D506" s="66">
        <f>VIDRIOS!E8</f>
        <v>8.9473684210526319</v>
      </c>
      <c r="E506" s="39">
        <f>D506</f>
        <v>8.9473684210526319</v>
      </c>
      <c r="F506" s="1"/>
      <c r="G506" s="171"/>
    </row>
    <row r="507" spans="1:21" ht="16.5" thickBot="1" x14ac:dyDescent="0.3">
      <c r="A507" s="3" t="s">
        <v>3237</v>
      </c>
      <c r="B507" s="2" t="s">
        <v>1059</v>
      </c>
      <c r="C507" s="6">
        <v>0.1</v>
      </c>
      <c r="D507" s="66">
        <f>FORNITURAS!W5</f>
        <v>906.42857142857144</v>
      </c>
      <c r="E507" s="39">
        <f>D507*C507</f>
        <v>90.642857142857153</v>
      </c>
      <c r="F507" s="1"/>
      <c r="G507" s="171"/>
      <c r="N507" s="1589" t="s">
        <v>3952</v>
      </c>
      <c r="O507" s="1596"/>
      <c r="P507" s="1596"/>
      <c r="Q507" s="1596"/>
      <c r="R507" s="1590"/>
      <c r="S507" s="23"/>
      <c r="T507" s="171"/>
    </row>
    <row r="508" spans="1:21" x14ac:dyDescent="0.25">
      <c r="A508" s="3" t="s">
        <v>1557</v>
      </c>
      <c r="B508" s="2"/>
      <c r="C508" s="6"/>
      <c r="D508" s="66"/>
      <c r="E508" s="39">
        <f>PACKAGING!E3</f>
        <v>150</v>
      </c>
      <c r="F508" s="1"/>
      <c r="G508" s="171"/>
      <c r="N508" s="483" t="s">
        <v>916</v>
      </c>
      <c r="O508" s="484" t="s">
        <v>1073</v>
      </c>
      <c r="P508" s="485" t="s">
        <v>1547</v>
      </c>
      <c r="Q508" s="485" t="s">
        <v>1035</v>
      </c>
      <c r="R508" s="486" t="s">
        <v>1549</v>
      </c>
      <c r="S508" s="1"/>
      <c r="T508" s="171"/>
    </row>
    <row r="509" spans="1:21" x14ac:dyDescent="0.25">
      <c r="A509" s="3" t="s">
        <v>1538</v>
      </c>
      <c r="B509" s="2"/>
      <c r="C509" s="6"/>
      <c r="D509" s="66"/>
      <c r="E509" s="39">
        <f>PACKAGING!E8</f>
        <v>420</v>
      </c>
      <c r="F509" s="194"/>
      <c r="G509" s="171"/>
      <c r="N509" s="3" t="s">
        <v>3869</v>
      </c>
      <c r="O509" s="2"/>
      <c r="P509" s="6">
        <v>1</v>
      </c>
      <c r="Q509" s="66">
        <f>'AROS, CADENAS, DIJES, ETC'!D96</f>
        <v>1195</v>
      </c>
      <c r="R509" s="39">
        <f>Q509</f>
        <v>1195</v>
      </c>
      <c r="S509" s="1"/>
      <c r="T509" s="171"/>
    </row>
    <row r="510" spans="1:21" x14ac:dyDescent="0.25">
      <c r="A510" s="3" t="s">
        <v>1558</v>
      </c>
      <c r="B510" s="2">
        <v>60</v>
      </c>
      <c r="C510" s="6">
        <v>20</v>
      </c>
      <c r="D510" s="66">
        <f>'INSUMOS VARIOS'!B3</f>
        <v>3500</v>
      </c>
      <c r="E510" s="66">
        <f>D510*C510/B510</f>
        <v>1166.6666666666667</v>
      </c>
      <c r="F510" s="873"/>
      <c r="N510" s="3" t="s">
        <v>3935</v>
      </c>
      <c r="O510" s="2"/>
      <c r="P510" s="6">
        <v>1</v>
      </c>
      <c r="Q510" s="66">
        <f>'AROS, CADENAS, DIJES, ETC'!O147</f>
        <v>5550</v>
      </c>
      <c r="R510" s="39">
        <f>Q510*P510</f>
        <v>5550</v>
      </c>
      <c r="S510" s="1"/>
      <c r="T510" s="171"/>
    </row>
    <row r="511" spans="1:21" ht="16.5" thickBot="1" x14ac:dyDescent="0.3">
      <c r="A511" s="79" t="s">
        <v>525</v>
      </c>
      <c r="B511" s="70"/>
      <c r="C511" s="85"/>
      <c r="D511" s="85"/>
      <c r="E511" s="51">
        <f>SUM(E502:E510)</f>
        <v>3345.9703250663979</v>
      </c>
      <c r="N511" s="3" t="s">
        <v>1557</v>
      </c>
      <c r="O511" s="2"/>
      <c r="P511" s="6"/>
      <c r="Q511" s="66"/>
      <c r="R511" s="39">
        <f>PACKAGING!E3</f>
        <v>150</v>
      </c>
      <c r="S511" s="1"/>
      <c r="T511" s="171"/>
    </row>
    <row r="512" spans="1:21" ht="16.5" thickBot="1" x14ac:dyDescent="0.3">
      <c r="A512" s="80" t="s">
        <v>544</v>
      </c>
      <c r="B512" s="220"/>
      <c r="C512" s="220"/>
      <c r="D512" s="220"/>
      <c r="E512" s="221">
        <f>E511*2</f>
        <v>6691.9406501327958</v>
      </c>
      <c r="F512" s="492">
        <f>E512+E512*50%</f>
        <v>10037.910975199193</v>
      </c>
      <c r="G512" s="268">
        <v>7500</v>
      </c>
      <c r="N512" s="79" t="s">
        <v>525</v>
      </c>
      <c r="O512" s="70"/>
      <c r="P512" s="85"/>
      <c r="Q512" s="85"/>
      <c r="R512" s="51">
        <f>SUM(R509:R511)</f>
        <v>6895</v>
      </c>
      <c r="S512" s="1"/>
      <c r="T512" s="171"/>
    </row>
    <row r="513" spans="1:20" ht="16.5" thickBot="1" x14ac:dyDescent="0.3">
      <c r="A513" s="275" t="s">
        <v>1559</v>
      </c>
      <c r="B513" s="269"/>
      <c r="C513" s="269"/>
      <c r="D513" s="269"/>
      <c r="E513" s="488"/>
      <c r="F513" s="493"/>
      <c r="G513" s="281">
        <f>G512*2</f>
        <v>15000</v>
      </c>
      <c r="N513" s="211" t="s">
        <v>544</v>
      </c>
      <c r="O513" s="276"/>
      <c r="P513" s="276"/>
      <c r="Q513" s="276"/>
      <c r="R513" s="213">
        <f>R512*2</f>
        <v>13790</v>
      </c>
      <c r="S513" s="517">
        <f>R513+R513*50%</f>
        <v>20685</v>
      </c>
      <c r="T513" s="498">
        <v>22000</v>
      </c>
    </row>
    <row r="514" spans="1:20" ht="16.5" thickBot="1" x14ac:dyDescent="0.3">
      <c r="T514" s="467"/>
    </row>
    <row r="515" spans="1:20" ht="16.5" thickBot="1" x14ac:dyDescent="0.3">
      <c r="A515" s="1589" t="s">
        <v>3295</v>
      </c>
      <c r="B515" s="1596"/>
      <c r="C515" s="1596"/>
      <c r="D515" s="1596"/>
      <c r="E515" s="1590"/>
      <c r="F515" s="23"/>
      <c r="G515" s="171"/>
      <c r="N515" s="1589" t="s">
        <v>3950</v>
      </c>
      <c r="O515" s="1596"/>
      <c r="P515" s="1596"/>
      <c r="Q515" s="1596"/>
      <c r="R515" s="1590"/>
      <c r="S515" s="23"/>
      <c r="T515" s="171"/>
    </row>
    <row r="516" spans="1:20" x14ac:dyDescent="0.25">
      <c r="A516" s="271" t="s">
        <v>916</v>
      </c>
      <c r="B516" s="272" t="s">
        <v>1073</v>
      </c>
      <c r="C516" s="273" t="s">
        <v>1547</v>
      </c>
      <c r="D516" s="273" t="s">
        <v>1035</v>
      </c>
      <c r="E516" s="274" t="s">
        <v>1549</v>
      </c>
      <c r="F516" s="1"/>
      <c r="G516" s="171"/>
      <c r="N516" s="483" t="s">
        <v>916</v>
      </c>
      <c r="O516" s="484" t="s">
        <v>1073</v>
      </c>
      <c r="P516" s="485" t="s">
        <v>1547</v>
      </c>
      <c r="Q516" s="485" t="s">
        <v>1035</v>
      </c>
      <c r="R516" s="486" t="s">
        <v>1549</v>
      </c>
      <c r="S516" s="1"/>
      <c r="T516" s="171"/>
    </row>
    <row r="517" spans="1:20" x14ac:dyDescent="0.25">
      <c r="A517" s="3" t="s">
        <v>1928</v>
      </c>
      <c r="B517" s="2" t="s">
        <v>846</v>
      </c>
      <c r="C517" s="6" t="s">
        <v>1649</v>
      </c>
      <c r="D517" s="66">
        <f>'AROS, CADENAS, DIJES, ETC'!C129</f>
        <v>1420</v>
      </c>
      <c r="E517" s="39">
        <f>D517</f>
        <v>1420</v>
      </c>
      <c r="F517" s="1"/>
      <c r="G517" s="171"/>
      <c r="N517" s="3" t="s">
        <v>3886</v>
      </c>
      <c r="O517" s="2"/>
      <c r="P517" s="6">
        <v>1</v>
      </c>
      <c r="Q517" s="66">
        <f>'AROS, CADENAS, DIJES, ETC'!D101</f>
        <v>2505</v>
      </c>
      <c r="R517" s="39">
        <f>Q517</f>
        <v>2505</v>
      </c>
      <c r="S517" s="1"/>
      <c r="T517" s="171"/>
    </row>
    <row r="518" spans="1:20" x14ac:dyDescent="0.25">
      <c r="A518" s="3" t="s">
        <v>3239</v>
      </c>
      <c r="B518" s="2"/>
      <c r="C518" s="6">
        <v>3</v>
      </c>
      <c r="D518" s="66">
        <f>'PERLAS 2'!H15</f>
        <v>680.16666666666663</v>
      </c>
      <c r="E518" s="39">
        <f>D518*C518</f>
        <v>2040.5</v>
      </c>
      <c r="F518" s="1"/>
      <c r="G518" s="171"/>
      <c r="N518" s="3" t="s">
        <v>3936</v>
      </c>
      <c r="O518" s="2"/>
      <c r="P518" s="6">
        <v>1</v>
      </c>
      <c r="Q518" s="66">
        <f>'AROS, CADENAS, DIJES, ETC'!O151</f>
        <v>1295</v>
      </c>
      <c r="R518" s="39">
        <f>Q518*P518</f>
        <v>1295</v>
      </c>
      <c r="S518" s="1"/>
      <c r="T518" s="171"/>
    </row>
    <row r="519" spans="1:20" x14ac:dyDescent="0.25">
      <c r="A519" s="3" t="s">
        <v>1632</v>
      </c>
      <c r="B519" s="2">
        <v>0.4</v>
      </c>
      <c r="C519" s="6">
        <v>0.09</v>
      </c>
      <c r="D519" s="66">
        <f>'AROS, CADENAS, DIJES, ETC'!I23</f>
        <v>1100</v>
      </c>
      <c r="E519" s="39">
        <f>D519*C519/B519</f>
        <v>247.5</v>
      </c>
      <c r="F519" s="1"/>
      <c r="G519" s="1"/>
      <c r="N519" s="3" t="s">
        <v>1557</v>
      </c>
      <c r="O519" s="2"/>
      <c r="P519" s="6"/>
      <c r="Q519" s="66"/>
      <c r="R519" s="39">
        <f>PACKAGING!E3</f>
        <v>150</v>
      </c>
      <c r="S519" s="1"/>
      <c r="T519" s="171"/>
    </row>
    <row r="520" spans="1:20" ht="16.5" thickBot="1" x14ac:dyDescent="0.3">
      <c r="A520" s="3" t="s">
        <v>3237</v>
      </c>
      <c r="B520" s="2"/>
      <c r="C520" s="6">
        <v>2</v>
      </c>
      <c r="D520" s="66">
        <v>2</v>
      </c>
      <c r="E520" s="39">
        <f>D520*C520</f>
        <v>4</v>
      </c>
      <c r="F520" s="1"/>
      <c r="G520" s="171"/>
      <c r="N520" s="79" t="s">
        <v>525</v>
      </c>
      <c r="O520" s="70"/>
      <c r="P520" s="85"/>
      <c r="Q520" s="85"/>
      <c r="R520" s="51">
        <f>SUM(R517:R519)</f>
        <v>3950</v>
      </c>
      <c r="S520" s="1"/>
      <c r="T520" s="171"/>
    </row>
    <row r="521" spans="1:20" ht="16.5" thickBot="1" x14ac:dyDescent="0.3">
      <c r="A521" s="1613" t="s">
        <v>1971</v>
      </c>
      <c r="B521" s="2" t="s">
        <v>3238</v>
      </c>
      <c r="C521" s="6">
        <v>1</v>
      </c>
      <c r="D521" s="66">
        <f>FORNITURAS!D3</f>
        <v>19.260000000000002</v>
      </c>
      <c r="E521" s="39">
        <f>D521*C521</f>
        <v>19.260000000000002</v>
      </c>
      <c r="F521" s="1"/>
      <c r="G521" s="171"/>
      <c r="N521" s="211" t="s">
        <v>544</v>
      </c>
      <c r="O521" s="276"/>
      <c r="P521" s="276"/>
      <c r="Q521" s="276"/>
      <c r="R521" s="213">
        <f>R520*2</f>
        <v>7900</v>
      </c>
      <c r="S521" s="517">
        <f>R521+R521*70%</f>
        <v>13430</v>
      </c>
      <c r="T521" s="498">
        <v>18000</v>
      </c>
    </row>
    <row r="522" spans="1:20" ht="16.5" thickBot="1" x14ac:dyDescent="0.3">
      <c r="A522" s="1615"/>
      <c r="B522" s="2" t="s">
        <v>1556</v>
      </c>
      <c r="C522" s="6">
        <v>1</v>
      </c>
      <c r="D522" s="66">
        <f>FORNITURAS!D4</f>
        <v>48.7</v>
      </c>
      <c r="E522" s="39">
        <f>D522</f>
        <v>48.7</v>
      </c>
      <c r="F522" s="1"/>
      <c r="G522" s="171"/>
    </row>
    <row r="523" spans="1:20" ht="16.5" thickBot="1" x14ac:dyDescent="0.3">
      <c r="A523" s="3" t="s">
        <v>1941</v>
      </c>
      <c r="B523" s="2" t="s">
        <v>770</v>
      </c>
      <c r="C523" s="6">
        <v>3</v>
      </c>
      <c r="D523" s="66">
        <f>FORNITURAS!D11</f>
        <v>99.083333333333329</v>
      </c>
      <c r="E523" s="39">
        <f>D523*C523</f>
        <v>297.25</v>
      </c>
      <c r="F523" s="1"/>
      <c r="G523" s="171"/>
      <c r="N523" s="1589" t="s">
        <v>3937</v>
      </c>
      <c r="O523" s="1596"/>
      <c r="P523" s="1596"/>
      <c r="Q523" s="1596"/>
      <c r="R523" s="1590"/>
      <c r="S523" s="23"/>
      <c r="T523" s="171"/>
    </row>
    <row r="524" spans="1:20" x14ac:dyDescent="0.25">
      <c r="A524" s="3" t="s">
        <v>1557</v>
      </c>
      <c r="B524" s="2"/>
      <c r="C524" s="6"/>
      <c r="D524" s="66"/>
      <c r="E524" s="39">
        <f>PACKAGING!E3</f>
        <v>150</v>
      </c>
      <c r="F524" s="194"/>
      <c r="G524" s="171"/>
      <c r="N524" s="483" t="s">
        <v>916</v>
      </c>
      <c r="O524" s="484" t="s">
        <v>1073</v>
      </c>
      <c r="P524" s="485" t="s">
        <v>1547</v>
      </c>
      <c r="Q524" s="485" t="s">
        <v>1035</v>
      </c>
      <c r="R524" s="486" t="s">
        <v>1549</v>
      </c>
      <c r="S524" s="1"/>
      <c r="T524" s="171"/>
    </row>
    <row r="525" spans="1:20" x14ac:dyDescent="0.25">
      <c r="A525" s="3" t="s">
        <v>3568</v>
      </c>
      <c r="B525" s="2"/>
      <c r="C525" s="6"/>
      <c r="D525" s="66"/>
      <c r="E525" s="39">
        <f>PACKAGING!I5</f>
        <v>845</v>
      </c>
      <c r="F525" s="873"/>
      <c r="N525" s="3" t="s">
        <v>3869</v>
      </c>
      <c r="O525" s="2"/>
      <c r="P525" s="6">
        <v>1</v>
      </c>
      <c r="Q525" s="66">
        <f>'AROS, CADENAS, DIJES, ETC'!D96</f>
        <v>1195</v>
      </c>
      <c r="R525" s="39">
        <f>Q525</f>
        <v>1195</v>
      </c>
      <c r="S525" s="1"/>
      <c r="T525" s="171"/>
    </row>
    <row r="526" spans="1:20" x14ac:dyDescent="0.25">
      <c r="A526" s="3" t="s">
        <v>1558</v>
      </c>
      <c r="B526" s="2">
        <v>60</v>
      </c>
      <c r="C526" s="6">
        <v>30</v>
      </c>
      <c r="D526" s="66">
        <f>'INSUMOS VARIOS'!B3</f>
        <v>3500</v>
      </c>
      <c r="E526" s="66">
        <f>D526*C526/B526</f>
        <v>1750</v>
      </c>
      <c r="F526" s="873"/>
      <c r="N526" s="3" t="s">
        <v>3938</v>
      </c>
      <c r="O526" s="2"/>
      <c r="P526" s="6">
        <v>1</v>
      </c>
      <c r="Q526" s="66">
        <f>'AROS, CADENAS, DIJES, ETC'!O146</f>
        <v>7650</v>
      </c>
      <c r="R526" s="39">
        <f>Q526*P526</f>
        <v>7650</v>
      </c>
      <c r="S526" s="1"/>
      <c r="T526" s="171"/>
    </row>
    <row r="527" spans="1:20" ht="16.5" thickBot="1" x14ac:dyDescent="0.3">
      <c r="A527" s="79" t="s">
        <v>525</v>
      </c>
      <c r="B527" s="70"/>
      <c r="C527" s="85"/>
      <c r="D527" s="85"/>
      <c r="E527" s="51">
        <f>SUM(E517:E526)</f>
        <v>6822.21</v>
      </c>
      <c r="N527" s="3" t="s">
        <v>1557</v>
      </c>
      <c r="O527" s="2"/>
      <c r="P527" s="6"/>
      <c r="Q527" s="66"/>
      <c r="R527" s="39">
        <f>PACKAGING!E3</f>
        <v>150</v>
      </c>
      <c r="S527" s="1"/>
      <c r="T527" s="171"/>
    </row>
    <row r="528" spans="1:20" ht="16.5" thickBot="1" x14ac:dyDescent="0.3">
      <c r="A528" s="80" t="s">
        <v>544</v>
      </c>
      <c r="B528" s="220"/>
      <c r="C528" s="220"/>
      <c r="D528" s="220"/>
      <c r="E528" s="221">
        <f>E527*2</f>
        <v>13644.42</v>
      </c>
      <c r="F528" s="492">
        <f>E528+E528*50%</f>
        <v>20466.63</v>
      </c>
      <c r="G528" s="1282">
        <v>22000</v>
      </c>
      <c r="H528" s="1273" t="s">
        <v>3687</v>
      </c>
      <c r="N528" s="79" t="s">
        <v>525</v>
      </c>
      <c r="O528" s="70"/>
      <c r="P528" s="85"/>
      <c r="Q528" s="85"/>
      <c r="R528" s="51">
        <f>SUM(R525:R527)</f>
        <v>8995</v>
      </c>
      <c r="S528" s="1"/>
      <c r="T528" s="171"/>
    </row>
    <row r="529" spans="1:21" ht="16.5" thickBot="1" x14ac:dyDescent="0.3">
      <c r="A529" s="275" t="s">
        <v>1559</v>
      </c>
      <c r="B529" s="269"/>
      <c r="C529" s="269"/>
      <c r="D529" s="269"/>
      <c r="E529" s="488"/>
      <c r="F529" s="493"/>
      <c r="G529" s="281">
        <f>G528*2</f>
        <v>44000</v>
      </c>
      <c r="N529" s="211" t="s">
        <v>544</v>
      </c>
      <c r="O529" s="276"/>
      <c r="P529" s="276"/>
      <c r="Q529" s="276"/>
      <c r="R529" s="213">
        <f>R528*2</f>
        <v>17990</v>
      </c>
      <c r="S529" s="517">
        <f>R529+R529*40%</f>
        <v>25186</v>
      </c>
      <c r="T529" s="498">
        <v>26000</v>
      </c>
    </row>
    <row r="530" spans="1:21" ht="16.5" thickBot="1" x14ac:dyDescent="0.3"/>
    <row r="531" spans="1:21" ht="16.5" thickBot="1" x14ac:dyDescent="0.3">
      <c r="A531" s="1602" t="s">
        <v>262</v>
      </c>
      <c r="B531" s="1600"/>
      <c r="C531" s="1600"/>
      <c r="D531" s="1600"/>
      <c r="E531" s="1600"/>
      <c r="F531" s="1600"/>
      <c r="G531" s="171"/>
      <c r="H531" s="171"/>
      <c r="N531" s="1589" t="s">
        <v>257</v>
      </c>
      <c r="O531" s="1596"/>
      <c r="P531" s="1596"/>
      <c r="Q531" s="1596"/>
      <c r="R531" s="1590"/>
      <c r="S531" s="23"/>
      <c r="T531" s="171"/>
    </row>
    <row r="532" spans="1:21" x14ac:dyDescent="0.25">
      <c r="A532" s="483" t="s">
        <v>916</v>
      </c>
      <c r="B532" s="484" t="s">
        <v>1073</v>
      </c>
      <c r="C532" s="485" t="s">
        <v>1089</v>
      </c>
      <c r="D532" s="485" t="s">
        <v>1547</v>
      </c>
      <c r="E532" s="485" t="s">
        <v>1035</v>
      </c>
      <c r="F532" s="486" t="s">
        <v>1549</v>
      </c>
      <c r="G532" s="1"/>
      <c r="H532" s="171"/>
      <c r="N532" s="483" t="s">
        <v>916</v>
      </c>
      <c r="O532" s="484" t="s">
        <v>1073</v>
      </c>
      <c r="P532" s="485" t="s">
        <v>1547</v>
      </c>
      <c r="Q532" s="485" t="s">
        <v>1035</v>
      </c>
      <c r="R532" s="486" t="s">
        <v>1549</v>
      </c>
      <c r="S532" s="1"/>
      <c r="T532" s="171"/>
      <c r="U532" s="171"/>
    </row>
    <row r="533" spans="1:21" x14ac:dyDescent="0.25">
      <c r="A533" s="3" t="s">
        <v>3246</v>
      </c>
      <c r="B533" s="2"/>
      <c r="C533" s="6"/>
      <c r="D533" s="6" t="s">
        <v>1649</v>
      </c>
      <c r="E533" s="66">
        <f>'AROS, CADENAS, DIJES, ETC'!D37</f>
        <v>1961.5</v>
      </c>
      <c r="F533" s="39">
        <f>E533*2</f>
        <v>3923</v>
      </c>
      <c r="G533" s="1"/>
      <c r="H533" s="171"/>
      <c r="N533" s="3" t="s">
        <v>3939</v>
      </c>
      <c r="O533" s="2"/>
      <c r="P533" s="6">
        <v>1</v>
      </c>
      <c r="Q533" s="66">
        <f>'AROS, CADENAS, DIJES, ETC'!D147</f>
        <v>2866</v>
      </c>
      <c r="R533" s="39">
        <f>Q533</f>
        <v>2866</v>
      </c>
      <c r="S533" s="1"/>
      <c r="T533" s="171"/>
      <c r="U533" s="171"/>
    </row>
    <row r="534" spans="1:21" x14ac:dyDescent="0.25">
      <c r="A534" s="3" t="s">
        <v>1557</v>
      </c>
      <c r="B534" s="2"/>
      <c r="C534" s="6"/>
      <c r="D534" s="6"/>
      <c r="E534" s="66"/>
      <c r="F534" s="39">
        <f>PACKAGING!E3</f>
        <v>150</v>
      </c>
      <c r="G534" s="1"/>
      <c r="H534" s="171"/>
      <c r="N534" s="3" t="s">
        <v>1557</v>
      </c>
      <c r="O534" s="2"/>
      <c r="P534" s="6"/>
      <c r="Q534" s="66"/>
      <c r="R534" s="39">
        <f>PACKAGING!E3</f>
        <v>150</v>
      </c>
      <c r="S534" s="1"/>
      <c r="T534" s="171"/>
    </row>
    <row r="535" spans="1:21" ht="16.5" thickBot="1" x14ac:dyDescent="0.3">
      <c r="A535" s="3" t="s">
        <v>1538</v>
      </c>
      <c r="B535" s="2"/>
      <c r="C535" s="6"/>
      <c r="D535" s="6"/>
      <c r="E535" s="66"/>
      <c r="F535" s="39">
        <f>PACKAGING!E8</f>
        <v>420</v>
      </c>
      <c r="G535" s="1"/>
      <c r="H535" s="171"/>
      <c r="N535" s="79" t="s">
        <v>525</v>
      </c>
      <c r="O535" s="70"/>
      <c r="P535" s="85"/>
      <c r="Q535" s="85"/>
      <c r="R535" s="51">
        <f>SUM(R533:R534)</f>
        <v>3016</v>
      </c>
      <c r="S535" s="1"/>
      <c r="T535" s="171"/>
    </row>
    <row r="536" spans="1:21" ht="16.5" thickBot="1" x14ac:dyDescent="0.3">
      <c r="A536" s="79" t="s">
        <v>525</v>
      </c>
      <c r="B536" s="70"/>
      <c r="C536" s="85"/>
      <c r="D536" s="85"/>
      <c r="E536" s="85"/>
      <c r="F536" s="51">
        <f>SUM(F533:F535)</f>
        <v>4493</v>
      </c>
      <c r="G536" s="134"/>
      <c r="H536" s="171"/>
      <c r="N536" s="211" t="s">
        <v>544</v>
      </c>
      <c r="O536" s="276"/>
      <c r="P536" s="276"/>
      <c r="Q536" s="276"/>
      <c r="R536" s="213">
        <f>R535*2</f>
        <v>6032</v>
      </c>
      <c r="S536" s="517">
        <f>R536+R536*70%</f>
        <v>10254.4</v>
      </c>
      <c r="T536" s="498">
        <v>14000</v>
      </c>
    </row>
    <row r="537" spans="1:21" ht="16.5" thickBot="1" x14ac:dyDescent="0.3">
      <c r="A537" s="1147" t="s">
        <v>1559</v>
      </c>
      <c r="B537" s="1148"/>
      <c r="C537" s="1148"/>
      <c r="D537" s="1148"/>
      <c r="E537" s="1141"/>
      <c r="F537" s="1142">
        <f>F536*2</f>
        <v>8986</v>
      </c>
      <c r="G537" s="1143">
        <f>F537+F537*50%</f>
        <v>13479</v>
      </c>
      <c r="H537" s="1150">
        <v>16000</v>
      </c>
    </row>
    <row r="538" spans="1:21" ht="16.5" thickBot="1" x14ac:dyDescent="0.3">
      <c r="A538" s="1128"/>
      <c r="B538" s="1144"/>
      <c r="C538" s="1144"/>
      <c r="D538" s="1144"/>
      <c r="E538" s="1242"/>
      <c r="F538" s="1243"/>
      <c r="G538" s="1149"/>
      <c r="H538" s="1146"/>
      <c r="I538" s="1145"/>
      <c r="N538" s="1589" t="s">
        <v>3959</v>
      </c>
      <c r="O538" s="1596"/>
      <c r="P538" s="1596"/>
      <c r="Q538" s="1596"/>
      <c r="R538" s="1590"/>
      <c r="S538" s="23"/>
      <c r="T538" s="171"/>
    </row>
    <row r="539" spans="1:21" ht="16.5" thickBot="1" x14ac:dyDescent="0.3">
      <c r="A539" s="1565" t="s">
        <v>3296</v>
      </c>
      <c r="B539" s="1566"/>
      <c r="C539" s="1566"/>
      <c r="D539" s="1566"/>
      <c r="E539" s="1566"/>
      <c r="F539" s="1567"/>
      <c r="G539" s="171"/>
      <c r="H539" s="171"/>
      <c r="N539" s="483" t="s">
        <v>916</v>
      </c>
      <c r="O539" s="484" t="s">
        <v>1073</v>
      </c>
      <c r="P539" s="485" t="s">
        <v>1547</v>
      </c>
      <c r="Q539" s="485" t="s">
        <v>1035</v>
      </c>
      <c r="R539" s="486" t="s">
        <v>1549</v>
      </c>
      <c r="S539" s="1"/>
      <c r="T539" s="171"/>
      <c r="U539" s="171"/>
    </row>
    <row r="540" spans="1:21" x14ac:dyDescent="0.25">
      <c r="A540" s="483" t="s">
        <v>916</v>
      </c>
      <c r="B540" s="1225" t="s">
        <v>1073</v>
      </c>
      <c r="C540" s="485" t="s">
        <v>1089</v>
      </c>
      <c r="D540" s="485" t="s">
        <v>1547</v>
      </c>
      <c r="E540" s="485" t="s">
        <v>1035</v>
      </c>
      <c r="F540" s="486" t="s">
        <v>1549</v>
      </c>
      <c r="G540" s="1"/>
      <c r="H540" s="171"/>
      <c r="N540" s="3" t="s">
        <v>3940</v>
      </c>
      <c r="O540" s="2"/>
      <c r="P540" s="6">
        <v>1</v>
      </c>
      <c r="Q540" s="66">
        <f>'AROS, CADENAS, DIJES, ETC'!D155</f>
        <v>1228</v>
      </c>
      <c r="R540" s="39">
        <f>Q540</f>
        <v>1228</v>
      </c>
      <c r="S540" s="1"/>
      <c r="T540" s="171"/>
      <c r="U540" s="171"/>
    </row>
    <row r="541" spans="1:21" x14ac:dyDescent="0.25">
      <c r="A541" s="340" t="s">
        <v>3289</v>
      </c>
      <c r="B541" s="2" t="s">
        <v>3275</v>
      </c>
      <c r="C541" s="241"/>
      <c r="D541" s="6" t="s">
        <v>1649</v>
      </c>
      <c r="E541" s="66">
        <f>'AROS, CADENAS, DIJES, ETC'!D58</f>
        <v>2596.5</v>
      </c>
      <c r="F541" s="39">
        <f>E541*2</f>
        <v>5193</v>
      </c>
      <c r="G541" s="1"/>
      <c r="H541" s="171"/>
      <c r="N541" s="3" t="s">
        <v>1557</v>
      </c>
      <c r="O541" s="2"/>
      <c r="P541" s="6"/>
      <c r="Q541" s="66"/>
      <c r="R541" s="39">
        <f>PACKAGING!E3</f>
        <v>150</v>
      </c>
      <c r="S541" s="1"/>
      <c r="T541" s="171"/>
      <c r="U541" s="171"/>
    </row>
    <row r="542" spans="1:21" ht="16.5" thickBot="1" x14ac:dyDescent="0.3">
      <c r="A542" s="3" t="s">
        <v>1557</v>
      </c>
      <c r="B542" s="190"/>
      <c r="C542" s="6"/>
      <c r="D542" s="6"/>
      <c r="E542" s="66"/>
      <c r="F542" s="39">
        <f>PACKAGING!E3</f>
        <v>150</v>
      </c>
      <c r="G542" s="1"/>
      <c r="H542" s="171"/>
      <c r="N542" s="79" t="s">
        <v>525</v>
      </c>
      <c r="O542" s="70"/>
      <c r="P542" s="85"/>
      <c r="Q542" s="85"/>
      <c r="R542" s="51">
        <f>SUM(R540:R541)</f>
        <v>1378</v>
      </c>
      <c r="S542" s="1"/>
      <c r="T542" s="171"/>
    </row>
    <row r="543" spans="1:21" ht="16.5" thickBot="1" x14ac:dyDescent="0.3">
      <c r="A543" s="3" t="s">
        <v>1538</v>
      </c>
      <c r="B543" s="2"/>
      <c r="C543" s="6"/>
      <c r="D543" s="6"/>
      <c r="E543" s="66"/>
      <c r="F543" s="39">
        <f>PACKAGING!E8</f>
        <v>420</v>
      </c>
      <c r="G543" s="1"/>
      <c r="H543" s="171"/>
      <c r="N543" s="211" t="s">
        <v>544</v>
      </c>
      <c r="O543" s="276"/>
      <c r="P543" s="276"/>
      <c r="Q543" s="276"/>
      <c r="R543" s="213">
        <f>R542*2</f>
        <v>2756</v>
      </c>
      <c r="S543" s="517">
        <f>R543+R543*70%</f>
        <v>4685.2</v>
      </c>
      <c r="T543" s="498">
        <v>14000</v>
      </c>
    </row>
    <row r="544" spans="1:21" ht="16.5" thickBot="1" x14ac:dyDescent="0.3">
      <c r="A544" s="79" t="s">
        <v>525</v>
      </c>
      <c r="B544" s="70"/>
      <c r="C544" s="85"/>
      <c r="D544" s="85"/>
      <c r="E544" s="85"/>
      <c r="F544" s="51">
        <f>SUM(F541:F543)</f>
        <v>5763</v>
      </c>
      <c r="G544" s="134"/>
      <c r="H544" s="171"/>
    </row>
    <row r="545" spans="1:20" ht="16.5" thickBot="1" x14ac:dyDescent="0.3">
      <c r="A545" s="1147" t="s">
        <v>1559</v>
      </c>
      <c r="B545" s="1148"/>
      <c r="C545" s="1148"/>
      <c r="D545" s="1148"/>
      <c r="E545" s="276"/>
      <c r="F545" s="372">
        <f>F544*2</f>
        <v>11526</v>
      </c>
      <c r="G545" s="489">
        <f>F545+F545*50%</f>
        <v>17289</v>
      </c>
      <c r="H545" s="1150">
        <v>18000</v>
      </c>
      <c r="N545" s="1589" t="s">
        <v>3941</v>
      </c>
      <c r="O545" s="1596"/>
      <c r="P545" s="1596"/>
      <c r="Q545" s="1596"/>
      <c r="R545" s="1590"/>
      <c r="S545" s="23"/>
      <c r="T545" s="171"/>
    </row>
    <row r="546" spans="1:20" x14ac:dyDescent="0.25">
      <c r="N546" s="483" t="s">
        <v>916</v>
      </c>
      <c r="O546" s="484" t="s">
        <v>1073</v>
      </c>
      <c r="P546" s="485" t="s">
        <v>1547</v>
      </c>
      <c r="Q546" s="485" t="s">
        <v>1035</v>
      </c>
      <c r="R546" s="486" t="s">
        <v>1549</v>
      </c>
      <c r="S546" s="1"/>
      <c r="T546" s="171"/>
    </row>
    <row r="547" spans="1:20" x14ac:dyDescent="0.25">
      <c r="A547" s="1688" t="s">
        <v>3333</v>
      </c>
      <c r="B547" s="1571"/>
      <c r="C547" s="1571"/>
      <c r="D547" s="1571"/>
      <c r="E547" s="1571"/>
      <c r="F547" s="1571"/>
      <c r="G547" s="171"/>
      <c r="H547" s="171"/>
      <c r="I547" s="171"/>
      <c r="J547" s="171"/>
      <c r="N547" s="3" t="s">
        <v>3869</v>
      </c>
      <c r="O547" s="2"/>
      <c r="P547" s="6">
        <v>1</v>
      </c>
      <c r="Q547" s="66">
        <f>'AROS, CADENAS, DIJES, ETC'!D96</f>
        <v>1195</v>
      </c>
      <c r="R547" s="39">
        <f>Q547</f>
        <v>1195</v>
      </c>
      <c r="S547" s="1"/>
      <c r="T547" s="171"/>
    </row>
    <row r="548" spans="1:20" x14ac:dyDescent="0.25">
      <c r="A548" s="271" t="s">
        <v>916</v>
      </c>
      <c r="B548" s="272" t="s">
        <v>1073</v>
      </c>
      <c r="C548" s="273" t="s">
        <v>1089</v>
      </c>
      <c r="D548" s="273" t="s">
        <v>1547</v>
      </c>
      <c r="E548" s="273" t="s">
        <v>1035</v>
      </c>
      <c r="F548" s="274" t="s">
        <v>1549</v>
      </c>
      <c r="G548" s="1"/>
      <c r="H548" s="171"/>
      <c r="I548" s="171"/>
      <c r="J548" s="171"/>
      <c r="N548" s="3" t="s">
        <v>3428</v>
      </c>
      <c r="O548" s="98"/>
      <c r="P548" s="6">
        <v>1</v>
      </c>
      <c r="Q548" s="66">
        <f>'AROS, CADENAS, DIJES, ETC'!O123</f>
        <v>1000</v>
      </c>
      <c r="R548" s="39">
        <f>Q548*P548</f>
        <v>1000</v>
      </c>
      <c r="S548" s="1"/>
      <c r="T548" s="171"/>
    </row>
    <row r="549" spans="1:20" x14ac:dyDescent="0.25">
      <c r="A549" s="3" t="s">
        <v>3332</v>
      </c>
      <c r="B549" s="2"/>
      <c r="C549" s="6"/>
      <c r="D549" s="6" t="s">
        <v>1649</v>
      </c>
      <c r="E549" s="66">
        <f>'AROS, CADENAS, DIJES, ETC'!C142</f>
        <v>10960</v>
      </c>
      <c r="F549" s="39">
        <f>E549</f>
        <v>10960</v>
      </c>
      <c r="G549" s="1"/>
      <c r="H549" s="171"/>
      <c r="I549" s="171"/>
      <c r="J549" s="171"/>
      <c r="N549" s="104" t="s">
        <v>1557</v>
      </c>
      <c r="O549" s="2"/>
      <c r="P549" s="6"/>
      <c r="Q549" s="66"/>
      <c r="R549" s="39">
        <f>PACKAGING!E3</f>
        <v>150</v>
      </c>
      <c r="S549" s="1"/>
      <c r="T549" s="171"/>
    </row>
    <row r="550" spans="1:20" ht="16.5" thickBot="1" x14ac:dyDescent="0.3">
      <c r="A550" s="3" t="s">
        <v>1557</v>
      </c>
      <c r="B550" s="2"/>
      <c r="C550" s="6"/>
      <c r="D550" s="6"/>
      <c r="E550" s="66"/>
      <c r="F550" s="39">
        <f>F542</f>
        <v>150</v>
      </c>
      <c r="G550" s="1" t="s">
        <v>3023</v>
      </c>
      <c r="H550" s="171"/>
      <c r="I550" s="171"/>
      <c r="J550" s="171"/>
      <c r="N550" s="79" t="s">
        <v>525</v>
      </c>
      <c r="O550" s="70"/>
      <c r="P550" s="85"/>
      <c r="Q550" s="85"/>
      <c r="R550" s="51">
        <f>SUM(R547:R549)</f>
        <v>2345</v>
      </c>
      <c r="S550" s="1"/>
      <c r="T550" s="171"/>
    </row>
    <row r="551" spans="1:20" ht="16.5" thickBot="1" x14ac:dyDescent="0.3">
      <c r="A551" s="79" t="s">
        <v>525</v>
      </c>
      <c r="B551" s="70"/>
      <c r="C551" s="85"/>
      <c r="D551" s="85"/>
      <c r="E551" s="85"/>
      <c r="F551" s="51">
        <f>SUM(F549:F550)</f>
        <v>11110</v>
      </c>
      <c r="G551" s="1072">
        <f>(F551+H552+H553)</f>
        <v>14388</v>
      </c>
      <c r="H551" s="162" t="s">
        <v>2283</v>
      </c>
      <c r="I551" s="171"/>
      <c r="J551" s="171"/>
      <c r="N551" s="211" t="s">
        <v>544</v>
      </c>
      <c r="O551" s="276"/>
      <c r="P551" s="276"/>
      <c r="Q551" s="276"/>
      <c r="R551" s="213">
        <f>R550*2</f>
        <v>4690</v>
      </c>
      <c r="S551" s="517">
        <f>R551+R551*70%</f>
        <v>7973</v>
      </c>
      <c r="T551" s="498">
        <v>12000</v>
      </c>
    </row>
    <row r="552" spans="1:20" ht="16.5" thickBot="1" x14ac:dyDescent="0.3">
      <c r="A552" s="80" t="s">
        <v>1559</v>
      </c>
      <c r="B552" s="220"/>
      <c r="C552" s="220"/>
      <c r="D552" s="220"/>
      <c r="E552" s="220"/>
      <c r="F552" s="267">
        <f>F551*2</f>
        <v>22220</v>
      </c>
      <c r="G552" s="267">
        <f>F552+F552*50%</f>
        <v>33330</v>
      </c>
      <c r="H552" s="267">
        <f>PACKAGING!I3</f>
        <v>2433</v>
      </c>
      <c r="I552" s="267">
        <f>G552+H552+H553</f>
        <v>36608</v>
      </c>
      <c r="J552" s="703">
        <v>36000</v>
      </c>
    </row>
    <row r="553" spans="1:20" ht="16.5" thickBot="1" x14ac:dyDescent="0.3">
      <c r="A553" s="171"/>
      <c r="B553" s="171"/>
      <c r="C553" s="171"/>
      <c r="D553" s="171"/>
      <c r="E553" s="171"/>
      <c r="F553" s="171"/>
      <c r="G553" s="171"/>
      <c r="H553" s="267">
        <f>PACKAGING!I5</f>
        <v>845</v>
      </c>
      <c r="I553" s="267"/>
      <c r="J553" s="60"/>
      <c r="N553" s="1727" t="s">
        <v>218</v>
      </c>
      <c r="O553" s="1728"/>
      <c r="P553" s="1728"/>
      <c r="Q553" s="1728"/>
      <c r="R553" s="1729"/>
      <c r="S553" s="23"/>
      <c r="T553" s="171"/>
    </row>
    <row r="554" spans="1:20" x14ac:dyDescent="0.25">
      <c r="N554" s="501" t="s">
        <v>916</v>
      </c>
      <c r="O554" s="502" t="s">
        <v>1073</v>
      </c>
      <c r="P554" s="503" t="s">
        <v>1547</v>
      </c>
      <c r="Q554" s="503" t="s">
        <v>1035</v>
      </c>
      <c r="R554" s="504" t="s">
        <v>1549</v>
      </c>
      <c r="S554" s="1"/>
      <c r="T554" s="171"/>
    </row>
    <row r="555" spans="1:20" x14ac:dyDescent="0.25">
      <c r="A555" s="1688" t="s">
        <v>3334</v>
      </c>
      <c r="B555" s="1571"/>
      <c r="C555" s="1571"/>
      <c r="D555" s="1571"/>
      <c r="E555" s="1571"/>
      <c r="F555" s="1571"/>
      <c r="G555" s="171"/>
      <c r="H555" s="171"/>
      <c r="I555" s="171"/>
      <c r="J555" s="171"/>
      <c r="N555" s="3" t="s">
        <v>3946</v>
      </c>
      <c r="O555" s="2"/>
      <c r="P555" s="6">
        <v>1</v>
      </c>
      <c r="Q555" s="66">
        <f>'AROS, CADENAS, DIJES, ETC'!D96</f>
        <v>1195</v>
      </c>
      <c r="R555" s="39">
        <f>Q555</f>
        <v>1195</v>
      </c>
      <c r="S555" s="1"/>
      <c r="T555" s="171"/>
    </row>
    <row r="556" spans="1:20" x14ac:dyDescent="0.25">
      <c r="A556" s="271" t="s">
        <v>916</v>
      </c>
      <c r="B556" s="272" t="s">
        <v>1073</v>
      </c>
      <c r="C556" s="273" t="s">
        <v>1089</v>
      </c>
      <c r="D556" s="273" t="s">
        <v>1547</v>
      </c>
      <c r="E556" s="273" t="s">
        <v>1035</v>
      </c>
      <c r="F556" s="274" t="s">
        <v>1549</v>
      </c>
      <c r="G556" s="1"/>
      <c r="H556" s="171"/>
      <c r="I556" s="171"/>
      <c r="J556" s="171"/>
      <c r="N556" s="3" t="s">
        <v>3947</v>
      </c>
      <c r="O556" s="2"/>
      <c r="P556" s="6">
        <v>1</v>
      </c>
      <c r="Q556" s="66">
        <f>'AROS, CADENAS, DIJES, ETC'!O150</f>
        <v>1820</v>
      </c>
      <c r="R556" s="39">
        <f>Q556*P556</f>
        <v>1820</v>
      </c>
      <c r="S556" s="1"/>
      <c r="T556" s="171"/>
    </row>
    <row r="557" spans="1:20" x14ac:dyDescent="0.25">
      <c r="A557" s="3" t="s">
        <v>3336</v>
      </c>
      <c r="B557" s="2"/>
      <c r="C557" s="6"/>
      <c r="D557" s="6" t="s">
        <v>1649</v>
      </c>
      <c r="E557" s="66">
        <f>'AROS, CADENAS, DIJES, ETC'!C141</f>
        <v>8281</v>
      </c>
      <c r="F557" s="39">
        <f>E557</f>
        <v>8281</v>
      </c>
      <c r="G557" s="1"/>
      <c r="H557" s="171"/>
      <c r="I557" s="171"/>
      <c r="J557" s="171"/>
      <c r="N557" s="3" t="s">
        <v>1557</v>
      </c>
      <c r="O557" s="2"/>
      <c r="P557" s="6"/>
      <c r="Q557" s="66"/>
      <c r="R557" s="39">
        <f>PACKAGING!E3</f>
        <v>150</v>
      </c>
      <c r="S557" s="1"/>
      <c r="T557" s="171"/>
    </row>
    <row r="558" spans="1:20" ht="16.5" thickBot="1" x14ac:dyDescent="0.3">
      <c r="A558" s="3" t="s">
        <v>1557</v>
      </c>
      <c r="B558" s="2"/>
      <c r="C558" s="6"/>
      <c r="D558" s="6"/>
      <c r="E558" s="66"/>
      <c r="F558" s="39">
        <f>F550</f>
        <v>150</v>
      </c>
      <c r="G558" s="1" t="s">
        <v>3023</v>
      </c>
      <c r="H558" s="171"/>
      <c r="I558" s="171"/>
      <c r="J558" s="171"/>
      <c r="N558" s="79" t="s">
        <v>525</v>
      </c>
      <c r="O558" s="70"/>
      <c r="P558" s="85"/>
      <c r="Q558" s="85"/>
      <c r="R558" s="51">
        <f>SUM(R555:R557)</f>
        <v>3165</v>
      </c>
      <c r="S558" s="134"/>
      <c r="T558" s="171"/>
    </row>
    <row r="559" spans="1:20" ht="16.5" thickBot="1" x14ac:dyDescent="0.3">
      <c r="A559" s="79" t="s">
        <v>525</v>
      </c>
      <c r="B559" s="70"/>
      <c r="C559" s="85"/>
      <c r="D559" s="85"/>
      <c r="E559" s="85"/>
      <c r="F559" s="51">
        <f>SUM(F557:F558)</f>
        <v>8431</v>
      </c>
      <c r="G559" s="1072">
        <f>(F559+H560+H561)</f>
        <v>11709</v>
      </c>
      <c r="H559" s="162" t="s">
        <v>2283</v>
      </c>
      <c r="I559" s="171"/>
      <c r="J559" s="171"/>
      <c r="N559" s="275" t="s">
        <v>1559</v>
      </c>
      <c r="O559" s="269"/>
      <c r="P559" s="269"/>
      <c r="Q559" s="269"/>
      <c r="R559" s="518">
        <f>R558*2</f>
        <v>6330</v>
      </c>
      <c r="S559" s="519">
        <f>R559+R559*70%</f>
        <v>10761</v>
      </c>
      <c r="T559" s="516">
        <v>16000</v>
      </c>
    </row>
    <row r="560" spans="1:20" ht="16.5" thickBot="1" x14ac:dyDescent="0.3">
      <c r="A560" s="80" t="s">
        <v>1559</v>
      </c>
      <c r="B560" s="220"/>
      <c r="C560" s="220"/>
      <c r="D560" s="220"/>
      <c r="E560" s="220"/>
      <c r="F560" s="267">
        <f>F559*2</f>
        <v>16862</v>
      </c>
      <c r="G560" s="267">
        <f>F560+F560*50%</f>
        <v>25293</v>
      </c>
      <c r="H560" s="267">
        <f>PACKAGING!I3</f>
        <v>2433</v>
      </c>
      <c r="I560" s="267">
        <f>G560+H560+H561</f>
        <v>28571</v>
      </c>
      <c r="J560" s="703">
        <v>31000</v>
      </c>
    </row>
    <row r="561" spans="1:20" ht="16.5" thickBot="1" x14ac:dyDescent="0.3">
      <c r="A561" s="171"/>
      <c r="B561" s="171"/>
      <c r="C561" s="171"/>
      <c r="D561" s="171"/>
      <c r="E561" s="171"/>
      <c r="F561" s="171"/>
      <c r="G561" s="171"/>
      <c r="H561" s="267">
        <f>PACKAGING!I5</f>
        <v>845</v>
      </c>
      <c r="I561" s="267"/>
      <c r="J561" s="1"/>
      <c r="N561" s="1589" t="s">
        <v>3951</v>
      </c>
      <c r="O561" s="1596"/>
      <c r="P561" s="1596"/>
      <c r="Q561" s="1596"/>
      <c r="R561" s="1590"/>
      <c r="S561" s="23"/>
      <c r="T561" s="171"/>
    </row>
    <row r="562" spans="1:20" x14ac:dyDescent="0.25">
      <c r="N562" s="483" t="s">
        <v>916</v>
      </c>
      <c r="O562" s="484" t="s">
        <v>1073</v>
      </c>
      <c r="P562" s="485" t="s">
        <v>1547</v>
      </c>
      <c r="Q562" s="485" t="s">
        <v>1035</v>
      </c>
      <c r="R562" s="486" t="s">
        <v>1549</v>
      </c>
      <c r="S562" s="1"/>
      <c r="T562" s="171"/>
    </row>
    <row r="563" spans="1:20" x14ac:dyDescent="0.25">
      <c r="A563" s="1601" t="s">
        <v>3526</v>
      </c>
      <c r="B563" s="1588"/>
      <c r="C563" s="1588"/>
      <c r="D563" s="1588"/>
      <c r="E563" s="1588"/>
      <c r="F563" s="1722"/>
      <c r="G563" s="23"/>
      <c r="H563" s="171"/>
      <c r="N563" s="3" t="s">
        <v>3946</v>
      </c>
      <c r="O563" s="2"/>
      <c r="P563" s="6">
        <v>1</v>
      </c>
      <c r="Q563" s="66">
        <f>'AROS, CADENAS, DIJES, ETC'!D96</f>
        <v>1195</v>
      </c>
      <c r="R563" s="39">
        <f>Q563</f>
        <v>1195</v>
      </c>
      <c r="S563" s="1"/>
      <c r="T563" s="171"/>
    </row>
    <row r="564" spans="1:20" x14ac:dyDescent="0.25">
      <c r="A564" s="271" t="s">
        <v>916</v>
      </c>
      <c r="B564" s="272" t="s">
        <v>1073</v>
      </c>
      <c r="C564" s="273" t="s">
        <v>1607</v>
      </c>
      <c r="D564" s="273" t="s">
        <v>1547</v>
      </c>
      <c r="E564" s="273" t="s">
        <v>1035</v>
      </c>
      <c r="F564" s="274" t="s">
        <v>1549</v>
      </c>
      <c r="G564" s="1"/>
      <c r="H564" s="171"/>
      <c r="N564" s="3" t="s">
        <v>3949</v>
      </c>
      <c r="O564" s="2"/>
      <c r="P564" s="6">
        <v>1</v>
      </c>
      <c r="Q564" s="66">
        <f>'AROS, CADENAS, DIJES, ETC'!O63</f>
        <v>2590</v>
      </c>
      <c r="R564" s="39">
        <f>Q564*P564</f>
        <v>2590</v>
      </c>
      <c r="S564" s="1"/>
      <c r="T564" s="171"/>
    </row>
    <row r="565" spans="1:20" x14ac:dyDescent="0.25">
      <c r="A565" s="3" t="s">
        <v>1929</v>
      </c>
      <c r="B565" s="2"/>
      <c r="C565" s="6"/>
      <c r="D565" s="6">
        <v>2</v>
      </c>
      <c r="E565" s="66">
        <f>'AROS, CADENAS, DIJES, ETC'!D117</f>
        <v>2013.5</v>
      </c>
      <c r="F565" s="39">
        <f>E565*D565</f>
        <v>4027</v>
      </c>
      <c r="G565" s="1"/>
      <c r="H565" s="171"/>
      <c r="N565" s="3" t="s">
        <v>1557</v>
      </c>
      <c r="O565" s="2"/>
      <c r="P565" s="6"/>
      <c r="Q565" s="66"/>
      <c r="R565" s="39">
        <f>PACKAGING!E3</f>
        <v>150</v>
      </c>
      <c r="S565" s="1"/>
      <c r="T565" s="171"/>
    </row>
    <row r="566" spans="1:20" x14ac:dyDescent="0.25">
      <c r="A566" s="1613" t="s">
        <v>1050</v>
      </c>
      <c r="B566" s="2" t="s">
        <v>1194</v>
      </c>
      <c r="C566" s="6">
        <v>0.21</v>
      </c>
      <c r="D566" s="6">
        <v>1</v>
      </c>
      <c r="E566" s="66">
        <f>FORNITURAS!W6</f>
        <v>541.13207547169816</v>
      </c>
      <c r="F566" s="39">
        <f>E566*C566</f>
        <v>113.63773584905661</v>
      </c>
      <c r="G566" s="1"/>
      <c r="H566" s="171"/>
      <c r="N566" s="3" t="s">
        <v>1558</v>
      </c>
      <c r="O566" s="2">
        <v>60</v>
      </c>
      <c r="P566" s="6">
        <v>3</v>
      </c>
      <c r="Q566" s="66">
        <f>'INSUMOS VARIOS'!B3</f>
        <v>3500</v>
      </c>
      <c r="R566" s="39">
        <f>Q566*P566/O566</f>
        <v>175</v>
      </c>
      <c r="S566" s="1"/>
      <c r="T566" s="171"/>
    </row>
    <row r="567" spans="1:20" ht="16.5" thickBot="1" x14ac:dyDescent="0.3">
      <c r="A567" s="1615"/>
      <c r="B567" s="2" t="s">
        <v>3395</v>
      </c>
      <c r="C567" s="6">
        <v>0.05</v>
      </c>
      <c r="D567" s="6">
        <v>1</v>
      </c>
      <c r="E567" s="66">
        <f>FORNITURAS!W6</f>
        <v>541.13207547169816</v>
      </c>
      <c r="F567" s="39">
        <f>E567*C567</f>
        <v>27.056603773584911</v>
      </c>
      <c r="G567" s="1"/>
      <c r="H567" s="171"/>
      <c r="N567" s="79" t="s">
        <v>525</v>
      </c>
      <c r="O567" s="70"/>
      <c r="P567" s="85"/>
      <c r="Q567" s="85"/>
      <c r="R567" s="51">
        <f>SUM(R563:R566)</f>
        <v>4110</v>
      </c>
      <c r="S567" s="1"/>
      <c r="T567" s="171"/>
    </row>
    <row r="568" spans="1:20" ht="16.5" thickBot="1" x14ac:dyDescent="0.3">
      <c r="A568" s="3" t="s">
        <v>3392</v>
      </c>
      <c r="B568" s="2"/>
      <c r="C568" s="6"/>
      <c r="D568" s="6">
        <v>6</v>
      </c>
      <c r="E568" s="66">
        <f>'PERLAS 2'!H6</f>
        <v>1155</v>
      </c>
      <c r="F568" s="39">
        <f>E568*D568</f>
        <v>6930</v>
      </c>
      <c r="G568" s="1"/>
      <c r="H568" s="171"/>
      <c r="N568" s="211" t="s">
        <v>1559</v>
      </c>
      <c r="O568" s="276"/>
      <c r="P568" s="276"/>
      <c r="Q568" s="276"/>
      <c r="R568" s="372">
        <f>R567*2</f>
        <v>8220</v>
      </c>
      <c r="S568" s="500">
        <f>R568+R568*70%</f>
        <v>13974</v>
      </c>
      <c r="T568" s="499">
        <v>18000</v>
      </c>
    </row>
    <row r="569" spans="1:20" ht="16.5" thickBot="1" x14ac:dyDescent="0.3">
      <c r="A569" s="3" t="s">
        <v>3393</v>
      </c>
      <c r="B569" s="2"/>
      <c r="C569" s="6"/>
      <c r="D569" s="6">
        <v>2</v>
      </c>
      <c r="E569" s="66">
        <f>'PERLAS 2'!H35</f>
        <v>278.66666666666669</v>
      </c>
      <c r="F569" s="39">
        <f t="shared" ref="F569" si="1">E569*D569</f>
        <v>557.33333333333337</v>
      </c>
      <c r="G569" s="1"/>
      <c r="H569" s="171"/>
    </row>
    <row r="570" spans="1:20" ht="16.5" thickBot="1" x14ac:dyDescent="0.3">
      <c r="A570" s="3" t="s">
        <v>1557</v>
      </c>
      <c r="B570" s="2"/>
      <c r="C570" s="6"/>
      <c r="D570" s="6"/>
      <c r="E570" s="66"/>
      <c r="F570" s="39">
        <f>PACKAGING!E3</f>
        <v>150</v>
      </c>
      <c r="G570" s="1"/>
      <c r="H570" s="171"/>
      <c r="N570" s="1589" t="s">
        <v>97</v>
      </c>
      <c r="O570" s="1596"/>
      <c r="P570" s="1596"/>
      <c r="Q570" s="1596"/>
      <c r="R570" s="1590"/>
      <c r="S570" s="23"/>
      <c r="T570" s="171"/>
    </row>
    <row r="571" spans="1:20" x14ac:dyDescent="0.25">
      <c r="A571" s="3" t="s">
        <v>1558</v>
      </c>
      <c r="B571" s="2">
        <v>60</v>
      </c>
      <c r="C571" s="6"/>
      <c r="D571" s="6">
        <v>45</v>
      </c>
      <c r="E571" s="66">
        <f>'INSUMOS VARIOS'!B3</f>
        <v>3500</v>
      </c>
      <c r="F571" s="39">
        <f>E571*D571/B571</f>
        <v>2625</v>
      </c>
      <c r="G571" s="1" t="s">
        <v>3023</v>
      </c>
      <c r="H571" s="171"/>
      <c r="N571" s="483" t="s">
        <v>916</v>
      </c>
      <c r="O571" s="484" t="s">
        <v>1073</v>
      </c>
      <c r="P571" s="485" t="s">
        <v>1547</v>
      </c>
      <c r="Q571" s="485" t="s">
        <v>1035</v>
      </c>
      <c r="R571" s="486" t="s">
        <v>1549</v>
      </c>
      <c r="S571" s="1"/>
      <c r="T571" s="171"/>
    </row>
    <row r="572" spans="1:20" ht="16.5" thickBot="1" x14ac:dyDescent="0.3">
      <c r="A572" s="79" t="s">
        <v>525</v>
      </c>
      <c r="B572" s="70"/>
      <c r="C572" s="85"/>
      <c r="D572" s="85"/>
      <c r="E572" s="85"/>
      <c r="F572" s="51">
        <f>SUM(F565:F571)</f>
        <v>14430.027672955976</v>
      </c>
      <c r="G572" s="1072">
        <f>F572+H573+H574</f>
        <v>17708.027672955977</v>
      </c>
      <c r="H572" s="171" t="s">
        <v>3394</v>
      </c>
      <c r="N572" s="3" t="s">
        <v>3961</v>
      </c>
      <c r="O572" s="2"/>
      <c r="P572" s="6">
        <v>1</v>
      </c>
      <c r="Q572" s="66">
        <f>'AROS, CADENAS, DIJES, ETC'!D128</f>
        <v>2866</v>
      </c>
      <c r="R572" s="39">
        <f>Q572</f>
        <v>2866</v>
      </c>
      <c r="S572" s="1"/>
      <c r="T572" s="171"/>
    </row>
    <row r="573" spans="1:20" ht="16.5" thickBot="1" x14ac:dyDescent="0.3">
      <c r="A573" s="80" t="s">
        <v>544</v>
      </c>
      <c r="B573" s="220"/>
      <c r="C573" s="220"/>
      <c r="D573" s="220"/>
      <c r="E573" s="220"/>
      <c r="F573" s="221">
        <f>F572*2</f>
        <v>28860.055345911951</v>
      </c>
      <c r="G573" s="492">
        <f>F573+F573*70%</f>
        <v>49062.094088050319</v>
      </c>
      <c r="H573" s="1189">
        <f>PACKAGING!I3</f>
        <v>2433</v>
      </c>
      <c r="I573" s="1190">
        <f>G573+H573+H574</f>
        <v>52340.094088050319</v>
      </c>
      <c r="J573" s="1191">
        <v>58000</v>
      </c>
      <c r="N573" s="3" t="s">
        <v>1557</v>
      </c>
      <c r="O573" s="2"/>
      <c r="P573" s="6"/>
      <c r="Q573" s="1302"/>
      <c r="R573" s="39">
        <f>PACKAGING!E3</f>
        <v>150</v>
      </c>
      <c r="S573" s="1"/>
      <c r="T573" s="171"/>
    </row>
    <row r="574" spans="1:20" ht="16.5" thickBot="1" x14ac:dyDescent="0.3">
      <c r="A574" s="275" t="s">
        <v>1559</v>
      </c>
      <c r="B574" s="269"/>
      <c r="C574" s="269"/>
      <c r="D574" s="269"/>
      <c r="E574" s="269"/>
      <c r="F574" s="488"/>
      <c r="G574" s="488"/>
      <c r="H574" s="1188">
        <f>PACKAGING!I5</f>
        <v>845</v>
      </c>
      <c r="I574" s="1187"/>
      <c r="J574" s="1269">
        <f>J573*60%</f>
        <v>34800</v>
      </c>
      <c r="K574" t="s">
        <v>3687</v>
      </c>
      <c r="N574" s="79" t="s">
        <v>525</v>
      </c>
      <c r="O574" s="70"/>
      <c r="P574" s="85"/>
      <c r="Q574" s="85"/>
      <c r="R574" s="51">
        <f>SUM(R572:R573)</f>
        <v>3016</v>
      </c>
      <c r="S574" s="1"/>
      <c r="T574" s="171"/>
    </row>
    <row r="575" spans="1:20" ht="16.5" thickBot="1" x14ac:dyDescent="0.3">
      <c r="N575" s="211" t="s">
        <v>544</v>
      </c>
      <c r="O575" s="276"/>
      <c r="P575" s="276"/>
      <c r="Q575" s="276"/>
      <c r="R575" s="213">
        <f>R574*2</f>
        <v>6032</v>
      </c>
      <c r="S575" s="517">
        <f>R575+R575*70%</f>
        <v>10254.4</v>
      </c>
      <c r="T575" s="498">
        <v>12000</v>
      </c>
    </row>
    <row r="576" spans="1:20" x14ac:dyDescent="0.25">
      <c r="A576" s="1601" t="s">
        <v>3527</v>
      </c>
      <c r="B576" s="1588"/>
      <c r="C576" s="1588"/>
      <c r="D576" s="1588"/>
      <c r="E576" s="1588"/>
      <c r="F576" s="1722"/>
      <c r="G576" s="23"/>
      <c r="H576" s="171"/>
    </row>
    <row r="577" spans="1:10" x14ac:dyDescent="0.25">
      <c r="A577" s="271" t="s">
        <v>916</v>
      </c>
      <c r="B577" s="272" t="s">
        <v>1073</v>
      </c>
      <c r="C577" s="273" t="s">
        <v>1607</v>
      </c>
      <c r="D577" s="273" t="s">
        <v>1547</v>
      </c>
      <c r="E577" s="273" t="s">
        <v>1035</v>
      </c>
      <c r="F577" s="274" t="s">
        <v>1549</v>
      </c>
      <c r="G577" s="1"/>
      <c r="H577" s="171"/>
    </row>
    <row r="578" spans="1:10" x14ac:dyDescent="0.25">
      <c r="A578" s="3" t="s">
        <v>1929</v>
      </c>
      <c r="B578" s="2"/>
      <c r="C578" s="6"/>
      <c r="D578" s="6">
        <v>2</v>
      </c>
      <c r="E578" s="66">
        <f>'AROS, CADENAS, DIJES, ETC'!D117</f>
        <v>2013.5</v>
      </c>
      <c r="F578" s="39">
        <f>E578*D578</f>
        <v>4027</v>
      </c>
      <c r="G578" s="1"/>
      <c r="H578" s="171"/>
    </row>
    <row r="579" spans="1:10" x14ac:dyDescent="0.25">
      <c r="A579" s="184" t="s">
        <v>1050</v>
      </c>
      <c r="B579" s="2" t="s">
        <v>1194</v>
      </c>
      <c r="C579" s="6">
        <v>0.21</v>
      </c>
      <c r="D579" s="6">
        <v>2</v>
      </c>
      <c r="E579" s="66">
        <f>FORNITURAS!W6</f>
        <v>541.13207547169816</v>
      </c>
      <c r="F579" s="39">
        <f>(C579*D579)*E579</f>
        <v>227.27547169811322</v>
      </c>
      <c r="G579" s="1"/>
      <c r="H579" s="171"/>
    </row>
    <row r="580" spans="1:10" x14ac:dyDescent="0.25">
      <c r="A580" s="3" t="s">
        <v>3392</v>
      </c>
      <c r="B580" s="2"/>
      <c r="C580" s="6"/>
      <c r="D580" s="6">
        <v>10</v>
      </c>
      <c r="E580" s="66">
        <f>PERLAS!O6</f>
        <v>540</v>
      </c>
      <c r="F580" s="39">
        <f>E580*D580</f>
        <v>5400</v>
      </c>
      <c r="G580" s="1"/>
      <c r="H580" s="171"/>
    </row>
    <row r="581" spans="1:10" x14ac:dyDescent="0.25">
      <c r="A581" s="3" t="s">
        <v>3393</v>
      </c>
      <c r="B581" s="2"/>
      <c r="C581" s="6"/>
      <c r="D581" s="6">
        <v>2</v>
      </c>
      <c r="E581" s="66">
        <f>PERLAS!F37</f>
        <v>134.69387755102042</v>
      </c>
      <c r="F581" s="39">
        <f t="shared" ref="F581" si="2">E581*D581</f>
        <v>269.38775510204084</v>
      </c>
      <c r="G581" s="1"/>
      <c r="H581" s="171"/>
    </row>
    <row r="582" spans="1:10" x14ac:dyDescent="0.25">
      <c r="A582" s="3" t="s">
        <v>1557</v>
      </c>
      <c r="B582" s="2"/>
      <c r="C582" s="6"/>
      <c r="D582" s="6"/>
      <c r="E582" s="66"/>
      <c r="F582" s="39">
        <f>PACKAGING!E3</f>
        <v>150</v>
      </c>
      <c r="G582" s="1"/>
      <c r="H582" s="171"/>
    </row>
    <row r="583" spans="1:10" x14ac:dyDescent="0.25">
      <c r="A583" s="3" t="s">
        <v>1558</v>
      </c>
      <c r="B583" s="2">
        <v>60</v>
      </c>
      <c r="C583" s="6"/>
      <c r="D583" s="6">
        <v>70</v>
      </c>
      <c r="E583" s="66">
        <f>'INSUMOS VARIOS'!B3</f>
        <v>3500</v>
      </c>
      <c r="F583" s="39">
        <f>E583*D583/B583</f>
        <v>4083.3333333333335</v>
      </c>
      <c r="G583" s="1" t="s">
        <v>3023</v>
      </c>
      <c r="H583" s="171"/>
    </row>
    <row r="584" spans="1:10" ht="16.5" thickBot="1" x14ac:dyDescent="0.3">
      <c r="A584" s="79" t="s">
        <v>525</v>
      </c>
      <c r="B584" s="70"/>
      <c r="C584" s="85"/>
      <c r="D584" s="85"/>
      <c r="E584" s="85"/>
      <c r="F584" s="51">
        <f>SUM(F578:F583)</f>
        <v>14156.99656013349</v>
      </c>
      <c r="G584" s="1072">
        <f>F584+H585+H586</f>
        <v>17434.996560133492</v>
      </c>
      <c r="H584" s="171" t="s">
        <v>3394</v>
      </c>
    </row>
    <row r="585" spans="1:10" ht="16.5" thickBot="1" x14ac:dyDescent="0.3">
      <c r="A585" s="80" t="s">
        <v>544</v>
      </c>
      <c r="B585" s="220"/>
      <c r="C585" s="220"/>
      <c r="D585" s="220"/>
      <c r="E585" s="220"/>
      <c r="F585" s="221">
        <f>F584*2</f>
        <v>28313.99312026698</v>
      </c>
      <c r="G585" s="492">
        <f>F585+F585*50%</f>
        <v>42470.989680400467</v>
      </c>
      <c r="H585" s="1189">
        <f>PACKAGING!I3</f>
        <v>2433</v>
      </c>
      <c r="I585" s="1190">
        <f>G585+H585+H586</f>
        <v>45748.989680400467</v>
      </c>
      <c r="J585" s="1191">
        <v>38000</v>
      </c>
    </row>
    <row r="586" spans="1:10" ht="16.5" thickBot="1" x14ac:dyDescent="0.3">
      <c r="A586" s="275" t="s">
        <v>1559</v>
      </c>
      <c r="B586" s="269"/>
      <c r="C586" s="269"/>
      <c r="D586" s="269"/>
      <c r="E586" s="269"/>
      <c r="F586" s="488"/>
      <c r="G586" s="488"/>
      <c r="H586" s="1188">
        <f>PACKAGING!I5</f>
        <v>845</v>
      </c>
      <c r="I586" s="1187"/>
    </row>
    <row r="587" spans="1:10" ht="16.5" thickBot="1" x14ac:dyDescent="0.3"/>
    <row r="588" spans="1:10" ht="16.5" thickBot="1" x14ac:dyDescent="0.3">
      <c r="A588" s="1716" t="s">
        <v>3816</v>
      </c>
      <c r="B588" s="1717"/>
      <c r="C588" s="1717"/>
      <c r="D588" s="1717"/>
      <c r="E588" s="1717"/>
      <c r="F588" s="1718"/>
      <c r="G588" s="171"/>
      <c r="H588" s="171"/>
    </row>
    <row r="589" spans="1:10" x14ac:dyDescent="0.25">
      <c r="A589" s="483" t="s">
        <v>916</v>
      </c>
      <c r="B589" s="1225" t="s">
        <v>1073</v>
      </c>
      <c r="C589" s="485" t="s">
        <v>1089</v>
      </c>
      <c r="D589" s="485" t="s">
        <v>1547</v>
      </c>
      <c r="E589" s="485" t="s">
        <v>1035</v>
      </c>
      <c r="F589" s="486" t="s">
        <v>1549</v>
      </c>
      <c r="G589" s="1"/>
      <c r="H589" s="171"/>
    </row>
    <row r="590" spans="1:10" x14ac:dyDescent="0.25">
      <c r="A590" s="340" t="s">
        <v>3433</v>
      </c>
      <c r="B590" s="2"/>
      <c r="C590" s="241"/>
      <c r="D590" s="6" t="s">
        <v>1649</v>
      </c>
      <c r="E590" s="66">
        <f>PLATEADO!E34</f>
        <v>3040</v>
      </c>
      <c r="F590" s="39">
        <f>E590</f>
        <v>3040</v>
      </c>
      <c r="G590" s="1"/>
      <c r="H590" s="171"/>
    </row>
    <row r="591" spans="1:10" x14ac:dyDescent="0.25">
      <c r="A591" s="340" t="s">
        <v>3432</v>
      </c>
      <c r="B591" s="2"/>
      <c r="C591" s="241"/>
      <c r="D591" s="6">
        <v>2</v>
      </c>
      <c r="E591" s="66">
        <f>'AROS, CADENAS, DIJES, ETC'!O54</f>
        <v>2920</v>
      </c>
      <c r="F591" s="39">
        <f>E591*D591</f>
        <v>5840</v>
      </c>
      <c r="G591" s="1"/>
      <c r="H591" s="171"/>
    </row>
    <row r="592" spans="1:10" x14ac:dyDescent="0.25">
      <c r="A592" s="340" t="s">
        <v>3483</v>
      </c>
      <c r="B592" s="2"/>
      <c r="C592" s="241"/>
      <c r="D592" s="6">
        <v>2</v>
      </c>
      <c r="E592" s="66">
        <f>PLATEADO!M10</f>
        <v>890.8</v>
      </c>
      <c r="F592" s="39">
        <f>E592*D592</f>
        <v>1781.6</v>
      </c>
      <c r="G592" s="1"/>
      <c r="H592" s="171"/>
    </row>
    <row r="593" spans="1:8" x14ac:dyDescent="0.25">
      <c r="A593" s="340" t="s">
        <v>3117</v>
      </c>
      <c r="B593" s="2"/>
      <c r="C593" s="241"/>
      <c r="D593" s="6">
        <v>2</v>
      </c>
      <c r="E593" s="66">
        <f>FORNITURAS!D15</f>
        <v>142</v>
      </c>
      <c r="F593" s="39">
        <f>E593*D593</f>
        <v>284</v>
      </c>
      <c r="G593" s="1"/>
      <c r="H593" s="171"/>
    </row>
    <row r="594" spans="1:8" x14ac:dyDescent="0.25">
      <c r="A594" s="3" t="s">
        <v>1557</v>
      </c>
      <c r="B594" s="2"/>
      <c r="C594" s="6"/>
      <c r="D594" s="6"/>
      <c r="E594" s="66"/>
      <c r="F594" s="39">
        <f>PACKAGING!E3</f>
        <v>150</v>
      </c>
      <c r="G594" s="1"/>
      <c r="H594" s="171"/>
    </row>
    <row r="595" spans="1:8" x14ac:dyDescent="0.25">
      <c r="A595" s="3" t="s">
        <v>1538</v>
      </c>
      <c r="B595" s="2"/>
      <c r="C595" s="6"/>
      <c r="D595" s="6"/>
      <c r="E595" s="66"/>
      <c r="F595" s="39">
        <f>PACKAGING!E8</f>
        <v>420</v>
      </c>
      <c r="G595" s="1"/>
      <c r="H595" s="171"/>
    </row>
    <row r="596" spans="1:8" ht="16.5" thickBot="1" x14ac:dyDescent="0.3">
      <c r="A596" s="79" t="s">
        <v>525</v>
      </c>
      <c r="B596" s="70"/>
      <c r="C596" s="85"/>
      <c r="D596" s="85"/>
      <c r="E596" s="85"/>
      <c r="F596" s="51">
        <f>SUM(F590:F595)</f>
        <v>11515.6</v>
      </c>
      <c r="G596" s="134"/>
      <c r="H596" s="171"/>
    </row>
    <row r="597" spans="1:8" ht="16.5" thickBot="1" x14ac:dyDescent="0.3">
      <c r="A597" s="1147" t="s">
        <v>1559</v>
      </c>
      <c r="B597" s="1148"/>
      <c r="C597" s="1148"/>
      <c r="D597" s="1148"/>
      <c r="E597" s="276"/>
      <c r="F597" s="372">
        <f>F596*2</f>
        <v>23031.200000000001</v>
      </c>
      <c r="G597" s="489">
        <f>F597+F597*70%</f>
        <v>39153.040000000001</v>
      </c>
      <c r="H597" s="1150">
        <v>36000</v>
      </c>
    </row>
    <row r="599" spans="1:8" ht="16.5" thickBot="1" x14ac:dyDescent="0.3">
      <c r="A599" s="1602" t="s">
        <v>3652</v>
      </c>
      <c r="B599" s="1600"/>
      <c r="C599" s="1600"/>
      <c r="D599" s="1600"/>
      <c r="E599" s="1600"/>
      <c r="F599" s="1600"/>
      <c r="G599" s="171"/>
      <c r="H599" s="171"/>
    </row>
    <row r="600" spans="1:8" x14ac:dyDescent="0.25">
      <c r="A600" s="483" t="s">
        <v>916</v>
      </c>
      <c r="B600" s="1225" t="s">
        <v>1073</v>
      </c>
      <c r="C600" s="485" t="s">
        <v>1089</v>
      </c>
      <c r="D600" s="485" t="s">
        <v>1547</v>
      </c>
      <c r="E600" s="485" t="s">
        <v>1035</v>
      </c>
      <c r="F600" s="486" t="s">
        <v>1549</v>
      </c>
      <c r="G600" s="1"/>
      <c r="H600" s="171"/>
    </row>
    <row r="601" spans="1:8" x14ac:dyDescent="0.25">
      <c r="A601" s="340" t="s">
        <v>3495</v>
      </c>
      <c r="B601" s="2">
        <v>0.9</v>
      </c>
      <c r="C601" s="241"/>
      <c r="D601" s="6">
        <v>0.06</v>
      </c>
      <c r="E601" s="66">
        <f>PIEDRAS!E147</f>
        <v>3600</v>
      </c>
      <c r="F601" s="39">
        <f>E601*D601/B601</f>
        <v>240</v>
      </c>
      <c r="G601" s="1"/>
      <c r="H601" s="171"/>
    </row>
    <row r="602" spans="1:8" x14ac:dyDescent="0.25">
      <c r="A602" s="340" t="s">
        <v>1742</v>
      </c>
      <c r="B602" s="2" t="s">
        <v>1357</v>
      </c>
      <c r="C602" s="241"/>
      <c r="D602" s="6">
        <v>2</v>
      </c>
      <c r="E602" s="66">
        <f>'PERLAS 2'!H15</f>
        <v>680.16666666666663</v>
      </c>
      <c r="F602" s="39">
        <f>E602*D602</f>
        <v>1360.3333333333333</v>
      </c>
      <c r="G602" s="1"/>
      <c r="H602" s="171"/>
    </row>
    <row r="603" spans="1:8" x14ac:dyDescent="0.25">
      <c r="A603" s="340" t="s">
        <v>3635</v>
      </c>
      <c r="B603" s="2"/>
      <c r="C603" s="241"/>
      <c r="D603" s="6" t="s">
        <v>1649</v>
      </c>
      <c r="E603" s="66">
        <f>'AROS, CADENAS, DIJES, ETC'!D5</f>
        <v>600</v>
      </c>
      <c r="F603" s="39">
        <f>E603*2</f>
        <v>1200</v>
      </c>
      <c r="G603" s="1"/>
      <c r="H603" s="171"/>
    </row>
    <row r="604" spans="1:8" x14ac:dyDescent="0.25">
      <c r="A604" s="340" t="s">
        <v>3237</v>
      </c>
      <c r="B604" s="2" t="s">
        <v>1059</v>
      </c>
      <c r="C604" s="241"/>
      <c r="D604" s="6">
        <v>0.09</v>
      </c>
      <c r="E604" s="66">
        <f>FORNITURAS!W5</f>
        <v>906.42857142857144</v>
      </c>
      <c r="F604" s="39">
        <f>E604*D604</f>
        <v>81.578571428571422</v>
      </c>
      <c r="G604" s="1"/>
      <c r="H604" s="171"/>
    </row>
    <row r="605" spans="1:8" x14ac:dyDescent="0.25">
      <c r="A605" s="340" t="s">
        <v>3117</v>
      </c>
      <c r="B605" s="2"/>
      <c r="C605" s="241"/>
      <c r="D605" s="6">
        <v>2</v>
      </c>
      <c r="E605" s="66">
        <f>FORNITURAS!D15</f>
        <v>142</v>
      </c>
      <c r="F605" s="39">
        <f>E605*D605</f>
        <v>284</v>
      </c>
      <c r="G605" s="1"/>
      <c r="H605" s="171"/>
    </row>
    <row r="606" spans="1:8" x14ac:dyDescent="0.25">
      <c r="A606" s="3" t="s">
        <v>1557</v>
      </c>
      <c r="B606" s="2"/>
      <c r="C606" s="6"/>
      <c r="D606" s="6"/>
      <c r="E606" s="66"/>
      <c r="F606" s="39">
        <f>PACKAGING!E3</f>
        <v>150</v>
      </c>
      <c r="G606" s="1"/>
      <c r="H606" s="171"/>
    </row>
    <row r="607" spans="1:8" x14ac:dyDescent="0.25">
      <c r="A607" s="3" t="s">
        <v>1558</v>
      </c>
      <c r="B607" s="2">
        <v>60</v>
      </c>
      <c r="C607" s="6"/>
      <c r="D607" s="6">
        <v>20</v>
      </c>
      <c r="E607" s="66">
        <f>'INSUMOS VARIOS'!B3</f>
        <v>3500</v>
      </c>
      <c r="F607" s="39">
        <f>E607*D607/B607</f>
        <v>1166.6666666666667</v>
      </c>
      <c r="G607" s="1"/>
      <c r="H607" s="171"/>
    </row>
    <row r="608" spans="1:8" x14ac:dyDescent="0.25">
      <c r="A608" s="3" t="s">
        <v>1538</v>
      </c>
      <c r="B608" s="2"/>
      <c r="C608" s="6"/>
      <c r="D608" s="6"/>
      <c r="E608" s="66"/>
      <c r="F608" s="39">
        <f>PACKAGING!E8</f>
        <v>420</v>
      </c>
      <c r="G608" s="1"/>
      <c r="H608" s="171"/>
    </row>
    <row r="609" spans="1:9" ht="16.5" thickBot="1" x14ac:dyDescent="0.3">
      <c r="A609" s="79" t="s">
        <v>525</v>
      </c>
      <c r="B609" s="70"/>
      <c r="C609" s="85"/>
      <c r="D609" s="85"/>
      <c r="E609" s="85"/>
      <c r="F609" s="51">
        <f>SUM(F601:F608)</f>
        <v>4902.5785714285712</v>
      </c>
      <c r="G609" s="134"/>
      <c r="H609" s="171"/>
    </row>
    <row r="610" spans="1:9" ht="16.5" thickBot="1" x14ac:dyDescent="0.3">
      <c r="A610" s="1147" t="s">
        <v>1559</v>
      </c>
      <c r="B610" s="1148"/>
      <c r="C610" s="1148"/>
      <c r="D610" s="1148"/>
      <c r="E610" s="276"/>
      <c r="F610" s="372">
        <f>F609*2</f>
        <v>9805.1571428571424</v>
      </c>
      <c r="G610" s="489">
        <f>F610+F610*50%</f>
        <v>14707.735714285714</v>
      </c>
      <c r="H610" s="1267">
        <v>13000</v>
      </c>
      <c r="I610" s="1266" t="s">
        <v>3687</v>
      </c>
    </row>
    <row r="611" spans="1:9" ht="16.5" thickBot="1" x14ac:dyDescent="0.3">
      <c r="H611" s="1234">
        <f>H610*2</f>
        <v>26000</v>
      </c>
    </row>
    <row r="613" spans="1:9" ht="16.5" thickBot="1" x14ac:dyDescent="0.3">
      <c r="A613" s="1602" t="s">
        <v>210</v>
      </c>
      <c r="B613" s="1600"/>
      <c r="C613" s="1600"/>
      <c r="D613" s="1600"/>
      <c r="E613" s="1600"/>
      <c r="F613" s="1600"/>
      <c r="G613" s="171"/>
      <c r="H613" s="171"/>
    </row>
    <row r="614" spans="1:9" x14ac:dyDescent="0.25">
      <c r="A614" s="1240" t="s">
        <v>916</v>
      </c>
      <c r="B614" s="1225" t="s">
        <v>1073</v>
      </c>
      <c r="C614" s="485" t="s">
        <v>1089</v>
      </c>
      <c r="D614" s="485" t="s">
        <v>1547</v>
      </c>
      <c r="E614" s="485" t="s">
        <v>1035</v>
      </c>
      <c r="F614" s="486" t="s">
        <v>1549</v>
      </c>
      <c r="G614" s="1"/>
      <c r="H614" s="171"/>
    </row>
    <row r="615" spans="1:9" x14ac:dyDescent="0.25">
      <c r="A615" s="2" t="s">
        <v>3549</v>
      </c>
      <c r="B615" s="98" t="s">
        <v>3550</v>
      </c>
      <c r="C615" s="241"/>
      <c r="D615" s="6"/>
      <c r="E615" s="66" t="s">
        <v>1649</v>
      </c>
      <c r="F615" s="39">
        <f>'AROS, CADENAS, DIJES, ETC'!C143</f>
        <v>7682</v>
      </c>
      <c r="G615" s="1"/>
      <c r="H615" s="171"/>
    </row>
    <row r="616" spans="1:9" x14ac:dyDescent="0.25">
      <c r="A616" s="104" t="s">
        <v>1557</v>
      </c>
      <c r="B616" s="190"/>
      <c r="C616" s="6"/>
      <c r="D616" s="6"/>
      <c r="E616" s="66"/>
      <c r="F616" s="39">
        <f>PACKAGING!E3</f>
        <v>150</v>
      </c>
      <c r="G616" s="1"/>
      <c r="H616" s="171"/>
    </row>
    <row r="617" spans="1:9" x14ac:dyDescent="0.25">
      <c r="A617" s="3" t="s">
        <v>1538</v>
      </c>
      <c r="B617" s="2"/>
      <c r="C617" s="6"/>
      <c r="D617" s="6"/>
      <c r="E617" s="66"/>
      <c r="F617" s="39">
        <f>PACKAGING!E8</f>
        <v>420</v>
      </c>
      <c r="G617" s="1"/>
      <c r="H617" s="171"/>
    </row>
    <row r="618" spans="1:9" ht="16.5" thickBot="1" x14ac:dyDescent="0.3">
      <c r="A618" s="79" t="s">
        <v>525</v>
      </c>
      <c r="B618" s="70"/>
      <c r="C618" s="85"/>
      <c r="D618" s="85"/>
      <c r="E618" s="85"/>
      <c r="F618" s="51">
        <f>SUM(F615:F617)</f>
        <v>8252</v>
      </c>
      <c r="G618" s="134"/>
      <c r="H618" s="171"/>
    </row>
    <row r="619" spans="1:9" ht="16.5" thickBot="1" x14ac:dyDescent="0.3">
      <c r="A619" s="1147" t="s">
        <v>1559</v>
      </c>
      <c r="B619" s="1148"/>
      <c r="C619" s="1148"/>
      <c r="D619" s="1148"/>
      <c r="E619" s="276"/>
      <c r="F619" s="372">
        <f>F618*2</f>
        <v>16504</v>
      </c>
      <c r="G619" s="489">
        <f>F619+F619*50%</f>
        <v>24756</v>
      </c>
      <c r="H619" s="1150">
        <v>26000</v>
      </c>
    </row>
    <row r="620" spans="1:9" ht="16.5" thickBot="1" x14ac:dyDescent="0.3">
      <c r="H620" s="1267">
        <f>H619*70%</f>
        <v>18200</v>
      </c>
      <c r="I620" s="1266" t="s">
        <v>3687</v>
      </c>
    </row>
    <row r="621" spans="1:9" x14ac:dyDescent="0.25">
      <c r="H621" s="1253"/>
    </row>
    <row r="622" spans="1:9" ht="16.5" thickBot="1" x14ac:dyDescent="0.3">
      <c r="A622" s="1602" t="s">
        <v>3663</v>
      </c>
      <c r="B622" s="1600"/>
      <c r="C622" s="1600"/>
      <c r="D622" s="1600"/>
      <c r="E622" s="1600"/>
      <c r="F622" s="1600"/>
      <c r="G622" s="171"/>
      <c r="H622" s="171"/>
    </row>
    <row r="623" spans="1:9" x14ac:dyDescent="0.25">
      <c r="A623" s="483" t="s">
        <v>916</v>
      </c>
      <c r="B623" s="1225" t="s">
        <v>1073</v>
      </c>
      <c r="C623" s="485" t="s">
        <v>1089</v>
      </c>
      <c r="D623" s="485" t="s">
        <v>1547</v>
      </c>
      <c r="E623" s="485" t="s">
        <v>1035</v>
      </c>
      <c r="F623" s="486" t="s">
        <v>1549</v>
      </c>
      <c r="G623" s="1"/>
      <c r="H623" s="171"/>
    </row>
    <row r="624" spans="1:9" x14ac:dyDescent="0.25">
      <c r="A624" s="340" t="s">
        <v>3528</v>
      </c>
      <c r="B624" s="2"/>
      <c r="C624" s="241"/>
      <c r="D624" s="6" t="s">
        <v>1649</v>
      </c>
      <c r="E624" s="66">
        <f>'AROS, CADENAS, DIJES, ETC'!D13</f>
        <v>690</v>
      </c>
      <c r="F624" s="39">
        <f>E624*2</f>
        <v>1380</v>
      </c>
      <c r="G624" s="1"/>
      <c r="H624" s="171"/>
    </row>
    <row r="625" spans="1:9" x14ac:dyDescent="0.25">
      <c r="A625" s="340" t="s">
        <v>1796</v>
      </c>
      <c r="B625" s="2"/>
      <c r="C625" s="241"/>
      <c r="D625" s="6">
        <v>2</v>
      </c>
      <c r="E625" s="66">
        <f>VIDRIOS!E21</f>
        <v>65</v>
      </c>
      <c r="F625" s="39">
        <f>E625*D625</f>
        <v>130</v>
      </c>
      <c r="G625" s="1"/>
      <c r="H625" s="171"/>
    </row>
    <row r="626" spans="1:9" x14ac:dyDescent="0.25">
      <c r="A626" s="340" t="s">
        <v>3117</v>
      </c>
      <c r="B626" s="2"/>
      <c r="C626" s="241"/>
      <c r="D626" s="6">
        <v>2</v>
      </c>
      <c r="E626" s="66">
        <f>FORNITURAS!D11</f>
        <v>99.083333333333329</v>
      </c>
      <c r="F626" s="39">
        <f>E626*D626</f>
        <v>198.16666666666666</v>
      </c>
      <c r="G626" s="1"/>
      <c r="H626" s="171"/>
    </row>
    <row r="627" spans="1:9" x14ac:dyDescent="0.25">
      <c r="A627" s="2" t="s">
        <v>3426</v>
      </c>
      <c r="B627" s="98"/>
      <c r="C627" s="241"/>
      <c r="D627" s="6">
        <v>2</v>
      </c>
      <c r="E627" s="66">
        <f>FORNITURAS!I13</f>
        <v>274.44444444444446</v>
      </c>
      <c r="F627" s="39">
        <f>E627*2</f>
        <v>548.88888888888891</v>
      </c>
      <c r="G627" s="1"/>
      <c r="H627" s="171"/>
    </row>
    <row r="628" spans="1:9" x14ac:dyDescent="0.25">
      <c r="A628" s="104" t="s">
        <v>1558</v>
      </c>
      <c r="B628" s="2">
        <v>60</v>
      </c>
      <c r="C628" s="6"/>
      <c r="D628" s="6">
        <v>15</v>
      </c>
      <c r="E628" s="66">
        <f>'INSUMOS VARIOS'!B3</f>
        <v>3500</v>
      </c>
      <c r="F628" s="39">
        <f>E628*D628/B628</f>
        <v>875</v>
      </c>
      <c r="G628" s="1"/>
      <c r="H628" s="171"/>
    </row>
    <row r="629" spans="1:9" x14ac:dyDescent="0.25">
      <c r="A629" s="3" t="s">
        <v>1557</v>
      </c>
      <c r="B629" s="2"/>
      <c r="C629" s="6"/>
      <c r="D629" s="6"/>
      <c r="E629" s="66"/>
      <c r="F629" s="39">
        <f>PACKAGING!E3</f>
        <v>150</v>
      </c>
      <c r="G629" s="1"/>
      <c r="H629" s="171"/>
    </row>
    <row r="630" spans="1:9" x14ac:dyDescent="0.25">
      <c r="A630" s="3" t="s">
        <v>1538</v>
      </c>
      <c r="B630" s="2"/>
      <c r="C630" s="6"/>
      <c r="D630" s="6"/>
      <c r="E630" s="66"/>
      <c r="F630" s="39">
        <f>PACKAGING!E8</f>
        <v>420</v>
      </c>
      <c r="G630" s="1"/>
      <c r="H630" s="171"/>
    </row>
    <row r="631" spans="1:9" ht="16.5" thickBot="1" x14ac:dyDescent="0.3">
      <c r="A631" s="79" t="s">
        <v>525</v>
      </c>
      <c r="B631" s="70"/>
      <c r="C631" s="85"/>
      <c r="D631" s="85"/>
      <c r="E631" s="85"/>
      <c r="F631" s="51">
        <f>SUM(F624:F630)</f>
        <v>3702.0555555555557</v>
      </c>
      <c r="G631" s="134"/>
      <c r="H631" s="171"/>
    </row>
    <row r="632" spans="1:9" ht="16.5" thickBot="1" x14ac:dyDescent="0.3">
      <c r="A632" s="1147" t="s">
        <v>1559</v>
      </c>
      <c r="B632" s="1148"/>
      <c r="C632" s="1148"/>
      <c r="D632" s="1148"/>
      <c r="E632" s="276"/>
      <c r="F632" s="372">
        <f>F631*2</f>
        <v>7404.1111111111113</v>
      </c>
      <c r="G632" s="489">
        <f>F632+F632*70%</f>
        <v>12586.988888888889</v>
      </c>
      <c r="H632" s="494">
        <v>18000</v>
      </c>
    </row>
    <row r="633" spans="1:9" ht="16.5" thickBot="1" x14ac:dyDescent="0.3">
      <c r="H633" s="1270">
        <f>H632*60%</f>
        <v>10800</v>
      </c>
      <c r="I633" s="1266" t="s">
        <v>3687</v>
      </c>
    </row>
    <row r="635" spans="1:9" ht="16.5" thickBot="1" x14ac:dyDescent="0.3">
      <c r="A635" s="1602" t="s">
        <v>3660</v>
      </c>
      <c r="B635" s="1600"/>
      <c r="C635" s="1600"/>
      <c r="D635" s="1600"/>
      <c r="E635" s="1600"/>
      <c r="F635" s="1600"/>
      <c r="G635" s="171"/>
      <c r="H635" s="171"/>
    </row>
    <row r="636" spans="1:9" x14ac:dyDescent="0.25">
      <c r="A636" s="483" t="s">
        <v>916</v>
      </c>
      <c r="B636" s="1225" t="s">
        <v>1073</v>
      </c>
      <c r="C636" s="485" t="s">
        <v>1089</v>
      </c>
      <c r="D636" s="485" t="s">
        <v>1547</v>
      </c>
      <c r="E636" s="485" t="s">
        <v>1035</v>
      </c>
      <c r="F636" s="486" t="s">
        <v>1549</v>
      </c>
      <c r="G636" s="1"/>
      <c r="H636" s="171"/>
    </row>
    <row r="637" spans="1:9" x14ac:dyDescent="0.25">
      <c r="A637" s="340" t="s">
        <v>3563</v>
      </c>
      <c r="B637" s="2"/>
      <c r="C637" s="241"/>
      <c r="D637" s="6" t="s">
        <v>1649</v>
      </c>
      <c r="E637" s="66">
        <f>'AROS, CADENAS, DIJES, ETC'!C100</f>
        <v>4570</v>
      </c>
      <c r="F637" s="39">
        <f>E637</f>
        <v>4570</v>
      </c>
      <c r="G637" s="1"/>
      <c r="H637" s="171"/>
    </row>
    <row r="638" spans="1:9" x14ac:dyDescent="0.25">
      <c r="A638" s="340" t="s">
        <v>3504</v>
      </c>
      <c r="B638" s="2"/>
      <c r="C638" s="241"/>
      <c r="D638" s="6">
        <v>2</v>
      </c>
      <c r="E638" s="66">
        <f>PIEDRAS!F136</f>
        <v>56.333333333333336</v>
      </c>
      <c r="F638" s="39">
        <f>E638*D638</f>
        <v>112.66666666666667</v>
      </c>
      <c r="G638" s="1"/>
      <c r="H638" s="171"/>
    </row>
    <row r="639" spans="1:9" x14ac:dyDescent="0.25">
      <c r="A639" s="340" t="s">
        <v>3117</v>
      </c>
      <c r="B639" s="2"/>
      <c r="C639" s="241"/>
      <c r="D639" s="6">
        <v>2</v>
      </c>
      <c r="E639" s="66">
        <f>FORNITURAS!D11</f>
        <v>99.083333333333329</v>
      </c>
      <c r="F639" s="39">
        <f>E639*D639</f>
        <v>198.16666666666666</v>
      </c>
      <c r="G639" s="1"/>
      <c r="H639" s="171"/>
    </row>
    <row r="640" spans="1:9" x14ac:dyDescent="0.25">
      <c r="A640" s="2" t="s">
        <v>3426</v>
      </c>
      <c r="B640" s="2"/>
      <c r="C640" s="241"/>
      <c r="D640" s="6">
        <v>2</v>
      </c>
      <c r="E640" s="66">
        <f>FORNITURAS!I13</f>
        <v>274.44444444444446</v>
      </c>
      <c r="F640" s="39">
        <f>E640*2</f>
        <v>548.88888888888891</v>
      </c>
      <c r="G640" s="1"/>
      <c r="H640" s="171"/>
    </row>
    <row r="641" spans="1:9" x14ac:dyDescent="0.25">
      <c r="A641" s="104" t="s">
        <v>1558</v>
      </c>
      <c r="B641" s="2">
        <v>60</v>
      </c>
      <c r="C641" s="6"/>
      <c r="D641" s="6">
        <v>15</v>
      </c>
      <c r="E641" s="66">
        <f>'INSUMOS VARIOS'!B3</f>
        <v>3500</v>
      </c>
      <c r="F641" s="39">
        <f>E641*D641/B641</f>
        <v>875</v>
      </c>
      <c r="G641" s="1"/>
      <c r="H641" s="171"/>
    </row>
    <row r="642" spans="1:9" x14ac:dyDescent="0.25">
      <c r="A642" s="3" t="s">
        <v>1557</v>
      </c>
      <c r="B642" s="2"/>
      <c r="C642" s="6"/>
      <c r="D642" s="6"/>
      <c r="E642" s="66"/>
      <c r="F642" s="39">
        <f>PACKAGING!E3</f>
        <v>150</v>
      </c>
      <c r="G642" s="1"/>
      <c r="H642" s="171"/>
    </row>
    <row r="643" spans="1:9" x14ac:dyDescent="0.25">
      <c r="A643" s="3" t="s">
        <v>1538</v>
      </c>
      <c r="B643" s="2"/>
      <c r="C643" s="6"/>
      <c r="D643" s="6"/>
      <c r="E643" s="66"/>
      <c r="F643" s="39">
        <f>PACKAGING!E8</f>
        <v>420</v>
      </c>
      <c r="G643" s="1"/>
      <c r="H643" s="171"/>
    </row>
    <row r="644" spans="1:9" ht="16.5" thickBot="1" x14ac:dyDescent="0.3">
      <c r="A644" s="79" t="s">
        <v>525</v>
      </c>
      <c r="B644" s="70"/>
      <c r="C644" s="85"/>
      <c r="D644" s="85"/>
      <c r="E644" s="85"/>
      <c r="F644" s="51">
        <f>SUM(F637:F643)</f>
        <v>6874.7222222222226</v>
      </c>
      <c r="G644" s="134"/>
      <c r="H644" s="171"/>
    </row>
    <row r="645" spans="1:9" ht="16.5" thickBot="1" x14ac:dyDescent="0.3">
      <c r="A645" s="1147" t="s">
        <v>1559</v>
      </c>
      <c r="B645" s="1148"/>
      <c r="C645" s="1148"/>
      <c r="D645" s="1148"/>
      <c r="E645" s="276"/>
      <c r="F645" s="372">
        <f>F644*2</f>
        <v>13749.444444444445</v>
      </c>
      <c r="G645" s="487">
        <f>F645+F645*70%</f>
        <v>23374.055555555555</v>
      </c>
      <c r="H645" s="1098">
        <v>22000</v>
      </c>
    </row>
    <row r="646" spans="1:9" ht="16.5" thickBot="1" x14ac:dyDescent="0.3">
      <c r="H646" s="1270">
        <f>H645*60%</f>
        <v>13200</v>
      </c>
      <c r="I646" s="1266" t="s">
        <v>3687</v>
      </c>
    </row>
    <row r="647" spans="1:9" ht="16.5" thickBot="1" x14ac:dyDescent="0.3">
      <c r="A647" s="1602" t="s">
        <v>3653</v>
      </c>
      <c r="B647" s="1600"/>
      <c r="C647" s="1600"/>
      <c r="D647" s="1600"/>
      <c r="E647" s="1600"/>
      <c r="F647" s="1600"/>
      <c r="G647" s="171"/>
      <c r="H647" s="171"/>
    </row>
    <row r="648" spans="1:9" x14ac:dyDescent="0.25">
      <c r="A648" s="1240" t="s">
        <v>916</v>
      </c>
      <c r="B648" s="1225" t="s">
        <v>1073</v>
      </c>
      <c r="C648" s="485" t="s">
        <v>1089</v>
      </c>
      <c r="D648" s="485" t="s">
        <v>1547</v>
      </c>
      <c r="E648" s="485" t="s">
        <v>1035</v>
      </c>
      <c r="F648" s="486" t="s">
        <v>1549</v>
      </c>
      <c r="G648" s="1"/>
      <c r="H648" s="171"/>
    </row>
    <row r="649" spans="1:9" x14ac:dyDescent="0.25">
      <c r="A649" s="2" t="s">
        <v>3555</v>
      </c>
      <c r="B649" s="98"/>
      <c r="C649" s="241"/>
      <c r="D649" s="6"/>
      <c r="E649" s="66" t="s">
        <v>1649</v>
      </c>
      <c r="F649" s="39">
        <f>'AROS, CADENAS, DIJES, ETC'!C30</f>
        <v>6599</v>
      </c>
      <c r="G649" s="1"/>
      <c r="H649" s="171"/>
    </row>
    <row r="650" spans="1:9" x14ac:dyDescent="0.25">
      <c r="A650" s="104" t="s">
        <v>1557</v>
      </c>
      <c r="B650" s="190"/>
      <c r="C650" s="6"/>
      <c r="D650" s="6"/>
      <c r="E650" s="66"/>
      <c r="F650" s="39">
        <f>PACKAGING!E3</f>
        <v>150</v>
      </c>
      <c r="G650" s="1"/>
      <c r="H650" s="171"/>
    </row>
    <row r="651" spans="1:9" x14ac:dyDescent="0.25">
      <c r="A651" s="3" t="s">
        <v>1538</v>
      </c>
      <c r="B651" s="2"/>
      <c r="C651" s="6"/>
      <c r="D651" s="6"/>
      <c r="E651" s="66"/>
      <c r="F651" s="39">
        <f>PACKAGING!E8</f>
        <v>420</v>
      </c>
      <c r="G651" s="1"/>
      <c r="H651" s="171"/>
    </row>
    <row r="652" spans="1:9" ht="16.5" thickBot="1" x14ac:dyDescent="0.3">
      <c r="A652" s="79" t="s">
        <v>525</v>
      </c>
      <c r="B652" s="70"/>
      <c r="C652" s="85"/>
      <c r="D652" s="85"/>
      <c r="E652" s="85"/>
      <c r="F652" s="51">
        <f>SUM(F649:F651)</f>
        <v>7169</v>
      </c>
      <c r="G652" s="134"/>
      <c r="H652" s="171"/>
    </row>
    <row r="653" spans="1:9" ht="16.5" thickBot="1" x14ac:dyDescent="0.3">
      <c r="A653" s="1147" t="s">
        <v>1559</v>
      </c>
      <c r="B653" s="1148"/>
      <c r="C653" s="1148"/>
      <c r="D653" s="1148"/>
      <c r="E653" s="276"/>
      <c r="F653" s="372">
        <f>F652*2</f>
        <v>14338</v>
      </c>
      <c r="G653" s="489">
        <f>F653+F653*70%</f>
        <v>24374.6</v>
      </c>
      <c r="H653" s="1150">
        <v>26000</v>
      </c>
    </row>
    <row r="654" spans="1:9" ht="16.5" thickBot="1" x14ac:dyDescent="0.3">
      <c r="H654" s="1265">
        <f>H653*60%</f>
        <v>15600</v>
      </c>
      <c r="I654" s="1266" t="s">
        <v>3687</v>
      </c>
    </row>
    <row r="655" spans="1:9" ht="16.5" thickBot="1" x14ac:dyDescent="0.3">
      <c r="A655" s="1602" t="s">
        <v>3794</v>
      </c>
      <c r="B655" s="1600"/>
      <c r="C655" s="1600"/>
      <c r="D655" s="1600"/>
      <c r="E655" s="1600"/>
      <c r="F655" s="1600"/>
      <c r="G655" s="171"/>
      <c r="H655" s="171"/>
    </row>
    <row r="656" spans="1:9" x14ac:dyDescent="0.25">
      <c r="A656" s="1240" t="s">
        <v>916</v>
      </c>
      <c r="B656" s="1225" t="s">
        <v>1073</v>
      </c>
      <c r="C656" s="485" t="s">
        <v>1089</v>
      </c>
      <c r="D656" s="485" t="s">
        <v>1547</v>
      </c>
      <c r="E656" s="485" t="s">
        <v>1035</v>
      </c>
      <c r="F656" s="486" t="s">
        <v>1549</v>
      </c>
      <c r="G656" s="1"/>
      <c r="H656" s="171"/>
    </row>
    <row r="657" spans="1:9" x14ac:dyDescent="0.25">
      <c r="A657" s="2" t="s">
        <v>3528</v>
      </c>
      <c r="B657" s="98" t="s">
        <v>3577</v>
      </c>
      <c r="C657" s="241"/>
      <c r="D657" s="6"/>
      <c r="E657" s="66" t="s">
        <v>1649</v>
      </c>
      <c r="F657" s="39">
        <f>PLATEADO!B32</f>
        <v>1225</v>
      </c>
      <c r="G657" s="1"/>
      <c r="H657" s="171"/>
    </row>
    <row r="658" spans="1:9" x14ac:dyDescent="0.25">
      <c r="A658" s="104" t="s">
        <v>1557</v>
      </c>
      <c r="B658" s="190"/>
      <c r="C658" s="6"/>
      <c r="D658" s="6"/>
      <c r="E658" s="66"/>
      <c r="F658" s="39">
        <f>PACKAGING!E3</f>
        <v>150</v>
      </c>
      <c r="G658" s="1"/>
      <c r="H658" s="171"/>
    </row>
    <row r="659" spans="1:9" x14ac:dyDescent="0.25">
      <c r="A659" s="3" t="s">
        <v>1538</v>
      </c>
      <c r="B659" s="2"/>
      <c r="C659" s="6"/>
      <c r="D659" s="6"/>
      <c r="E659" s="66"/>
      <c r="F659" s="39">
        <f>PACKAGING!E8</f>
        <v>420</v>
      </c>
      <c r="G659" s="1"/>
      <c r="H659" s="171"/>
    </row>
    <row r="660" spans="1:9" ht="16.5" thickBot="1" x14ac:dyDescent="0.3">
      <c r="A660" s="79" t="s">
        <v>525</v>
      </c>
      <c r="B660" s="70"/>
      <c r="C660" s="85"/>
      <c r="D660" s="85"/>
      <c r="E660" s="85"/>
      <c r="F660" s="51">
        <f>SUM(F657:F659)</f>
        <v>1795</v>
      </c>
      <c r="G660" s="134"/>
      <c r="H660" s="171"/>
    </row>
    <row r="661" spans="1:9" ht="16.5" thickBot="1" x14ac:dyDescent="0.3">
      <c r="A661" s="1147" t="s">
        <v>1559</v>
      </c>
      <c r="B661" s="1148"/>
      <c r="C661" s="1148"/>
      <c r="D661" s="1148"/>
      <c r="E661" s="276"/>
      <c r="F661" s="372">
        <f>F660*2</f>
        <v>3590</v>
      </c>
      <c r="G661" s="489">
        <f>F661+F661*50%</f>
        <v>5385</v>
      </c>
      <c r="H661" s="1267">
        <v>5000</v>
      </c>
      <c r="I661" s="1266" t="s">
        <v>3687</v>
      </c>
    </row>
    <row r="662" spans="1:9" ht="16.5" thickBot="1" x14ac:dyDescent="0.3">
      <c r="H662" s="1234">
        <f>H661*2</f>
        <v>10000</v>
      </c>
    </row>
    <row r="664" spans="1:9" ht="16.5" thickBot="1" x14ac:dyDescent="0.3">
      <c r="A664" s="1602" t="s">
        <v>3795</v>
      </c>
      <c r="B664" s="1600"/>
      <c r="C664" s="1600"/>
      <c r="D664" s="1600"/>
      <c r="E664" s="1600"/>
      <c r="F664" s="1600"/>
      <c r="G664" s="171"/>
      <c r="H664" s="171"/>
    </row>
    <row r="665" spans="1:9" x14ac:dyDescent="0.25">
      <c r="A665" s="1240" t="s">
        <v>916</v>
      </c>
      <c r="B665" s="1225" t="s">
        <v>1073</v>
      </c>
      <c r="C665" s="485" t="s">
        <v>1089</v>
      </c>
      <c r="D665" s="485" t="s">
        <v>1547</v>
      </c>
      <c r="E665" s="485" t="s">
        <v>1035</v>
      </c>
      <c r="F665" s="486" t="s">
        <v>1549</v>
      </c>
      <c r="G665" s="1"/>
      <c r="H665" s="171"/>
    </row>
    <row r="666" spans="1:9" x14ac:dyDescent="0.25">
      <c r="A666" s="2" t="s">
        <v>3528</v>
      </c>
      <c r="B666" s="98" t="s">
        <v>3578</v>
      </c>
      <c r="C666" s="241"/>
      <c r="D666" s="6"/>
      <c r="E666" s="66" t="s">
        <v>1649</v>
      </c>
      <c r="F666" s="39">
        <f>PLATEADO!B34</f>
        <v>1225</v>
      </c>
      <c r="G666" s="1"/>
      <c r="H666" s="171"/>
    </row>
    <row r="667" spans="1:9" x14ac:dyDescent="0.25">
      <c r="A667" s="104" t="s">
        <v>1557</v>
      </c>
      <c r="B667" s="190"/>
      <c r="C667" s="6"/>
      <c r="D667" s="6"/>
      <c r="E667" s="66"/>
      <c r="F667" s="39">
        <f>PACKAGING!E3</f>
        <v>150</v>
      </c>
      <c r="G667" s="1"/>
      <c r="H667" s="171"/>
    </row>
    <row r="668" spans="1:9" x14ac:dyDescent="0.25">
      <c r="A668" s="3" t="s">
        <v>1538</v>
      </c>
      <c r="B668" s="2"/>
      <c r="C668" s="6"/>
      <c r="D668" s="6"/>
      <c r="E668" s="66"/>
      <c r="F668" s="39">
        <f>PACKAGING!E8</f>
        <v>420</v>
      </c>
      <c r="G668" s="1"/>
      <c r="H668" s="171"/>
    </row>
    <row r="669" spans="1:9" ht="16.5" thickBot="1" x14ac:dyDescent="0.3">
      <c r="A669" s="79" t="s">
        <v>525</v>
      </c>
      <c r="B669" s="70"/>
      <c r="C669" s="85"/>
      <c r="D669" s="85"/>
      <c r="E669" s="85"/>
      <c r="F669" s="51">
        <f>SUM(F666:F668)</f>
        <v>1795</v>
      </c>
      <c r="G669" s="134"/>
      <c r="H669" s="171"/>
    </row>
    <row r="670" spans="1:9" ht="16.5" thickBot="1" x14ac:dyDescent="0.3">
      <c r="A670" s="1147" t="s">
        <v>1559</v>
      </c>
      <c r="B670" s="1148"/>
      <c r="C670" s="1148"/>
      <c r="D670" s="1148"/>
      <c r="E670" s="276"/>
      <c r="F670" s="372">
        <f>F669*2</f>
        <v>3590</v>
      </c>
      <c r="G670" s="489">
        <f>F670+F670*50%</f>
        <v>5385</v>
      </c>
      <c r="H670" s="1265">
        <v>6000</v>
      </c>
      <c r="I670" s="1266" t="s">
        <v>3687</v>
      </c>
    </row>
    <row r="671" spans="1:9" ht="16.5" thickBot="1" x14ac:dyDescent="0.3">
      <c r="H671" s="1234">
        <f>H670*2</f>
        <v>12000</v>
      </c>
    </row>
    <row r="673" spans="1:9" ht="16.5" thickBot="1" x14ac:dyDescent="0.3">
      <c r="A673" s="1602" t="s">
        <v>3796</v>
      </c>
      <c r="B673" s="1600"/>
      <c r="C673" s="1600"/>
      <c r="D673" s="1600"/>
      <c r="E673" s="1600"/>
      <c r="F673" s="1600"/>
      <c r="G673" s="171"/>
      <c r="H673" s="171"/>
    </row>
    <row r="674" spans="1:9" x14ac:dyDescent="0.25">
      <c r="A674" s="1240" t="s">
        <v>916</v>
      </c>
      <c r="B674" s="1225" t="s">
        <v>1073</v>
      </c>
      <c r="C674" s="485" t="s">
        <v>1089</v>
      </c>
      <c r="D674" s="485" t="s">
        <v>1547</v>
      </c>
      <c r="E674" s="485" t="s">
        <v>1035</v>
      </c>
      <c r="F674" s="486" t="s">
        <v>1549</v>
      </c>
      <c r="G674" s="1"/>
      <c r="H674" s="171"/>
    </row>
    <row r="675" spans="1:9" x14ac:dyDescent="0.25">
      <c r="A675" s="2" t="s">
        <v>3528</v>
      </c>
      <c r="B675" s="98" t="s">
        <v>3576</v>
      </c>
      <c r="C675" s="241"/>
      <c r="D675" s="6"/>
      <c r="E675" s="66" t="s">
        <v>1649</v>
      </c>
      <c r="F675" s="39">
        <f>PLATEADO!B35</f>
        <v>2486</v>
      </c>
      <c r="G675" s="1"/>
      <c r="H675" s="171"/>
    </row>
    <row r="676" spans="1:9" x14ac:dyDescent="0.25">
      <c r="A676" s="104" t="s">
        <v>1557</v>
      </c>
      <c r="B676" s="190"/>
      <c r="C676" s="6"/>
      <c r="D676" s="6"/>
      <c r="E676" s="66"/>
      <c r="F676" s="39">
        <f>PACKAGING!E3</f>
        <v>150</v>
      </c>
      <c r="G676" s="1"/>
      <c r="H676" s="171"/>
    </row>
    <row r="677" spans="1:9" x14ac:dyDescent="0.25">
      <c r="A677" s="3" t="s">
        <v>1538</v>
      </c>
      <c r="B677" s="2"/>
      <c r="C677" s="6"/>
      <c r="D677" s="6"/>
      <c r="E677" s="66"/>
      <c r="F677" s="39">
        <f>PACKAGING!E8</f>
        <v>420</v>
      </c>
      <c r="G677" s="1"/>
      <c r="H677" s="171"/>
    </row>
    <row r="678" spans="1:9" ht="16.5" thickBot="1" x14ac:dyDescent="0.3">
      <c r="A678" s="79" t="s">
        <v>525</v>
      </c>
      <c r="B678" s="70"/>
      <c r="C678" s="85"/>
      <c r="D678" s="85"/>
      <c r="E678" s="85"/>
      <c r="F678" s="51">
        <f>SUM(F675:F677)</f>
        <v>3056</v>
      </c>
      <c r="G678" s="134"/>
      <c r="H678" s="171"/>
    </row>
    <row r="679" spans="1:9" ht="16.5" thickBot="1" x14ac:dyDescent="0.3">
      <c r="A679" s="1147" t="s">
        <v>1559</v>
      </c>
      <c r="B679" s="1148"/>
      <c r="C679" s="1148"/>
      <c r="D679" s="1148"/>
      <c r="E679" s="276"/>
      <c r="F679" s="372">
        <f>F678*2</f>
        <v>6112</v>
      </c>
      <c r="G679" s="489">
        <f>F679+F679*50%</f>
        <v>9168</v>
      </c>
      <c r="H679" s="1265">
        <v>8500</v>
      </c>
      <c r="I679" s="1266" t="s">
        <v>3687</v>
      </c>
    </row>
    <row r="680" spans="1:9" ht="16.5" thickBot="1" x14ac:dyDescent="0.3">
      <c r="H680" s="1234">
        <f>H679*2</f>
        <v>17000</v>
      </c>
    </row>
    <row r="682" spans="1:9" x14ac:dyDescent="0.25">
      <c r="A682" s="1601" t="s">
        <v>128</v>
      </c>
      <c r="B682" s="1588"/>
      <c r="C682" s="1588"/>
      <c r="D682" s="1588"/>
      <c r="E682" s="1588"/>
      <c r="F682" s="1722"/>
      <c r="G682" s="23"/>
      <c r="H682" s="171"/>
    </row>
    <row r="683" spans="1:9" x14ac:dyDescent="0.25">
      <c r="A683" s="271" t="s">
        <v>916</v>
      </c>
      <c r="B683" s="272" t="s">
        <v>1073</v>
      </c>
      <c r="C683" s="273" t="s">
        <v>1607</v>
      </c>
      <c r="D683" s="273" t="s">
        <v>1547</v>
      </c>
      <c r="E683" s="273" t="s">
        <v>1035</v>
      </c>
      <c r="F683" s="274" t="s">
        <v>1549</v>
      </c>
      <c r="G683" s="1"/>
      <c r="H683" s="171"/>
    </row>
    <row r="684" spans="1:9" x14ac:dyDescent="0.25">
      <c r="A684" s="3" t="s">
        <v>1929</v>
      </c>
      <c r="B684" s="2"/>
      <c r="C684" s="6"/>
      <c r="D684" s="6">
        <v>2</v>
      </c>
      <c r="E684" s="66">
        <f>'AROS, CADENAS, DIJES, ETC'!D130</f>
        <v>770</v>
      </c>
      <c r="F684" s="39">
        <f>E684*D684</f>
        <v>1540</v>
      </c>
      <c r="G684" s="1"/>
      <c r="H684" s="171"/>
    </row>
    <row r="685" spans="1:9" x14ac:dyDescent="0.25">
      <c r="A685" s="2" t="s">
        <v>1723</v>
      </c>
      <c r="B685" s="2"/>
      <c r="C685" s="6">
        <v>0.24</v>
      </c>
      <c r="D685" s="6">
        <v>1</v>
      </c>
      <c r="E685" s="66">
        <f>'HILOS-CORDONES-TANZA-CUERO'!L3</f>
        <v>6.8</v>
      </c>
      <c r="F685" s="39">
        <f>E685*C685</f>
        <v>1.6319999999999999</v>
      </c>
      <c r="G685" s="1"/>
      <c r="H685" s="171"/>
    </row>
    <row r="686" spans="1:9" x14ac:dyDescent="0.25">
      <c r="A686" s="104" t="s">
        <v>1012</v>
      </c>
      <c r="B686" s="2"/>
      <c r="C686" s="6"/>
      <c r="D686" s="6">
        <v>4</v>
      </c>
      <c r="E686" s="66">
        <f>FORNITURAS!D16</f>
        <v>45.05</v>
      </c>
      <c r="F686" s="39">
        <f>E686*D686</f>
        <v>180.2</v>
      </c>
      <c r="G686" s="1"/>
      <c r="H686" s="171"/>
    </row>
    <row r="687" spans="1:9" x14ac:dyDescent="0.25">
      <c r="A687" s="3" t="s">
        <v>3628</v>
      </c>
      <c r="B687" s="2"/>
      <c r="C687" s="6"/>
      <c r="D687" s="6">
        <v>14</v>
      </c>
      <c r="E687" s="66">
        <f>'PERLAS 2'!O5</f>
        <v>108.25</v>
      </c>
      <c r="F687" s="39">
        <f t="shared" ref="F687:F690" si="3">E687*D687</f>
        <v>1515.5</v>
      </c>
      <c r="G687" s="1"/>
      <c r="H687" s="171"/>
    </row>
    <row r="688" spans="1:9" x14ac:dyDescent="0.25">
      <c r="A688" s="3" t="s">
        <v>3629</v>
      </c>
      <c r="B688" s="2"/>
      <c r="C688" s="6"/>
      <c r="D688" s="6">
        <v>2</v>
      </c>
      <c r="E688" s="66">
        <f>'PERLAS 2'!H19</f>
        <v>331.69230769230768</v>
      </c>
      <c r="F688" s="39">
        <f t="shared" si="3"/>
        <v>663.38461538461536</v>
      </c>
      <c r="G688" s="1"/>
      <c r="H688" s="171"/>
    </row>
    <row r="689" spans="1:11" x14ac:dyDescent="0.25">
      <c r="A689" s="3" t="s">
        <v>3631</v>
      </c>
      <c r="B689" s="2"/>
      <c r="C689" s="6"/>
      <c r="D689" s="6">
        <v>3</v>
      </c>
      <c r="E689" s="66">
        <f>'PERLAS 2'!H16</f>
        <v>1305.92</v>
      </c>
      <c r="F689" s="39">
        <f t="shared" si="3"/>
        <v>3917.76</v>
      </c>
      <c r="G689" s="1"/>
      <c r="H689" s="171"/>
    </row>
    <row r="690" spans="1:11" x14ac:dyDescent="0.25">
      <c r="A690" s="3" t="s">
        <v>3610</v>
      </c>
      <c r="B690" s="2"/>
      <c r="C690" s="6"/>
      <c r="D690" s="6">
        <v>1</v>
      </c>
      <c r="E690" s="66">
        <f>'PERLAS 2'!H14</f>
        <v>324.8</v>
      </c>
      <c r="F690" s="39">
        <f t="shared" si="3"/>
        <v>324.8</v>
      </c>
      <c r="G690" s="1"/>
      <c r="H690" s="171"/>
    </row>
    <row r="691" spans="1:11" x14ac:dyDescent="0.25">
      <c r="A691" s="3" t="s">
        <v>3633</v>
      </c>
      <c r="B691" s="2"/>
      <c r="C691" s="6"/>
      <c r="D691" s="6">
        <v>3</v>
      </c>
      <c r="E691" s="66">
        <f>'PERLAS 2'!H32</f>
        <v>684.44444444444446</v>
      </c>
      <c r="F691" s="39">
        <f>E691*D691</f>
        <v>2053.3333333333335</v>
      </c>
      <c r="G691" s="1"/>
      <c r="H691" s="171"/>
    </row>
    <row r="692" spans="1:11" x14ac:dyDescent="0.25">
      <c r="A692" s="3" t="s">
        <v>1050</v>
      </c>
      <c r="B692" s="2" t="s">
        <v>1062</v>
      </c>
      <c r="C692" s="6">
        <v>1</v>
      </c>
      <c r="D692" s="6">
        <v>0.15</v>
      </c>
      <c r="E692" s="66">
        <f>FORNITURAS!W6</f>
        <v>541.13207547169816</v>
      </c>
      <c r="F692" s="39">
        <f>D692*E692/C692</f>
        <v>81.169811320754718</v>
      </c>
      <c r="G692" s="1"/>
      <c r="H692" s="171"/>
    </row>
    <row r="693" spans="1:11" x14ac:dyDescent="0.25">
      <c r="A693" s="3" t="s">
        <v>1971</v>
      </c>
      <c r="B693" s="2" t="s">
        <v>1556</v>
      </c>
      <c r="C693" s="6"/>
      <c r="D693" s="6">
        <v>1</v>
      </c>
      <c r="E693" s="66">
        <f>FORNITURAS!D4</f>
        <v>48.7</v>
      </c>
      <c r="F693" s="39">
        <f>E693</f>
        <v>48.7</v>
      </c>
      <c r="G693" s="1"/>
      <c r="H693" s="171"/>
    </row>
    <row r="694" spans="1:11" x14ac:dyDescent="0.25">
      <c r="A694" s="3" t="s">
        <v>1557</v>
      </c>
      <c r="B694" s="2"/>
      <c r="C694" s="6"/>
      <c r="D694" s="6"/>
      <c r="E694" s="66"/>
      <c r="F694" s="39">
        <f>PACKAGING!E3</f>
        <v>150</v>
      </c>
      <c r="G694" s="1"/>
      <c r="H694" s="171"/>
    </row>
    <row r="695" spans="1:11" x14ac:dyDescent="0.25">
      <c r="A695" s="3" t="s">
        <v>1558</v>
      </c>
      <c r="B695" s="2">
        <v>60</v>
      </c>
      <c r="C695" s="6"/>
      <c r="D695" s="6">
        <v>60</v>
      </c>
      <c r="E695" s="66">
        <f>'INSUMOS VARIOS'!B3</f>
        <v>3500</v>
      </c>
      <c r="F695" s="39">
        <f>E695*D695/B695</f>
        <v>3500</v>
      </c>
      <c r="G695" s="1" t="s">
        <v>3023</v>
      </c>
      <c r="H695" s="171"/>
    </row>
    <row r="696" spans="1:11" ht="16.5" thickBot="1" x14ac:dyDescent="0.3">
      <c r="A696" s="79" t="s">
        <v>525</v>
      </c>
      <c r="B696" s="70"/>
      <c r="C696" s="85"/>
      <c r="D696" s="85"/>
      <c r="E696" s="85"/>
      <c r="F696" s="51">
        <f>SUM(F684:F695)</f>
        <v>13976.479760038705</v>
      </c>
      <c r="G696" s="1072">
        <f>F696+H697+H698</f>
        <v>17254.479760038703</v>
      </c>
      <c r="H696" s="632" t="s">
        <v>3394</v>
      </c>
      <c r="I696" s="876"/>
    </row>
    <row r="697" spans="1:11" ht="16.5" thickBot="1" x14ac:dyDescent="0.3">
      <c r="A697" s="80" t="s">
        <v>544</v>
      </c>
      <c r="B697" s="220"/>
      <c r="C697" s="220"/>
      <c r="D697" s="220"/>
      <c r="E697" s="220"/>
      <c r="F697" s="221">
        <f>F696*2</f>
        <v>27952.959520077409</v>
      </c>
      <c r="G697" s="492">
        <f>F697+F697*70%</f>
        <v>47520.0311841316</v>
      </c>
      <c r="H697" s="1254">
        <f>PACKAGING!I3</f>
        <v>2433</v>
      </c>
      <c r="I697" s="1255">
        <f>G697+H697+H698</f>
        <v>50798.0311841316</v>
      </c>
      <c r="J697" s="1191">
        <v>52000</v>
      </c>
    </row>
    <row r="698" spans="1:11" ht="16.5" thickBot="1" x14ac:dyDescent="0.3">
      <c r="A698" s="275" t="s">
        <v>1559</v>
      </c>
      <c r="B698" s="269"/>
      <c r="C698" s="269"/>
      <c r="D698" s="269"/>
      <c r="E698" s="269"/>
      <c r="F698" s="488"/>
      <c r="G698" s="488"/>
      <c r="H698" s="1256">
        <f>PACKAGING!I5</f>
        <v>845</v>
      </c>
      <c r="I698" s="1257"/>
      <c r="J698" s="1268">
        <f>J697*60%</f>
        <v>31200</v>
      </c>
      <c r="K698" s="1266" t="s">
        <v>3687</v>
      </c>
    </row>
    <row r="700" spans="1:11" ht="16.5" thickBot="1" x14ac:dyDescent="0.3">
      <c r="A700" s="1602" t="s">
        <v>3659</v>
      </c>
      <c r="B700" s="1600"/>
      <c r="C700" s="1600"/>
      <c r="D700" s="1600"/>
      <c r="E700" s="1600"/>
      <c r="F700" s="1600"/>
      <c r="G700" s="171"/>
      <c r="H700" s="171"/>
    </row>
    <row r="701" spans="1:11" x14ac:dyDescent="0.25">
      <c r="A701" s="483" t="s">
        <v>916</v>
      </c>
      <c r="B701" s="1225" t="s">
        <v>1073</v>
      </c>
      <c r="C701" s="485" t="s">
        <v>1089</v>
      </c>
      <c r="D701" s="485" t="s">
        <v>1547</v>
      </c>
      <c r="E701" s="485" t="s">
        <v>1035</v>
      </c>
      <c r="F701" s="486" t="s">
        <v>1549</v>
      </c>
      <c r="G701" s="1"/>
      <c r="H701" s="171"/>
    </row>
    <row r="702" spans="1:11" x14ac:dyDescent="0.25">
      <c r="A702" s="340" t="s">
        <v>3563</v>
      </c>
      <c r="B702" s="2"/>
      <c r="C702" s="241"/>
      <c r="D702" s="6" t="s">
        <v>1649</v>
      </c>
      <c r="E702" s="66">
        <f>'AROS, CADENAS, DIJES, ETC'!D100</f>
        <v>2285</v>
      </c>
      <c r="F702" s="39">
        <f>E702*2</f>
        <v>4570</v>
      </c>
      <c r="G702" s="1"/>
      <c r="H702" s="171"/>
    </row>
    <row r="703" spans="1:11" x14ac:dyDescent="0.25">
      <c r="A703" s="340" t="s">
        <v>3636</v>
      </c>
      <c r="B703" s="2"/>
      <c r="C703" s="241"/>
      <c r="D703" s="6">
        <v>2</v>
      </c>
      <c r="E703" s="66">
        <f>PIEDRAS!F74</f>
        <v>103.44827586206897</v>
      </c>
      <c r="F703" s="39">
        <f>E703*D703</f>
        <v>206.89655172413794</v>
      </c>
      <c r="G703" s="1"/>
      <c r="H703" s="171"/>
    </row>
    <row r="704" spans="1:11" x14ac:dyDescent="0.25">
      <c r="A704" s="340" t="s">
        <v>3117</v>
      </c>
      <c r="B704" s="2"/>
      <c r="C704" s="241"/>
      <c r="D704" s="6">
        <v>2</v>
      </c>
      <c r="E704" s="66">
        <f>FORNITURAS!D11</f>
        <v>99.083333333333329</v>
      </c>
      <c r="F704" s="39">
        <f>E704*D704</f>
        <v>198.16666666666666</v>
      </c>
      <c r="G704" s="1"/>
      <c r="H704" s="171"/>
    </row>
    <row r="705" spans="1:9" x14ac:dyDescent="0.25">
      <c r="A705" s="2" t="s">
        <v>3426</v>
      </c>
      <c r="B705" s="2"/>
      <c r="C705" s="241"/>
      <c r="D705" s="6">
        <v>2</v>
      </c>
      <c r="E705" s="66">
        <f>FORNITURAS!I13</f>
        <v>274.44444444444446</v>
      </c>
      <c r="F705" s="39">
        <f>E705*2</f>
        <v>548.88888888888891</v>
      </c>
      <c r="G705" s="1"/>
      <c r="H705" s="171"/>
    </row>
    <row r="706" spans="1:9" x14ac:dyDescent="0.25">
      <c r="A706" s="104" t="s">
        <v>1558</v>
      </c>
      <c r="B706" s="2">
        <v>60</v>
      </c>
      <c r="C706" s="6"/>
      <c r="D706" s="6">
        <v>20</v>
      </c>
      <c r="E706" s="66">
        <f>'INSUMOS VARIOS'!B3</f>
        <v>3500</v>
      </c>
      <c r="F706" s="39">
        <f>E706*D706/B706</f>
        <v>1166.6666666666667</v>
      </c>
      <c r="G706" s="1"/>
      <c r="H706" s="171"/>
    </row>
    <row r="707" spans="1:9" x14ac:dyDescent="0.25">
      <c r="A707" s="3" t="s">
        <v>1557</v>
      </c>
      <c r="B707" s="2"/>
      <c r="C707" s="6"/>
      <c r="D707" s="6"/>
      <c r="E707" s="66"/>
      <c r="F707" s="39">
        <f>PACKAGING!E3</f>
        <v>150</v>
      </c>
      <c r="G707" s="1"/>
      <c r="H707" s="171"/>
    </row>
    <row r="708" spans="1:9" x14ac:dyDescent="0.25">
      <c r="A708" s="3" t="s">
        <v>1538</v>
      </c>
      <c r="B708" s="2"/>
      <c r="C708" s="6"/>
      <c r="D708" s="6"/>
      <c r="E708" s="66"/>
      <c r="F708" s="39">
        <f>PACKAGING!E8</f>
        <v>420</v>
      </c>
      <c r="G708" s="1"/>
      <c r="H708" s="171"/>
    </row>
    <row r="709" spans="1:9" ht="16.5" thickBot="1" x14ac:dyDescent="0.3">
      <c r="A709" s="79" t="s">
        <v>525</v>
      </c>
      <c r="B709" s="70"/>
      <c r="C709" s="85"/>
      <c r="D709" s="85"/>
      <c r="E709" s="85"/>
      <c r="F709" s="51">
        <f>SUM(F702:F708)</f>
        <v>7260.6187739463603</v>
      </c>
      <c r="G709" s="134"/>
      <c r="H709" s="171"/>
    </row>
    <row r="710" spans="1:9" ht="16.5" thickBot="1" x14ac:dyDescent="0.3">
      <c r="A710" s="1147" t="s">
        <v>1559</v>
      </c>
      <c r="B710" s="1148"/>
      <c r="C710" s="1148"/>
      <c r="D710" s="1148"/>
      <c r="E710" s="276"/>
      <c r="F710" s="372">
        <f>F709*2</f>
        <v>14521.237547892721</v>
      </c>
      <c r="G710" s="487">
        <f>F710+F710*70%</f>
        <v>24686.103831417626</v>
      </c>
      <c r="H710" s="1098">
        <v>20000</v>
      </c>
    </row>
    <row r="711" spans="1:9" ht="16.5" thickBot="1" x14ac:dyDescent="0.3">
      <c r="H711" s="1268">
        <f>H710*60%</f>
        <v>12000</v>
      </c>
      <c r="I711" s="1266" t="s">
        <v>3687</v>
      </c>
    </row>
    <row r="712" spans="1:9" x14ac:dyDescent="0.25">
      <c r="A712" s="1589" t="s">
        <v>3213</v>
      </c>
      <c r="B712" s="1596"/>
      <c r="C712" s="1596"/>
      <c r="D712" s="1596"/>
      <c r="E712" s="1590"/>
      <c r="F712" s="23"/>
      <c r="G712" s="171"/>
    </row>
    <row r="713" spans="1:9" x14ac:dyDescent="0.25">
      <c r="A713" s="271" t="s">
        <v>916</v>
      </c>
      <c r="B713" s="272" t="s">
        <v>1073</v>
      </c>
      <c r="C713" s="273" t="s">
        <v>1547</v>
      </c>
      <c r="D713" s="273" t="s">
        <v>1035</v>
      </c>
      <c r="E713" s="274" t="s">
        <v>1549</v>
      </c>
      <c r="F713" s="1"/>
      <c r="G713" s="171"/>
    </row>
    <row r="714" spans="1:9" x14ac:dyDescent="0.25">
      <c r="A714" s="3" t="s">
        <v>811</v>
      </c>
      <c r="B714" s="2">
        <v>2.5</v>
      </c>
      <c r="C714" s="6">
        <v>2</v>
      </c>
      <c r="D714" s="66">
        <f>'AROS, CADENAS, DIJES, ETC'!D15</f>
        <v>705</v>
      </c>
      <c r="E714" s="39">
        <f>D714*2</f>
        <v>1410</v>
      </c>
      <c r="F714" s="1"/>
      <c r="G714" s="171"/>
    </row>
    <row r="715" spans="1:9" x14ac:dyDescent="0.25">
      <c r="A715" s="3" t="s">
        <v>2055</v>
      </c>
      <c r="B715" s="2"/>
      <c r="C715" s="6">
        <v>20</v>
      </c>
      <c r="D715" s="66">
        <f>VIDRIOS!E32</f>
        <v>59.583333333333336</v>
      </c>
      <c r="E715" s="39">
        <f>D715*C715</f>
        <v>1191.6666666666667</v>
      </c>
      <c r="F715" s="1"/>
      <c r="G715" s="171"/>
    </row>
    <row r="716" spans="1:9" x14ac:dyDescent="0.25">
      <c r="A716" s="184" t="s">
        <v>3637</v>
      </c>
      <c r="B716" s="2"/>
      <c r="C716" s="6">
        <v>0.18</v>
      </c>
      <c r="D716" s="66">
        <f>FORNITURAS!W6</f>
        <v>541.13207547169816</v>
      </c>
      <c r="E716" s="39">
        <f>D716*C716</f>
        <v>97.403773584905665</v>
      </c>
      <c r="F716" s="1"/>
      <c r="G716" s="171"/>
    </row>
    <row r="717" spans="1:9" x14ac:dyDescent="0.25">
      <c r="A717" s="3" t="s">
        <v>1557</v>
      </c>
      <c r="B717" s="2"/>
      <c r="C717" s="6"/>
      <c r="D717" s="66"/>
      <c r="E717" s="39">
        <f>PACKAGING!E3</f>
        <v>150</v>
      </c>
      <c r="F717" s="1"/>
      <c r="G717" s="171"/>
    </row>
    <row r="718" spans="1:9" x14ac:dyDescent="0.25">
      <c r="A718" s="3" t="s">
        <v>1538</v>
      </c>
      <c r="B718" s="2"/>
      <c r="C718" s="6"/>
      <c r="D718" s="66"/>
      <c r="E718" s="39">
        <f>PACKAGING!E8</f>
        <v>420</v>
      </c>
      <c r="F718" s="1"/>
      <c r="G718" s="171"/>
    </row>
    <row r="719" spans="1:9" x14ac:dyDescent="0.25">
      <c r="A719" s="3" t="s">
        <v>1558</v>
      </c>
      <c r="B719" s="2">
        <v>60</v>
      </c>
      <c r="C719" s="6">
        <v>20</v>
      </c>
      <c r="D719" s="66">
        <f>'INSUMOS VARIOS'!B3</f>
        <v>3500</v>
      </c>
      <c r="E719" s="39">
        <f>D719*C719/B719</f>
        <v>1166.6666666666667</v>
      </c>
      <c r="G719" s="1"/>
    </row>
    <row r="720" spans="1:9" ht="16.5" thickBot="1" x14ac:dyDescent="0.3">
      <c r="A720" s="79" t="s">
        <v>525</v>
      </c>
      <c r="B720" s="70"/>
      <c r="C720" s="85"/>
      <c r="D720" s="85"/>
      <c r="E720" s="51">
        <f>SUM(E714:E719)</f>
        <v>4435.7371069182391</v>
      </c>
      <c r="F720" s="134"/>
      <c r="G720" s="171"/>
    </row>
    <row r="721" spans="1:8" x14ac:dyDescent="0.25">
      <c r="A721" s="80" t="s">
        <v>544</v>
      </c>
      <c r="B721" s="220"/>
      <c r="C721" s="220"/>
      <c r="D721" s="220"/>
      <c r="E721" s="72">
        <f>E720*2</f>
        <v>8871.4742138364782</v>
      </c>
      <c r="F721" s="496">
        <f>E721+E721*70%</f>
        <v>15081.506163522012</v>
      </c>
      <c r="G721" s="268">
        <v>20000</v>
      </c>
    </row>
    <row r="722" spans="1:8" ht="16.5" thickBot="1" x14ac:dyDescent="0.3">
      <c r="A722" s="275" t="s">
        <v>1559</v>
      </c>
      <c r="B722" s="269"/>
      <c r="C722" s="269"/>
      <c r="D722" s="269"/>
      <c r="E722" s="493"/>
      <c r="F722" s="505"/>
      <c r="G722" s="1271">
        <f>G721*60%</f>
        <v>12000</v>
      </c>
      <c r="H722" s="1266" t="s">
        <v>3687</v>
      </c>
    </row>
    <row r="723" spans="1:8" ht="16.5" thickBot="1" x14ac:dyDescent="0.3"/>
    <row r="724" spans="1:8" ht="16.5" thickBot="1" x14ac:dyDescent="0.3">
      <c r="A724" s="1730" t="s">
        <v>3809</v>
      </c>
      <c r="B724" s="1731"/>
      <c r="C724" s="1731"/>
      <c r="D724" s="1731"/>
      <c r="E724" s="1732"/>
      <c r="F724" s="23"/>
      <c r="G724" s="171"/>
    </row>
    <row r="725" spans="1:8" x14ac:dyDescent="0.25">
      <c r="A725" s="501" t="s">
        <v>916</v>
      </c>
      <c r="B725" s="502" t="s">
        <v>1073</v>
      </c>
      <c r="C725" s="503" t="s">
        <v>1547</v>
      </c>
      <c r="D725" s="503" t="s">
        <v>1035</v>
      </c>
      <c r="E725" s="504" t="s">
        <v>1549</v>
      </c>
      <c r="F725" s="1"/>
      <c r="G725" s="171"/>
    </row>
    <row r="726" spans="1:8" x14ac:dyDescent="0.25">
      <c r="A726" s="3" t="s">
        <v>784</v>
      </c>
      <c r="B726" s="2"/>
      <c r="C726" s="6">
        <v>2</v>
      </c>
      <c r="D726" s="66">
        <f>'AROS, CADENAS, DIJES, ETC'!D9</f>
        <v>1500</v>
      </c>
      <c r="E726" s="39">
        <f>D726*2</f>
        <v>3000</v>
      </c>
      <c r="F726" s="171"/>
      <c r="G726" s="171"/>
    </row>
    <row r="727" spans="1:8" x14ac:dyDescent="0.25">
      <c r="A727" s="3" t="s">
        <v>3638</v>
      </c>
      <c r="B727" s="2"/>
      <c r="C727" s="6">
        <v>2</v>
      </c>
      <c r="D727" s="66">
        <v>300</v>
      </c>
      <c r="E727" s="39">
        <f>D727*C727</f>
        <v>600</v>
      </c>
      <c r="F727" s="171"/>
      <c r="G727" s="171"/>
    </row>
    <row r="728" spans="1:8" x14ac:dyDescent="0.25">
      <c r="A728" s="3" t="s">
        <v>1557</v>
      </c>
      <c r="B728" s="2"/>
      <c r="C728" s="6"/>
      <c r="D728" s="66"/>
      <c r="E728" s="39">
        <f>PACKAGING!E3</f>
        <v>150</v>
      </c>
      <c r="F728" s="1"/>
      <c r="G728" s="171"/>
    </row>
    <row r="729" spans="1:8" x14ac:dyDescent="0.25">
      <c r="A729" s="3" t="s">
        <v>1538</v>
      </c>
      <c r="B729" s="2"/>
      <c r="C729" s="6"/>
      <c r="D729" s="66"/>
      <c r="E729" s="39">
        <f>PACKAGING!E8</f>
        <v>420</v>
      </c>
      <c r="F729" s="1"/>
      <c r="G729" s="171"/>
    </row>
    <row r="730" spans="1:8" x14ac:dyDescent="0.25">
      <c r="A730" s="3" t="s">
        <v>1558</v>
      </c>
      <c r="B730" s="2">
        <v>60</v>
      </c>
      <c r="C730" s="6">
        <v>15</v>
      </c>
      <c r="D730" s="66">
        <f>'INSUMOS VARIOS'!B3</f>
        <v>3500</v>
      </c>
      <c r="E730" s="39">
        <f>D730*C730/B730</f>
        <v>875</v>
      </c>
      <c r="G730" s="1"/>
    </row>
    <row r="731" spans="1:8" ht="16.5" thickBot="1" x14ac:dyDescent="0.3">
      <c r="A731" s="79" t="s">
        <v>525</v>
      </c>
      <c r="B731" s="70"/>
      <c r="C731" s="85"/>
      <c r="D731" s="85"/>
      <c r="E731" s="51">
        <f>SUM(E726:E730)</f>
        <v>5045</v>
      </c>
      <c r="F731" s="134"/>
      <c r="G731" s="171"/>
    </row>
    <row r="732" spans="1:8" ht="16.5" thickBot="1" x14ac:dyDescent="0.3">
      <c r="A732" s="80" t="s">
        <v>544</v>
      </c>
      <c r="B732" s="220"/>
      <c r="C732" s="220"/>
      <c r="D732" s="220"/>
      <c r="E732" s="72">
        <f>E731*2</f>
        <v>10090</v>
      </c>
      <c r="F732" s="496">
        <f>E732+E732*50%</f>
        <v>15135</v>
      </c>
      <c r="G732" s="1271">
        <v>11000</v>
      </c>
      <c r="H732" s="1266" t="s">
        <v>3687</v>
      </c>
    </row>
    <row r="733" spans="1:8" ht="16.5" thickBot="1" x14ac:dyDescent="0.3">
      <c r="A733" s="275" t="s">
        <v>1559</v>
      </c>
      <c r="B733" s="269"/>
      <c r="C733" s="269"/>
      <c r="D733" s="269"/>
      <c r="E733" s="493"/>
      <c r="F733" s="493"/>
      <c r="G733" s="268">
        <f>G732*2</f>
        <v>22000</v>
      </c>
      <c r="H733" s="1266"/>
    </row>
    <row r="734" spans="1:8" ht="16.5" thickBot="1" x14ac:dyDescent="0.3"/>
    <row r="735" spans="1:8" ht="16.5" thickBot="1" x14ac:dyDescent="0.3">
      <c r="A735" s="1730" t="s">
        <v>3823</v>
      </c>
      <c r="B735" s="1731"/>
      <c r="C735" s="1731"/>
      <c r="D735" s="1731"/>
      <c r="E735" s="1732"/>
      <c r="F735" s="23"/>
      <c r="G735" s="171"/>
    </row>
    <row r="736" spans="1:8" x14ac:dyDescent="0.25">
      <c r="A736" s="501" t="s">
        <v>916</v>
      </c>
      <c r="B736" s="502" t="s">
        <v>1073</v>
      </c>
      <c r="C736" s="503" t="s">
        <v>1547</v>
      </c>
      <c r="D736" s="503" t="s">
        <v>1035</v>
      </c>
      <c r="E736" s="504" t="s">
        <v>1549</v>
      </c>
      <c r="F736" s="171"/>
      <c r="G736" s="171"/>
    </row>
    <row r="737" spans="1:8" x14ac:dyDescent="0.25">
      <c r="A737" s="3" t="s">
        <v>3640</v>
      </c>
      <c r="B737" s="2"/>
      <c r="C737" s="6">
        <v>2</v>
      </c>
      <c r="D737" s="66">
        <f>'AROS, CADENAS, DIJES, ETC'!D13</f>
        <v>690</v>
      </c>
      <c r="E737" s="39">
        <f>D737*2</f>
        <v>1380</v>
      </c>
      <c r="F737" s="171"/>
      <c r="G737" s="171"/>
    </row>
    <row r="738" spans="1:8" x14ac:dyDescent="0.25">
      <c r="A738" s="1613" t="s">
        <v>1742</v>
      </c>
      <c r="B738" s="2" t="s">
        <v>3564</v>
      </c>
      <c r="C738" s="6">
        <v>1</v>
      </c>
      <c r="D738" s="66">
        <f>'PERLAS 2'!H26</f>
        <v>651.20000000000005</v>
      </c>
      <c r="E738" s="39">
        <f>D738*C738</f>
        <v>651.20000000000005</v>
      </c>
      <c r="F738" s="171"/>
      <c r="G738" s="171"/>
    </row>
    <row r="739" spans="1:8" x14ac:dyDescent="0.25">
      <c r="A739" s="1615"/>
      <c r="B739" s="2" t="s">
        <v>1330</v>
      </c>
      <c r="C739" s="6">
        <v>1</v>
      </c>
      <c r="D739" s="66">
        <f>'PERLAS 2'!H8</f>
        <v>1525.3333333333333</v>
      </c>
      <c r="E739" s="39">
        <f>D739</f>
        <v>1525.3333333333333</v>
      </c>
      <c r="F739" s="171"/>
      <c r="G739" s="171"/>
    </row>
    <row r="740" spans="1:8" x14ac:dyDescent="0.25">
      <c r="A740" s="3" t="s">
        <v>3639</v>
      </c>
      <c r="B740" s="2"/>
      <c r="C740" s="6">
        <v>2</v>
      </c>
      <c r="D740" s="66">
        <f>'PALAIS DU BIJOU'!O18</f>
        <v>2.625</v>
      </c>
      <c r="E740" s="39">
        <f>D740*2</f>
        <v>5.25</v>
      </c>
      <c r="F740" s="1"/>
      <c r="G740" s="171"/>
    </row>
    <row r="741" spans="1:8" x14ac:dyDescent="0.25">
      <c r="A741" s="3" t="s">
        <v>1557</v>
      </c>
      <c r="B741" s="2"/>
      <c r="C741" s="6"/>
      <c r="D741" s="66"/>
      <c r="E741" s="39">
        <f>PACKAGING!E3</f>
        <v>150</v>
      </c>
      <c r="F741" s="1"/>
      <c r="G741" s="171"/>
    </row>
    <row r="742" spans="1:8" x14ac:dyDescent="0.25">
      <c r="A742" s="3" t="s">
        <v>1538</v>
      </c>
      <c r="B742" s="2"/>
      <c r="C742" s="6"/>
      <c r="D742" s="66"/>
      <c r="E742" s="39">
        <f>PACKAGING!E8</f>
        <v>420</v>
      </c>
      <c r="F742" s="1"/>
      <c r="G742" s="171"/>
    </row>
    <row r="743" spans="1:8" x14ac:dyDescent="0.25">
      <c r="A743" s="3" t="s">
        <v>1558</v>
      </c>
      <c r="B743" s="2">
        <v>60</v>
      </c>
      <c r="C743" s="6">
        <v>20</v>
      </c>
      <c r="D743" s="66">
        <f>'INSUMOS VARIOS'!B3</f>
        <v>3500</v>
      </c>
      <c r="E743" s="39">
        <f>D743*C743/B743</f>
        <v>1166.6666666666667</v>
      </c>
      <c r="G743" s="1"/>
    </row>
    <row r="744" spans="1:8" ht="16.5" thickBot="1" x14ac:dyDescent="0.3">
      <c r="A744" s="79" t="s">
        <v>525</v>
      </c>
      <c r="B744" s="70"/>
      <c r="C744" s="85"/>
      <c r="D744" s="85"/>
      <c r="E744" s="51">
        <f>SUM(E737:E743)</f>
        <v>5298.45</v>
      </c>
      <c r="F744" s="134"/>
      <c r="G744" s="171"/>
    </row>
    <row r="745" spans="1:8" x14ac:dyDescent="0.25">
      <c r="A745" s="80" t="s">
        <v>544</v>
      </c>
      <c r="B745" s="220"/>
      <c r="C745" s="220"/>
      <c r="D745" s="220"/>
      <c r="E745" s="72">
        <f>E744*2</f>
        <v>10596.9</v>
      </c>
      <c r="F745" s="496">
        <f>E745+E745*70%</f>
        <v>18014.73</v>
      </c>
      <c r="G745" s="1252">
        <v>30000</v>
      </c>
    </row>
    <row r="746" spans="1:8" ht="16.5" thickBot="1" x14ac:dyDescent="0.3">
      <c r="A746" s="275" t="s">
        <v>1559</v>
      </c>
      <c r="B746" s="269"/>
      <c r="C746" s="269"/>
      <c r="D746" s="269"/>
      <c r="E746" s="493"/>
      <c r="F746" s="497"/>
      <c r="G746" s="1271">
        <f>G745*60%</f>
        <v>18000</v>
      </c>
      <c r="H746" s="1266" t="s">
        <v>3687</v>
      </c>
    </row>
    <row r="747" spans="1:8" ht="16.5" thickBot="1" x14ac:dyDescent="0.3"/>
    <row r="748" spans="1:8" x14ac:dyDescent="0.25">
      <c r="A748" s="1589" t="s">
        <v>3662</v>
      </c>
      <c r="B748" s="1596"/>
      <c r="C748" s="1596"/>
      <c r="D748" s="1596"/>
      <c r="E748" s="1590"/>
      <c r="F748" s="23"/>
      <c r="G748" s="171"/>
    </row>
    <row r="749" spans="1:8" x14ac:dyDescent="0.25">
      <c r="A749" s="271" t="s">
        <v>916</v>
      </c>
      <c r="B749" s="272" t="s">
        <v>1073</v>
      </c>
      <c r="C749" s="273" t="s">
        <v>1547</v>
      </c>
      <c r="D749" s="273" t="s">
        <v>1035</v>
      </c>
      <c r="E749" s="274" t="s">
        <v>1549</v>
      </c>
      <c r="F749" s="1"/>
      <c r="G749" s="171"/>
    </row>
    <row r="750" spans="1:8" x14ac:dyDescent="0.25">
      <c r="A750" s="184" t="s">
        <v>1908</v>
      </c>
      <c r="B750" s="2" t="s">
        <v>3642</v>
      </c>
      <c r="C750" s="6">
        <v>2</v>
      </c>
      <c r="D750" s="66">
        <f>'AROS, CADENAS, DIJES, ETC'!D8</f>
        <v>1400</v>
      </c>
      <c r="E750" s="39">
        <f>D750*2</f>
        <v>2800</v>
      </c>
      <c r="F750" s="1"/>
      <c r="G750" s="171"/>
    </row>
    <row r="751" spans="1:8" x14ac:dyDescent="0.25">
      <c r="A751" s="1616" t="s">
        <v>1742</v>
      </c>
      <c r="B751" s="98" t="s">
        <v>3532</v>
      </c>
      <c r="C751" s="6">
        <v>1</v>
      </c>
      <c r="D751" s="66">
        <f>'PERLAS 2'!H23</f>
        <v>281.60000000000002</v>
      </c>
      <c r="E751" s="39">
        <f>D751*C751</f>
        <v>281.60000000000002</v>
      </c>
      <c r="F751" s="1"/>
      <c r="G751" s="171"/>
    </row>
    <row r="752" spans="1:8" x14ac:dyDescent="0.25">
      <c r="A752" s="1715"/>
      <c r="B752" s="2" t="s">
        <v>3537</v>
      </c>
      <c r="C752" s="6">
        <v>1</v>
      </c>
      <c r="D752" s="66">
        <f>'PERLAS 2'!H25</f>
        <v>770</v>
      </c>
      <c r="E752" s="39">
        <f>D752</f>
        <v>770</v>
      </c>
      <c r="F752" s="1"/>
      <c r="G752" s="171"/>
    </row>
    <row r="753" spans="1:8" x14ac:dyDescent="0.25">
      <c r="A753" s="3" t="s">
        <v>3641</v>
      </c>
      <c r="B753" s="2"/>
      <c r="C753" s="6">
        <v>3</v>
      </c>
      <c r="D753" s="66">
        <f>PIEDRAS!F25</f>
        <v>102.05882352941177</v>
      </c>
      <c r="E753" s="39">
        <f>D753*2</f>
        <v>204.11764705882354</v>
      </c>
      <c r="F753" s="1"/>
      <c r="G753" s="171"/>
    </row>
    <row r="754" spans="1:8" x14ac:dyDescent="0.25">
      <c r="A754" s="3" t="s">
        <v>1010</v>
      </c>
      <c r="B754" s="2"/>
      <c r="C754" s="6">
        <v>2</v>
      </c>
      <c r="D754" s="66">
        <f>FORNITURAS!D15</f>
        <v>142</v>
      </c>
      <c r="E754" s="39">
        <f>D754*C754</f>
        <v>284</v>
      </c>
      <c r="F754" s="1"/>
      <c r="G754" s="171"/>
    </row>
    <row r="755" spans="1:8" x14ac:dyDescent="0.25">
      <c r="A755" s="3" t="s">
        <v>3401</v>
      </c>
      <c r="B755" s="2"/>
      <c r="C755" s="6">
        <v>2</v>
      </c>
      <c r="D755" s="66">
        <f>FORNITURAS!I10</f>
        <v>501</v>
      </c>
      <c r="E755" s="39">
        <f>D755*C755</f>
        <v>1002</v>
      </c>
      <c r="F755" s="1"/>
      <c r="G755" s="171"/>
    </row>
    <row r="756" spans="1:8" x14ac:dyDescent="0.25">
      <c r="A756" s="3" t="s">
        <v>1557</v>
      </c>
      <c r="B756" s="2"/>
      <c r="C756" s="6"/>
      <c r="D756" s="66"/>
      <c r="E756" s="39">
        <f>PACKAGING!E3</f>
        <v>150</v>
      </c>
      <c r="F756" s="1"/>
      <c r="G756" s="171"/>
    </row>
    <row r="757" spans="1:8" x14ac:dyDescent="0.25">
      <c r="A757" s="3" t="s">
        <v>1538</v>
      </c>
      <c r="B757" s="2"/>
      <c r="C757" s="6"/>
      <c r="D757" s="66"/>
      <c r="E757" s="39">
        <f>PACKAGING!E8</f>
        <v>420</v>
      </c>
      <c r="F757" s="1"/>
      <c r="G757" s="171"/>
    </row>
    <row r="758" spans="1:8" x14ac:dyDescent="0.25">
      <c r="A758" s="3" t="s">
        <v>1558</v>
      </c>
      <c r="B758" s="2">
        <v>60</v>
      </c>
      <c r="C758" s="6">
        <v>20</v>
      </c>
      <c r="D758" s="66">
        <f>'INSUMOS VARIOS'!B3</f>
        <v>3500</v>
      </c>
      <c r="E758" s="39">
        <f>D758*C758/B758</f>
        <v>1166.6666666666667</v>
      </c>
      <c r="G758" s="1"/>
    </row>
    <row r="759" spans="1:8" ht="16.5" thickBot="1" x14ac:dyDescent="0.3">
      <c r="A759" s="79" t="s">
        <v>525</v>
      </c>
      <c r="B759" s="70"/>
      <c r="C759" s="85"/>
      <c r="D759" s="85"/>
      <c r="E759" s="51">
        <f>SUM(E750:E758)</f>
        <v>7078.3843137254908</v>
      </c>
      <c r="F759" s="134"/>
      <c r="G759" s="171"/>
    </row>
    <row r="760" spans="1:8" ht="16.5" thickBot="1" x14ac:dyDescent="0.3">
      <c r="A760" s="80" t="s">
        <v>544</v>
      </c>
      <c r="B760" s="220"/>
      <c r="C760" s="220"/>
      <c r="D760" s="220"/>
      <c r="E760" s="72">
        <f>E759*2</f>
        <v>14156.768627450982</v>
      </c>
      <c r="F760" s="496">
        <f>E760+E760*70%</f>
        <v>24066.506666666668</v>
      </c>
      <c r="G760" s="1252">
        <v>24000</v>
      </c>
    </row>
    <row r="761" spans="1:8" ht="16.5" thickBot="1" x14ac:dyDescent="0.3">
      <c r="A761" s="275" t="s">
        <v>1559</v>
      </c>
      <c r="B761" s="269"/>
      <c r="C761" s="269"/>
      <c r="D761" s="269"/>
      <c r="E761" s="493"/>
      <c r="F761" s="497"/>
      <c r="G761" s="1270">
        <f>G760*60%</f>
        <v>14400</v>
      </c>
      <c r="H761" s="1266" t="s">
        <v>3687</v>
      </c>
    </row>
    <row r="762" spans="1:8" ht="16.5" thickBot="1" x14ac:dyDescent="0.3">
      <c r="G762" s="1253"/>
    </row>
    <row r="763" spans="1:8" x14ac:dyDescent="0.25">
      <c r="A763" s="1589" t="s">
        <v>442</v>
      </c>
      <c r="B763" s="1596"/>
      <c r="C763" s="1596"/>
      <c r="D763" s="1596"/>
      <c r="E763" s="1590"/>
      <c r="F763" s="23"/>
      <c r="G763" s="171"/>
    </row>
    <row r="764" spans="1:8" x14ac:dyDescent="0.25">
      <c r="A764" s="271" t="s">
        <v>916</v>
      </c>
      <c r="B764" s="272" t="s">
        <v>1073</v>
      </c>
      <c r="C764" s="273" t="s">
        <v>1547</v>
      </c>
      <c r="D764" s="273" t="s">
        <v>1035</v>
      </c>
      <c r="E764" s="274" t="s">
        <v>1549</v>
      </c>
      <c r="F764" s="1"/>
      <c r="G764" s="171"/>
    </row>
    <row r="765" spans="1:8" x14ac:dyDescent="0.25">
      <c r="A765" s="184" t="s">
        <v>811</v>
      </c>
      <c r="B765" s="2"/>
      <c r="C765" s="6">
        <v>2</v>
      </c>
      <c r="D765" s="66">
        <f>'AROS, CADENAS, DIJES, ETC'!D13</f>
        <v>690</v>
      </c>
      <c r="E765" s="39">
        <f>D765*2</f>
        <v>1380</v>
      </c>
      <c r="F765" s="1"/>
      <c r="G765" s="171"/>
    </row>
    <row r="766" spans="1:8" x14ac:dyDescent="0.25">
      <c r="A766" s="2" t="s">
        <v>3411</v>
      </c>
      <c r="B766" s="98"/>
      <c r="C766" s="6">
        <v>10</v>
      </c>
      <c r="D766" s="66">
        <f>PIEDRAS!F136</f>
        <v>56.333333333333336</v>
      </c>
      <c r="E766" s="39">
        <f>D766*C766</f>
        <v>563.33333333333337</v>
      </c>
      <c r="F766" s="1"/>
      <c r="G766" s="171"/>
    </row>
    <row r="767" spans="1:8" x14ac:dyDescent="0.25">
      <c r="A767" s="148" t="s">
        <v>3505</v>
      </c>
      <c r="B767" s="98"/>
      <c r="C767" s="6">
        <v>2</v>
      </c>
      <c r="D767" s="66">
        <f>PIEDRAS!F141</f>
        <v>71.25</v>
      </c>
      <c r="E767" s="39">
        <f>D767*C767</f>
        <v>142.5</v>
      </c>
      <c r="F767" s="1"/>
      <c r="G767" s="171"/>
    </row>
    <row r="768" spans="1:8" x14ac:dyDescent="0.25">
      <c r="A768" s="148" t="s">
        <v>3643</v>
      </c>
      <c r="B768" s="2"/>
      <c r="C768" s="6">
        <v>1</v>
      </c>
      <c r="D768" s="66">
        <f>FORNITURAS!D26</f>
        <v>297.14285714285717</v>
      </c>
      <c r="E768" s="39">
        <f>D768</f>
        <v>297.14285714285717</v>
      </c>
      <c r="F768" s="1"/>
      <c r="G768" s="171"/>
    </row>
    <row r="769" spans="1:8" x14ac:dyDescent="0.25">
      <c r="A769" s="3" t="s">
        <v>3237</v>
      </c>
      <c r="B769" s="2" t="s">
        <v>1062</v>
      </c>
      <c r="C769" s="6">
        <v>0.18</v>
      </c>
      <c r="D769" s="66">
        <f>FORNITURAS!W6</f>
        <v>541.13207547169816</v>
      </c>
      <c r="E769" s="39">
        <f>D769*C769</f>
        <v>97.403773584905665</v>
      </c>
      <c r="F769" s="1"/>
      <c r="G769" s="171"/>
    </row>
    <row r="770" spans="1:8" x14ac:dyDescent="0.25">
      <c r="A770" s="3" t="s">
        <v>3645</v>
      </c>
      <c r="B770" s="2">
        <v>0.6</v>
      </c>
      <c r="C770" s="6">
        <v>2.5000000000000001E-2</v>
      </c>
      <c r="D770" s="66">
        <f>'AROS, CADENAS, DIJES, ETC'!I32</f>
        <v>2000</v>
      </c>
      <c r="E770" s="39">
        <f>D770*C770/B770</f>
        <v>83.333333333333343</v>
      </c>
      <c r="F770" s="1"/>
      <c r="G770" s="171"/>
    </row>
    <row r="771" spans="1:8" x14ac:dyDescent="0.25">
      <c r="A771" s="3" t="s">
        <v>1557</v>
      </c>
      <c r="B771" s="2"/>
      <c r="C771" s="6"/>
      <c r="D771" s="66"/>
      <c r="E771" s="39">
        <f>PACKAGING!E3</f>
        <v>150</v>
      </c>
      <c r="F771" s="1"/>
      <c r="G771" s="171"/>
    </row>
    <row r="772" spans="1:8" x14ac:dyDescent="0.25">
      <c r="A772" s="3" t="s">
        <v>1538</v>
      </c>
      <c r="B772" s="2"/>
      <c r="C772" s="6"/>
      <c r="D772" s="66"/>
      <c r="E772" s="39">
        <f>PACKAGING!E8</f>
        <v>420</v>
      </c>
      <c r="F772" s="1"/>
      <c r="G772" s="171"/>
    </row>
    <row r="773" spans="1:8" x14ac:dyDescent="0.25">
      <c r="A773" s="3" t="s">
        <v>1558</v>
      </c>
      <c r="B773" s="2">
        <v>60</v>
      </c>
      <c r="C773" s="6">
        <v>30</v>
      </c>
      <c r="D773" s="66">
        <f>'INSUMOS VARIOS'!B3</f>
        <v>3500</v>
      </c>
      <c r="E773" s="39">
        <f>D773*C773/B773</f>
        <v>1750</v>
      </c>
      <c r="G773" s="1"/>
    </row>
    <row r="774" spans="1:8" ht="16.5" thickBot="1" x14ac:dyDescent="0.3">
      <c r="A774" s="79" t="s">
        <v>525</v>
      </c>
      <c r="B774" s="70"/>
      <c r="C774" s="85"/>
      <c r="D774" s="85"/>
      <c r="E774" s="51">
        <f>SUM(E765:E773)</f>
        <v>4883.7132973944299</v>
      </c>
      <c r="F774" s="134"/>
      <c r="G774" s="171"/>
    </row>
    <row r="775" spans="1:8" ht="16.5" thickBot="1" x14ac:dyDescent="0.3">
      <c r="A775" s="80" t="s">
        <v>544</v>
      </c>
      <c r="B775" s="220"/>
      <c r="C775" s="220"/>
      <c r="D775" s="220"/>
      <c r="E775" s="72">
        <f>E774*2</f>
        <v>9767.4265947888598</v>
      </c>
      <c r="F775" s="496">
        <f>E775+E775*70%</f>
        <v>16604.625211141061</v>
      </c>
      <c r="G775" s="1252">
        <v>26000</v>
      </c>
    </row>
    <row r="776" spans="1:8" ht="16.5" thickBot="1" x14ac:dyDescent="0.3">
      <c r="A776" s="275" t="s">
        <v>1559</v>
      </c>
      <c r="B776" s="269"/>
      <c r="C776" s="269"/>
      <c r="D776" s="269"/>
      <c r="E776" s="493"/>
      <c r="F776" s="497"/>
      <c r="G776" s="1270">
        <f>G775*60%</f>
        <v>15600</v>
      </c>
      <c r="H776" s="1273" t="s">
        <v>3687</v>
      </c>
    </row>
    <row r="777" spans="1:8" ht="16.5" thickBot="1" x14ac:dyDescent="0.3">
      <c r="G777" s="1253"/>
    </row>
    <row r="778" spans="1:8" x14ac:dyDescent="0.25">
      <c r="A778" s="1589" t="s">
        <v>3644</v>
      </c>
      <c r="B778" s="1596"/>
      <c r="C778" s="1596"/>
      <c r="D778" s="1596"/>
      <c r="E778" s="1590"/>
      <c r="F778" s="23"/>
      <c r="G778" s="171"/>
    </row>
    <row r="779" spans="1:8" x14ac:dyDescent="0.25">
      <c r="A779" s="271" t="s">
        <v>916</v>
      </c>
      <c r="B779" s="272" t="s">
        <v>1073</v>
      </c>
      <c r="C779" s="273" t="s">
        <v>1547</v>
      </c>
      <c r="D779" s="273" t="s">
        <v>1035</v>
      </c>
      <c r="E779" s="274" t="s">
        <v>1549</v>
      </c>
      <c r="F779" s="1"/>
      <c r="G779" s="171"/>
    </row>
    <row r="780" spans="1:8" x14ac:dyDescent="0.25">
      <c r="A780" s="184" t="s">
        <v>811</v>
      </c>
      <c r="B780" s="2"/>
      <c r="C780" s="6">
        <v>2</v>
      </c>
      <c r="D780" s="66">
        <f>'AROS, CADENAS, DIJES, ETC'!D13</f>
        <v>690</v>
      </c>
      <c r="E780" s="39">
        <f>D780*2</f>
        <v>1380</v>
      </c>
      <c r="F780" s="1"/>
      <c r="G780" s="171"/>
    </row>
    <row r="781" spans="1:8" x14ac:dyDescent="0.25">
      <c r="A781" s="2" t="s">
        <v>1742</v>
      </c>
      <c r="B781" s="98" t="s">
        <v>1294</v>
      </c>
      <c r="C781" s="6">
        <v>1</v>
      </c>
      <c r="D781" s="66">
        <f>'PERLAS 2'!H11</f>
        <v>1416.8</v>
      </c>
      <c r="E781" s="39">
        <f>D781*C781</f>
        <v>1416.8</v>
      </c>
      <c r="F781" s="1"/>
      <c r="G781" s="171"/>
    </row>
    <row r="782" spans="1:8" x14ac:dyDescent="0.25">
      <c r="A782" s="148" t="s">
        <v>3237</v>
      </c>
      <c r="B782" s="98" t="s">
        <v>1062</v>
      </c>
      <c r="C782" s="6">
        <v>0.06</v>
      </c>
      <c r="D782" s="66">
        <f>FORNITURAS!W6</f>
        <v>541.13207547169816</v>
      </c>
      <c r="E782" s="39">
        <f>D782*C782</f>
        <v>32.467924528301886</v>
      </c>
      <c r="F782" s="1"/>
      <c r="G782" s="171"/>
    </row>
    <row r="783" spans="1:8" x14ac:dyDescent="0.25">
      <c r="A783" s="3" t="s">
        <v>1557</v>
      </c>
      <c r="B783" s="2"/>
      <c r="C783" s="6"/>
      <c r="D783" s="66"/>
      <c r="E783" s="39">
        <f>PACKAGING!E3</f>
        <v>150</v>
      </c>
      <c r="F783" s="1"/>
      <c r="G783" s="171"/>
    </row>
    <row r="784" spans="1:8" x14ac:dyDescent="0.25">
      <c r="A784" s="3" t="s">
        <v>1538</v>
      </c>
      <c r="B784" s="2"/>
      <c r="C784" s="6"/>
      <c r="D784" s="66"/>
      <c r="E784" s="39">
        <f>PACKAGING!E8</f>
        <v>420</v>
      </c>
      <c r="F784" s="1"/>
      <c r="G784" s="171"/>
    </row>
    <row r="785" spans="1:8" x14ac:dyDescent="0.25">
      <c r="A785" s="3" t="s">
        <v>1558</v>
      </c>
      <c r="B785" s="2">
        <v>60</v>
      </c>
      <c r="C785" s="6">
        <v>15</v>
      </c>
      <c r="D785" s="66">
        <f>'INSUMOS VARIOS'!B3</f>
        <v>3500</v>
      </c>
      <c r="E785" s="39">
        <f>D785*C785/B785</f>
        <v>875</v>
      </c>
      <c r="G785" s="1"/>
    </row>
    <row r="786" spans="1:8" ht="16.5" thickBot="1" x14ac:dyDescent="0.3">
      <c r="A786" s="79" t="s">
        <v>525</v>
      </c>
      <c r="B786" s="70"/>
      <c r="C786" s="85"/>
      <c r="D786" s="85"/>
      <c r="E786" s="51">
        <f>SUM(E780:E785)</f>
        <v>4274.2679245283016</v>
      </c>
      <c r="F786" s="134"/>
      <c r="G786" s="171"/>
    </row>
    <row r="787" spans="1:8" ht="16.5" thickBot="1" x14ac:dyDescent="0.3">
      <c r="A787" s="80" t="s">
        <v>544</v>
      </c>
      <c r="B787" s="220"/>
      <c r="C787" s="220"/>
      <c r="D787" s="220"/>
      <c r="E787" s="72">
        <f>E786*2</f>
        <v>8548.5358490566032</v>
      </c>
      <c r="F787" s="496">
        <f>E787+E787*50%</f>
        <v>12822.803773584905</v>
      </c>
      <c r="G787" s="1272">
        <v>13000</v>
      </c>
      <c r="H787" s="1273" t="s">
        <v>3687</v>
      </c>
    </row>
    <row r="788" spans="1:8" ht="16.5" thickBot="1" x14ac:dyDescent="0.3">
      <c r="A788" s="275" t="s">
        <v>1559</v>
      </c>
      <c r="B788" s="269"/>
      <c r="C788" s="269"/>
      <c r="D788" s="269"/>
      <c r="E788" s="493"/>
      <c r="F788" s="493"/>
      <c r="G788" s="491">
        <f>G787*2</f>
        <v>26000</v>
      </c>
    </row>
    <row r="789" spans="1:8" ht="16.5" thickBot="1" x14ac:dyDescent="0.3">
      <c r="G789" s="1253"/>
    </row>
    <row r="790" spans="1:8" ht="16.5" thickBot="1" x14ac:dyDescent="0.3">
      <c r="A790" s="1568" t="s">
        <v>3686</v>
      </c>
      <c r="B790" s="1569"/>
      <c r="C790" s="1569"/>
      <c r="D790" s="1569"/>
      <c r="E790" s="1569"/>
      <c r="F790" s="23"/>
      <c r="G790" s="171"/>
    </row>
    <row r="791" spans="1:8" x14ac:dyDescent="0.25">
      <c r="A791" s="483"/>
      <c r="B791" s="484" t="s">
        <v>1073</v>
      </c>
      <c r="C791" s="485" t="s">
        <v>1566</v>
      </c>
      <c r="D791" s="485" t="s">
        <v>747</v>
      </c>
      <c r="E791" s="486" t="s">
        <v>1549</v>
      </c>
      <c r="F791" s="1"/>
      <c r="G791" s="171"/>
    </row>
    <row r="792" spans="1:8" x14ac:dyDescent="0.25">
      <c r="A792" s="3" t="s">
        <v>1913</v>
      </c>
      <c r="B792" s="2"/>
      <c r="C792" s="6">
        <v>1</v>
      </c>
      <c r="D792" s="66">
        <v>9688</v>
      </c>
      <c r="E792" s="39">
        <f>D792*C792</f>
        <v>9688</v>
      </c>
      <c r="F792" s="1"/>
      <c r="G792" s="171"/>
    </row>
    <row r="793" spans="1:8" x14ac:dyDescent="0.25">
      <c r="A793" s="3" t="s">
        <v>1557</v>
      </c>
      <c r="B793" s="2"/>
      <c r="C793" s="6"/>
      <c r="D793" s="66"/>
      <c r="E793" s="39">
        <f>PACKAGING!E3</f>
        <v>150</v>
      </c>
      <c r="F793" s="1"/>
      <c r="G793" s="171"/>
    </row>
    <row r="794" spans="1:8" x14ac:dyDescent="0.25">
      <c r="A794" s="3" t="s">
        <v>1538</v>
      </c>
      <c r="B794" s="2"/>
      <c r="C794" s="6"/>
      <c r="D794" s="66"/>
      <c r="E794" s="39">
        <f>PACKAGING!E8</f>
        <v>420</v>
      </c>
      <c r="F794" s="1"/>
      <c r="G794" s="171"/>
    </row>
    <row r="795" spans="1:8" ht="16.5" thickBot="1" x14ac:dyDescent="0.3">
      <c r="A795" s="79" t="s">
        <v>525</v>
      </c>
      <c r="B795" s="70"/>
      <c r="C795" s="85"/>
      <c r="D795" s="85"/>
      <c r="E795" s="51">
        <f>SUM(E792:E794)</f>
        <v>10258</v>
      </c>
      <c r="F795" s="134"/>
      <c r="G795" s="171"/>
    </row>
    <row r="796" spans="1:8" x14ac:dyDescent="0.25">
      <c r="A796" s="80" t="s">
        <v>1915</v>
      </c>
      <c r="B796" s="220"/>
      <c r="C796" s="220"/>
      <c r="D796" s="220"/>
      <c r="E796" s="72">
        <f>E795*2</f>
        <v>20516</v>
      </c>
      <c r="F796" s="496">
        <f>E796+E796*70%</f>
        <v>34877.199999999997</v>
      </c>
      <c r="G796" s="494"/>
    </row>
    <row r="797" spans="1:8" ht="16.5" thickBot="1" x14ac:dyDescent="0.3">
      <c r="A797" s="211" t="s">
        <v>1917</v>
      </c>
      <c r="B797" s="276"/>
      <c r="C797" s="276"/>
      <c r="D797" s="276"/>
      <c r="E797" s="215"/>
      <c r="F797" s="497"/>
      <c r="G797" s="495"/>
    </row>
    <row r="798" spans="1:8" ht="16.5" thickBot="1" x14ac:dyDescent="0.3"/>
    <row r="799" spans="1:8" ht="16.5" thickBot="1" x14ac:dyDescent="0.3">
      <c r="A799" s="1568" t="s">
        <v>3702</v>
      </c>
      <c r="B799" s="1569"/>
      <c r="C799" s="1569"/>
      <c r="D799" s="1569"/>
      <c r="E799" s="1569"/>
      <c r="F799" s="1569"/>
      <c r="G799" s="171"/>
      <c r="H799" s="171"/>
    </row>
    <row r="800" spans="1:8" x14ac:dyDescent="0.25">
      <c r="A800" s="1240" t="s">
        <v>916</v>
      </c>
      <c r="B800" s="1225" t="s">
        <v>1073</v>
      </c>
      <c r="C800" s="485" t="s">
        <v>1089</v>
      </c>
      <c r="D800" s="485" t="s">
        <v>1547</v>
      </c>
      <c r="E800" s="485" t="s">
        <v>1035</v>
      </c>
      <c r="F800" s="486" t="s">
        <v>1549</v>
      </c>
      <c r="G800" s="1"/>
      <c r="H800" s="171"/>
    </row>
    <row r="801" spans="1:9" x14ac:dyDescent="0.25">
      <c r="A801" s="2" t="s">
        <v>3528</v>
      </c>
      <c r="B801" s="98" t="s">
        <v>3577</v>
      </c>
      <c r="C801" s="241"/>
      <c r="D801" s="6"/>
      <c r="E801" s="66" t="s">
        <v>1649</v>
      </c>
      <c r="F801" s="39">
        <f>'AROS, CADENAS, DIJES, ETC'!J102</f>
        <v>3767</v>
      </c>
      <c r="G801" s="1"/>
      <c r="H801" s="171"/>
    </row>
    <row r="802" spans="1:9" x14ac:dyDescent="0.25">
      <c r="A802" s="104" t="s">
        <v>1557</v>
      </c>
      <c r="B802" s="190"/>
      <c r="C802" s="6"/>
      <c r="D802" s="6"/>
      <c r="E802" s="66"/>
      <c r="F802" s="39">
        <f>PACKAGING!E3</f>
        <v>150</v>
      </c>
      <c r="G802" s="1"/>
      <c r="H802" s="171"/>
    </row>
    <row r="803" spans="1:9" x14ac:dyDescent="0.25">
      <c r="A803" s="3" t="s">
        <v>1538</v>
      </c>
      <c r="B803" s="2"/>
      <c r="C803" s="6"/>
      <c r="D803" s="6"/>
      <c r="E803" s="66"/>
      <c r="F803" s="39">
        <f>PACKAGING!E8</f>
        <v>420</v>
      </c>
      <c r="G803" s="1"/>
      <c r="H803" s="171"/>
    </row>
    <row r="804" spans="1:9" ht="16.5" thickBot="1" x14ac:dyDescent="0.3">
      <c r="A804" s="79" t="s">
        <v>525</v>
      </c>
      <c r="B804" s="70"/>
      <c r="C804" s="85"/>
      <c r="D804" s="85"/>
      <c r="E804" s="85"/>
      <c r="F804" s="51">
        <f>SUM(F801:F803)</f>
        <v>4337</v>
      </c>
      <c r="G804" s="134"/>
      <c r="H804" s="171"/>
    </row>
    <row r="805" spans="1:9" ht="16.5" thickBot="1" x14ac:dyDescent="0.3">
      <c r="A805" s="1147" t="s">
        <v>1559</v>
      </c>
      <c r="B805" s="1148"/>
      <c r="C805" s="1148"/>
      <c r="D805" s="1148"/>
      <c r="E805" s="276"/>
      <c r="F805" s="372">
        <f>F804*2</f>
        <v>8674</v>
      </c>
      <c r="G805" s="489">
        <f>F805+F805*70%</f>
        <v>14745.8</v>
      </c>
      <c r="H805" s="1234">
        <v>8000</v>
      </c>
      <c r="I805" s="1266"/>
    </row>
    <row r="806" spans="1:9" ht="16.5" thickBot="1" x14ac:dyDescent="0.3">
      <c r="H806" s="1234">
        <f>H805*2</f>
        <v>16000</v>
      </c>
    </row>
    <row r="807" spans="1:9" ht="16.5" thickBot="1" x14ac:dyDescent="0.3"/>
    <row r="808" spans="1:9" ht="16.5" thickBot="1" x14ac:dyDescent="0.3">
      <c r="A808" s="1568" t="s">
        <v>3703</v>
      </c>
      <c r="B808" s="1569"/>
      <c r="C808" s="1569"/>
      <c r="D808" s="1569"/>
      <c r="E808" s="1569"/>
      <c r="F808" s="1569"/>
      <c r="G808" s="171"/>
      <c r="H808" s="171"/>
    </row>
    <row r="809" spans="1:9" x14ac:dyDescent="0.25">
      <c r="A809" s="1240" t="s">
        <v>916</v>
      </c>
      <c r="B809" s="1225" t="s">
        <v>1073</v>
      </c>
      <c r="C809" s="485" t="s">
        <v>1089</v>
      </c>
      <c r="D809" s="485" t="s">
        <v>1547</v>
      </c>
      <c r="E809" s="485" t="s">
        <v>1035</v>
      </c>
      <c r="F809" s="486" t="s">
        <v>1549</v>
      </c>
      <c r="G809" s="1"/>
      <c r="H809" s="171"/>
    </row>
    <row r="810" spans="1:9" x14ac:dyDescent="0.25">
      <c r="A810" s="2" t="s">
        <v>3528</v>
      </c>
      <c r="B810" s="98" t="s">
        <v>3578</v>
      </c>
      <c r="C810" s="241"/>
      <c r="D810" s="6"/>
      <c r="E810" s="66" t="s">
        <v>1649</v>
      </c>
      <c r="F810" s="39">
        <f>'AROS, CADENAS, DIJES, ETC'!J104</f>
        <v>4855</v>
      </c>
      <c r="G810" s="1"/>
      <c r="H810" s="171"/>
    </row>
    <row r="811" spans="1:9" x14ac:dyDescent="0.25">
      <c r="A811" s="104" t="s">
        <v>1557</v>
      </c>
      <c r="B811" s="190"/>
      <c r="C811" s="6"/>
      <c r="D811" s="6"/>
      <c r="E811" s="66"/>
      <c r="F811" s="39">
        <f>PACKAGING!E3</f>
        <v>150</v>
      </c>
      <c r="G811" s="1"/>
      <c r="H811" s="171"/>
    </row>
    <row r="812" spans="1:9" x14ac:dyDescent="0.25">
      <c r="A812" s="3" t="s">
        <v>1538</v>
      </c>
      <c r="B812" s="2"/>
      <c r="C812" s="6"/>
      <c r="D812" s="6"/>
      <c r="E812" s="66"/>
      <c r="F812" s="39">
        <f>PACKAGING!E8</f>
        <v>420</v>
      </c>
      <c r="G812" s="1"/>
      <c r="H812" s="171" t="s">
        <v>3797</v>
      </c>
    </row>
    <row r="813" spans="1:9" ht="16.5" thickBot="1" x14ac:dyDescent="0.3">
      <c r="A813" s="79" t="s">
        <v>525</v>
      </c>
      <c r="B813" s="70"/>
      <c r="C813" s="85"/>
      <c r="D813" s="85"/>
      <c r="E813" s="85"/>
      <c r="F813" s="51">
        <f>SUM(F810:F812)</f>
        <v>5425</v>
      </c>
      <c r="G813" s="134"/>
      <c r="H813" s="171"/>
    </row>
    <row r="814" spans="1:9" ht="16.5" thickBot="1" x14ac:dyDescent="0.3">
      <c r="A814" s="1147" t="s">
        <v>1559</v>
      </c>
      <c r="B814" s="1148"/>
      <c r="C814" s="1148"/>
      <c r="D814" s="1148"/>
      <c r="E814" s="276"/>
      <c r="F814" s="372">
        <f>F813*2</f>
        <v>10850</v>
      </c>
      <c r="G814" s="489">
        <f>F814+F814*70%</f>
        <v>18445</v>
      </c>
      <c r="H814" s="1234">
        <v>10000</v>
      </c>
      <c r="I814" s="1266"/>
    </row>
    <row r="815" spans="1:9" ht="16.5" thickBot="1" x14ac:dyDescent="0.3">
      <c r="H815" s="1234">
        <f>H814*2</f>
        <v>20000</v>
      </c>
    </row>
    <row r="816" spans="1:9" ht="16.5" thickBot="1" x14ac:dyDescent="0.3"/>
    <row r="817" spans="1:9" ht="16.5" thickBot="1" x14ac:dyDescent="0.3">
      <c r="A817" s="1568" t="s">
        <v>3704</v>
      </c>
      <c r="B817" s="1569"/>
      <c r="C817" s="1569"/>
      <c r="D817" s="1569"/>
      <c r="E817" s="1569"/>
      <c r="F817" s="1569"/>
      <c r="G817" s="171"/>
      <c r="H817" s="171"/>
    </row>
    <row r="818" spans="1:9" x14ac:dyDescent="0.25">
      <c r="A818" s="1240" t="s">
        <v>916</v>
      </c>
      <c r="B818" s="1225" t="s">
        <v>1073</v>
      </c>
      <c r="C818" s="485" t="s">
        <v>1089</v>
      </c>
      <c r="D818" s="485" t="s">
        <v>1547</v>
      </c>
      <c r="E818" s="485" t="s">
        <v>1035</v>
      </c>
      <c r="F818" s="486" t="s">
        <v>1549</v>
      </c>
      <c r="G818" s="1"/>
      <c r="H818" s="171"/>
    </row>
    <row r="819" spans="1:9" x14ac:dyDescent="0.25">
      <c r="A819" s="2" t="s">
        <v>3528</v>
      </c>
      <c r="B819" s="98" t="s">
        <v>3576</v>
      </c>
      <c r="C819" s="241"/>
      <c r="D819" s="6"/>
      <c r="E819" s="66" t="s">
        <v>1649</v>
      </c>
      <c r="F819" s="39">
        <f>'AROS, CADENAS, DIJES, ETC'!J106</f>
        <v>6116</v>
      </c>
      <c r="G819" s="1"/>
      <c r="H819" s="171"/>
    </row>
    <row r="820" spans="1:9" x14ac:dyDescent="0.25">
      <c r="A820" s="104" t="s">
        <v>1557</v>
      </c>
      <c r="B820" s="190"/>
      <c r="C820" s="6"/>
      <c r="D820" s="6"/>
      <c r="E820" s="66"/>
      <c r="F820" s="39">
        <f>PACKAGING!E3</f>
        <v>150</v>
      </c>
      <c r="G820" s="1"/>
      <c r="H820" s="171"/>
    </row>
    <row r="821" spans="1:9" x14ac:dyDescent="0.25">
      <c r="A821" s="3" t="s">
        <v>1538</v>
      </c>
      <c r="B821" s="2"/>
      <c r="C821" s="6"/>
      <c r="D821" s="6"/>
      <c r="E821" s="66"/>
      <c r="F821" s="39">
        <f>PACKAGING!E8</f>
        <v>420</v>
      </c>
      <c r="G821" s="1"/>
      <c r="H821" s="171"/>
    </row>
    <row r="822" spans="1:9" ht="16.5" thickBot="1" x14ac:dyDescent="0.3">
      <c r="A822" s="79" t="s">
        <v>525</v>
      </c>
      <c r="B822" s="70"/>
      <c r="C822" s="85"/>
      <c r="D822" s="85"/>
      <c r="E822" s="85"/>
      <c r="F822" s="51">
        <f>SUM(F819:F821)</f>
        <v>6686</v>
      </c>
      <c r="G822" s="134"/>
      <c r="H822" s="171"/>
    </row>
    <row r="823" spans="1:9" ht="16.5" thickBot="1" x14ac:dyDescent="0.3">
      <c r="A823" s="1147" t="s">
        <v>1559</v>
      </c>
      <c r="B823" s="1148"/>
      <c r="C823" s="1148"/>
      <c r="D823" s="1148"/>
      <c r="E823" s="276"/>
      <c r="F823" s="372">
        <f>F822*2</f>
        <v>13372</v>
      </c>
      <c r="G823" s="489">
        <f>F823+F823*70%</f>
        <v>22732.400000000001</v>
      </c>
      <c r="H823" s="1234">
        <v>12000</v>
      </c>
      <c r="I823" s="1266"/>
    </row>
    <row r="824" spans="1:9" ht="16.5" thickBot="1" x14ac:dyDescent="0.3">
      <c r="H824" s="1234">
        <f>H823*2</f>
        <v>24000</v>
      </c>
    </row>
    <row r="825" spans="1:9" ht="16.5" thickBot="1" x14ac:dyDescent="0.3"/>
    <row r="826" spans="1:9" ht="16.5" thickBot="1" x14ac:dyDescent="0.3">
      <c r="A826" s="1568" t="s">
        <v>3819</v>
      </c>
      <c r="B826" s="1569"/>
      <c r="C826" s="1569"/>
      <c r="D826" s="1569"/>
      <c r="E826" s="1569"/>
      <c r="F826" s="1569"/>
      <c r="G826" s="171"/>
      <c r="H826" s="171"/>
    </row>
    <row r="827" spans="1:9" x14ac:dyDescent="0.25">
      <c r="A827" s="1240" t="s">
        <v>916</v>
      </c>
      <c r="B827" s="1225" t="s">
        <v>1073</v>
      </c>
      <c r="C827" s="485" t="s">
        <v>1089</v>
      </c>
      <c r="D827" s="485" t="s">
        <v>1547</v>
      </c>
      <c r="E827" s="485" t="s">
        <v>1035</v>
      </c>
      <c r="F827" s="486" t="s">
        <v>1549</v>
      </c>
      <c r="G827" s="1"/>
      <c r="H827" s="171"/>
    </row>
    <row r="828" spans="1:9" x14ac:dyDescent="0.25">
      <c r="A828" s="2" t="s">
        <v>3528</v>
      </c>
      <c r="B828" s="98" t="s">
        <v>3578</v>
      </c>
      <c r="C828" s="241"/>
      <c r="D828" s="6"/>
      <c r="E828" s="66" t="s">
        <v>1649</v>
      </c>
      <c r="F828" s="39">
        <f>PLATEADO!E34</f>
        <v>3040</v>
      </c>
      <c r="G828" s="1"/>
      <c r="H828" s="171"/>
    </row>
    <row r="829" spans="1:9" x14ac:dyDescent="0.25">
      <c r="A829" s="148" t="s">
        <v>3705</v>
      </c>
      <c r="B829" s="148" t="s">
        <v>989</v>
      </c>
      <c r="C829" s="241"/>
      <c r="D829" s="6"/>
      <c r="E829" s="66">
        <f>PIEDRAS!F76</f>
        <v>764</v>
      </c>
      <c r="F829" s="39">
        <f>E829*2</f>
        <v>1528</v>
      </c>
      <c r="G829" s="1"/>
      <c r="H829" s="171"/>
    </row>
    <row r="830" spans="1:9" x14ac:dyDescent="0.25">
      <c r="A830" s="148" t="s">
        <v>1558</v>
      </c>
      <c r="B830" s="148">
        <v>60</v>
      </c>
      <c r="C830" s="241"/>
      <c r="D830" s="6">
        <v>15</v>
      </c>
      <c r="E830" s="66">
        <f>'INSUMOS VARIOS'!B3</f>
        <v>3500</v>
      </c>
      <c r="F830" s="39">
        <f>D830*E830/B830</f>
        <v>875</v>
      </c>
      <c r="G830" s="1"/>
      <c r="H830" s="171"/>
    </row>
    <row r="831" spans="1:9" x14ac:dyDescent="0.25">
      <c r="A831" s="104" t="s">
        <v>1557</v>
      </c>
      <c r="B831" s="190"/>
      <c r="C831" s="6"/>
      <c r="D831" s="6"/>
      <c r="E831" s="66"/>
      <c r="F831" s="39">
        <f>PACKAGING!E3</f>
        <v>150</v>
      </c>
      <c r="G831" s="1"/>
      <c r="H831" s="171"/>
    </row>
    <row r="832" spans="1:9" x14ac:dyDescent="0.25">
      <c r="A832" s="3" t="s">
        <v>1538</v>
      </c>
      <c r="B832" s="2"/>
      <c r="C832" s="6"/>
      <c r="D832" s="6"/>
      <c r="E832" s="66"/>
      <c r="F832" s="39">
        <f>PACKAGING!E8</f>
        <v>420</v>
      </c>
      <c r="G832" s="1"/>
      <c r="H832" s="171"/>
    </row>
    <row r="833" spans="1:9" ht="16.5" thickBot="1" x14ac:dyDescent="0.3">
      <c r="A833" s="79" t="s">
        <v>525</v>
      </c>
      <c r="B833" s="70"/>
      <c r="C833" s="85"/>
      <c r="D833" s="85"/>
      <c r="E833" s="85"/>
      <c r="F833" s="51">
        <f>SUM(F828:F832)</f>
        <v>6013</v>
      </c>
      <c r="G833" s="134"/>
      <c r="H833" s="171"/>
    </row>
    <row r="834" spans="1:9" ht="16.5" thickBot="1" x14ac:dyDescent="0.3">
      <c r="A834" s="1147" t="s">
        <v>1559</v>
      </c>
      <c r="B834" s="1148"/>
      <c r="C834" s="1148"/>
      <c r="D834" s="1148"/>
      <c r="E834" s="276"/>
      <c r="F834" s="372">
        <f>F833*2</f>
        <v>12026</v>
      </c>
      <c r="G834" s="489">
        <f>F834+F834*70%</f>
        <v>20444.199999999997</v>
      </c>
      <c r="H834" s="1267">
        <v>13000</v>
      </c>
      <c r="I834" s="1266" t="s">
        <v>3687</v>
      </c>
    </row>
    <row r="835" spans="1:9" ht="16.5" thickBot="1" x14ac:dyDescent="0.3">
      <c r="H835" s="1234">
        <v>26000</v>
      </c>
    </row>
    <row r="836" spans="1:9" ht="16.5" thickBot="1" x14ac:dyDescent="0.3"/>
    <row r="837" spans="1:9" ht="16.5" thickBot="1" x14ac:dyDescent="0.3">
      <c r="A837" s="1568" t="s">
        <v>3798</v>
      </c>
      <c r="B837" s="1569"/>
      <c r="C837" s="1569"/>
      <c r="D837" s="1569"/>
      <c r="E837" s="1569"/>
      <c r="F837" s="1569"/>
      <c r="G837" s="171"/>
      <c r="H837" s="171"/>
    </row>
    <row r="838" spans="1:9" x14ac:dyDescent="0.25">
      <c r="A838" s="1240" t="s">
        <v>916</v>
      </c>
      <c r="B838" s="1225" t="s">
        <v>1073</v>
      </c>
      <c r="C838" s="485" t="s">
        <v>1089</v>
      </c>
      <c r="D838" s="485" t="s">
        <v>1547</v>
      </c>
      <c r="E838" s="485" t="s">
        <v>1035</v>
      </c>
      <c r="F838" s="486" t="s">
        <v>1549</v>
      </c>
      <c r="G838" s="1"/>
      <c r="H838" s="171"/>
    </row>
    <row r="839" spans="1:9" x14ac:dyDescent="0.25">
      <c r="A839" s="2" t="s">
        <v>3528</v>
      </c>
      <c r="B839" s="98" t="s">
        <v>3578</v>
      </c>
      <c r="C839" s="241"/>
      <c r="D839" s="6"/>
      <c r="E839" s="66" t="s">
        <v>1649</v>
      </c>
      <c r="F839" s="39">
        <f>PLATEADO!E34</f>
        <v>3040</v>
      </c>
      <c r="G839" s="1"/>
      <c r="H839" s="171"/>
    </row>
    <row r="840" spans="1:9" x14ac:dyDescent="0.25">
      <c r="A840" s="148" t="s">
        <v>3183</v>
      </c>
      <c r="B840" s="148" t="s">
        <v>1474</v>
      </c>
      <c r="C840" s="241"/>
      <c r="D840" s="6">
        <v>2</v>
      </c>
      <c r="E840" s="66">
        <f>PIEDRAS!F134</f>
        <v>280.43478260869563</v>
      </c>
      <c r="F840" s="39">
        <f>E840*2</f>
        <v>560.86956521739125</v>
      </c>
      <c r="G840" s="1"/>
      <c r="H840" s="171"/>
    </row>
    <row r="841" spans="1:9" x14ac:dyDescent="0.25">
      <c r="A841" s="148" t="s">
        <v>1558</v>
      </c>
      <c r="B841" s="148">
        <v>60</v>
      </c>
      <c r="C841" s="241"/>
      <c r="D841" s="6">
        <v>15</v>
      </c>
      <c r="E841" s="66">
        <f>'INSUMOS VARIOS'!B3</f>
        <v>3500</v>
      </c>
      <c r="F841" s="39">
        <f>D841*E841/B841</f>
        <v>875</v>
      </c>
      <c r="G841" s="1"/>
      <c r="H841" s="171"/>
    </row>
    <row r="842" spans="1:9" x14ac:dyDescent="0.25">
      <c r="A842" s="104" t="s">
        <v>1557</v>
      </c>
      <c r="B842" s="190"/>
      <c r="C842" s="6"/>
      <c r="D842" s="6"/>
      <c r="E842" s="66"/>
      <c r="F842" s="39">
        <f>PACKAGING!E15</f>
        <v>380</v>
      </c>
      <c r="G842" s="1"/>
      <c r="H842" s="171"/>
    </row>
    <row r="843" spans="1:9" x14ac:dyDescent="0.25">
      <c r="A843" s="3" t="s">
        <v>1538</v>
      </c>
      <c r="B843" s="2"/>
      <c r="C843" s="6"/>
      <c r="D843" s="6"/>
      <c r="E843" s="66"/>
      <c r="F843" s="39">
        <f>PACKAGING!E8</f>
        <v>420</v>
      </c>
      <c r="G843" s="1"/>
      <c r="H843" s="171"/>
    </row>
    <row r="844" spans="1:9" ht="16.5" thickBot="1" x14ac:dyDescent="0.3">
      <c r="A844" s="79" t="s">
        <v>525</v>
      </c>
      <c r="B844" s="70"/>
      <c r="C844" s="85"/>
      <c r="D844" s="85"/>
      <c r="E844" s="85"/>
      <c r="F844" s="51">
        <f>SUM(F839:F843)</f>
        <v>5275.869565217391</v>
      </c>
      <c r="G844" s="134"/>
      <c r="H844" s="171"/>
    </row>
    <row r="845" spans="1:9" ht="16.5" thickBot="1" x14ac:dyDescent="0.3">
      <c r="A845" s="1147" t="s">
        <v>1559</v>
      </c>
      <c r="B845" s="1148"/>
      <c r="C845" s="1148"/>
      <c r="D845" s="1148"/>
      <c r="E845" s="276"/>
      <c r="F845" s="372">
        <f>F844*2</f>
        <v>10551.739130434782</v>
      </c>
      <c r="G845" s="489">
        <f>F845+F845*50%</f>
        <v>15827.608695652172</v>
      </c>
      <c r="H845" s="1267">
        <v>13000</v>
      </c>
      <c r="I845" s="1266" t="s">
        <v>3687</v>
      </c>
    </row>
    <row r="846" spans="1:9" ht="16.5" thickBot="1" x14ac:dyDescent="0.3">
      <c r="H846" s="1234">
        <f>H845*2</f>
        <v>26000</v>
      </c>
    </row>
    <row r="847" spans="1:9" ht="16.5" thickBot="1" x14ac:dyDescent="0.3"/>
    <row r="848" spans="1:9" ht="16.5" thickBot="1" x14ac:dyDescent="0.3">
      <c r="A848" s="1568" t="s">
        <v>4526</v>
      </c>
      <c r="B848" s="1569"/>
      <c r="C848" s="1569"/>
      <c r="D848" s="1569"/>
      <c r="E848" s="1569"/>
      <c r="F848" s="1569"/>
      <c r="G848" s="171"/>
      <c r="H848" s="171"/>
    </row>
    <row r="849" spans="1:9" x14ac:dyDescent="0.25">
      <c r="A849" s="1240" t="s">
        <v>916</v>
      </c>
      <c r="B849" s="1225" t="s">
        <v>1073</v>
      </c>
      <c r="C849" s="485" t="s">
        <v>1089</v>
      </c>
      <c r="D849" s="485" t="s">
        <v>1547</v>
      </c>
      <c r="E849" s="485" t="s">
        <v>1035</v>
      </c>
      <c r="F849" s="486" t="s">
        <v>1549</v>
      </c>
      <c r="G849" s="1"/>
      <c r="H849" s="171"/>
    </row>
    <row r="850" spans="1:9" x14ac:dyDescent="0.25">
      <c r="A850" s="2" t="s">
        <v>3528</v>
      </c>
      <c r="B850" s="98" t="s">
        <v>3577</v>
      </c>
      <c r="C850" s="241"/>
      <c r="D850" s="6"/>
      <c r="E850" s="66" t="s">
        <v>1649</v>
      </c>
      <c r="F850" s="39">
        <f>'AROS, CADENAS, DIJES, ETC'!J102</f>
        <v>3767</v>
      </c>
      <c r="G850" s="1"/>
      <c r="H850" s="171"/>
    </row>
    <row r="851" spans="1:9" x14ac:dyDescent="0.25">
      <c r="A851" s="148" t="s">
        <v>3117</v>
      </c>
      <c r="B851" s="148"/>
      <c r="C851" s="241"/>
      <c r="D851" s="6">
        <v>2</v>
      </c>
      <c r="E851" s="66">
        <f>FORNITURAS!D15</f>
        <v>142</v>
      </c>
      <c r="F851" s="39">
        <f>E851*2</f>
        <v>284</v>
      </c>
      <c r="G851" s="1"/>
      <c r="H851" s="171"/>
    </row>
    <row r="852" spans="1:9" x14ac:dyDescent="0.25">
      <c r="A852" s="148" t="s">
        <v>1742</v>
      </c>
      <c r="B852" s="148" t="s">
        <v>2161</v>
      </c>
      <c r="C852" s="241"/>
      <c r="D852" s="6"/>
      <c r="E852" s="66">
        <f>'PERLAS 2'!O7</f>
        <v>146.77966101694915</v>
      </c>
      <c r="F852" s="39">
        <f>E852*2</f>
        <v>293.5593220338983</v>
      </c>
      <c r="G852" s="1"/>
      <c r="H852" s="171"/>
    </row>
    <row r="853" spans="1:9" x14ac:dyDescent="0.25">
      <c r="A853" s="148" t="s">
        <v>1558</v>
      </c>
      <c r="B853" s="148">
        <v>60</v>
      </c>
      <c r="C853" s="241"/>
      <c r="D853" s="6">
        <v>15</v>
      </c>
      <c r="E853" s="66">
        <f>'INSUMOS VARIOS'!B3</f>
        <v>3500</v>
      </c>
      <c r="F853" s="39">
        <f>D853*E853/B853</f>
        <v>875</v>
      </c>
      <c r="G853" s="1"/>
      <c r="H853" s="171"/>
    </row>
    <row r="854" spans="1:9" x14ac:dyDescent="0.25">
      <c r="A854" s="104" t="s">
        <v>1557</v>
      </c>
      <c r="B854" s="190"/>
      <c r="C854" s="6"/>
      <c r="D854" s="6"/>
      <c r="E854" s="66"/>
      <c r="F854" s="39">
        <f>PACKAGING!E3</f>
        <v>150</v>
      </c>
      <c r="G854" s="1"/>
      <c r="H854" s="171"/>
    </row>
    <row r="855" spans="1:9" x14ac:dyDescent="0.25">
      <c r="A855" s="3" t="s">
        <v>3618</v>
      </c>
      <c r="B855" s="2"/>
      <c r="C855" s="6"/>
      <c r="D855" s="6"/>
      <c r="E855" s="66"/>
      <c r="F855" s="39">
        <f>PACKAGING!I5</f>
        <v>845</v>
      </c>
      <c r="G855" s="1"/>
      <c r="H855" s="171"/>
    </row>
    <row r="856" spans="1:9" ht="16.5" thickBot="1" x14ac:dyDescent="0.3">
      <c r="A856" s="79" t="s">
        <v>525</v>
      </c>
      <c r="B856" s="70"/>
      <c r="C856" s="85"/>
      <c r="D856" s="85"/>
      <c r="E856" s="85"/>
      <c r="F856" s="51">
        <f>SUM(F850:F855)</f>
        <v>6214.5593220338978</v>
      </c>
      <c r="G856" s="134"/>
      <c r="H856" s="171"/>
    </row>
    <row r="857" spans="1:9" ht="16.5" thickBot="1" x14ac:dyDescent="0.3">
      <c r="A857" s="1147" t="s">
        <v>1559</v>
      </c>
      <c r="B857" s="1148"/>
      <c r="C857" s="1148"/>
      <c r="D857" s="1148"/>
      <c r="E857" s="276"/>
      <c r="F857" s="372">
        <f>F856*2</f>
        <v>12429.118644067796</v>
      </c>
      <c r="G857" s="489">
        <f>F857+F857*70%</f>
        <v>21129.501694915252</v>
      </c>
      <c r="H857" s="1267">
        <v>14000</v>
      </c>
      <c r="I857" s="1266" t="s">
        <v>3687</v>
      </c>
    </row>
    <row r="858" spans="1:9" ht="16.5" thickBot="1" x14ac:dyDescent="0.3">
      <c r="H858" s="1234">
        <f>H857*2</f>
        <v>28000</v>
      </c>
    </row>
    <row r="859" spans="1:9" ht="16.5" thickBot="1" x14ac:dyDescent="0.3"/>
    <row r="860" spans="1:9" ht="16.5" thickBot="1" x14ac:dyDescent="0.3">
      <c r="A860" s="1568" t="s">
        <v>3814</v>
      </c>
      <c r="B860" s="1569"/>
      <c r="C860" s="1569"/>
      <c r="D860" s="1569"/>
      <c r="E860" s="1569"/>
      <c r="F860" s="1569"/>
      <c r="G860" s="171"/>
      <c r="H860" s="171"/>
    </row>
    <row r="861" spans="1:9" x14ac:dyDescent="0.25">
      <c r="A861" s="1240" t="s">
        <v>916</v>
      </c>
      <c r="B861" s="1225" t="s">
        <v>1073</v>
      </c>
      <c r="C861" s="485" t="s">
        <v>1089</v>
      </c>
      <c r="D861" s="485" t="s">
        <v>1547</v>
      </c>
      <c r="E861" s="485" t="s">
        <v>1035</v>
      </c>
      <c r="F861" s="486" t="s">
        <v>1549</v>
      </c>
      <c r="G861" s="1"/>
      <c r="H861" s="171"/>
    </row>
    <row r="862" spans="1:9" x14ac:dyDescent="0.25">
      <c r="A862" s="2" t="s">
        <v>3528</v>
      </c>
      <c r="B862" s="98" t="s">
        <v>3577</v>
      </c>
      <c r="C862" s="241"/>
      <c r="D862" s="6"/>
      <c r="E862" s="66" t="s">
        <v>1649</v>
      </c>
      <c r="F862" s="39">
        <f>PLATEADO!E32</f>
        <v>2798</v>
      </c>
      <c r="G862" s="1"/>
      <c r="H862" s="171"/>
    </row>
    <row r="863" spans="1:9" x14ac:dyDescent="0.25">
      <c r="A863" s="148" t="s">
        <v>3707</v>
      </c>
      <c r="B863" s="148" t="s">
        <v>805</v>
      </c>
      <c r="C863" s="241"/>
      <c r="D863" s="6">
        <v>2</v>
      </c>
      <c r="E863" s="66">
        <f>FORNITURAS!D33</f>
        <v>813</v>
      </c>
      <c r="F863" s="39">
        <f>E863*2</f>
        <v>1626</v>
      </c>
      <c r="G863" s="1"/>
      <c r="H863" s="171"/>
    </row>
    <row r="864" spans="1:9" x14ac:dyDescent="0.25">
      <c r="A864" s="1616" t="s">
        <v>1742</v>
      </c>
      <c r="B864" s="148" t="s">
        <v>3532</v>
      </c>
      <c r="C864" s="241"/>
      <c r="D864" s="6">
        <v>1</v>
      </c>
      <c r="E864" s="66">
        <f>'PERLAS 2'!H23</f>
        <v>281.60000000000002</v>
      </c>
      <c r="F864" s="39">
        <f>E864</f>
        <v>281.60000000000002</v>
      </c>
      <c r="G864" s="1"/>
      <c r="H864" s="171"/>
    </row>
    <row r="865" spans="1:9" x14ac:dyDescent="0.25">
      <c r="A865" s="1715"/>
      <c r="B865" s="148" t="s">
        <v>1322</v>
      </c>
      <c r="C865" s="241"/>
      <c r="D865" s="6">
        <v>1</v>
      </c>
      <c r="E865" s="66">
        <f>'PERLAS 2'!H4</f>
        <v>1792</v>
      </c>
      <c r="F865" s="39">
        <f>E865</f>
        <v>1792</v>
      </c>
      <c r="G865" s="1"/>
      <c r="H865" s="171"/>
    </row>
    <row r="866" spans="1:9" x14ac:dyDescent="0.25">
      <c r="A866" s="148" t="s">
        <v>3708</v>
      </c>
      <c r="B866" s="148" t="s">
        <v>805</v>
      </c>
      <c r="C866" s="241"/>
      <c r="D866" s="6">
        <v>1</v>
      </c>
      <c r="E866" s="66">
        <f>PIEDRAS!F80</f>
        <v>162.12121212121212</v>
      </c>
      <c r="F866" s="39">
        <f>E866</f>
        <v>162.12121212121212</v>
      </c>
      <c r="G866" s="1"/>
      <c r="H866" s="171"/>
    </row>
    <row r="867" spans="1:9" x14ac:dyDescent="0.25">
      <c r="A867" s="148" t="s">
        <v>3117</v>
      </c>
      <c r="B867" s="148"/>
      <c r="C867" s="241"/>
      <c r="D867" s="6">
        <v>2</v>
      </c>
      <c r="E867" s="66">
        <f>PLATEADO!F14</f>
        <v>94</v>
      </c>
      <c r="F867" s="39">
        <f>E867*D867</f>
        <v>188</v>
      </c>
      <c r="G867" s="1"/>
      <c r="H867" s="171"/>
    </row>
    <row r="868" spans="1:9" x14ac:dyDescent="0.25">
      <c r="A868" s="148" t="s">
        <v>1558</v>
      </c>
      <c r="B868" s="148">
        <v>60</v>
      </c>
      <c r="C868" s="241"/>
      <c r="D868" s="6">
        <v>20</v>
      </c>
      <c r="E868" s="66">
        <f>'INSUMOS VARIOS'!B3</f>
        <v>3500</v>
      </c>
      <c r="F868" s="39">
        <f>D868*E868/B868</f>
        <v>1166.6666666666667</v>
      </c>
      <c r="G868" s="1"/>
      <c r="H868" s="171"/>
    </row>
    <row r="869" spans="1:9" x14ac:dyDescent="0.25">
      <c r="A869" s="104" t="s">
        <v>1557</v>
      </c>
      <c r="B869" s="190"/>
      <c r="C869" s="6"/>
      <c r="D869" s="6"/>
      <c r="E869" s="66"/>
      <c r="F869" s="39">
        <f>PACKAGING!E17</f>
        <v>7.5</v>
      </c>
      <c r="G869" s="1"/>
      <c r="H869" s="171"/>
    </row>
    <row r="870" spans="1:9" x14ac:dyDescent="0.25">
      <c r="A870" s="3" t="s">
        <v>3568</v>
      </c>
      <c r="B870" s="2"/>
      <c r="C870" s="6"/>
      <c r="D870" s="6"/>
      <c r="E870" s="66"/>
      <c r="F870" s="39">
        <f>PACKAGING!I5</f>
        <v>845</v>
      </c>
      <c r="G870" s="1"/>
      <c r="H870" s="171"/>
    </row>
    <row r="871" spans="1:9" ht="16.5" thickBot="1" x14ac:dyDescent="0.3">
      <c r="A871" s="79" t="s">
        <v>525</v>
      </c>
      <c r="B871" s="70"/>
      <c r="C871" s="85"/>
      <c r="D871" s="85"/>
      <c r="E871" s="85"/>
      <c r="F871" s="51">
        <f>SUM(F862:F870)</f>
        <v>8866.8878787878784</v>
      </c>
      <c r="G871" s="134"/>
      <c r="H871" s="171"/>
    </row>
    <row r="872" spans="1:9" ht="16.5" thickBot="1" x14ac:dyDescent="0.3">
      <c r="A872" s="1147" t="s">
        <v>1559</v>
      </c>
      <c r="B872" s="1148"/>
      <c r="C872" s="1148"/>
      <c r="D872" s="1148"/>
      <c r="E872" s="276"/>
      <c r="F872" s="372">
        <f>F871*2</f>
        <v>17733.775757575757</v>
      </c>
      <c r="G872" s="489">
        <f>F872+F872*70%</f>
        <v>30147.418787878785</v>
      </c>
      <c r="H872" s="1234">
        <v>30000</v>
      </c>
      <c r="I872" s="1266"/>
    </row>
    <row r="873" spans="1:9" ht="16.5" thickBot="1" x14ac:dyDescent="0.3">
      <c r="H873" s="1288">
        <f>H872*60%</f>
        <v>18000</v>
      </c>
      <c r="I873" s="1266" t="s">
        <v>3687</v>
      </c>
    </row>
    <row r="874" spans="1:9" ht="16.5" thickBot="1" x14ac:dyDescent="0.3"/>
    <row r="875" spans="1:9" ht="16.5" thickBot="1" x14ac:dyDescent="0.3">
      <c r="A875" s="1568" t="s">
        <v>3804</v>
      </c>
      <c r="B875" s="1569"/>
      <c r="C875" s="1569"/>
      <c r="D875" s="1569"/>
      <c r="E875" s="1569"/>
      <c r="F875" s="1569"/>
      <c r="G875" s="171"/>
      <c r="H875" s="171"/>
    </row>
    <row r="876" spans="1:9" x14ac:dyDescent="0.25">
      <c r="A876" s="1240" t="s">
        <v>916</v>
      </c>
      <c r="B876" s="1225" t="s">
        <v>1073</v>
      </c>
      <c r="C876" s="485" t="s">
        <v>1089</v>
      </c>
      <c r="D876" s="485" t="s">
        <v>1547</v>
      </c>
      <c r="E876" s="485" t="s">
        <v>1035</v>
      </c>
      <c r="F876" s="486" t="s">
        <v>1549</v>
      </c>
      <c r="G876" s="1"/>
      <c r="H876" s="171"/>
    </row>
    <row r="877" spans="1:9" x14ac:dyDescent="0.25">
      <c r="A877" s="2" t="s">
        <v>3710</v>
      </c>
      <c r="B877" s="98" t="s">
        <v>3709</v>
      </c>
      <c r="C877" s="241"/>
      <c r="D877" s="6"/>
      <c r="E877" s="66" t="s">
        <v>1649</v>
      </c>
      <c r="F877" s="39">
        <f>'AROS, CADENAS, DIJES, ETC'!C3</f>
        <v>1200</v>
      </c>
      <c r="G877" s="1"/>
      <c r="H877" s="171"/>
    </row>
    <row r="878" spans="1:9" x14ac:dyDescent="0.25">
      <c r="A878" s="148" t="s">
        <v>3711</v>
      </c>
      <c r="B878" s="148" t="s">
        <v>781</v>
      </c>
      <c r="C878" s="241"/>
      <c r="D878" s="6">
        <v>2</v>
      </c>
      <c r="E878" s="66">
        <f>PLATEADO!M10</f>
        <v>890.8</v>
      </c>
      <c r="F878" s="39">
        <f>E878*2</f>
        <v>1781.6</v>
      </c>
      <c r="G878" s="1"/>
      <c r="H878" s="171"/>
    </row>
    <row r="879" spans="1:9" x14ac:dyDescent="0.25">
      <c r="A879" s="148" t="s">
        <v>1558</v>
      </c>
      <c r="B879" s="148">
        <v>60</v>
      </c>
      <c r="C879" s="241"/>
      <c r="D879" s="6">
        <v>15</v>
      </c>
      <c r="E879" s="66">
        <f>'INSUMOS VARIOS'!B3</f>
        <v>3500</v>
      </c>
      <c r="F879" s="39">
        <f>D879*E879/B879</f>
        <v>875</v>
      </c>
      <c r="G879" s="1"/>
      <c r="H879" s="171"/>
    </row>
    <row r="880" spans="1:9" x14ac:dyDescent="0.25">
      <c r="A880" s="104" t="s">
        <v>1557</v>
      </c>
      <c r="B880" s="190"/>
      <c r="C880" s="6"/>
      <c r="D880" s="6"/>
      <c r="E880" s="66"/>
      <c r="F880" s="39">
        <f>PACKAGING!E3</f>
        <v>150</v>
      </c>
      <c r="G880" s="1"/>
      <c r="H880" s="171"/>
    </row>
    <row r="881" spans="1:9" x14ac:dyDescent="0.25">
      <c r="A881" s="3" t="s">
        <v>1538</v>
      </c>
      <c r="B881" s="2"/>
      <c r="C881" s="6"/>
      <c r="D881" s="6"/>
      <c r="E881" s="66"/>
      <c r="F881" s="39">
        <f>PACKAGING!E8</f>
        <v>420</v>
      </c>
      <c r="G881" s="1"/>
      <c r="H881" s="171"/>
    </row>
    <row r="882" spans="1:9" ht="16.5" thickBot="1" x14ac:dyDescent="0.3">
      <c r="A882" s="79" t="s">
        <v>525</v>
      </c>
      <c r="B882" s="70"/>
      <c r="C882" s="85"/>
      <c r="D882" s="85"/>
      <c r="E882" s="85"/>
      <c r="F882" s="51">
        <f>SUM(F877:F881)</f>
        <v>4426.6000000000004</v>
      </c>
      <c r="G882" s="134"/>
      <c r="H882" s="171"/>
    </row>
    <row r="883" spans="1:9" ht="16.5" thickBot="1" x14ac:dyDescent="0.3">
      <c r="A883" s="1147" t="s">
        <v>1559</v>
      </c>
      <c r="B883" s="1148"/>
      <c r="C883" s="1148"/>
      <c r="D883" s="1148"/>
      <c r="E883" s="276"/>
      <c r="F883" s="372">
        <f>F882*2</f>
        <v>8853.2000000000007</v>
      </c>
      <c r="G883" s="489">
        <f>F883+F883*50%</f>
        <v>13279.800000000001</v>
      </c>
      <c r="H883" s="1267">
        <v>11000</v>
      </c>
      <c r="I883" s="1266" t="s">
        <v>3687</v>
      </c>
    </row>
    <row r="884" spans="1:9" ht="16.5" thickBot="1" x14ac:dyDescent="0.3">
      <c r="H884" s="1234">
        <f>H883*2</f>
        <v>22000</v>
      </c>
    </row>
    <row r="885" spans="1:9" ht="16.5" thickBot="1" x14ac:dyDescent="0.3"/>
    <row r="886" spans="1:9" ht="16.5" thickBot="1" x14ac:dyDescent="0.3">
      <c r="A886" s="1568" t="s">
        <v>3805</v>
      </c>
      <c r="B886" s="1569"/>
      <c r="C886" s="1569"/>
      <c r="D886" s="1569"/>
      <c r="E886" s="1569"/>
      <c r="F886" s="1569"/>
      <c r="G886" s="171"/>
      <c r="H886" s="171"/>
    </row>
    <row r="887" spans="1:9" x14ac:dyDescent="0.25">
      <c r="A887" s="1240" t="s">
        <v>916</v>
      </c>
      <c r="B887" s="1225" t="s">
        <v>1073</v>
      </c>
      <c r="C887" s="485" t="s">
        <v>1089</v>
      </c>
      <c r="D887" s="485" t="s">
        <v>1547</v>
      </c>
      <c r="E887" s="485" t="s">
        <v>1035</v>
      </c>
      <c r="F887" s="486" t="s">
        <v>1549</v>
      </c>
      <c r="G887" s="1"/>
      <c r="H887" s="171"/>
    </row>
    <row r="888" spans="1:9" x14ac:dyDescent="0.25">
      <c r="A888" s="2" t="s">
        <v>3710</v>
      </c>
      <c r="B888" s="98" t="s">
        <v>3712</v>
      </c>
      <c r="C888" s="241"/>
      <c r="D888" s="6"/>
      <c r="E888" s="66" t="s">
        <v>1649</v>
      </c>
      <c r="F888" s="39">
        <f>'AROS, CADENAS, DIJES, ETC'!C4</f>
        <v>1200</v>
      </c>
      <c r="G888" s="1"/>
      <c r="H888" s="171"/>
    </row>
    <row r="889" spans="1:9" x14ac:dyDescent="0.25">
      <c r="A889" s="148" t="s">
        <v>3711</v>
      </c>
      <c r="B889" s="148"/>
      <c r="C889" s="241"/>
      <c r="D889" s="6">
        <v>2</v>
      </c>
      <c r="E889" s="66">
        <f>PLATEADO!M11</f>
        <v>1037.7</v>
      </c>
      <c r="F889" s="39">
        <f>E889*2</f>
        <v>2075.4</v>
      </c>
      <c r="G889" s="1"/>
      <c r="H889" s="171"/>
    </row>
    <row r="890" spans="1:9" x14ac:dyDescent="0.25">
      <c r="A890" s="148" t="s">
        <v>1558</v>
      </c>
      <c r="B890" s="148">
        <v>60</v>
      </c>
      <c r="C890" s="241"/>
      <c r="D890" s="6">
        <v>15</v>
      </c>
      <c r="E890" s="66">
        <f>'INSUMOS VARIOS'!B3</f>
        <v>3500</v>
      </c>
      <c r="F890" s="39">
        <f>D890*E890/B890</f>
        <v>875</v>
      </c>
      <c r="G890" s="1"/>
      <c r="H890" s="171"/>
    </row>
    <row r="891" spans="1:9" x14ac:dyDescent="0.25">
      <c r="A891" s="104" t="s">
        <v>1557</v>
      </c>
      <c r="B891" s="190"/>
      <c r="C891" s="6"/>
      <c r="D891" s="6"/>
      <c r="E891" s="66"/>
      <c r="F891" s="39">
        <f>PACKAGING!E3</f>
        <v>150</v>
      </c>
      <c r="G891" s="1"/>
      <c r="H891" s="171"/>
    </row>
    <row r="892" spans="1:9" x14ac:dyDescent="0.25">
      <c r="A892" s="3" t="s">
        <v>1538</v>
      </c>
      <c r="B892" s="2"/>
      <c r="C892" s="6"/>
      <c r="D892" s="6"/>
      <c r="E892" s="66"/>
      <c r="F892" s="39">
        <f>PACKAGING!E8</f>
        <v>420</v>
      </c>
      <c r="G892" s="1"/>
      <c r="H892" s="171"/>
    </row>
    <row r="893" spans="1:9" ht="16.5" thickBot="1" x14ac:dyDescent="0.3">
      <c r="A893" s="79" t="s">
        <v>525</v>
      </c>
      <c r="B893" s="70"/>
      <c r="C893" s="85"/>
      <c r="D893" s="85"/>
      <c r="E893" s="85"/>
      <c r="F893" s="51">
        <f>SUM(F888:F892)</f>
        <v>4720.3999999999996</v>
      </c>
      <c r="G893" s="134"/>
      <c r="H893" s="171"/>
    </row>
    <row r="894" spans="1:9" ht="16.5" thickBot="1" x14ac:dyDescent="0.3">
      <c r="A894" s="1147" t="s">
        <v>1559</v>
      </c>
      <c r="B894" s="1148"/>
      <c r="C894" s="1148"/>
      <c r="D894" s="1148"/>
      <c r="E894" s="276"/>
      <c r="F894" s="372">
        <f>F893*2</f>
        <v>9440.7999999999993</v>
      </c>
      <c r="G894" s="489">
        <f>F894+F894*50%</f>
        <v>14161.199999999999</v>
      </c>
      <c r="H894" s="1267">
        <v>12000</v>
      </c>
      <c r="I894" s="1266" t="s">
        <v>3687</v>
      </c>
    </row>
    <row r="895" spans="1:9" ht="16.5" thickBot="1" x14ac:dyDescent="0.3">
      <c r="H895" s="1234">
        <f>H894*2</f>
        <v>24000</v>
      </c>
    </row>
    <row r="897" spans="1:9" ht="16.5" thickBot="1" x14ac:dyDescent="0.3"/>
    <row r="898" spans="1:9" ht="16.5" thickBot="1" x14ac:dyDescent="0.3">
      <c r="A898" s="1568" t="s">
        <v>3824</v>
      </c>
      <c r="B898" s="1569"/>
      <c r="C898" s="1569"/>
      <c r="D898" s="1569"/>
      <c r="E898" s="1569"/>
      <c r="F898" s="1569"/>
      <c r="G898" s="171"/>
      <c r="H898" s="171"/>
    </row>
    <row r="899" spans="1:9" x14ac:dyDescent="0.25">
      <c r="A899" s="1240" t="s">
        <v>916</v>
      </c>
      <c r="B899" s="1225" t="s">
        <v>1073</v>
      </c>
      <c r="C899" s="485" t="s">
        <v>1089</v>
      </c>
      <c r="D899" s="485" t="s">
        <v>1547</v>
      </c>
      <c r="E899" s="485" t="s">
        <v>1035</v>
      </c>
      <c r="F899" s="486" t="s">
        <v>1549</v>
      </c>
      <c r="G899" s="1"/>
      <c r="H899" s="171"/>
    </row>
    <row r="900" spans="1:9" x14ac:dyDescent="0.25">
      <c r="A900" s="2" t="s">
        <v>3779</v>
      </c>
      <c r="B900" s="98">
        <v>1.3</v>
      </c>
      <c r="C900" s="241"/>
      <c r="D900" s="6"/>
      <c r="E900" s="66" t="s">
        <v>1649</v>
      </c>
      <c r="F900" s="39">
        <f>'AROS, CADENAS, DIJES, ETC'!C54</f>
        <v>3628</v>
      </c>
      <c r="G900" s="1"/>
      <c r="H900" s="171"/>
    </row>
    <row r="901" spans="1:9" x14ac:dyDescent="0.25">
      <c r="A901" s="104" t="s">
        <v>1557</v>
      </c>
      <c r="B901" s="190"/>
      <c r="C901" s="6"/>
      <c r="D901" s="6"/>
      <c r="E901" s="66"/>
      <c r="F901" s="39">
        <f>PACKAGING!E3</f>
        <v>150</v>
      </c>
      <c r="G901" s="1"/>
      <c r="H901" s="171"/>
    </row>
    <row r="902" spans="1:9" x14ac:dyDescent="0.25">
      <c r="A902" s="3" t="s">
        <v>1538</v>
      </c>
      <c r="B902" s="2"/>
      <c r="C902" s="6"/>
      <c r="D902" s="6"/>
      <c r="E902" s="66"/>
      <c r="F902" s="39">
        <f>PACKAGING!E8</f>
        <v>420</v>
      </c>
      <c r="G902" s="1"/>
      <c r="H902" s="171"/>
    </row>
    <row r="903" spans="1:9" ht="16.5" thickBot="1" x14ac:dyDescent="0.3">
      <c r="A903" s="79" t="s">
        <v>525</v>
      </c>
      <c r="B903" s="70"/>
      <c r="C903" s="85"/>
      <c r="D903" s="85"/>
      <c r="E903" s="85"/>
      <c r="F903" s="51">
        <f>SUM(F900:F902)</f>
        <v>4198</v>
      </c>
      <c r="G903" s="134"/>
      <c r="H903" s="171"/>
    </row>
    <row r="904" spans="1:9" ht="16.5" thickBot="1" x14ac:dyDescent="0.3">
      <c r="A904" s="1147" t="s">
        <v>1559</v>
      </c>
      <c r="B904" s="1148"/>
      <c r="C904" s="1148"/>
      <c r="D904" s="1148"/>
      <c r="E904" s="276"/>
      <c r="F904" s="372">
        <f>F903*2</f>
        <v>8396</v>
      </c>
      <c r="G904" s="489">
        <f>F904+F904*70%</f>
        <v>14273.2</v>
      </c>
      <c r="H904" s="494">
        <v>18000</v>
      </c>
    </row>
    <row r="905" spans="1:9" ht="16.5" thickBot="1" x14ac:dyDescent="0.3">
      <c r="H905" s="1288">
        <f>H904*70%</f>
        <v>12600</v>
      </c>
      <c r="I905" s="1273" t="s">
        <v>3687</v>
      </c>
    </row>
    <row r="906" spans="1:9" ht="16.5" thickBot="1" x14ac:dyDescent="0.3"/>
    <row r="907" spans="1:9" ht="16.5" thickBot="1" x14ac:dyDescent="0.3">
      <c r="A907" s="1568" t="s">
        <v>3825</v>
      </c>
      <c r="B907" s="1569"/>
      <c r="C907" s="1569"/>
      <c r="D907" s="1569"/>
      <c r="E907" s="1569"/>
      <c r="F907" s="1569"/>
      <c r="G907" s="171"/>
      <c r="H907" s="171"/>
    </row>
    <row r="908" spans="1:9" x14ac:dyDescent="0.25">
      <c r="A908" s="1240" t="s">
        <v>916</v>
      </c>
      <c r="B908" s="1225" t="s">
        <v>1073</v>
      </c>
      <c r="C908" s="485" t="s">
        <v>1089</v>
      </c>
      <c r="D908" s="485" t="s">
        <v>1547</v>
      </c>
      <c r="E908" s="485" t="s">
        <v>1035</v>
      </c>
      <c r="F908" s="486" t="s">
        <v>1549</v>
      </c>
      <c r="G908" s="1"/>
      <c r="H908" s="171"/>
    </row>
    <row r="909" spans="1:9" x14ac:dyDescent="0.25">
      <c r="A909" s="2" t="s">
        <v>3779</v>
      </c>
      <c r="B909" s="98">
        <v>1.5</v>
      </c>
      <c r="C909" s="241"/>
      <c r="D909" s="6"/>
      <c r="E909" s="66" t="s">
        <v>1649</v>
      </c>
      <c r="F909" s="39">
        <f>'AROS, CADENAS, DIJES, ETC'!C55</f>
        <v>4366</v>
      </c>
      <c r="G909" s="1"/>
      <c r="H909" s="171"/>
    </row>
    <row r="910" spans="1:9" x14ac:dyDescent="0.25">
      <c r="A910" s="104" t="s">
        <v>1557</v>
      </c>
      <c r="B910" s="190"/>
      <c r="C910" s="6"/>
      <c r="D910" s="6"/>
      <c r="E910" s="66"/>
      <c r="F910" s="39">
        <f>PACKAGING!E3</f>
        <v>150</v>
      </c>
      <c r="G910" s="1"/>
      <c r="H910" s="171"/>
    </row>
    <row r="911" spans="1:9" x14ac:dyDescent="0.25">
      <c r="A911" s="3" t="s">
        <v>1538</v>
      </c>
      <c r="B911" s="2"/>
      <c r="C911" s="6"/>
      <c r="D911" s="6"/>
      <c r="E911" s="66"/>
      <c r="F911" s="39">
        <f>PACKAGING!E8</f>
        <v>420</v>
      </c>
      <c r="G911" s="1"/>
      <c r="H911" s="171"/>
    </row>
    <row r="912" spans="1:9" ht="16.5" thickBot="1" x14ac:dyDescent="0.3">
      <c r="A912" s="79" t="s">
        <v>525</v>
      </c>
      <c r="B912" s="70"/>
      <c r="C912" s="85"/>
      <c r="D912" s="85"/>
      <c r="E912" s="85"/>
      <c r="F912" s="51">
        <f>SUM(F909:F911)</f>
        <v>4936</v>
      </c>
      <c r="G912" s="134"/>
      <c r="H912" s="171"/>
    </row>
    <row r="913" spans="1:8" ht="16.5" thickBot="1" x14ac:dyDescent="0.3">
      <c r="A913" s="1147" t="s">
        <v>1559</v>
      </c>
      <c r="B913" s="1148"/>
      <c r="C913" s="1148"/>
      <c r="D913" s="1148"/>
      <c r="E913" s="276"/>
      <c r="F913" s="372">
        <f>F912*2</f>
        <v>9872</v>
      </c>
      <c r="G913" s="489">
        <f>F913+F913*70%</f>
        <v>16782.400000000001</v>
      </c>
      <c r="H913" s="494">
        <v>20000</v>
      </c>
    </row>
    <row r="914" spans="1:8" ht="16.5" thickBot="1" x14ac:dyDescent="0.3">
      <c r="H914" s="1288">
        <f>H913*70%</f>
        <v>14000</v>
      </c>
    </row>
    <row r="915" spans="1:8" ht="16.5" thickBot="1" x14ac:dyDescent="0.3"/>
    <row r="916" spans="1:8" ht="16.5" thickBot="1" x14ac:dyDescent="0.3">
      <c r="A916" s="1568" t="s">
        <v>3828</v>
      </c>
      <c r="B916" s="1569"/>
      <c r="C916" s="1569"/>
      <c r="D916" s="1569"/>
      <c r="E916" s="1569"/>
      <c r="F916" s="1569"/>
      <c r="G916" s="171"/>
      <c r="H916" s="171"/>
    </row>
    <row r="917" spans="1:8" x14ac:dyDescent="0.25">
      <c r="A917" s="1240" t="s">
        <v>916</v>
      </c>
      <c r="B917" s="1225" t="s">
        <v>1073</v>
      </c>
      <c r="C917" s="485" t="s">
        <v>1089</v>
      </c>
      <c r="D917" s="485" t="s">
        <v>1547</v>
      </c>
      <c r="E917" s="485" t="s">
        <v>1035</v>
      </c>
      <c r="F917" s="486" t="s">
        <v>1549</v>
      </c>
      <c r="G917" s="1"/>
      <c r="H917" s="171"/>
    </row>
    <row r="918" spans="1:8" x14ac:dyDescent="0.25">
      <c r="A918" s="2" t="s">
        <v>3779</v>
      </c>
      <c r="B918" s="98">
        <v>1.4</v>
      </c>
      <c r="C918" s="241"/>
      <c r="D918" s="6"/>
      <c r="E918" s="66" t="s">
        <v>1649</v>
      </c>
      <c r="F918" s="39">
        <f>'AROS, CADENAS, DIJES, ETC'!C56</f>
        <v>7366</v>
      </c>
      <c r="G918" s="1"/>
      <c r="H918" s="171"/>
    </row>
    <row r="919" spans="1:8" x14ac:dyDescent="0.25">
      <c r="A919" s="104" t="s">
        <v>1557</v>
      </c>
      <c r="B919" s="190"/>
      <c r="C919" s="6"/>
      <c r="D919" s="6"/>
      <c r="E919" s="66"/>
      <c r="F919" s="39">
        <f>PACKAGING!E3</f>
        <v>150</v>
      </c>
      <c r="G919" s="1"/>
      <c r="H919" s="171"/>
    </row>
    <row r="920" spans="1:8" x14ac:dyDescent="0.25">
      <c r="A920" s="3" t="s">
        <v>1538</v>
      </c>
      <c r="B920" s="2"/>
      <c r="C920" s="6"/>
      <c r="D920" s="6"/>
      <c r="E920" s="66"/>
      <c r="F920" s="39">
        <f>PACKAGING!E8</f>
        <v>420</v>
      </c>
      <c r="G920" s="1"/>
      <c r="H920" s="171"/>
    </row>
    <row r="921" spans="1:8" ht="16.5" thickBot="1" x14ac:dyDescent="0.3">
      <c r="A921" s="79" t="s">
        <v>525</v>
      </c>
      <c r="B921" s="70"/>
      <c r="C921" s="85"/>
      <c r="D921" s="85"/>
      <c r="E921" s="85"/>
      <c r="F921" s="51">
        <f>SUM(F918:F920)</f>
        <v>7936</v>
      </c>
      <c r="G921" s="134"/>
      <c r="H921" s="171"/>
    </row>
    <row r="922" spans="1:8" ht="16.5" thickBot="1" x14ac:dyDescent="0.3">
      <c r="A922" s="1147" t="s">
        <v>1559</v>
      </c>
      <c r="B922" s="1148"/>
      <c r="C922" s="1148"/>
      <c r="D922" s="1148"/>
      <c r="E922" s="276"/>
      <c r="F922" s="372">
        <f>F921*2</f>
        <v>15872</v>
      </c>
      <c r="G922" s="489">
        <f>F922+F922*60%</f>
        <v>25395.199999999997</v>
      </c>
      <c r="H922" s="494">
        <v>28000</v>
      </c>
    </row>
    <row r="923" spans="1:8" ht="16.5" thickBot="1" x14ac:dyDescent="0.3">
      <c r="H923" s="1288">
        <f>H922*70%</f>
        <v>19600</v>
      </c>
    </row>
    <row r="924" spans="1:8" ht="16.5" thickBot="1" x14ac:dyDescent="0.3">
      <c r="A924" s="1568" t="s">
        <v>3780</v>
      </c>
      <c r="B924" s="1569"/>
      <c r="C924" s="1569"/>
      <c r="D924" s="1569"/>
      <c r="E924" s="1569"/>
      <c r="F924" s="1569"/>
      <c r="G924" s="171"/>
      <c r="H924" s="171"/>
    </row>
    <row r="925" spans="1:8" x14ac:dyDescent="0.25">
      <c r="A925" s="1240" t="s">
        <v>916</v>
      </c>
      <c r="B925" s="1225" t="s">
        <v>1073</v>
      </c>
      <c r="C925" s="485" t="s">
        <v>1089</v>
      </c>
      <c r="D925" s="485" t="s">
        <v>1547</v>
      </c>
      <c r="E925" s="485" t="s">
        <v>1035</v>
      </c>
      <c r="F925" s="486" t="s">
        <v>1549</v>
      </c>
      <c r="G925" s="1"/>
      <c r="H925" s="171"/>
    </row>
    <row r="926" spans="1:8" x14ac:dyDescent="0.25">
      <c r="A926" s="2" t="s">
        <v>3779</v>
      </c>
      <c r="B926" s="98">
        <v>1.6</v>
      </c>
      <c r="C926" s="241"/>
      <c r="D926" s="6"/>
      <c r="E926" s="66" t="s">
        <v>1649</v>
      </c>
      <c r="F926" s="39">
        <f>'AROS, CADENAS, DIJES, ETC'!C57</f>
        <v>7596</v>
      </c>
      <c r="G926" s="1"/>
      <c r="H926" s="171"/>
    </row>
    <row r="927" spans="1:8" x14ac:dyDescent="0.25">
      <c r="A927" s="104" t="s">
        <v>1557</v>
      </c>
      <c r="B927" s="190"/>
      <c r="C927" s="6"/>
      <c r="D927" s="6"/>
      <c r="E927" s="66"/>
      <c r="F927" s="39">
        <f>PACKAGING!E3</f>
        <v>150</v>
      </c>
      <c r="G927" s="1"/>
      <c r="H927" s="171"/>
    </row>
    <row r="928" spans="1:8" x14ac:dyDescent="0.25">
      <c r="A928" s="3" t="s">
        <v>1538</v>
      </c>
      <c r="B928" s="2"/>
      <c r="C928" s="6"/>
      <c r="D928" s="6"/>
      <c r="E928" s="66"/>
      <c r="F928" s="39">
        <f>PACKAGING!E8</f>
        <v>420</v>
      </c>
      <c r="G928" s="1"/>
      <c r="H928" s="171"/>
    </row>
    <row r="929" spans="1:8" ht="16.5" thickBot="1" x14ac:dyDescent="0.3">
      <c r="A929" s="79" t="s">
        <v>525</v>
      </c>
      <c r="B929" s="70"/>
      <c r="C929" s="85"/>
      <c r="D929" s="85"/>
      <c r="E929" s="85"/>
      <c r="F929" s="51">
        <f>SUM(F926:F928)</f>
        <v>8166</v>
      </c>
      <c r="G929" s="134"/>
      <c r="H929" s="171"/>
    </row>
    <row r="930" spans="1:8" ht="16.5" thickBot="1" x14ac:dyDescent="0.3">
      <c r="A930" s="1147" t="s">
        <v>1559</v>
      </c>
      <c r="B930" s="1148"/>
      <c r="C930" s="1148"/>
      <c r="D930" s="1148"/>
      <c r="E930" s="276"/>
      <c r="F930" s="372">
        <f>F929*2</f>
        <v>16332</v>
      </c>
      <c r="G930" s="489">
        <f>F930+F930*60%</f>
        <v>26131.199999999997</v>
      </c>
      <c r="H930" s="494">
        <v>26000</v>
      </c>
    </row>
    <row r="931" spans="1:8" ht="16.5" thickBot="1" x14ac:dyDescent="0.3">
      <c r="H931" s="1288">
        <f>H930*70%</f>
        <v>18200</v>
      </c>
    </row>
    <row r="932" spans="1:8" ht="16.5" thickBot="1" x14ac:dyDescent="0.3"/>
    <row r="933" spans="1:8" ht="16.5" thickBot="1" x14ac:dyDescent="0.3">
      <c r="A933" s="1568" t="s">
        <v>3830</v>
      </c>
      <c r="B933" s="1569"/>
      <c r="C933" s="1569"/>
      <c r="D933" s="1569"/>
      <c r="E933" s="1569"/>
      <c r="F933" s="1569"/>
      <c r="G933" s="171"/>
      <c r="H933" s="171"/>
    </row>
    <row r="934" spans="1:8" x14ac:dyDescent="0.25">
      <c r="A934" s="1240" t="s">
        <v>916</v>
      </c>
      <c r="B934" s="1225" t="s">
        <v>1073</v>
      </c>
      <c r="C934" s="485" t="s">
        <v>1089</v>
      </c>
      <c r="D934" s="485" t="s">
        <v>1547</v>
      </c>
      <c r="E934" s="485" t="s">
        <v>1035</v>
      </c>
      <c r="F934" s="486" t="s">
        <v>1549</v>
      </c>
      <c r="G934" s="1"/>
      <c r="H934" s="171"/>
    </row>
    <row r="935" spans="1:8" x14ac:dyDescent="0.25">
      <c r="A935" s="2" t="s">
        <v>3765</v>
      </c>
      <c r="B935" s="98">
        <v>1.3</v>
      </c>
      <c r="C935" s="241"/>
      <c r="D935" s="6"/>
      <c r="E935" s="66" t="s">
        <v>1649</v>
      </c>
      <c r="F935" s="39">
        <f>'AROS, CADENAS, DIJES, ETC'!C34</f>
        <v>3695</v>
      </c>
      <c r="G935" s="1"/>
      <c r="H935" s="171"/>
    </row>
    <row r="936" spans="1:8" x14ac:dyDescent="0.25">
      <c r="A936" s="104" t="s">
        <v>1557</v>
      </c>
      <c r="B936" s="190"/>
      <c r="C936" s="6"/>
      <c r="D936" s="6"/>
      <c r="E936" s="66"/>
      <c r="F936" s="39">
        <f>PACKAGING!E3</f>
        <v>150</v>
      </c>
      <c r="G936" s="1"/>
      <c r="H936" s="171"/>
    </row>
    <row r="937" spans="1:8" x14ac:dyDescent="0.25">
      <c r="A937" s="3" t="s">
        <v>1538</v>
      </c>
      <c r="B937" s="2"/>
      <c r="C937" s="6"/>
      <c r="D937" s="6"/>
      <c r="E937" s="66"/>
      <c r="F937" s="39">
        <f>PACKAGING!E8</f>
        <v>420</v>
      </c>
      <c r="G937" s="1"/>
      <c r="H937" s="171"/>
    </row>
    <row r="938" spans="1:8" ht="16.5" thickBot="1" x14ac:dyDescent="0.3">
      <c r="A938" s="79" t="s">
        <v>525</v>
      </c>
      <c r="B938" s="70"/>
      <c r="C938" s="85"/>
      <c r="D938" s="85"/>
      <c r="E938" s="85"/>
      <c r="F938" s="51">
        <f>SUM(F935:F937)</f>
        <v>4265</v>
      </c>
      <c r="G938" s="134"/>
      <c r="H938" s="171"/>
    </row>
    <row r="939" spans="1:8" ht="16.5" thickBot="1" x14ac:dyDescent="0.3">
      <c r="A939" s="1147" t="s">
        <v>1559</v>
      </c>
      <c r="B939" s="1148"/>
      <c r="C939" s="1148"/>
      <c r="D939" s="1148"/>
      <c r="E939" s="276"/>
      <c r="F939" s="372">
        <f>F938*2</f>
        <v>8530</v>
      </c>
      <c r="G939" s="489">
        <f>F939+F939*70%</f>
        <v>14501</v>
      </c>
      <c r="H939" s="494">
        <v>18000</v>
      </c>
    </row>
    <row r="940" spans="1:8" ht="16.5" thickBot="1" x14ac:dyDescent="0.3">
      <c r="H940" s="1288">
        <f>H939*50%</f>
        <v>9000</v>
      </c>
    </row>
    <row r="941" spans="1:8" ht="16.5" thickBot="1" x14ac:dyDescent="0.3"/>
    <row r="942" spans="1:8" ht="16.5" thickBot="1" x14ac:dyDescent="0.3">
      <c r="A942" s="1568" t="s">
        <v>3826</v>
      </c>
      <c r="B942" s="1569"/>
      <c r="C942" s="1569"/>
      <c r="D942" s="1569"/>
      <c r="E942" s="1569"/>
      <c r="F942" s="1569"/>
      <c r="G942" s="171"/>
      <c r="H942" s="171"/>
    </row>
    <row r="943" spans="1:8" x14ac:dyDescent="0.25">
      <c r="A943" s="1240" t="s">
        <v>916</v>
      </c>
      <c r="B943" s="1225" t="s">
        <v>1073</v>
      </c>
      <c r="C943" s="485" t="s">
        <v>1089</v>
      </c>
      <c r="D943" s="485" t="s">
        <v>1547</v>
      </c>
      <c r="E943" s="485" t="s">
        <v>1035</v>
      </c>
      <c r="F943" s="486" t="s">
        <v>1549</v>
      </c>
      <c r="G943" s="1"/>
      <c r="H943" s="171"/>
    </row>
    <row r="944" spans="1:8" x14ac:dyDescent="0.25">
      <c r="A944" s="2" t="s">
        <v>3790</v>
      </c>
      <c r="B944" s="98" t="s">
        <v>937</v>
      </c>
      <c r="C944" s="241"/>
      <c r="D944" s="6"/>
      <c r="E944" s="66" t="s">
        <v>1649</v>
      </c>
      <c r="F944" s="39">
        <f>'AROS, CADENAS, DIJES, ETC'!C59</f>
        <v>6550</v>
      </c>
      <c r="G944" s="1"/>
      <c r="H944" s="171"/>
    </row>
    <row r="945" spans="1:9" x14ac:dyDescent="0.25">
      <c r="A945" s="104" t="s">
        <v>1557</v>
      </c>
      <c r="B945" s="190"/>
      <c r="C945" s="6"/>
      <c r="D945" s="6"/>
      <c r="E945" s="66"/>
      <c r="F945" s="39">
        <f>PACKAGING!E3</f>
        <v>150</v>
      </c>
      <c r="G945" s="1"/>
      <c r="H945" s="171"/>
    </row>
    <row r="946" spans="1:9" x14ac:dyDescent="0.25">
      <c r="A946" s="3" t="s">
        <v>1538</v>
      </c>
      <c r="B946" s="2"/>
      <c r="C946" s="6"/>
      <c r="D946" s="6"/>
      <c r="E946" s="66"/>
      <c r="F946" s="39">
        <f>PACKAGING!E8</f>
        <v>420</v>
      </c>
      <c r="G946" s="1"/>
      <c r="H946" s="171"/>
    </row>
    <row r="947" spans="1:9" ht="16.5" thickBot="1" x14ac:dyDescent="0.3">
      <c r="A947" s="79" t="s">
        <v>525</v>
      </c>
      <c r="B947" s="70"/>
      <c r="C947" s="85"/>
      <c r="D947" s="85"/>
      <c r="E947" s="85"/>
      <c r="F947" s="51">
        <f>SUM(F944:F946)</f>
        <v>7120</v>
      </c>
      <c r="G947" s="134"/>
      <c r="H947" s="171"/>
    </row>
    <row r="948" spans="1:9" ht="16.5" thickBot="1" x14ac:dyDescent="0.3">
      <c r="A948" s="1147" t="s">
        <v>1559</v>
      </c>
      <c r="B948" s="1148"/>
      <c r="C948" s="1148"/>
      <c r="D948" s="1148"/>
      <c r="E948" s="276"/>
      <c r="F948" s="372">
        <f>F947*2</f>
        <v>14240</v>
      </c>
      <c r="G948" s="489">
        <f>F948+F948*60%</f>
        <v>22784</v>
      </c>
      <c r="H948" s="494">
        <v>24000</v>
      </c>
    </row>
    <row r="949" spans="1:9" ht="16.5" thickBot="1" x14ac:dyDescent="0.3">
      <c r="H949" s="1288">
        <f>H948*70%</f>
        <v>16800</v>
      </c>
      <c r="I949" s="1273" t="s">
        <v>3687</v>
      </c>
    </row>
    <row r="950" spans="1:9" ht="16.5" thickBot="1" x14ac:dyDescent="0.3"/>
    <row r="951" spans="1:9" ht="16.5" thickBot="1" x14ac:dyDescent="0.3">
      <c r="A951" s="1568" t="s">
        <v>3827</v>
      </c>
      <c r="B951" s="1569"/>
      <c r="C951" s="1569"/>
      <c r="D951" s="1569"/>
      <c r="E951" s="1569"/>
      <c r="F951" s="1569"/>
      <c r="G951" s="171"/>
      <c r="H951" s="171"/>
    </row>
    <row r="952" spans="1:9" x14ac:dyDescent="0.25">
      <c r="A952" s="1240" t="s">
        <v>916</v>
      </c>
      <c r="B952" s="1225" t="s">
        <v>1073</v>
      </c>
      <c r="C952" s="485" t="s">
        <v>1089</v>
      </c>
      <c r="D952" s="485" t="s">
        <v>1547</v>
      </c>
      <c r="E952" s="485" t="s">
        <v>1035</v>
      </c>
      <c r="F952" s="486" t="s">
        <v>1549</v>
      </c>
      <c r="G952" s="1"/>
      <c r="H952" s="171"/>
    </row>
    <row r="953" spans="1:9" x14ac:dyDescent="0.25">
      <c r="A953" s="2" t="s">
        <v>3790</v>
      </c>
      <c r="B953" s="98" t="s">
        <v>989</v>
      </c>
      <c r="C953" s="241"/>
      <c r="D953" s="6"/>
      <c r="E953" s="66" t="s">
        <v>1649</v>
      </c>
      <c r="F953" s="39">
        <f>'AROS, CADENAS, DIJES, ETC'!C60</f>
        <v>5450</v>
      </c>
      <c r="G953" s="1"/>
      <c r="H953" s="171"/>
    </row>
    <row r="954" spans="1:9" x14ac:dyDescent="0.25">
      <c r="A954" s="104" t="s">
        <v>1557</v>
      </c>
      <c r="B954" s="190"/>
      <c r="C954" s="6"/>
      <c r="D954" s="6"/>
      <c r="E954" s="66"/>
      <c r="F954" s="39">
        <f>PACKAGING!E3</f>
        <v>150</v>
      </c>
      <c r="G954" s="1"/>
      <c r="H954" s="171"/>
    </row>
    <row r="955" spans="1:9" x14ac:dyDescent="0.25">
      <c r="A955" s="3" t="s">
        <v>1538</v>
      </c>
      <c r="B955" s="2"/>
      <c r="C955" s="6"/>
      <c r="D955" s="6"/>
      <c r="E955" s="66"/>
      <c r="F955" s="39">
        <f>PACKAGING!E8</f>
        <v>420</v>
      </c>
      <c r="G955" s="1"/>
      <c r="H955" s="171"/>
    </row>
    <row r="956" spans="1:9" ht="16.5" thickBot="1" x14ac:dyDescent="0.3">
      <c r="A956" s="79" t="s">
        <v>525</v>
      </c>
      <c r="B956" s="70"/>
      <c r="C956" s="85"/>
      <c r="D956" s="85"/>
      <c r="E956" s="85"/>
      <c r="F956" s="51">
        <f>SUM(F953:F955)</f>
        <v>6020</v>
      </c>
      <c r="G956" s="134"/>
      <c r="H956" s="171"/>
    </row>
    <row r="957" spans="1:9" ht="16.5" thickBot="1" x14ac:dyDescent="0.3">
      <c r="A957" s="1147" t="s">
        <v>1559</v>
      </c>
      <c r="B957" s="1148"/>
      <c r="C957" s="1148"/>
      <c r="D957" s="1148"/>
      <c r="E957" s="276"/>
      <c r="F957" s="372">
        <f>F956*2</f>
        <v>12040</v>
      </c>
      <c r="G957" s="489">
        <f>F957+F957*70%</f>
        <v>20468</v>
      </c>
      <c r="H957" s="494">
        <v>24000</v>
      </c>
    </row>
    <row r="958" spans="1:9" ht="16.5" thickBot="1" x14ac:dyDescent="0.3">
      <c r="H958" s="1288">
        <f>H957*70%</f>
        <v>16800</v>
      </c>
      <c r="I958" s="1273" t="s">
        <v>3687</v>
      </c>
    </row>
    <row r="959" spans="1:9" ht="16.5" thickBot="1" x14ac:dyDescent="0.3"/>
    <row r="960" spans="1:9" ht="16.5" thickBot="1" x14ac:dyDescent="0.3">
      <c r="A960" s="1568" t="s">
        <v>3888</v>
      </c>
      <c r="B960" s="1569"/>
      <c r="C960" s="1569"/>
      <c r="D960" s="1569"/>
      <c r="E960" s="1569"/>
      <c r="F960" s="1569"/>
      <c r="G960" s="171"/>
      <c r="H960" s="171"/>
    </row>
    <row r="961" spans="1:9" x14ac:dyDescent="0.25">
      <c r="A961" s="1240" t="s">
        <v>916</v>
      </c>
      <c r="B961" s="1225" t="s">
        <v>1073</v>
      </c>
      <c r="C961" s="485" t="s">
        <v>1089</v>
      </c>
      <c r="D961" s="485" t="s">
        <v>1547</v>
      </c>
      <c r="E961" s="485" t="s">
        <v>1035</v>
      </c>
      <c r="F961" s="486" t="s">
        <v>1549</v>
      </c>
      <c r="G961" s="1"/>
      <c r="H961" s="171"/>
    </row>
    <row r="962" spans="1:9" x14ac:dyDescent="0.25">
      <c r="A962" s="2" t="s">
        <v>3840</v>
      </c>
      <c r="B962" s="98" t="s">
        <v>803</v>
      </c>
      <c r="C962" s="241"/>
      <c r="D962" s="6"/>
      <c r="E962" s="66" t="s">
        <v>1649</v>
      </c>
      <c r="F962" s="39">
        <f>'AROS, CADENAS, DIJES, ETC'!C36</f>
        <v>7978</v>
      </c>
      <c r="G962" s="1"/>
      <c r="H962" s="171"/>
    </row>
    <row r="963" spans="1:9" x14ac:dyDescent="0.25">
      <c r="A963" s="104" t="s">
        <v>1557</v>
      </c>
      <c r="B963" s="190"/>
      <c r="C963" s="6"/>
      <c r="D963" s="6"/>
      <c r="E963" s="66"/>
      <c r="F963" s="39">
        <f>PACKAGING!E3</f>
        <v>150</v>
      </c>
      <c r="G963" s="1"/>
      <c r="H963" s="171"/>
    </row>
    <row r="964" spans="1:9" x14ac:dyDescent="0.25">
      <c r="A964" s="3" t="s">
        <v>1538</v>
      </c>
      <c r="B964" s="2"/>
      <c r="C964" s="6"/>
      <c r="D964" s="6"/>
      <c r="E964" s="66"/>
      <c r="F964" s="39">
        <f>PACKAGING!E8</f>
        <v>420</v>
      </c>
      <c r="G964" s="1"/>
      <c r="H964" s="171"/>
    </row>
    <row r="965" spans="1:9" ht="16.5" thickBot="1" x14ac:dyDescent="0.3">
      <c r="A965" s="79" t="s">
        <v>525</v>
      </c>
      <c r="B965" s="70"/>
      <c r="C965" s="85"/>
      <c r="D965" s="85"/>
      <c r="E965" s="85"/>
      <c r="F965" s="51">
        <f>SUM(F962:F964)</f>
        <v>8548</v>
      </c>
      <c r="G965" s="134"/>
      <c r="H965" s="171"/>
    </row>
    <row r="966" spans="1:9" ht="16.5" thickBot="1" x14ac:dyDescent="0.3">
      <c r="A966" s="1147" t="s">
        <v>1559</v>
      </c>
      <c r="B966" s="1148"/>
      <c r="C966" s="1148"/>
      <c r="D966" s="1148"/>
      <c r="E966" s="276"/>
      <c r="F966" s="372">
        <f>F965*2</f>
        <v>17096</v>
      </c>
      <c r="G966" s="489">
        <f>F966+F966*70%</f>
        <v>29063.199999999997</v>
      </c>
      <c r="H966" s="494">
        <v>30000</v>
      </c>
    </row>
    <row r="967" spans="1:9" ht="16.5" thickBot="1" x14ac:dyDescent="0.3">
      <c r="H967" s="1288"/>
      <c r="I967" s="1266"/>
    </row>
    <row r="968" spans="1:9" ht="16.5" thickBot="1" x14ac:dyDescent="0.3">
      <c r="A968" s="1568" t="s">
        <v>3973</v>
      </c>
      <c r="B968" s="1569"/>
      <c r="C968" s="1569"/>
      <c r="D968" s="1569"/>
      <c r="E968" s="1569"/>
      <c r="F968" s="1569"/>
      <c r="G968" s="171"/>
      <c r="H968" s="171"/>
    </row>
    <row r="969" spans="1:9" x14ac:dyDescent="0.25">
      <c r="A969" s="1240" t="s">
        <v>916</v>
      </c>
      <c r="B969" s="1225" t="s">
        <v>1073</v>
      </c>
      <c r="C969" s="485" t="s">
        <v>1089</v>
      </c>
      <c r="D969" s="485" t="s">
        <v>1547</v>
      </c>
      <c r="E969" s="485" t="s">
        <v>1035</v>
      </c>
      <c r="F969" s="486" t="s">
        <v>1549</v>
      </c>
      <c r="G969" s="1"/>
      <c r="H969" s="171"/>
    </row>
    <row r="970" spans="1:9" x14ac:dyDescent="0.25">
      <c r="A970" s="2" t="s">
        <v>3962</v>
      </c>
      <c r="B970" s="98"/>
      <c r="C970" s="241"/>
      <c r="D970" s="6"/>
      <c r="E970" s="66" t="s">
        <v>1649</v>
      </c>
      <c r="F970" s="39">
        <f>'AROS, CADENAS, DIJES, ETC'!C154</f>
        <v>3815</v>
      </c>
      <c r="G970" s="1"/>
      <c r="H970" s="171"/>
    </row>
    <row r="971" spans="1:9" x14ac:dyDescent="0.25">
      <c r="A971" s="104" t="s">
        <v>1557</v>
      </c>
      <c r="B971" s="190"/>
      <c r="C971" s="6"/>
      <c r="D971" s="6"/>
      <c r="E971" s="66"/>
      <c r="F971" s="39">
        <f>PACKAGING!E3</f>
        <v>150</v>
      </c>
      <c r="G971" s="1"/>
      <c r="H971" s="171"/>
    </row>
    <row r="972" spans="1:9" x14ac:dyDescent="0.25">
      <c r="A972" s="3" t="s">
        <v>1538</v>
      </c>
      <c r="B972" s="2"/>
      <c r="C972" s="6"/>
      <c r="D972" s="6"/>
      <c r="E972" s="66"/>
      <c r="F972" s="39">
        <f>PACKAGING!E8</f>
        <v>420</v>
      </c>
      <c r="G972" s="1"/>
      <c r="H972" s="171"/>
    </row>
    <row r="973" spans="1:9" ht="16.5" thickBot="1" x14ac:dyDescent="0.3">
      <c r="A973" s="79" t="s">
        <v>525</v>
      </c>
      <c r="B973" s="70"/>
      <c r="C973" s="85"/>
      <c r="D973" s="85"/>
      <c r="E973" s="85"/>
      <c r="F973" s="51">
        <f>SUM(F970:F972)</f>
        <v>4385</v>
      </c>
      <c r="G973" s="134"/>
      <c r="H973" s="171"/>
    </row>
    <row r="974" spans="1:9" ht="16.5" thickBot="1" x14ac:dyDescent="0.3">
      <c r="A974" s="1147" t="s">
        <v>1559</v>
      </c>
      <c r="B974" s="1148"/>
      <c r="C974" s="1148"/>
      <c r="D974" s="1148"/>
      <c r="E974" s="276"/>
      <c r="F974" s="372">
        <f>F973*2</f>
        <v>8770</v>
      </c>
      <c r="G974" s="489">
        <f>F974+F974*70%</f>
        <v>14909</v>
      </c>
      <c r="H974" s="494">
        <v>20000</v>
      </c>
    </row>
    <row r="975" spans="1:9" ht="16.5" thickBot="1" x14ac:dyDescent="0.3">
      <c r="H975" s="1288">
        <f>H974*70%</f>
        <v>14000</v>
      </c>
    </row>
    <row r="976" spans="1:9" ht="16.5" thickBot="1" x14ac:dyDescent="0.3"/>
    <row r="977" spans="1:8" ht="16.5" thickBot="1" x14ac:dyDescent="0.3">
      <c r="A977" s="1568" t="s">
        <v>3963</v>
      </c>
      <c r="B977" s="1569"/>
      <c r="C977" s="1569"/>
      <c r="D977" s="1569"/>
      <c r="E977" s="1569"/>
      <c r="F977" s="1569"/>
      <c r="G977" s="171"/>
      <c r="H977" s="171"/>
    </row>
    <row r="978" spans="1:8" x14ac:dyDescent="0.25">
      <c r="A978" s="1240" t="s">
        <v>916</v>
      </c>
      <c r="B978" s="1225" t="s">
        <v>1073</v>
      </c>
      <c r="C978" s="485" t="s">
        <v>1089</v>
      </c>
      <c r="D978" s="485" t="s">
        <v>1547</v>
      </c>
      <c r="E978" s="485" t="s">
        <v>1035</v>
      </c>
      <c r="F978" s="486" t="s">
        <v>1549</v>
      </c>
      <c r="G978" s="1"/>
      <c r="H978" s="171"/>
    </row>
    <row r="979" spans="1:8" x14ac:dyDescent="0.25">
      <c r="A979" s="3" t="s">
        <v>3966</v>
      </c>
      <c r="B979" s="98" t="s">
        <v>3965</v>
      </c>
      <c r="C979" s="241"/>
      <c r="D979" s="6"/>
      <c r="E979" s="66" t="s">
        <v>1649</v>
      </c>
      <c r="F979" s="39">
        <f>'AROS, CADENAS, DIJES, ETC'!C61</f>
        <v>5175</v>
      </c>
      <c r="G979" s="1"/>
      <c r="H979" s="171"/>
    </row>
    <row r="980" spans="1:8" x14ac:dyDescent="0.25">
      <c r="A980" s="104" t="s">
        <v>1557</v>
      </c>
      <c r="B980" s="190"/>
      <c r="C980" s="6"/>
      <c r="D980" s="6"/>
      <c r="E980" s="66"/>
      <c r="F980" s="39">
        <f>PACKAGING!E3</f>
        <v>150</v>
      </c>
      <c r="G980" s="1"/>
      <c r="H980" s="171"/>
    </row>
    <row r="981" spans="1:8" x14ac:dyDescent="0.25">
      <c r="A981" s="3" t="s">
        <v>1538</v>
      </c>
      <c r="B981" s="2"/>
      <c r="C981" s="6"/>
      <c r="D981" s="6"/>
      <c r="E981" s="66"/>
      <c r="F981" s="39">
        <f>PACKAGING!E8</f>
        <v>420</v>
      </c>
      <c r="G981" s="1"/>
      <c r="H981" s="171"/>
    </row>
    <row r="982" spans="1:8" ht="16.5" thickBot="1" x14ac:dyDescent="0.3">
      <c r="A982" s="79" t="s">
        <v>525</v>
      </c>
      <c r="B982" s="70"/>
      <c r="C982" s="85"/>
      <c r="D982" s="85"/>
      <c r="E982" s="85"/>
      <c r="F982" s="51">
        <f>SUM(F979:F981)</f>
        <v>5745</v>
      </c>
      <c r="G982" s="134"/>
      <c r="H982" s="171"/>
    </row>
    <row r="983" spans="1:8" ht="16.5" thickBot="1" x14ac:dyDescent="0.3">
      <c r="A983" s="1147" t="s">
        <v>1559</v>
      </c>
      <c r="B983" s="1148"/>
      <c r="C983" s="1148"/>
      <c r="D983" s="1148"/>
      <c r="E983" s="276"/>
      <c r="F983" s="372">
        <f>F982*2</f>
        <v>11490</v>
      </c>
      <c r="G983" s="489">
        <f>F983+F983*70%</f>
        <v>19533</v>
      </c>
      <c r="H983" s="494">
        <v>26000</v>
      </c>
    </row>
    <row r="984" spans="1:8" ht="16.5" thickBot="1" x14ac:dyDescent="0.3">
      <c r="H984" s="1288">
        <f>H983*70%</f>
        <v>18200</v>
      </c>
    </row>
    <row r="985" spans="1:8" ht="16.5" thickBot="1" x14ac:dyDescent="0.3"/>
    <row r="986" spans="1:8" ht="16.5" thickBot="1" x14ac:dyDescent="0.3">
      <c r="A986" s="1568" t="s">
        <v>3964</v>
      </c>
      <c r="B986" s="1569"/>
      <c r="C986" s="1569"/>
      <c r="D986" s="1569"/>
      <c r="E986" s="1569"/>
      <c r="F986" s="1569"/>
      <c r="G986" s="171"/>
      <c r="H986" s="171"/>
    </row>
    <row r="987" spans="1:8" x14ac:dyDescent="0.25">
      <c r="A987" s="1240" t="s">
        <v>916</v>
      </c>
      <c r="B987" s="1225" t="s">
        <v>1073</v>
      </c>
      <c r="C987" s="485" t="s">
        <v>1089</v>
      </c>
      <c r="D987" s="485" t="s">
        <v>1547</v>
      </c>
      <c r="E987" s="485" t="s">
        <v>1035</v>
      </c>
      <c r="F987" s="486" t="s">
        <v>1549</v>
      </c>
      <c r="G987" s="1"/>
      <c r="H987" s="171"/>
    </row>
    <row r="988" spans="1:8" x14ac:dyDescent="0.25">
      <c r="A988" s="3" t="s">
        <v>3966</v>
      </c>
      <c r="B988" s="98" t="s">
        <v>3967</v>
      </c>
      <c r="C988" s="241"/>
      <c r="D988" s="6"/>
      <c r="E988" s="66" t="s">
        <v>1649</v>
      </c>
      <c r="F988" s="39">
        <f>'AROS, CADENAS, DIJES, ETC'!C62</f>
        <v>5337</v>
      </c>
      <c r="G988" s="1"/>
      <c r="H988" s="171"/>
    </row>
    <row r="989" spans="1:8" x14ac:dyDescent="0.25">
      <c r="A989" s="104" t="s">
        <v>1557</v>
      </c>
      <c r="B989" s="190"/>
      <c r="C989" s="6"/>
      <c r="D989" s="6"/>
      <c r="E989" s="66"/>
      <c r="F989" s="39">
        <f>PACKAGING!E3</f>
        <v>150</v>
      </c>
      <c r="G989" s="1"/>
      <c r="H989" s="171"/>
    </row>
    <row r="990" spans="1:8" x14ac:dyDescent="0.25">
      <c r="A990" s="3" t="s">
        <v>1538</v>
      </c>
      <c r="B990" s="2"/>
      <c r="C990" s="6"/>
      <c r="D990" s="6"/>
      <c r="E990" s="66"/>
      <c r="F990" s="39">
        <f>PACKAGING!E8</f>
        <v>420</v>
      </c>
      <c r="G990" s="1"/>
      <c r="H990" s="171"/>
    </row>
    <row r="991" spans="1:8" ht="16.5" thickBot="1" x14ac:dyDescent="0.3">
      <c r="A991" s="79" t="s">
        <v>525</v>
      </c>
      <c r="B991" s="70"/>
      <c r="C991" s="85"/>
      <c r="D991" s="85"/>
      <c r="E991" s="85"/>
      <c r="F991" s="51">
        <f>SUM(F988:F990)</f>
        <v>5907</v>
      </c>
      <c r="G991" s="134"/>
      <c r="H991" s="171"/>
    </row>
    <row r="992" spans="1:8" ht="16.5" thickBot="1" x14ac:dyDescent="0.3">
      <c r="A992" s="1147" t="s">
        <v>1559</v>
      </c>
      <c r="B992" s="1148"/>
      <c r="C992" s="1148"/>
      <c r="D992" s="1148"/>
      <c r="E992" s="276"/>
      <c r="F992" s="372">
        <f>F991*2</f>
        <v>11814</v>
      </c>
      <c r="G992" s="489">
        <f>F992+F992*70%</f>
        <v>20083.8</v>
      </c>
      <c r="H992" s="494">
        <v>28000</v>
      </c>
    </row>
    <row r="993" spans="1:8" ht="16.5" thickBot="1" x14ac:dyDescent="0.3">
      <c r="H993" s="1288">
        <f>H992*70%</f>
        <v>19600</v>
      </c>
    </row>
    <row r="994" spans="1:8" ht="16.5" thickBot="1" x14ac:dyDescent="0.3"/>
    <row r="995" spans="1:8" ht="16.5" thickBot="1" x14ac:dyDescent="0.3">
      <c r="A995" s="1568" t="s">
        <v>3968</v>
      </c>
      <c r="B995" s="1569"/>
      <c r="C995" s="1569"/>
      <c r="D995" s="1569"/>
      <c r="E995" s="1569"/>
      <c r="F995" s="1569"/>
      <c r="G995" s="171"/>
      <c r="H995" s="171"/>
    </row>
    <row r="996" spans="1:8" x14ac:dyDescent="0.25">
      <c r="A996" s="1240" t="s">
        <v>916</v>
      </c>
      <c r="B996" s="1225" t="s">
        <v>1073</v>
      </c>
      <c r="C996" s="485" t="s">
        <v>1089</v>
      </c>
      <c r="D996" s="485" t="s">
        <v>1547</v>
      </c>
      <c r="E996" s="485" t="s">
        <v>1035</v>
      </c>
      <c r="F996" s="486" t="s">
        <v>1549</v>
      </c>
      <c r="G996" s="1"/>
      <c r="H996" s="171"/>
    </row>
    <row r="997" spans="1:8" x14ac:dyDescent="0.25">
      <c r="A997" s="3" t="s">
        <v>3969</v>
      </c>
      <c r="B997" s="98"/>
      <c r="C997" s="241"/>
      <c r="D997" s="6"/>
      <c r="E997" s="66" t="s">
        <v>1649</v>
      </c>
      <c r="F997" s="39">
        <f>'AROS, CADENAS, DIJES, ETC'!C37</f>
        <v>3923</v>
      </c>
      <c r="G997" s="1"/>
      <c r="H997" s="171"/>
    </row>
    <row r="998" spans="1:8" x14ac:dyDescent="0.25">
      <c r="A998" s="104" t="s">
        <v>1557</v>
      </c>
      <c r="B998" s="190"/>
      <c r="C998" s="6"/>
      <c r="D998" s="6"/>
      <c r="E998" s="66"/>
      <c r="F998" s="39">
        <f>PACKAGING!E3</f>
        <v>150</v>
      </c>
      <c r="G998" s="1"/>
      <c r="H998" s="171"/>
    </row>
    <row r="999" spans="1:8" x14ac:dyDescent="0.25">
      <c r="A999" s="3" t="s">
        <v>1538</v>
      </c>
      <c r="B999" s="2"/>
      <c r="C999" s="6"/>
      <c r="D999" s="6"/>
      <c r="E999" s="66"/>
      <c r="F999" s="39">
        <f>PACKAGING!E8</f>
        <v>420</v>
      </c>
      <c r="G999" s="1"/>
      <c r="H999" s="171"/>
    </row>
    <row r="1000" spans="1:8" ht="16.5" thickBot="1" x14ac:dyDescent="0.3">
      <c r="A1000" s="79" t="s">
        <v>525</v>
      </c>
      <c r="B1000" s="70"/>
      <c r="C1000" s="85"/>
      <c r="D1000" s="85"/>
      <c r="E1000" s="85"/>
      <c r="F1000" s="51">
        <f>SUM(F997:F999)</f>
        <v>4493</v>
      </c>
      <c r="G1000" s="134"/>
      <c r="H1000" s="171"/>
    </row>
    <row r="1001" spans="1:8" ht="16.5" thickBot="1" x14ac:dyDescent="0.3">
      <c r="A1001" s="1147" t="s">
        <v>1559</v>
      </c>
      <c r="B1001" s="1148"/>
      <c r="C1001" s="1148"/>
      <c r="D1001" s="1148"/>
      <c r="E1001" s="276"/>
      <c r="F1001" s="372">
        <f>F1000*2</f>
        <v>8986</v>
      </c>
      <c r="G1001" s="489">
        <f>F1001+F1001*70%</f>
        <v>15276.2</v>
      </c>
      <c r="H1001" s="494">
        <v>18000</v>
      </c>
    </row>
    <row r="1002" spans="1:8" ht="16.5" thickBot="1" x14ac:dyDescent="0.3">
      <c r="H1002" s="1288">
        <f>H1001*60%</f>
        <v>10800</v>
      </c>
    </row>
    <row r="1003" spans="1:8" ht="16.5" thickBot="1" x14ac:dyDescent="0.3"/>
    <row r="1004" spans="1:8" ht="16.5" thickBot="1" x14ac:dyDescent="0.3">
      <c r="A1004" s="1568" t="s">
        <v>3972</v>
      </c>
      <c r="B1004" s="1569"/>
      <c r="C1004" s="1569"/>
      <c r="D1004" s="1569"/>
      <c r="E1004" s="1569"/>
      <c r="F1004" s="1569"/>
      <c r="G1004" s="171"/>
      <c r="H1004" s="171"/>
    </row>
    <row r="1005" spans="1:8" x14ac:dyDescent="0.25">
      <c r="A1005" s="1240" t="s">
        <v>916</v>
      </c>
      <c r="B1005" s="1225" t="s">
        <v>1073</v>
      </c>
      <c r="C1005" s="485" t="s">
        <v>1089</v>
      </c>
      <c r="D1005" s="485" t="s">
        <v>1547</v>
      </c>
      <c r="E1005" s="485" t="s">
        <v>1035</v>
      </c>
      <c r="F1005" s="486" t="s">
        <v>1549</v>
      </c>
      <c r="G1005" s="1"/>
      <c r="H1005" s="171"/>
    </row>
    <row r="1006" spans="1:8" x14ac:dyDescent="0.25">
      <c r="A1006" s="3" t="s">
        <v>3970</v>
      </c>
      <c r="B1006" s="98" t="s">
        <v>3971</v>
      </c>
      <c r="C1006" s="241"/>
      <c r="D1006" s="6"/>
      <c r="E1006" s="66" t="s">
        <v>1649</v>
      </c>
      <c r="F1006" s="39">
        <f>'AROS, CADENAS, DIJES, ETC'!C64</f>
        <v>6385</v>
      </c>
      <c r="G1006" s="1"/>
      <c r="H1006" s="171"/>
    </row>
    <row r="1007" spans="1:8" x14ac:dyDescent="0.25">
      <c r="A1007" s="104" t="s">
        <v>1557</v>
      </c>
      <c r="B1007" s="190"/>
      <c r="C1007" s="6"/>
      <c r="D1007" s="6"/>
      <c r="E1007" s="66"/>
      <c r="F1007" s="39">
        <f>PACKAGING!E3</f>
        <v>150</v>
      </c>
      <c r="G1007" s="1"/>
      <c r="H1007" s="171"/>
    </row>
    <row r="1008" spans="1:8" x14ac:dyDescent="0.25">
      <c r="A1008" s="3" t="s">
        <v>1538</v>
      </c>
      <c r="B1008" s="2"/>
      <c r="C1008" s="6"/>
      <c r="D1008" s="6"/>
      <c r="E1008" s="66"/>
      <c r="F1008" s="39">
        <f>PACKAGING!E8</f>
        <v>420</v>
      </c>
      <c r="G1008" s="1"/>
      <c r="H1008" s="171"/>
    </row>
    <row r="1009" spans="1:8" ht="16.5" thickBot="1" x14ac:dyDescent="0.3">
      <c r="A1009" s="79" t="s">
        <v>525</v>
      </c>
      <c r="B1009" s="70"/>
      <c r="C1009" s="85"/>
      <c r="D1009" s="85"/>
      <c r="E1009" s="85"/>
      <c r="F1009" s="51">
        <f>SUM(F1006:F1008)</f>
        <v>6955</v>
      </c>
      <c r="G1009" s="134"/>
      <c r="H1009" s="171"/>
    </row>
    <row r="1010" spans="1:8" ht="16.5" thickBot="1" x14ac:dyDescent="0.3">
      <c r="A1010" s="1147" t="s">
        <v>1559</v>
      </c>
      <c r="B1010" s="1148"/>
      <c r="C1010" s="1148"/>
      <c r="D1010" s="1148"/>
      <c r="E1010" s="276"/>
      <c r="F1010" s="372">
        <f>F1009*2</f>
        <v>13910</v>
      </c>
      <c r="G1010" s="489">
        <f>F1010+F1010*70%</f>
        <v>23647</v>
      </c>
      <c r="H1010" s="494">
        <v>26000</v>
      </c>
    </row>
    <row r="1011" spans="1:8" ht="16.5" thickBot="1" x14ac:dyDescent="0.3">
      <c r="H1011" s="1288">
        <f>H1010*70%</f>
        <v>18200</v>
      </c>
    </row>
  </sheetData>
  <mergeCells count="193">
    <mergeCell ref="A724:E724"/>
    <mergeCell ref="A735:E735"/>
    <mergeCell ref="A738:A739"/>
    <mergeCell ref="A748:E748"/>
    <mergeCell ref="A751:A752"/>
    <mergeCell ref="A673:F673"/>
    <mergeCell ref="A622:F622"/>
    <mergeCell ref="A968:F968"/>
    <mergeCell ref="N507:R507"/>
    <mergeCell ref="N515:R515"/>
    <mergeCell ref="N523:R523"/>
    <mergeCell ref="N531:R531"/>
    <mergeCell ref="N538:R538"/>
    <mergeCell ref="N545:R545"/>
    <mergeCell ref="N553:R553"/>
    <mergeCell ref="N570:R570"/>
    <mergeCell ref="A635:F635"/>
    <mergeCell ref="A647:F647"/>
    <mergeCell ref="A655:F655"/>
    <mergeCell ref="A664:F664"/>
    <mergeCell ref="A682:F682"/>
    <mergeCell ref="A898:F898"/>
    <mergeCell ref="A907:F907"/>
    <mergeCell ref="A916:F916"/>
    <mergeCell ref="A924:F924"/>
    <mergeCell ref="A933:F933"/>
    <mergeCell ref="A875:F875"/>
    <mergeCell ref="A886:F886"/>
    <mergeCell ref="A799:F799"/>
    <mergeCell ref="A808:F808"/>
    <mergeCell ref="A817:F817"/>
    <mergeCell ref="A826:F826"/>
    <mergeCell ref="A837:F837"/>
    <mergeCell ref="A848:F848"/>
    <mergeCell ref="A860:F860"/>
    <mergeCell ref="A864:A865"/>
    <mergeCell ref="N321:R321"/>
    <mergeCell ref="N332:R332"/>
    <mergeCell ref="N343:R343"/>
    <mergeCell ref="N310:R310"/>
    <mergeCell ref="N354:R354"/>
    <mergeCell ref="N362:R362"/>
    <mergeCell ref="N438:R438"/>
    <mergeCell ref="N370:R370"/>
    <mergeCell ref="N378:R378"/>
    <mergeCell ref="N385:R385"/>
    <mergeCell ref="N392:R392"/>
    <mergeCell ref="N399:R399"/>
    <mergeCell ref="N406:R406"/>
    <mergeCell ref="N414:R414"/>
    <mergeCell ref="N422:R422"/>
    <mergeCell ref="N430:R430"/>
    <mergeCell ref="N561:R561"/>
    <mergeCell ref="N79:R79"/>
    <mergeCell ref="N138:R138"/>
    <mergeCell ref="AH44:AL44"/>
    <mergeCell ref="A122:F122"/>
    <mergeCell ref="A140:E140"/>
    <mergeCell ref="A131:E131"/>
    <mergeCell ref="N223:R223"/>
    <mergeCell ref="N146:R146"/>
    <mergeCell ref="N155:R155"/>
    <mergeCell ref="N163:R163"/>
    <mergeCell ref="N171:R171"/>
    <mergeCell ref="N179:R179"/>
    <mergeCell ref="A335:F335"/>
    <mergeCell ref="N187:R187"/>
    <mergeCell ref="N197:R197"/>
    <mergeCell ref="A166:E166"/>
    <mergeCell ref="A187:F187"/>
    <mergeCell ref="A212:F212"/>
    <mergeCell ref="A214:A215"/>
    <mergeCell ref="A226:F226"/>
    <mergeCell ref="N299:R299"/>
    <mergeCell ref="A539:F539"/>
    <mergeCell ref="N241:R241"/>
    <mergeCell ref="N117:R117"/>
    <mergeCell ref="N52:R52"/>
    <mergeCell ref="N127:R127"/>
    <mergeCell ref="AH62:AL62"/>
    <mergeCell ref="AH72:AL72"/>
    <mergeCell ref="AH80:AL80"/>
    <mergeCell ref="AG2:AQ2"/>
    <mergeCell ref="AH36:AL36"/>
    <mergeCell ref="AH4:AL4"/>
    <mergeCell ref="AH12:AL12"/>
    <mergeCell ref="AH20:AL20"/>
    <mergeCell ref="AH28:AL28"/>
    <mergeCell ref="N43:R43"/>
    <mergeCell ref="N61:R61"/>
    <mergeCell ref="N70:R70"/>
    <mergeCell ref="X42:AB42"/>
    <mergeCell ref="X112:AB112"/>
    <mergeCell ref="X123:AB123"/>
    <mergeCell ref="A14:D14"/>
    <mergeCell ref="X4:AB4"/>
    <mergeCell ref="X17:AB17"/>
    <mergeCell ref="X28:AB28"/>
    <mergeCell ref="W2:AF2"/>
    <mergeCell ref="X53:AB53"/>
    <mergeCell ref="AH54:AL54"/>
    <mergeCell ref="N107:R107"/>
    <mergeCell ref="A2:I2"/>
    <mergeCell ref="M2:V2"/>
    <mergeCell ref="N18:R18"/>
    <mergeCell ref="N4:R4"/>
    <mergeCell ref="A42:F42"/>
    <mergeCell ref="A24:E24"/>
    <mergeCell ref="A4:D4"/>
    <mergeCell ref="A32:D32"/>
    <mergeCell ref="N33:R33"/>
    <mergeCell ref="A113:F113"/>
    <mergeCell ref="N89:R89"/>
    <mergeCell ref="N98:R98"/>
    <mergeCell ref="A50:E50"/>
    <mergeCell ref="A68:C68"/>
    <mergeCell ref="A104:E104"/>
    <mergeCell ref="A86:E86"/>
    <mergeCell ref="A95:E95"/>
    <mergeCell ref="A77:C77"/>
    <mergeCell ref="A59:C59"/>
    <mergeCell ref="A415:E415"/>
    <mergeCell ref="A402:F402"/>
    <mergeCell ref="A308:E308"/>
    <mergeCell ref="A380:A381"/>
    <mergeCell ref="A390:F390"/>
    <mergeCell ref="A321:E321"/>
    <mergeCell ref="N446:R446"/>
    <mergeCell ref="A176:E176"/>
    <mergeCell ref="A149:E149"/>
    <mergeCell ref="A157:F157"/>
    <mergeCell ref="N206:R206"/>
    <mergeCell ref="N214:R214"/>
    <mergeCell ref="A265:E265"/>
    <mergeCell ref="N263:R263"/>
    <mergeCell ref="A278:E278"/>
    <mergeCell ref="A290:F290"/>
    <mergeCell ref="A199:E199"/>
    <mergeCell ref="N252:R252"/>
    <mergeCell ref="A436:F436"/>
    <mergeCell ref="A362:E362"/>
    <mergeCell ref="A375:F375"/>
    <mergeCell ref="A347:E347"/>
    <mergeCell ref="N275:R275"/>
    <mergeCell ref="N287:R287"/>
    <mergeCell ref="A576:F576"/>
    <mergeCell ref="A563:F563"/>
    <mergeCell ref="A566:A567"/>
    <mergeCell ref="A547:F547"/>
    <mergeCell ref="A555:F555"/>
    <mergeCell ref="A700:F700"/>
    <mergeCell ref="A712:E712"/>
    <mergeCell ref="A298:A300"/>
    <mergeCell ref="N232:R232"/>
    <mergeCell ref="A242:F242"/>
    <mergeCell ref="A233:A234"/>
    <mergeCell ref="A254:E254"/>
    <mergeCell ref="A531:F531"/>
    <mergeCell ref="A521:A522"/>
    <mergeCell ref="A492:F492"/>
    <mergeCell ref="A468:F468"/>
    <mergeCell ref="A476:F476"/>
    <mergeCell ref="A452:F452"/>
    <mergeCell ref="A460:F460"/>
    <mergeCell ref="A500:E500"/>
    <mergeCell ref="A444:F444"/>
    <mergeCell ref="A515:E515"/>
    <mergeCell ref="A484:F484"/>
    <mergeCell ref="A428:F428"/>
    <mergeCell ref="A977:F977"/>
    <mergeCell ref="A986:F986"/>
    <mergeCell ref="A995:F995"/>
    <mergeCell ref="A1004:F1004"/>
    <mergeCell ref="X64:AB64"/>
    <mergeCell ref="X77:AB77"/>
    <mergeCell ref="X88:AB88"/>
    <mergeCell ref="X100:AB100"/>
    <mergeCell ref="N454:R454"/>
    <mergeCell ref="N462:R462"/>
    <mergeCell ref="N470:R470"/>
    <mergeCell ref="N478:R478"/>
    <mergeCell ref="N486:R486"/>
    <mergeCell ref="N493:R493"/>
    <mergeCell ref="N500:R500"/>
    <mergeCell ref="A960:F960"/>
    <mergeCell ref="A942:F942"/>
    <mergeCell ref="A951:F951"/>
    <mergeCell ref="A790:E790"/>
    <mergeCell ref="A763:E763"/>
    <mergeCell ref="A778:E778"/>
    <mergeCell ref="A599:F599"/>
    <mergeCell ref="A613:F613"/>
    <mergeCell ref="A588:F588"/>
  </mergeCells>
  <pageMargins left="0.7" right="0.7" top="0.75" bottom="0.75" header="0.3" footer="0.3"/>
  <pageSetup orientation="portrait" r:id="rId1"/>
  <ignoredErrors>
    <ignoredError sqref="E506 E522 E519 F685 F294 F603 E738 E768 AB92 AB104 AB115"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Hoja20"/>
  <dimension ref="A2:AH215"/>
  <sheetViews>
    <sheetView topLeftCell="F1" zoomScale="90" zoomScaleNormal="90" workbookViewId="0">
      <selection activeCell="S81" sqref="S81"/>
    </sheetView>
  </sheetViews>
  <sheetFormatPr baseColWidth="10" defaultColWidth="11.42578125" defaultRowHeight="15.75" x14ac:dyDescent="0.25"/>
  <cols>
    <col min="1" max="1" width="22.140625" bestFit="1" customWidth="1"/>
    <col min="2" max="2" width="7.7109375" bestFit="1" customWidth="1"/>
    <col min="3" max="3" width="11.140625" bestFit="1" customWidth="1"/>
    <col min="4" max="5" width="11.85546875" bestFit="1" customWidth="1"/>
    <col min="6" max="6" width="36.85546875" bestFit="1" customWidth="1"/>
    <col min="7" max="7" width="14.5703125" bestFit="1" customWidth="1"/>
    <col min="8" max="9" width="12.85546875" bestFit="1" customWidth="1"/>
    <col min="11" max="11" width="4.140625" style="370" customWidth="1"/>
    <col min="13" max="13" width="24.42578125" bestFit="1" customWidth="1"/>
    <col min="14" max="14" width="12" bestFit="1" customWidth="1"/>
    <col min="15" max="15" width="12" customWidth="1"/>
    <col min="16" max="16" width="5.5703125" bestFit="1" customWidth="1"/>
    <col min="17" max="17" width="10.7109375" bestFit="1" customWidth="1"/>
    <col min="18" max="18" width="11.85546875" bestFit="1" customWidth="1"/>
    <col min="19" max="19" width="19.28515625" bestFit="1" customWidth="1"/>
    <col min="20" max="20" width="14.5703125" bestFit="1" customWidth="1"/>
    <col min="21" max="21" width="15.42578125" bestFit="1" customWidth="1"/>
    <col min="22" max="22" width="12.85546875" bestFit="1" customWidth="1"/>
    <col min="24" max="24" width="4.140625" style="370" customWidth="1"/>
    <col min="26" max="26" width="16.7109375" bestFit="1" customWidth="1"/>
    <col min="27" max="27" width="7.7109375" bestFit="1" customWidth="1"/>
    <col min="28" max="28" width="11.140625" bestFit="1" customWidth="1"/>
    <col min="29" max="29" width="9" bestFit="1" customWidth="1"/>
    <col min="30" max="30" width="10.7109375" bestFit="1" customWidth="1"/>
    <col min="31" max="31" width="10.140625" bestFit="1" customWidth="1"/>
    <col min="32" max="32" width="10.5703125" bestFit="1" customWidth="1"/>
    <col min="34" max="34" width="4.140625" style="370" customWidth="1"/>
  </cols>
  <sheetData>
    <row r="2" spans="1:34" ht="18.75" x14ac:dyDescent="0.3">
      <c r="A2" s="1733" t="s">
        <v>551</v>
      </c>
      <c r="B2" s="1733"/>
      <c r="C2" s="1733"/>
      <c r="D2" s="1733"/>
      <c r="E2" s="1733"/>
      <c r="F2" s="1733"/>
      <c r="G2" s="1733"/>
      <c r="H2" s="1733"/>
      <c r="I2" s="1733"/>
      <c r="J2" s="1733"/>
      <c r="K2" s="765"/>
      <c r="L2" s="1733" t="s">
        <v>1945</v>
      </c>
      <c r="M2" s="1733"/>
      <c r="N2" s="1733"/>
      <c r="O2" s="1733"/>
      <c r="P2" s="1733"/>
      <c r="Q2" s="1733"/>
      <c r="R2" s="1733"/>
      <c r="S2" s="1733"/>
      <c r="T2" s="1733"/>
      <c r="U2" s="1733"/>
      <c r="V2" s="1733"/>
      <c r="W2" s="1733"/>
      <c r="X2" s="1733"/>
      <c r="Y2" s="1733" t="s">
        <v>1946</v>
      </c>
      <c r="Z2" s="1733"/>
      <c r="AA2" s="1733"/>
      <c r="AB2" s="1733"/>
      <c r="AC2" s="1733"/>
      <c r="AD2" s="1733"/>
      <c r="AE2" s="1733"/>
      <c r="AF2" s="1733"/>
      <c r="AG2" s="1733"/>
      <c r="AH2" s="765"/>
    </row>
    <row r="3" spans="1:34" ht="16.5" thickBot="1" x14ac:dyDescent="0.3"/>
    <row r="4" spans="1:34" ht="15.95" customHeight="1" thickBot="1" x14ac:dyDescent="0.3">
      <c r="A4" s="1565" t="s">
        <v>272</v>
      </c>
      <c r="B4" s="1566"/>
      <c r="C4" s="1566"/>
      <c r="D4" s="1566"/>
      <c r="E4" s="1567"/>
      <c r="M4" s="1602" t="s">
        <v>145</v>
      </c>
      <c r="N4" s="1600"/>
      <c r="O4" s="1600"/>
      <c r="P4" s="1600"/>
      <c r="Q4" s="1600"/>
      <c r="R4" s="1600"/>
      <c r="S4" s="60"/>
      <c r="T4" s="171"/>
      <c r="Z4" s="1602" t="s">
        <v>1947</v>
      </c>
      <c r="AA4" s="1600"/>
      <c r="AB4" s="1600"/>
      <c r="AC4" s="1600"/>
      <c r="AD4" s="1600"/>
      <c r="AE4" s="60"/>
      <c r="AF4" s="162"/>
    </row>
    <row r="5" spans="1:34" x14ac:dyDescent="0.25">
      <c r="A5" s="183" t="s">
        <v>916</v>
      </c>
      <c r="B5" s="97" t="s">
        <v>743</v>
      </c>
      <c r="C5" s="76" t="s">
        <v>1547</v>
      </c>
      <c r="D5" s="108" t="s">
        <v>747</v>
      </c>
      <c r="E5" s="77" t="s">
        <v>1549</v>
      </c>
      <c r="F5" s="1"/>
      <c r="G5" s="1"/>
      <c r="M5" s="183" t="s">
        <v>916</v>
      </c>
      <c r="N5" s="97" t="s">
        <v>743</v>
      </c>
      <c r="O5" s="97"/>
      <c r="P5" s="76" t="s">
        <v>1547</v>
      </c>
      <c r="Q5" s="108" t="s">
        <v>747</v>
      </c>
      <c r="R5" s="77" t="s">
        <v>1549</v>
      </c>
      <c r="S5" s="60"/>
      <c r="T5" s="1"/>
      <c r="Z5" s="183" t="s">
        <v>916</v>
      </c>
      <c r="AA5" s="97" t="s">
        <v>743</v>
      </c>
      <c r="AB5" s="76" t="s">
        <v>1948</v>
      </c>
      <c r="AC5" s="108" t="s">
        <v>747</v>
      </c>
      <c r="AD5" s="77" t="s">
        <v>1549</v>
      </c>
      <c r="AE5" s="60"/>
      <c r="AF5" s="1"/>
    </row>
    <row r="6" spans="1:34" x14ac:dyDescent="0.25">
      <c r="A6" s="3" t="s">
        <v>908</v>
      </c>
      <c r="B6" s="98" t="s">
        <v>946</v>
      </c>
      <c r="C6" s="2">
        <v>1</v>
      </c>
      <c r="D6" s="66">
        <f>'AROS, CADENAS, DIJES, ETC'!I7</f>
        <v>390</v>
      </c>
      <c r="E6" s="39">
        <f>D6*C6</f>
        <v>390</v>
      </c>
      <c r="F6" s="60"/>
      <c r="G6" s="1"/>
      <c r="M6" s="1701" t="s">
        <v>990</v>
      </c>
      <c r="N6" s="98" t="s">
        <v>1949</v>
      </c>
      <c r="O6" s="98"/>
      <c r="P6" s="2">
        <v>1</v>
      </c>
      <c r="Q6" s="66">
        <f>'AROS, CADENAS, DIJES, ETC'!I25</f>
        <v>1100</v>
      </c>
      <c r="R6" s="39">
        <f>Q6*P6</f>
        <v>1100</v>
      </c>
      <c r="S6" s="60"/>
      <c r="T6" s="1"/>
      <c r="Z6" s="3" t="s">
        <v>1950</v>
      </c>
      <c r="AA6" s="98">
        <v>0.24</v>
      </c>
      <c r="AB6" s="2">
        <v>0.1</v>
      </c>
      <c r="AC6" s="66">
        <f>'AROS, CADENAS, DIJES, ETC'!T10</f>
        <v>1000</v>
      </c>
      <c r="AD6" s="39">
        <f>AC6*AB6/AA6</f>
        <v>416.66666666666669</v>
      </c>
      <c r="AE6" s="60"/>
      <c r="AF6" s="1"/>
    </row>
    <row r="7" spans="1:34" x14ac:dyDescent="0.25">
      <c r="A7" s="104" t="s">
        <v>1555</v>
      </c>
      <c r="B7" s="98" t="s">
        <v>1573</v>
      </c>
      <c r="C7" s="2">
        <v>1</v>
      </c>
      <c r="D7" s="66">
        <f>FORNITURAS!D7</f>
        <v>52</v>
      </c>
      <c r="E7" s="39">
        <f>D7*C7</f>
        <v>52</v>
      </c>
      <c r="F7" s="60"/>
      <c r="G7" s="1"/>
      <c r="M7" s="1702"/>
      <c r="N7" s="98">
        <v>0.4</v>
      </c>
      <c r="O7" s="98"/>
      <c r="P7" s="2">
        <v>0.04</v>
      </c>
      <c r="Q7" s="66">
        <f>'AROS, CADENAS, DIJES, ETC'!I25</f>
        <v>1100</v>
      </c>
      <c r="R7" s="39">
        <f>Q7*P7/N7</f>
        <v>110</v>
      </c>
      <c r="S7" s="171"/>
      <c r="T7" s="1"/>
      <c r="Z7" s="3" t="s">
        <v>1587</v>
      </c>
      <c r="AA7" s="98"/>
      <c r="AB7" s="2">
        <v>1</v>
      </c>
      <c r="AC7" s="66">
        <f>FORNITURAS!D18</f>
        <v>363</v>
      </c>
      <c r="AD7" s="39">
        <f>AC7*AB7</f>
        <v>363</v>
      </c>
      <c r="AE7" s="171"/>
      <c r="AF7" s="1"/>
    </row>
    <row r="8" spans="1:34" x14ac:dyDescent="0.25">
      <c r="A8" s="104" t="s">
        <v>1557</v>
      </c>
      <c r="B8" s="98" t="s">
        <v>1535</v>
      </c>
      <c r="C8" s="2"/>
      <c r="D8" s="6"/>
      <c r="E8" s="39">
        <f>PACKAGING!E4</f>
        <v>80</v>
      </c>
      <c r="F8" s="60"/>
      <c r="G8" s="1"/>
      <c r="M8" s="3" t="s">
        <v>1951</v>
      </c>
      <c r="N8" s="98"/>
      <c r="O8" s="98"/>
      <c r="P8" s="2">
        <v>1</v>
      </c>
      <c r="Q8" s="66">
        <f>FORNITURAS!I17</f>
        <v>2310</v>
      </c>
      <c r="R8" s="39">
        <f>Q8*P8</f>
        <v>2310</v>
      </c>
      <c r="S8" s="1"/>
      <c r="T8" s="1"/>
      <c r="Z8" s="104" t="s">
        <v>1555</v>
      </c>
      <c r="AA8" s="98" t="s">
        <v>1556</v>
      </c>
      <c r="AB8" s="2">
        <v>1</v>
      </c>
      <c r="AC8" s="66">
        <f>FORNITURAS!D4</f>
        <v>48.7</v>
      </c>
      <c r="AD8" s="39">
        <f>AC8*AB8</f>
        <v>48.7</v>
      </c>
      <c r="AE8" s="1"/>
      <c r="AF8" s="1"/>
    </row>
    <row r="9" spans="1:34" x14ac:dyDescent="0.25">
      <c r="A9" s="3" t="s">
        <v>1537</v>
      </c>
      <c r="B9" s="98"/>
      <c r="C9" s="2"/>
      <c r="D9" s="6"/>
      <c r="E9" s="39">
        <f>PACKAGING!E7</f>
        <v>170</v>
      </c>
      <c r="F9" s="60"/>
      <c r="G9" s="1"/>
      <c r="M9" s="184" t="s">
        <v>1733</v>
      </c>
      <c r="N9" s="98"/>
      <c r="O9" s="98"/>
      <c r="P9" s="2">
        <v>1</v>
      </c>
      <c r="Q9" s="66">
        <f>'AROS, CADENAS, DIJES, ETC'!O17</f>
        <v>92</v>
      </c>
      <c r="R9" s="39">
        <f>Q9*P9</f>
        <v>92</v>
      </c>
      <c r="S9" s="1"/>
      <c r="T9" s="1"/>
      <c r="Z9" s="191" t="s">
        <v>1557</v>
      </c>
      <c r="AA9" s="98" t="s">
        <v>1535</v>
      </c>
      <c r="AB9" s="2"/>
      <c r="AC9" s="6"/>
      <c r="AD9" s="39">
        <f>PACKAGING!E3</f>
        <v>150</v>
      </c>
      <c r="AE9" s="1"/>
      <c r="AF9" s="162"/>
    </row>
    <row r="10" spans="1:34" x14ac:dyDescent="0.25">
      <c r="A10" s="3" t="s">
        <v>1538</v>
      </c>
      <c r="B10" s="98"/>
      <c r="C10" s="2"/>
      <c r="D10" s="6"/>
      <c r="E10" s="39">
        <f>PACKAGING!E8</f>
        <v>420</v>
      </c>
      <c r="F10" s="60"/>
      <c r="G10" s="1"/>
      <c r="M10" s="1613" t="s">
        <v>1572</v>
      </c>
      <c r="N10" s="98" t="s">
        <v>1556</v>
      </c>
      <c r="O10" s="98"/>
      <c r="P10" s="2">
        <v>2</v>
      </c>
      <c r="Q10" s="66">
        <f>FORNITURAS!D4</f>
        <v>48.7</v>
      </c>
      <c r="R10" s="39">
        <f>Q10*P10</f>
        <v>97.4</v>
      </c>
      <c r="S10" s="1"/>
      <c r="T10" s="1"/>
      <c r="Z10" s="3" t="s">
        <v>1538</v>
      </c>
      <c r="AA10" s="98"/>
      <c r="AB10" s="2"/>
      <c r="AC10" s="6"/>
      <c r="AD10" s="39">
        <f>PACKAGING!E8</f>
        <v>420</v>
      </c>
      <c r="AE10" s="1"/>
      <c r="AF10" s="1"/>
    </row>
    <row r="11" spans="1:34" x14ac:dyDescent="0.25">
      <c r="A11" s="3" t="s">
        <v>1618</v>
      </c>
      <c r="B11" s="98">
        <v>60</v>
      </c>
      <c r="C11" s="2">
        <v>5</v>
      </c>
      <c r="D11" s="66">
        <f>'INSUMOS VARIOS'!B3</f>
        <v>3500</v>
      </c>
      <c r="E11" s="39">
        <f>D11*C11/B11</f>
        <v>291.66666666666669</v>
      </c>
      <c r="F11" s="60"/>
      <c r="G11" s="1"/>
      <c r="M11" s="1615"/>
      <c r="N11" s="98" t="s">
        <v>1573</v>
      </c>
      <c r="O11" s="98"/>
      <c r="P11" s="2">
        <v>1</v>
      </c>
      <c r="Q11" s="66">
        <f>FORNITURAS!D7</f>
        <v>52</v>
      </c>
      <c r="R11" s="39">
        <f>Q11*P11</f>
        <v>52</v>
      </c>
      <c r="S11" s="1"/>
      <c r="T11" s="1"/>
      <c r="Z11" s="3" t="s">
        <v>1618</v>
      </c>
      <c r="AA11" s="98"/>
      <c r="AB11" s="2"/>
      <c r="AC11" s="6"/>
      <c r="AD11" s="39">
        <v>15</v>
      </c>
      <c r="AE11" s="1"/>
      <c r="AF11" s="1"/>
    </row>
    <row r="12" spans="1:34" ht="16.5" thickBot="1" x14ac:dyDescent="0.3">
      <c r="A12" s="79" t="s">
        <v>525</v>
      </c>
      <c r="B12" s="99"/>
      <c r="C12" s="70"/>
      <c r="D12" s="85"/>
      <c r="E12" s="51">
        <f>SUM(E6:E11)</f>
        <v>1403.6666666666667</v>
      </c>
      <c r="F12" s="60"/>
      <c r="G12" s="1"/>
      <c r="M12" s="185" t="s">
        <v>1588</v>
      </c>
      <c r="N12" s="98"/>
      <c r="O12" s="98"/>
      <c r="P12" s="2"/>
      <c r="Q12" s="66"/>
      <c r="R12" s="39">
        <f>PACKAGING!E4</f>
        <v>80</v>
      </c>
      <c r="S12" s="1"/>
      <c r="T12" s="1"/>
      <c r="Z12" s="79" t="s">
        <v>525</v>
      </c>
      <c r="AA12" s="99"/>
      <c r="AB12" s="70"/>
      <c r="AC12" s="85"/>
      <c r="AD12" s="51">
        <f>SUM(AD6:AD11)</f>
        <v>1413.3666666666668</v>
      </c>
      <c r="AE12" s="1"/>
      <c r="AF12" s="1"/>
    </row>
    <row r="13" spans="1:34" ht="18.75" x14ac:dyDescent="0.25">
      <c r="A13" s="80" t="s">
        <v>544</v>
      </c>
      <c r="B13" s="100"/>
      <c r="C13" s="71"/>
      <c r="D13" s="71"/>
      <c r="E13" s="221">
        <f>E12*2</f>
        <v>2807.3333333333335</v>
      </c>
      <c r="F13" s="512">
        <f>E13+E13*25%</f>
        <v>3509.166666666667</v>
      </c>
      <c r="G13" s="278">
        <v>7000</v>
      </c>
      <c r="M13" s="3" t="s">
        <v>1537</v>
      </c>
      <c r="N13" s="98"/>
      <c r="O13" s="98"/>
      <c r="P13" s="2"/>
      <c r="Q13" s="6"/>
      <c r="R13" s="39">
        <f>PACKAGING!E7</f>
        <v>170</v>
      </c>
      <c r="S13" s="1"/>
      <c r="T13" s="1"/>
      <c r="Z13" s="80" t="s">
        <v>544</v>
      </c>
      <c r="AA13" s="100"/>
      <c r="AB13" s="71"/>
      <c r="AC13" s="71"/>
      <c r="AD13" s="72">
        <f>AD12*2</f>
        <v>2826.7333333333336</v>
      </c>
      <c r="AE13" s="512">
        <f>AD13+AD13*50%</f>
        <v>4240.1000000000004</v>
      </c>
      <c r="AF13" s="203">
        <v>2300</v>
      </c>
    </row>
    <row r="14" spans="1:34" ht="19.5" thickBot="1" x14ac:dyDescent="0.3">
      <c r="A14" s="81" t="s">
        <v>1559</v>
      </c>
      <c r="B14" s="101"/>
      <c r="C14" s="73"/>
      <c r="D14" s="73"/>
      <c r="E14" s="222"/>
      <c r="F14" s="522"/>
      <c r="G14" s="279">
        <f>G13*2</f>
        <v>14000</v>
      </c>
      <c r="M14" s="3" t="s">
        <v>1538</v>
      </c>
      <c r="N14" s="98"/>
      <c r="O14" s="98"/>
      <c r="P14" s="2"/>
      <c r="Q14" s="6"/>
      <c r="R14" s="39">
        <f>PACKAGING!E8</f>
        <v>420</v>
      </c>
      <c r="S14" s="1"/>
      <c r="T14" s="1"/>
      <c r="Z14" s="81" t="s">
        <v>1559</v>
      </c>
      <c r="AA14" s="101"/>
      <c r="AB14" s="73"/>
      <c r="AC14" s="73"/>
      <c r="AD14" s="73"/>
      <c r="AE14" s="522"/>
      <c r="AF14" s="204">
        <f>AF13*2</f>
        <v>4600</v>
      </c>
    </row>
    <row r="15" spans="1:34" x14ac:dyDescent="0.25">
      <c r="M15" s="3" t="s">
        <v>1618</v>
      </c>
      <c r="N15" s="98">
        <v>60</v>
      </c>
      <c r="O15" s="98"/>
      <c r="P15" s="2">
        <v>15</v>
      </c>
      <c r="Q15" s="66">
        <f>'INSUMOS VARIOS'!B3</f>
        <v>3500</v>
      </c>
      <c r="R15" s="39">
        <f>Q15*P15/N15</f>
        <v>875</v>
      </c>
      <c r="S15" s="171"/>
      <c r="T15" s="1"/>
      <c r="Z15" s="171"/>
      <c r="AA15" s="171"/>
      <c r="AB15" s="171"/>
      <c r="AC15" s="171"/>
      <c r="AD15" s="171"/>
      <c r="AE15" s="171"/>
      <c r="AF15" s="171"/>
    </row>
    <row r="16" spans="1:34" ht="16.5" thickBot="1" x14ac:dyDescent="0.3">
      <c r="A16" s="1602" t="s">
        <v>305</v>
      </c>
      <c r="B16" s="1600"/>
      <c r="C16" s="1600"/>
      <c r="D16" s="1600"/>
      <c r="E16" s="1600"/>
      <c r="F16" s="171"/>
      <c r="G16" s="171"/>
      <c r="M16" s="79" t="s">
        <v>525</v>
      </c>
      <c r="N16" s="99"/>
      <c r="O16" s="99"/>
      <c r="P16" s="70"/>
      <c r="Q16" s="85"/>
      <c r="R16" s="51">
        <f>SUM(R6:R15)</f>
        <v>5306.4</v>
      </c>
      <c r="S16" s="171"/>
      <c r="T16" s="1"/>
      <c r="Z16" s="171"/>
      <c r="AA16" s="171"/>
      <c r="AB16" s="171"/>
      <c r="AC16" s="171"/>
      <c r="AD16" s="171"/>
      <c r="AE16" s="171"/>
      <c r="AF16" s="171"/>
    </row>
    <row r="17" spans="1:32" ht="15.95" customHeight="1" thickBot="1" x14ac:dyDescent="0.3">
      <c r="A17" s="183" t="s">
        <v>916</v>
      </c>
      <c r="B17" s="97" t="s">
        <v>743</v>
      </c>
      <c r="C17" s="76" t="s">
        <v>1547</v>
      </c>
      <c r="D17" s="108" t="s">
        <v>747</v>
      </c>
      <c r="E17" s="77" t="s">
        <v>1549</v>
      </c>
      <c r="F17" s="1"/>
      <c r="G17" s="1"/>
      <c r="M17" s="341" t="s">
        <v>1559</v>
      </c>
      <c r="N17" s="342"/>
      <c r="O17" s="342"/>
      <c r="P17" s="343"/>
      <c r="Q17" s="343"/>
      <c r="R17" s="599">
        <f>R16*2</f>
        <v>10612.8</v>
      </c>
      <c r="S17" s="515">
        <f>R17+R17*70%</f>
        <v>18041.759999999998</v>
      </c>
      <c r="T17" s="527">
        <v>16000</v>
      </c>
      <c r="Z17" s="1602" t="s">
        <v>1952</v>
      </c>
      <c r="AA17" s="1600"/>
      <c r="AB17" s="1600"/>
      <c r="AC17" s="1600"/>
      <c r="AD17" s="1600"/>
      <c r="AE17" s="60"/>
      <c r="AF17" s="162"/>
    </row>
    <row r="18" spans="1:32" ht="16.5" thickBot="1" x14ac:dyDescent="0.3">
      <c r="A18" s="3" t="s">
        <v>1953</v>
      </c>
      <c r="B18" s="98" t="s">
        <v>946</v>
      </c>
      <c r="C18" s="2">
        <v>1</v>
      </c>
      <c r="D18" s="66">
        <f>'AROS, CADENAS, DIJES, ETC'!I20</f>
        <v>3300</v>
      </c>
      <c r="E18" s="39">
        <f>D18*C18</f>
        <v>3300</v>
      </c>
      <c r="F18" s="1"/>
      <c r="G18" s="1"/>
      <c r="Z18" s="183" t="s">
        <v>916</v>
      </c>
      <c r="AA18" s="97" t="s">
        <v>743</v>
      </c>
      <c r="AB18" s="76" t="s">
        <v>1948</v>
      </c>
      <c r="AC18" s="108" t="s">
        <v>747</v>
      </c>
      <c r="AD18" s="77" t="s">
        <v>1549</v>
      </c>
      <c r="AE18" s="60"/>
      <c r="AF18" s="1"/>
    </row>
    <row r="19" spans="1:32" x14ac:dyDescent="0.25">
      <c r="A19" s="191" t="s">
        <v>1555</v>
      </c>
      <c r="B19" s="98" t="s">
        <v>1573</v>
      </c>
      <c r="C19" s="2">
        <v>1</v>
      </c>
      <c r="D19" s="66">
        <f>FORNITURAS!D4</f>
        <v>48.7</v>
      </c>
      <c r="E19" s="39">
        <f>D19*C19</f>
        <v>48.7</v>
      </c>
      <c r="F19" s="1"/>
      <c r="G19" s="1"/>
      <c r="M19" s="1585" t="s">
        <v>574</v>
      </c>
      <c r="N19" s="1586"/>
      <c r="O19" s="1586"/>
      <c r="P19" s="1586"/>
      <c r="Q19" s="1586"/>
      <c r="R19" s="1587"/>
      <c r="S19" s="171"/>
      <c r="T19" s="171"/>
      <c r="Z19" s="3" t="s">
        <v>1950</v>
      </c>
      <c r="AA19" s="98">
        <v>0.5</v>
      </c>
      <c r="AB19" s="2">
        <v>0.1</v>
      </c>
      <c r="AC19" s="66">
        <f>'AROS, CADENAS, DIJES, ETC'!I30</f>
        <v>780</v>
      </c>
      <c r="AD19" s="39">
        <f>AC19*AB19/AA19</f>
        <v>156</v>
      </c>
      <c r="AE19" s="60"/>
      <c r="AF19" s="1"/>
    </row>
    <row r="20" spans="1:32" x14ac:dyDescent="0.25">
      <c r="A20" s="20" t="s">
        <v>1557</v>
      </c>
      <c r="B20" s="98" t="s">
        <v>1535</v>
      </c>
      <c r="C20" s="2"/>
      <c r="D20" s="6"/>
      <c r="E20" s="39">
        <f>PACKAGING!E4</f>
        <v>80</v>
      </c>
      <c r="F20" s="1"/>
      <c r="G20" s="171"/>
      <c r="M20" s="183" t="s">
        <v>916</v>
      </c>
      <c r="N20" s="97" t="s">
        <v>743</v>
      </c>
      <c r="O20" s="97"/>
      <c r="P20" s="76" t="s">
        <v>1547</v>
      </c>
      <c r="Q20" s="108" t="s">
        <v>747</v>
      </c>
      <c r="R20" s="77" t="s">
        <v>1549</v>
      </c>
      <c r="S20" s="1"/>
      <c r="T20" s="171"/>
      <c r="Z20" s="3" t="s">
        <v>1587</v>
      </c>
      <c r="AA20" s="98"/>
      <c r="AB20" s="2">
        <v>1</v>
      </c>
      <c r="AC20" s="66">
        <f>FORNITURAS!D18</f>
        <v>363</v>
      </c>
      <c r="AD20" s="39">
        <f>AC20*AB20</f>
        <v>363</v>
      </c>
      <c r="AE20" s="171"/>
      <c r="AF20" s="1"/>
    </row>
    <row r="21" spans="1:32" x14ac:dyDescent="0.25">
      <c r="A21" s="145" t="s">
        <v>1587</v>
      </c>
      <c r="B21" s="98"/>
      <c r="C21" s="2">
        <v>1</v>
      </c>
      <c r="D21" s="66">
        <f>FORNITURAS!D18</f>
        <v>363</v>
      </c>
      <c r="E21" s="39">
        <f>D21*C21</f>
        <v>363</v>
      </c>
      <c r="F21" s="1"/>
      <c r="G21" s="171"/>
      <c r="M21" s="3" t="s">
        <v>1632</v>
      </c>
      <c r="N21" s="98"/>
      <c r="O21" s="98"/>
      <c r="P21" s="2">
        <v>1</v>
      </c>
      <c r="Q21" s="66">
        <f>'AROS, CADENAS, DIJES, ETC'!I23</f>
        <v>1100</v>
      </c>
      <c r="R21" s="39">
        <f>Q21*P21</f>
        <v>1100</v>
      </c>
      <c r="S21" s="1"/>
      <c r="T21" s="171"/>
      <c r="Z21" s="104" t="s">
        <v>1555</v>
      </c>
      <c r="AA21" s="98" t="s">
        <v>1556</v>
      </c>
      <c r="AB21" s="2">
        <v>1</v>
      </c>
      <c r="AC21" s="66">
        <f>FORNITURAS!D4</f>
        <v>48.7</v>
      </c>
      <c r="AD21" s="39">
        <f>AC21*AB21</f>
        <v>48.7</v>
      </c>
      <c r="AE21" s="1"/>
      <c r="AF21" s="1"/>
    </row>
    <row r="22" spans="1:32" x14ac:dyDescent="0.25">
      <c r="A22" s="3" t="s">
        <v>1537</v>
      </c>
      <c r="B22" s="98"/>
      <c r="C22" s="2"/>
      <c r="D22" s="6"/>
      <c r="E22" s="39">
        <f>PACKAGING!E7</f>
        <v>170</v>
      </c>
      <c r="F22" s="1"/>
      <c r="G22" s="1"/>
      <c r="M22" s="3" t="s">
        <v>848</v>
      </c>
      <c r="N22" s="98"/>
      <c r="O22" s="98"/>
      <c r="P22" s="2">
        <v>1</v>
      </c>
      <c r="Q22" s="66">
        <v>1100</v>
      </c>
      <c r="R22" s="39">
        <f>Q22*P22</f>
        <v>1100</v>
      </c>
      <c r="S22" s="1"/>
      <c r="T22" s="171"/>
      <c r="Z22" s="191" t="s">
        <v>1557</v>
      </c>
      <c r="AA22" s="98" t="s">
        <v>1535</v>
      </c>
      <c r="AB22" s="2"/>
      <c r="AC22" s="6"/>
      <c r="AD22" s="39">
        <f>PACKAGING!E3</f>
        <v>150</v>
      </c>
      <c r="AE22" s="1"/>
      <c r="AF22" s="162"/>
    </row>
    <row r="23" spans="1:32" x14ac:dyDescent="0.25">
      <c r="A23" s="3" t="s">
        <v>4540</v>
      </c>
      <c r="B23" s="98"/>
      <c r="C23" s="2"/>
      <c r="D23" s="6"/>
      <c r="E23" s="39">
        <f>PACKAGING!I9</f>
        <v>1000</v>
      </c>
      <c r="F23" s="1"/>
      <c r="G23" s="1"/>
      <c r="M23" s="1701" t="s">
        <v>1555</v>
      </c>
      <c r="N23" s="98" t="s">
        <v>1556</v>
      </c>
      <c r="O23" s="98"/>
      <c r="P23" s="2">
        <v>1</v>
      </c>
      <c r="Q23" s="66">
        <f>FORNITURAS!D4</f>
        <v>48.7</v>
      </c>
      <c r="R23" s="39">
        <f>Q23*P23</f>
        <v>48.7</v>
      </c>
      <c r="S23" s="1"/>
      <c r="T23" s="171"/>
      <c r="Z23" s="3" t="s">
        <v>1538</v>
      </c>
      <c r="AA23" s="98"/>
      <c r="AB23" s="2"/>
      <c r="AC23" s="6"/>
      <c r="AD23" s="39">
        <f>PACKAGING!E8</f>
        <v>420</v>
      </c>
      <c r="AE23" s="1"/>
      <c r="AF23" s="1"/>
    </row>
    <row r="24" spans="1:32" ht="16.5" thickBot="1" x14ac:dyDescent="0.3">
      <c r="A24" s="79" t="s">
        <v>525</v>
      </c>
      <c r="B24" s="99"/>
      <c r="C24" s="70"/>
      <c r="D24" s="85"/>
      <c r="E24" s="51">
        <f>SUM(E18:E23)</f>
        <v>4961.7</v>
      </c>
      <c r="F24" s="1"/>
      <c r="G24" s="1"/>
      <c r="M24" s="1702"/>
      <c r="N24" s="98" t="s">
        <v>1573</v>
      </c>
      <c r="O24" s="98"/>
      <c r="P24" s="2">
        <v>1</v>
      </c>
      <c r="Q24" s="66">
        <f>FORNITURAS!D7</f>
        <v>52</v>
      </c>
      <c r="R24" s="39">
        <f>Q24*P24</f>
        <v>52</v>
      </c>
      <c r="S24" s="1"/>
      <c r="T24" s="171"/>
      <c r="Z24" s="3" t="s">
        <v>1618</v>
      </c>
      <c r="AA24" s="98"/>
      <c r="AB24" s="2"/>
      <c r="AC24" s="6"/>
      <c r="AD24" s="39">
        <v>15</v>
      </c>
      <c r="AE24" s="1"/>
      <c r="AF24" s="1"/>
    </row>
    <row r="25" spans="1:32" ht="16.5" thickBot="1" x14ac:dyDescent="0.3">
      <c r="A25" s="80" t="s">
        <v>544</v>
      </c>
      <c r="B25" s="100"/>
      <c r="C25" s="71"/>
      <c r="D25" s="71"/>
      <c r="E25" s="72">
        <f>E24*2</f>
        <v>9923.4</v>
      </c>
      <c r="F25" s="512">
        <f>E25+E25*70%</f>
        <v>16869.78</v>
      </c>
      <c r="G25" s="203">
        <v>26000</v>
      </c>
      <c r="M25" s="189" t="s">
        <v>1557</v>
      </c>
      <c r="N25" s="98" t="s">
        <v>1535</v>
      </c>
      <c r="O25" s="98"/>
      <c r="P25" s="2"/>
      <c r="Q25" s="66"/>
      <c r="R25" s="39">
        <f>PACKAGING!E3</f>
        <v>150</v>
      </c>
      <c r="S25" s="171"/>
      <c r="T25" s="171"/>
      <c r="Z25" s="79" t="s">
        <v>525</v>
      </c>
      <c r="AA25" s="99"/>
      <c r="AB25" s="70"/>
      <c r="AC25" s="85"/>
      <c r="AD25" s="51">
        <f>SUM(AD19:AD24)</f>
        <v>1152.7</v>
      </c>
      <c r="AE25" s="1"/>
      <c r="AF25" s="1"/>
    </row>
    <row r="26" spans="1:32" ht="16.5" thickBot="1" x14ac:dyDescent="0.3">
      <c r="A26" s="81" t="s">
        <v>1559</v>
      </c>
      <c r="B26" s="101"/>
      <c r="C26" s="73"/>
      <c r="D26" s="73"/>
      <c r="E26" s="73"/>
      <c r="F26" s="522"/>
      <c r="G26" s="204"/>
      <c r="H26" t="s">
        <v>3687</v>
      </c>
      <c r="M26" s="3" t="s">
        <v>1537</v>
      </c>
      <c r="N26" s="98"/>
      <c r="O26" s="98"/>
      <c r="P26" s="2"/>
      <c r="Q26" s="6"/>
      <c r="R26" s="39">
        <f>PACKAGING!E7</f>
        <v>170</v>
      </c>
      <c r="S26" s="1"/>
      <c r="T26" s="171"/>
      <c r="Z26" s="80" t="s">
        <v>544</v>
      </c>
      <c r="AA26" s="100"/>
      <c r="AB26" s="71"/>
      <c r="AC26" s="71"/>
      <c r="AD26" s="72">
        <f>AD25*2</f>
        <v>2305.4</v>
      </c>
      <c r="AE26" s="512">
        <f>AD26+AD26*50%</f>
        <v>3458.1000000000004</v>
      </c>
      <c r="AF26" s="203">
        <v>2300</v>
      </c>
    </row>
    <row r="27" spans="1:32" ht="16.5" thickBot="1" x14ac:dyDescent="0.3">
      <c r="A27" s="171"/>
      <c r="B27" s="171"/>
      <c r="C27" s="171"/>
      <c r="D27" s="171"/>
      <c r="E27" s="171"/>
      <c r="F27" s="171"/>
      <c r="G27" s="171"/>
      <c r="M27" s="3" t="s">
        <v>1538</v>
      </c>
      <c r="N27" s="98"/>
      <c r="O27" s="98"/>
      <c r="P27" s="2"/>
      <c r="Q27" s="6"/>
      <c r="R27" s="39">
        <f>PACKAGING!E8</f>
        <v>420</v>
      </c>
      <c r="S27" s="1"/>
      <c r="T27" s="171"/>
      <c r="Z27" s="81" t="s">
        <v>1559</v>
      </c>
      <c r="AA27" s="101"/>
      <c r="AB27" s="73"/>
      <c r="AC27" s="73"/>
      <c r="AD27" s="73"/>
      <c r="AE27" s="522"/>
      <c r="AF27" s="204">
        <f>AF26*2</f>
        <v>4600</v>
      </c>
    </row>
    <row r="28" spans="1:32" ht="16.5" thickBot="1" x14ac:dyDescent="0.3">
      <c r="A28" s="1565" t="s">
        <v>277</v>
      </c>
      <c r="B28" s="1566"/>
      <c r="C28" s="1566"/>
      <c r="D28" s="1566"/>
      <c r="E28" s="1567"/>
      <c r="M28" s="3" t="s">
        <v>1558</v>
      </c>
      <c r="N28" s="98">
        <v>60</v>
      </c>
      <c r="O28" s="98"/>
      <c r="P28" s="2">
        <v>3</v>
      </c>
      <c r="Q28" s="66">
        <f>'INSUMOS VARIOS'!B3</f>
        <v>3500</v>
      </c>
      <c r="R28" s="39">
        <f>Q28*P28/N28</f>
        <v>175</v>
      </c>
      <c r="S28" s="1"/>
      <c r="T28" s="171"/>
    </row>
    <row r="29" spans="1:32" ht="16.5" thickBot="1" x14ac:dyDescent="0.3">
      <c r="A29" s="183" t="s">
        <v>916</v>
      </c>
      <c r="B29" s="97" t="s">
        <v>743</v>
      </c>
      <c r="C29" s="76" t="s">
        <v>1089</v>
      </c>
      <c r="D29" s="108" t="s">
        <v>747</v>
      </c>
      <c r="E29" s="77" t="s">
        <v>1549</v>
      </c>
      <c r="F29" s="1"/>
      <c r="M29" s="79" t="s">
        <v>525</v>
      </c>
      <c r="N29" s="99"/>
      <c r="O29" s="99"/>
      <c r="P29" s="70"/>
      <c r="Q29" s="85"/>
      <c r="R29" s="51">
        <f>SUM(R21:R28)</f>
        <v>3215.7</v>
      </c>
      <c r="S29" s="1"/>
      <c r="T29" s="171"/>
    </row>
    <row r="30" spans="1:32" x14ac:dyDescent="0.25">
      <c r="A30" s="3" t="s">
        <v>908</v>
      </c>
      <c r="B30" s="98">
        <v>0.55000000000000004</v>
      </c>
      <c r="C30" s="2">
        <v>0.45</v>
      </c>
      <c r="D30" s="66">
        <v>1320</v>
      </c>
      <c r="E30" s="39">
        <f>D30*C30/B30</f>
        <v>1080</v>
      </c>
      <c r="F30" s="60"/>
      <c r="M30" s="80" t="s">
        <v>544</v>
      </c>
      <c r="N30" s="100"/>
      <c r="O30" s="100"/>
      <c r="P30" s="71"/>
      <c r="Q30" s="71"/>
      <c r="R30" s="267">
        <f>R29*2</f>
        <v>6431.4</v>
      </c>
      <c r="S30" s="606">
        <f>R30+R30*70%</f>
        <v>10933.38</v>
      </c>
      <c r="T30" s="268">
        <v>7200</v>
      </c>
    </row>
    <row r="31" spans="1:32" ht="16.5" thickBot="1" x14ac:dyDescent="0.3">
      <c r="A31" s="104" t="s">
        <v>1555</v>
      </c>
      <c r="B31" s="98" t="s">
        <v>1573</v>
      </c>
      <c r="C31" s="2">
        <v>1</v>
      </c>
      <c r="D31" s="66">
        <f>FORNITURAS!D7</f>
        <v>52</v>
      </c>
      <c r="E31" s="39">
        <f>D31*C31</f>
        <v>52</v>
      </c>
      <c r="F31" s="60"/>
      <c r="M31" s="81" t="s">
        <v>1559</v>
      </c>
      <c r="N31" s="101"/>
      <c r="O31" s="101"/>
      <c r="P31" s="73"/>
      <c r="Q31" s="73"/>
      <c r="R31" s="277"/>
      <c r="S31" s="607"/>
      <c r="T31" s="526">
        <f>T30</f>
        <v>7200</v>
      </c>
    </row>
    <row r="32" spans="1:32" x14ac:dyDescent="0.25">
      <c r="A32" s="104" t="s">
        <v>1557</v>
      </c>
      <c r="B32" s="98" t="s">
        <v>1535</v>
      </c>
      <c r="C32" s="2"/>
      <c r="D32" s="6"/>
      <c r="E32" s="39">
        <f>PACKAGING!E4</f>
        <v>80</v>
      </c>
      <c r="F32" s="60"/>
    </row>
    <row r="33" spans="1:20" ht="16.5" thickBot="1" x14ac:dyDescent="0.3">
      <c r="A33" s="3" t="s">
        <v>1537</v>
      </c>
      <c r="B33" s="98"/>
      <c r="C33" s="2"/>
      <c r="D33" s="6"/>
      <c r="E33" s="39">
        <f>PACKAGING!E7</f>
        <v>170</v>
      </c>
      <c r="F33" s="60"/>
      <c r="M33" s="1602" t="s">
        <v>318</v>
      </c>
      <c r="N33" s="1600"/>
      <c r="O33" s="1600"/>
      <c r="P33" s="1600"/>
      <c r="Q33" s="1600"/>
      <c r="R33" s="1600"/>
      <c r="S33" s="171"/>
      <c r="T33" s="171"/>
    </row>
    <row r="34" spans="1:20" x14ac:dyDescent="0.25">
      <c r="A34" s="3" t="s">
        <v>1538</v>
      </c>
      <c r="B34" s="98"/>
      <c r="C34" s="2"/>
      <c r="D34" s="6"/>
      <c r="E34" s="39">
        <f>PACKAGING!E9</f>
        <v>450</v>
      </c>
      <c r="F34" s="60"/>
      <c r="M34" s="78" t="s">
        <v>916</v>
      </c>
      <c r="N34" s="385" t="s">
        <v>743</v>
      </c>
      <c r="O34" s="385"/>
      <c r="P34" s="82" t="s">
        <v>1547</v>
      </c>
      <c r="Q34" s="84" t="s">
        <v>747</v>
      </c>
      <c r="R34" s="83" t="s">
        <v>1549</v>
      </c>
      <c r="S34" s="1"/>
      <c r="T34" s="1"/>
    </row>
    <row r="35" spans="1:20" x14ac:dyDescent="0.25">
      <c r="A35" s="3" t="s">
        <v>1618</v>
      </c>
      <c r="B35" s="98">
        <v>60</v>
      </c>
      <c r="C35" s="2">
        <v>10</v>
      </c>
      <c r="D35" s="66">
        <f>'INSUMOS VARIOS'!B3</f>
        <v>3500</v>
      </c>
      <c r="E35" s="39">
        <f>D35*C35/B35</f>
        <v>583.33333333333337</v>
      </c>
      <c r="F35" s="1" t="s">
        <v>3023</v>
      </c>
      <c r="M35" s="3" t="s">
        <v>990</v>
      </c>
      <c r="N35" s="98" t="s">
        <v>950</v>
      </c>
      <c r="O35" s="98"/>
      <c r="P35" s="2">
        <v>1</v>
      </c>
      <c r="Q35" s="66">
        <f>'AROS, CADENAS, DIJES, ETC'!I25</f>
        <v>1100</v>
      </c>
      <c r="R35" s="39">
        <f>Q35*P35</f>
        <v>1100</v>
      </c>
      <c r="S35" s="1"/>
      <c r="T35" s="1"/>
    </row>
    <row r="36" spans="1:20" ht="16.5" thickBot="1" x14ac:dyDescent="0.3">
      <c r="A36" s="79" t="s">
        <v>525</v>
      </c>
      <c r="B36" s="99"/>
      <c r="C36" s="70"/>
      <c r="D36" s="85"/>
      <c r="E36" s="51">
        <f>SUM(E30:E35)</f>
        <v>2415.3333333333335</v>
      </c>
      <c r="F36" s="60">
        <f>E36+G37+G38</f>
        <v>5693.3333333333339</v>
      </c>
      <c r="M36" s="3" t="s">
        <v>898</v>
      </c>
      <c r="N36" s="98"/>
      <c r="O36" s="98"/>
      <c r="P36" s="2">
        <v>1</v>
      </c>
      <c r="Q36" s="66" t="e">
        <f>'AROS, CADENAS, DIJES, ETC'!#REF!</f>
        <v>#REF!</v>
      </c>
      <c r="R36" s="39" t="e">
        <f>Q36*P36</f>
        <v>#REF!</v>
      </c>
      <c r="S36" s="1"/>
      <c r="T36" s="1"/>
    </row>
    <row r="37" spans="1:20" x14ac:dyDescent="0.25">
      <c r="A37" s="80" t="s">
        <v>544</v>
      </c>
      <c r="B37" s="100"/>
      <c r="C37" s="71"/>
      <c r="D37" s="71"/>
      <c r="E37" s="72">
        <f>E36*2</f>
        <v>4830.666666666667</v>
      </c>
      <c r="F37" s="512">
        <f>E37+E37*50%</f>
        <v>7246</v>
      </c>
      <c r="G37" s="680">
        <f>PACKAGING!I3</f>
        <v>2433</v>
      </c>
      <c r="H37" s="681">
        <f>G37+F37+G38</f>
        <v>10524</v>
      </c>
      <c r="I37" s="682">
        <v>11000</v>
      </c>
      <c r="M37" s="1701" t="s">
        <v>1555</v>
      </c>
      <c r="N37" s="98" t="s">
        <v>1556</v>
      </c>
      <c r="O37" s="98"/>
      <c r="P37" s="2">
        <v>1</v>
      </c>
      <c r="Q37" s="66">
        <f>FORNITURAS!D4</f>
        <v>48.7</v>
      </c>
      <c r="R37" s="39">
        <f>Q37*P37</f>
        <v>48.7</v>
      </c>
      <c r="S37" s="1"/>
      <c r="T37" s="1"/>
    </row>
    <row r="38" spans="1:20" ht="16.5" thickBot="1" x14ac:dyDescent="0.3">
      <c r="A38" s="81" t="s">
        <v>1559</v>
      </c>
      <c r="B38" s="101"/>
      <c r="C38" s="73"/>
      <c r="D38" s="73"/>
      <c r="E38" s="73"/>
      <c r="F38" s="522"/>
      <c r="G38" s="709">
        <f>PACKAGING!I5</f>
        <v>845</v>
      </c>
      <c r="H38" s="690"/>
      <c r="I38" s="691">
        <f>I37*2</f>
        <v>22000</v>
      </c>
      <c r="M38" s="1711"/>
      <c r="N38" s="98" t="s">
        <v>1933</v>
      </c>
      <c r="O38" s="98"/>
      <c r="P38" s="2">
        <v>1</v>
      </c>
      <c r="Q38" s="66">
        <f>FORNITURAS!D5</f>
        <v>46.8</v>
      </c>
      <c r="R38" s="39">
        <f>Q38*P38</f>
        <v>46.8</v>
      </c>
      <c r="S38" s="1"/>
      <c r="T38" s="1"/>
    </row>
    <row r="39" spans="1:20" ht="16.5" thickBot="1" x14ac:dyDescent="0.3">
      <c r="M39" s="1702"/>
      <c r="N39" s="98" t="s">
        <v>1573</v>
      </c>
      <c r="O39" s="98"/>
      <c r="P39" s="2">
        <v>1</v>
      </c>
      <c r="Q39" s="66">
        <f>FORNITURAS!D7</f>
        <v>52</v>
      </c>
      <c r="R39" s="39">
        <f>Q39*P39</f>
        <v>52</v>
      </c>
      <c r="S39" s="1"/>
      <c r="T39" s="1"/>
    </row>
    <row r="40" spans="1:20" ht="16.5" thickBot="1" x14ac:dyDescent="0.3">
      <c r="A40" s="1565" t="s">
        <v>284</v>
      </c>
      <c r="B40" s="1566"/>
      <c r="C40" s="1566"/>
      <c r="D40" s="1566"/>
      <c r="E40" s="1567"/>
      <c r="H40" s="171"/>
      <c r="I40" s="171"/>
      <c r="M40" s="189" t="s">
        <v>1557</v>
      </c>
      <c r="N40" s="98"/>
      <c r="O40" s="98"/>
      <c r="P40" s="2"/>
      <c r="Q40" s="6"/>
      <c r="R40" s="39">
        <f>PACKAGING!E4</f>
        <v>80</v>
      </c>
      <c r="S40" s="1"/>
      <c r="T40" s="171"/>
    </row>
    <row r="41" spans="1:20" x14ac:dyDescent="0.25">
      <c r="A41" s="183" t="s">
        <v>916</v>
      </c>
      <c r="B41" s="97" t="s">
        <v>743</v>
      </c>
      <c r="C41" s="97" t="s">
        <v>1547</v>
      </c>
      <c r="D41" s="76" t="s">
        <v>747</v>
      </c>
      <c r="E41" s="77" t="s">
        <v>1549</v>
      </c>
      <c r="F41" s="1"/>
      <c r="G41" s="1"/>
      <c r="H41" s="171"/>
      <c r="I41" s="171"/>
      <c r="M41" s="3" t="s">
        <v>1537</v>
      </c>
      <c r="N41" s="98"/>
      <c r="O41" s="98"/>
      <c r="P41" s="2"/>
      <c r="Q41" s="6"/>
      <c r="R41" s="39">
        <f>PACKAGING!E7</f>
        <v>170</v>
      </c>
      <c r="S41" s="1"/>
      <c r="T41" s="1"/>
    </row>
    <row r="42" spans="1:20" x14ac:dyDescent="0.25">
      <c r="A42" s="3" t="s">
        <v>1954</v>
      </c>
      <c r="B42" s="98" t="s">
        <v>950</v>
      </c>
      <c r="C42" s="98">
        <v>1</v>
      </c>
      <c r="D42" s="102">
        <f>'AROS, CADENAS, DIJES, ETC'!I41</f>
        <v>765</v>
      </c>
      <c r="E42" s="39">
        <f>D42*C42</f>
        <v>765</v>
      </c>
      <c r="F42" s="1"/>
      <c r="G42" s="1"/>
      <c r="H42" s="171"/>
      <c r="I42" s="171"/>
      <c r="M42" s="3" t="s">
        <v>1538</v>
      </c>
      <c r="N42" s="98"/>
      <c r="O42" s="98"/>
      <c r="P42" s="2"/>
      <c r="Q42" s="6"/>
      <c r="R42" s="39">
        <f>PACKAGING!E8</f>
        <v>420</v>
      </c>
      <c r="S42" s="1"/>
      <c r="T42" s="1"/>
    </row>
    <row r="43" spans="1:20" x14ac:dyDescent="0.25">
      <c r="A43" s="104" t="s">
        <v>1557</v>
      </c>
      <c r="B43" s="98" t="s">
        <v>1535</v>
      </c>
      <c r="C43" s="98"/>
      <c r="D43" s="2"/>
      <c r="E43" s="39">
        <f>PACKAGING!E4</f>
        <v>80</v>
      </c>
      <c r="F43" s="1"/>
      <c r="G43" s="1"/>
      <c r="H43" s="171"/>
      <c r="I43" s="171"/>
      <c r="M43" s="3" t="s">
        <v>1618</v>
      </c>
      <c r="N43" s="98">
        <v>60</v>
      </c>
      <c r="O43" s="98"/>
      <c r="P43" s="2">
        <v>5</v>
      </c>
      <c r="Q43" s="66">
        <f>'INSUMOS VARIOS'!B3</f>
        <v>3500</v>
      </c>
      <c r="R43" s="39">
        <f>Q43*P43/N43</f>
        <v>291.66666666666669</v>
      </c>
      <c r="S43" s="1"/>
      <c r="T43" s="1"/>
    </row>
    <row r="44" spans="1:20" ht="16.5" thickBot="1" x14ac:dyDescent="0.3">
      <c r="A44" s="3" t="s">
        <v>1537</v>
      </c>
      <c r="B44" s="98"/>
      <c r="C44" s="98"/>
      <c r="D44" s="2"/>
      <c r="E44" s="39">
        <f>PACKAGING!E7</f>
        <v>170</v>
      </c>
      <c r="F44" s="1"/>
      <c r="G44" s="1"/>
      <c r="H44" s="171"/>
      <c r="I44" s="171"/>
      <c r="M44" s="79" t="s">
        <v>525</v>
      </c>
      <c r="N44" s="99"/>
      <c r="O44" s="99"/>
      <c r="P44" s="70"/>
      <c r="Q44" s="85"/>
      <c r="R44" s="51" t="e">
        <f>SUM(R35:R43)</f>
        <v>#REF!</v>
      </c>
      <c r="S44" s="171"/>
      <c r="T44" s="1"/>
    </row>
    <row r="45" spans="1:20" x14ac:dyDescent="0.25">
      <c r="A45" s="3" t="s">
        <v>1538</v>
      </c>
      <c r="B45" s="98"/>
      <c r="C45" s="98"/>
      <c r="D45" s="2"/>
      <c r="E45" s="39">
        <f>PACKAGING!E8</f>
        <v>420</v>
      </c>
      <c r="F45" s="1" t="s">
        <v>3023</v>
      </c>
      <c r="G45" s="1"/>
      <c r="H45" s="171"/>
      <c r="I45" s="171"/>
      <c r="M45" s="80" t="s">
        <v>544</v>
      </c>
      <c r="N45" s="100"/>
      <c r="O45" s="100"/>
      <c r="P45" s="71"/>
      <c r="Q45" s="71"/>
      <c r="R45" s="72" t="e">
        <f>R44*2</f>
        <v>#REF!</v>
      </c>
      <c r="S45" s="606" t="e">
        <f>R45+R45*70%</f>
        <v>#REF!</v>
      </c>
      <c r="T45" s="203">
        <v>11000</v>
      </c>
    </row>
    <row r="46" spans="1:20" ht="16.5" thickBot="1" x14ac:dyDescent="0.3">
      <c r="A46" s="79" t="s">
        <v>525</v>
      </c>
      <c r="B46" s="99"/>
      <c r="C46" s="99"/>
      <c r="D46" s="70"/>
      <c r="E46" s="51">
        <f>SUM(E42:E45)</f>
        <v>1435</v>
      </c>
      <c r="F46" s="60">
        <f>E46+G47+G48</f>
        <v>4713</v>
      </c>
      <c r="G46" s="1"/>
      <c r="H46" s="171"/>
      <c r="I46" s="171"/>
      <c r="M46" s="81" t="s">
        <v>1559</v>
      </c>
      <c r="N46" s="101"/>
      <c r="O46" s="101"/>
      <c r="P46" s="73"/>
      <c r="Q46" s="73"/>
      <c r="R46" s="73"/>
      <c r="S46" s="607"/>
      <c r="T46" s="204">
        <f>T45*2</f>
        <v>22000</v>
      </c>
    </row>
    <row r="47" spans="1:20" ht="16.5" thickBot="1" x14ac:dyDescent="0.3">
      <c r="A47" s="80" t="s">
        <v>544</v>
      </c>
      <c r="B47" s="100"/>
      <c r="C47" s="100"/>
      <c r="D47" s="71"/>
      <c r="E47" s="72">
        <f>E46*2</f>
        <v>2870</v>
      </c>
      <c r="F47" s="512">
        <f>E47+E47*50%</f>
        <v>4305</v>
      </c>
      <c r="G47" s="680">
        <f>PACKAGING!I3</f>
        <v>2433</v>
      </c>
      <c r="H47" s="681">
        <f>G47+F47+G48</f>
        <v>7583</v>
      </c>
      <c r="I47" s="682">
        <v>11000</v>
      </c>
    </row>
    <row r="48" spans="1:20" ht="16.5" thickBot="1" x14ac:dyDescent="0.3">
      <c r="A48" s="81" t="s">
        <v>1559</v>
      </c>
      <c r="B48" s="101"/>
      <c r="C48" s="101"/>
      <c r="D48" s="73"/>
      <c r="E48" s="73"/>
      <c r="F48" s="522"/>
      <c r="G48" s="709">
        <f>PACKAGING!I5</f>
        <v>845</v>
      </c>
      <c r="H48" s="690"/>
      <c r="I48" s="691">
        <f>I47*2</f>
        <v>22000</v>
      </c>
      <c r="M48" s="1585" t="s">
        <v>316</v>
      </c>
      <c r="N48" s="1586"/>
      <c r="O48" s="1586"/>
      <c r="P48" s="1586"/>
      <c r="Q48" s="1586"/>
      <c r="R48" s="1587"/>
      <c r="S48" s="171"/>
      <c r="T48" s="171"/>
    </row>
    <row r="49" spans="1:20" ht="16.5" thickBot="1" x14ac:dyDescent="0.3">
      <c r="A49" s="171"/>
      <c r="B49" s="171"/>
      <c r="C49" s="171"/>
      <c r="D49" s="171"/>
      <c r="E49" s="171"/>
      <c r="F49" s="171"/>
      <c r="G49" s="171"/>
      <c r="H49" s="171"/>
      <c r="I49" s="171"/>
      <c r="M49" s="183" t="s">
        <v>916</v>
      </c>
      <c r="N49" s="97" t="s">
        <v>743</v>
      </c>
      <c r="O49" s="97"/>
      <c r="P49" s="76" t="s">
        <v>1547</v>
      </c>
      <c r="Q49" s="108" t="s">
        <v>747</v>
      </c>
      <c r="R49" s="77" t="s">
        <v>1549</v>
      </c>
      <c r="S49" s="1"/>
      <c r="T49" s="171"/>
    </row>
    <row r="50" spans="1:20" ht="16.5" thickBot="1" x14ac:dyDescent="0.3">
      <c r="A50" s="1568" t="s">
        <v>307</v>
      </c>
      <c r="B50" s="1569"/>
      <c r="C50" s="1569"/>
      <c r="D50" s="1569"/>
      <c r="E50" s="1570"/>
      <c r="H50" s="171"/>
      <c r="I50" s="171"/>
      <c r="M50" s="3" t="s">
        <v>1632</v>
      </c>
      <c r="N50" s="98" t="s">
        <v>940</v>
      </c>
      <c r="O50" s="98"/>
      <c r="P50" s="2">
        <v>1</v>
      </c>
      <c r="Q50" s="66">
        <f>'AROS, CADENAS, DIJES, ETC'!I25</f>
        <v>1100</v>
      </c>
      <c r="R50" s="39">
        <f>Q50*P50</f>
        <v>1100</v>
      </c>
      <c r="S50" s="1"/>
      <c r="T50" s="171"/>
    </row>
    <row r="51" spans="1:20" x14ac:dyDescent="0.25">
      <c r="A51" s="78" t="s">
        <v>916</v>
      </c>
      <c r="B51" s="385" t="s">
        <v>743</v>
      </c>
      <c r="C51" s="82" t="s">
        <v>1547</v>
      </c>
      <c r="D51" s="84" t="s">
        <v>747</v>
      </c>
      <c r="E51" s="83" t="s">
        <v>1549</v>
      </c>
      <c r="F51" s="1"/>
      <c r="H51" s="171"/>
      <c r="I51" s="171"/>
      <c r="M51" s="104" t="s">
        <v>1955</v>
      </c>
      <c r="N51" s="98"/>
      <c r="O51" s="98"/>
      <c r="P51" s="2">
        <v>1</v>
      </c>
      <c r="Q51" s="66">
        <f>'AROS, CADENAS, DIJES, ETC'!O104</f>
        <v>2774</v>
      </c>
      <c r="R51" s="39">
        <f>Q51*P51</f>
        <v>2774</v>
      </c>
      <c r="S51" s="1"/>
      <c r="T51" s="171"/>
    </row>
    <row r="52" spans="1:20" x14ac:dyDescent="0.25">
      <c r="A52" s="3" t="s">
        <v>908</v>
      </c>
      <c r="B52" s="98" t="s">
        <v>959</v>
      </c>
      <c r="C52" s="2">
        <v>1</v>
      </c>
      <c r="D52" s="66">
        <v>585</v>
      </c>
      <c r="E52" s="39">
        <f>D52*C52</f>
        <v>585</v>
      </c>
      <c r="F52" s="1"/>
      <c r="H52" s="171"/>
      <c r="I52" s="171"/>
      <c r="M52" s="191" t="s">
        <v>1555</v>
      </c>
      <c r="N52" s="98" t="s">
        <v>1573</v>
      </c>
      <c r="O52" s="98"/>
      <c r="P52" s="2">
        <v>1</v>
      </c>
      <c r="Q52" s="66">
        <f>FORNITURAS!D7</f>
        <v>52</v>
      </c>
      <c r="R52" s="39">
        <f>Q52*P52</f>
        <v>52</v>
      </c>
      <c r="S52" s="1"/>
      <c r="T52" s="171"/>
    </row>
    <row r="53" spans="1:20" x14ac:dyDescent="0.25">
      <c r="A53" s="191" t="s">
        <v>1555</v>
      </c>
      <c r="B53" s="98" t="s">
        <v>1573</v>
      </c>
      <c r="C53" s="2">
        <v>1</v>
      </c>
      <c r="D53" s="66">
        <v>12</v>
      </c>
      <c r="E53" s="39">
        <f>D53*C53</f>
        <v>12</v>
      </c>
      <c r="F53" s="1"/>
      <c r="H53" s="171"/>
      <c r="I53" s="171"/>
      <c r="M53" s="189" t="s">
        <v>1557</v>
      </c>
      <c r="N53" s="98" t="s">
        <v>1535</v>
      </c>
      <c r="O53" s="98"/>
      <c r="P53" s="2"/>
      <c r="Q53" s="6"/>
      <c r="R53" s="39">
        <f>PACKAGING!E4</f>
        <v>80</v>
      </c>
      <c r="S53" s="171"/>
      <c r="T53" s="171"/>
    </row>
    <row r="54" spans="1:20" x14ac:dyDescent="0.25">
      <c r="A54" s="189" t="s">
        <v>1557</v>
      </c>
      <c r="B54" s="98" t="s">
        <v>1535</v>
      </c>
      <c r="C54" s="2"/>
      <c r="D54" s="6"/>
      <c r="E54" s="39">
        <v>8</v>
      </c>
      <c r="F54" s="171"/>
      <c r="H54" s="171"/>
      <c r="I54" s="171"/>
      <c r="M54" s="3" t="s">
        <v>1537</v>
      </c>
      <c r="N54" s="98"/>
      <c r="O54" s="98"/>
      <c r="P54" s="2"/>
      <c r="Q54" s="6"/>
      <c r="R54" s="39">
        <f>PACKAGING!E7</f>
        <v>170</v>
      </c>
      <c r="S54" s="1"/>
      <c r="T54" s="171"/>
    </row>
    <row r="55" spans="1:20" x14ac:dyDescent="0.25">
      <c r="A55" s="3" t="s">
        <v>1537</v>
      </c>
      <c r="B55" s="98"/>
      <c r="C55" s="2"/>
      <c r="D55" s="6"/>
      <c r="E55" s="39">
        <v>16</v>
      </c>
      <c r="F55" s="1"/>
      <c r="H55" s="171"/>
      <c r="I55" s="171"/>
      <c r="M55" s="3" t="s">
        <v>1538</v>
      </c>
      <c r="N55" s="98"/>
      <c r="O55" s="98"/>
      <c r="P55" s="2"/>
      <c r="Q55" s="6"/>
      <c r="R55" s="39">
        <f>PACKAGING!E8</f>
        <v>420</v>
      </c>
      <c r="S55" s="1"/>
      <c r="T55" s="171"/>
    </row>
    <row r="56" spans="1:20" x14ac:dyDescent="0.25">
      <c r="A56" s="3" t="s">
        <v>1538</v>
      </c>
      <c r="B56" s="98"/>
      <c r="C56" s="2"/>
      <c r="D56" s="6"/>
      <c r="E56" s="39">
        <v>18</v>
      </c>
      <c r="F56" s="1"/>
      <c r="H56" s="171"/>
      <c r="I56" s="171"/>
      <c r="M56" s="3" t="s">
        <v>1558</v>
      </c>
      <c r="N56" s="98">
        <v>60</v>
      </c>
      <c r="O56" s="98"/>
      <c r="P56" s="2">
        <v>10</v>
      </c>
      <c r="Q56" s="66">
        <f>'INSUMOS VARIOS'!B3</f>
        <v>3500</v>
      </c>
      <c r="R56" s="39">
        <f>Q56*P56/N56</f>
        <v>583.33333333333337</v>
      </c>
      <c r="S56" s="1"/>
      <c r="T56" s="171"/>
    </row>
    <row r="57" spans="1:20" ht="16.5" thickBot="1" x14ac:dyDescent="0.3">
      <c r="A57" s="79" t="s">
        <v>525</v>
      </c>
      <c r="B57" s="99"/>
      <c r="C57" s="70"/>
      <c r="D57" s="85"/>
      <c r="E57" s="51">
        <f>SUM(E52:E56)</f>
        <v>639</v>
      </c>
      <c r="F57" s="1"/>
      <c r="H57" s="171"/>
      <c r="I57" s="171"/>
      <c r="M57" s="79" t="s">
        <v>525</v>
      </c>
      <c r="N57" s="99"/>
      <c r="O57" s="99"/>
      <c r="P57" s="70"/>
      <c r="Q57" s="85"/>
      <c r="R57" s="51">
        <f>SUM(R50:R56)</f>
        <v>5179.333333333333</v>
      </c>
      <c r="S57" s="1"/>
      <c r="T57" s="171"/>
    </row>
    <row r="58" spans="1:20" ht="19.5" thickBot="1" x14ac:dyDescent="0.3">
      <c r="A58" s="80" t="s">
        <v>544</v>
      </c>
      <c r="B58" s="100"/>
      <c r="C58" s="71"/>
      <c r="D58" s="71"/>
      <c r="E58" s="267">
        <f>E57*2</f>
        <v>1278</v>
      </c>
      <c r="F58" s="512">
        <f>E58+E58*50%</f>
        <v>1917</v>
      </c>
      <c r="G58" s="75">
        <v>9000</v>
      </c>
      <c r="H58" s="171"/>
      <c r="I58" s="171"/>
      <c r="M58" s="211" t="s">
        <v>1559</v>
      </c>
      <c r="N58" s="214"/>
      <c r="O58" s="214"/>
      <c r="P58" s="212"/>
      <c r="Q58" s="212"/>
      <c r="R58" s="213">
        <f>R57*2</f>
        <v>10358.666666666666</v>
      </c>
      <c r="S58" s="490">
        <f>R58+R58*70%</f>
        <v>17609.73333333333</v>
      </c>
      <c r="T58" s="253">
        <v>22000</v>
      </c>
    </row>
    <row r="59" spans="1:20" ht="19.5" thickBot="1" x14ac:dyDescent="0.3">
      <c r="A59" s="81" t="s">
        <v>1559</v>
      </c>
      <c r="B59" s="101"/>
      <c r="C59" s="73"/>
      <c r="D59" s="73"/>
      <c r="E59" s="280"/>
      <c r="F59" s="522"/>
      <c r="G59" s="74">
        <f>G58*2</f>
        <v>18000</v>
      </c>
      <c r="H59" s="171"/>
      <c r="I59" s="171"/>
    </row>
    <row r="60" spans="1:20" ht="16.5" thickBot="1" x14ac:dyDescent="0.3">
      <c r="H60" s="171"/>
      <c r="I60" s="171"/>
      <c r="M60" s="1666" t="s">
        <v>138</v>
      </c>
      <c r="N60" s="1667"/>
      <c r="O60" s="1667"/>
      <c r="P60" s="1667"/>
      <c r="Q60" s="1667"/>
      <c r="R60" s="1668"/>
      <c r="S60" s="171"/>
      <c r="T60" s="171"/>
    </row>
    <row r="61" spans="1:20" ht="16.5" thickBot="1" x14ac:dyDescent="0.3">
      <c r="A61" s="1565" t="s">
        <v>265</v>
      </c>
      <c r="B61" s="1566"/>
      <c r="C61" s="1566"/>
      <c r="D61" s="1566"/>
      <c r="E61" s="1567"/>
      <c r="H61" s="171"/>
      <c r="I61" s="171"/>
      <c r="M61" s="183" t="s">
        <v>916</v>
      </c>
      <c r="N61" s="97" t="s">
        <v>743</v>
      </c>
      <c r="O61" s="97"/>
      <c r="P61" s="76" t="s">
        <v>1547</v>
      </c>
      <c r="Q61" s="108" t="s">
        <v>747</v>
      </c>
      <c r="R61" s="77" t="s">
        <v>1549</v>
      </c>
      <c r="S61" s="1"/>
      <c r="T61" s="171"/>
    </row>
    <row r="62" spans="1:20" x14ac:dyDescent="0.25">
      <c r="A62" s="183" t="s">
        <v>916</v>
      </c>
      <c r="B62" s="97" t="s">
        <v>743</v>
      </c>
      <c r="C62" s="76" t="s">
        <v>1547</v>
      </c>
      <c r="D62" s="108" t="s">
        <v>747</v>
      </c>
      <c r="E62" s="77" t="s">
        <v>1549</v>
      </c>
      <c r="F62" s="1"/>
      <c r="G62" s="1"/>
      <c r="H62" s="171"/>
      <c r="I62" s="171"/>
      <c r="M62" s="3" t="s">
        <v>1956</v>
      </c>
      <c r="N62" s="98">
        <v>0.6</v>
      </c>
      <c r="O62" s="98"/>
      <c r="P62" s="2">
        <v>0.45</v>
      </c>
      <c r="Q62" s="66">
        <f>'AROS, CADENAS, DIJES, ETC'!I32</f>
        <v>2000</v>
      </c>
      <c r="R62" s="39">
        <f>P62*Q62/N62</f>
        <v>1500</v>
      </c>
      <c r="S62" s="1"/>
      <c r="T62" s="171"/>
    </row>
    <row r="63" spans="1:20" x14ac:dyDescent="0.25">
      <c r="A63" s="3" t="s">
        <v>908</v>
      </c>
      <c r="B63" s="98" t="s">
        <v>950</v>
      </c>
      <c r="C63" s="2">
        <v>1</v>
      </c>
      <c r="D63" s="66">
        <f>'AROS, CADENAS, DIJES, ETC'!I13</f>
        <v>666</v>
      </c>
      <c r="E63" s="39">
        <f>D63*C63</f>
        <v>666</v>
      </c>
      <c r="F63" s="60"/>
      <c r="G63" s="1"/>
      <c r="H63" s="171"/>
      <c r="I63" s="171"/>
      <c r="M63" s="104" t="s">
        <v>1957</v>
      </c>
      <c r="N63" s="98" t="s">
        <v>2154</v>
      </c>
      <c r="O63" s="98"/>
      <c r="P63" s="2">
        <v>1</v>
      </c>
      <c r="Q63" s="66">
        <f>PERLAS!O16</f>
        <v>1235.8620689655172</v>
      </c>
      <c r="R63" s="39">
        <f t="shared" ref="R63:R69" si="0">Q63*P63</f>
        <v>1235.8620689655172</v>
      </c>
      <c r="S63" s="1"/>
      <c r="T63" s="171"/>
    </row>
    <row r="64" spans="1:20" x14ac:dyDescent="0.25">
      <c r="A64" s="104" t="s">
        <v>1555</v>
      </c>
      <c r="B64" s="98" t="s">
        <v>1573</v>
      </c>
      <c r="C64" s="2">
        <v>1</v>
      </c>
      <c r="D64" s="66">
        <f>FORNITURAS!D7</f>
        <v>52</v>
      </c>
      <c r="E64" s="39">
        <f>D64*C64</f>
        <v>52</v>
      </c>
      <c r="F64" s="60"/>
      <c r="G64" s="1"/>
      <c r="H64" s="171"/>
      <c r="I64" s="171"/>
      <c r="M64" s="191" t="s">
        <v>1743</v>
      </c>
      <c r="N64" s="98" t="s">
        <v>1887</v>
      </c>
      <c r="O64" s="98"/>
      <c r="P64" s="2">
        <v>1</v>
      </c>
      <c r="Q64" s="66">
        <f>FORNITURAS!D14</f>
        <v>98.8</v>
      </c>
      <c r="R64" s="39">
        <f t="shared" si="0"/>
        <v>98.8</v>
      </c>
      <c r="S64" s="1"/>
      <c r="T64" s="171"/>
    </row>
    <row r="65" spans="1:20" x14ac:dyDescent="0.25">
      <c r="A65" s="104" t="s">
        <v>1557</v>
      </c>
      <c r="B65" s="98" t="s">
        <v>1535</v>
      </c>
      <c r="C65" s="2"/>
      <c r="D65" s="6"/>
      <c r="E65" s="39">
        <f>PACKAGING!E4</f>
        <v>80</v>
      </c>
      <c r="F65" s="60"/>
      <c r="G65" s="1"/>
      <c r="H65" s="171"/>
      <c r="I65" s="171"/>
      <c r="M65" s="191" t="s">
        <v>1958</v>
      </c>
      <c r="N65" s="98"/>
      <c r="O65" s="98"/>
      <c r="P65" s="2">
        <v>1</v>
      </c>
      <c r="Q65" s="66">
        <f>'INSUMOS VARIOS'!B7</f>
        <v>5</v>
      </c>
      <c r="R65" s="39">
        <f t="shared" si="0"/>
        <v>5</v>
      </c>
      <c r="S65" s="1"/>
      <c r="T65" s="171"/>
    </row>
    <row r="66" spans="1:20" x14ac:dyDescent="0.25">
      <c r="A66" s="3" t="s">
        <v>1537</v>
      </c>
      <c r="B66" s="98"/>
      <c r="C66" s="2"/>
      <c r="D66" s="6"/>
      <c r="E66" s="39">
        <f>PACKAGING!E7</f>
        <v>170</v>
      </c>
      <c r="F66" s="60"/>
      <c r="G66" s="1"/>
      <c r="H66" s="171"/>
      <c r="I66" s="171"/>
      <c r="M66" s="191" t="s">
        <v>1587</v>
      </c>
      <c r="N66" s="98"/>
      <c r="O66" s="98"/>
      <c r="P66" s="2">
        <v>1</v>
      </c>
      <c r="Q66" s="66">
        <f>FORNITURAS!D18</f>
        <v>363</v>
      </c>
      <c r="R66" s="39">
        <f t="shared" si="0"/>
        <v>363</v>
      </c>
      <c r="S66" s="1"/>
      <c r="T66" s="171"/>
    </row>
    <row r="67" spans="1:20" x14ac:dyDescent="0.25">
      <c r="A67" s="3" t="s">
        <v>1538</v>
      </c>
      <c r="B67" s="98"/>
      <c r="C67" s="2"/>
      <c r="D67" s="6"/>
      <c r="E67" s="39">
        <f>PACKAGING!E8</f>
        <v>420</v>
      </c>
      <c r="F67" s="60"/>
      <c r="G67" s="1"/>
      <c r="H67" s="171"/>
      <c r="I67" s="171"/>
      <c r="M67" s="1701" t="s">
        <v>1555</v>
      </c>
      <c r="N67" s="98" t="s">
        <v>777</v>
      </c>
      <c r="O67" s="98"/>
      <c r="P67" s="2">
        <v>1</v>
      </c>
      <c r="Q67" s="66">
        <f>FORNITURAS!D3</f>
        <v>19.260000000000002</v>
      </c>
      <c r="R67" s="39">
        <f t="shared" si="0"/>
        <v>19.260000000000002</v>
      </c>
      <c r="S67" s="1"/>
      <c r="T67" s="171"/>
    </row>
    <row r="68" spans="1:20" ht="16.5" thickBot="1" x14ac:dyDescent="0.3">
      <c r="A68" s="79" t="s">
        <v>525</v>
      </c>
      <c r="B68" s="99"/>
      <c r="C68" s="70"/>
      <c r="D68" s="85"/>
      <c r="E68" s="51">
        <f>SUM(E63:E67)</f>
        <v>1388</v>
      </c>
      <c r="F68" s="60"/>
      <c r="G68" s="1"/>
      <c r="H68" s="171"/>
      <c r="I68" s="171"/>
      <c r="M68" s="1711"/>
      <c r="N68" s="98" t="s">
        <v>1022</v>
      </c>
      <c r="O68" s="98"/>
      <c r="P68" s="2">
        <v>1</v>
      </c>
      <c r="Q68" s="66">
        <f>FORNITURAS!D7</f>
        <v>52</v>
      </c>
      <c r="R68" s="39">
        <f t="shared" si="0"/>
        <v>52</v>
      </c>
      <c r="S68" s="1"/>
      <c r="T68" s="171"/>
    </row>
    <row r="69" spans="1:20" ht="18.75" x14ac:dyDescent="0.25">
      <c r="A69" s="80" t="s">
        <v>544</v>
      </c>
      <c r="B69" s="100"/>
      <c r="C69" s="71"/>
      <c r="D69" s="71"/>
      <c r="E69" s="72">
        <f>E68*2</f>
        <v>2776</v>
      </c>
      <c r="F69" s="512">
        <f>E69+E69*25%</f>
        <v>3470</v>
      </c>
      <c r="G69" s="75">
        <v>9000</v>
      </c>
      <c r="H69" s="171"/>
      <c r="I69" s="171"/>
      <c r="M69" s="1702"/>
      <c r="N69" s="98" t="s">
        <v>2135</v>
      </c>
      <c r="O69" s="98"/>
      <c r="P69" s="2">
        <v>1</v>
      </c>
      <c r="Q69" s="66">
        <f>FORNITURAS!D10</f>
        <v>32.628571428571426</v>
      </c>
      <c r="R69" s="39">
        <f t="shared" si="0"/>
        <v>32.628571428571426</v>
      </c>
      <c r="S69" s="1"/>
      <c r="T69" s="171"/>
    </row>
    <row r="70" spans="1:20" ht="19.5" thickBot="1" x14ac:dyDescent="0.3">
      <c r="A70" s="81" t="s">
        <v>1559</v>
      </c>
      <c r="B70" s="101"/>
      <c r="C70" s="73"/>
      <c r="D70" s="73"/>
      <c r="E70" s="73"/>
      <c r="F70" s="522"/>
      <c r="G70" s="74">
        <f>G69*2</f>
        <v>18000</v>
      </c>
      <c r="H70" s="171"/>
      <c r="I70" s="171"/>
      <c r="M70" s="191" t="s">
        <v>1746</v>
      </c>
      <c r="N70" s="98"/>
      <c r="O70" s="98"/>
      <c r="P70" s="2"/>
      <c r="Q70" s="66"/>
      <c r="R70" s="39">
        <v>5</v>
      </c>
      <c r="S70" s="1"/>
      <c r="T70" s="171"/>
    </row>
    <row r="71" spans="1:20" ht="18.75" x14ac:dyDescent="0.25">
      <c r="A71" s="1"/>
      <c r="B71" s="1"/>
      <c r="C71" s="1"/>
      <c r="D71" s="1"/>
      <c r="E71" s="1"/>
      <c r="F71" s="1"/>
      <c r="G71" s="96"/>
      <c r="H71" s="171"/>
      <c r="I71" s="171"/>
      <c r="M71" s="189" t="s">
        <v>1557</v>
      </c>
      <c r="N71" s="98" t="s">
        <v>1535</v>
      </c>
      <c r="O71" s="98"/>
      <c r="P71" s="2"/>
      <c r="Q71" s="6"/>
      <c r="R71" s="39">
        <f>PACKAGING!E4</f>
        <v>80</v>
      </c>
      <c r="S71" s="171"/>
      <c r="T71" s="171"/>
    </row>
    <row r="72" spans="1:20" x14ac:dyDescent="0.25">
      <c r="A72" s="1602" t="s">
        <v>285</v>
      </c>
      <c r="B72" s="1600"/>
      <c r="C72" s="1600"/>
      <c r="D72" s="1600"/>
      <c r="E72" s="1600"/>
      <c r="F72" s="162"/>
      <c r="G72" s="162"/>
      <c r="H72" s="1"/>
      <c r="I72" s="1"/>
      <c r="M72" s="3" t="s">
        <v>1537</v>
      </c>
      <c r="N72" s="98"/>
      <c r="O72" s="98"/>
      <c r="P72" s="2"/>
      <c r="Q72" s="6"/>
      <c r="R72" s="39">
        <f>PACKAGING!E7</f>
        <v>170</v>
      </c>
      <c r="S72" s="1"/>
      <c r="T72" s="171"/>
    </row>
    <row r="73" spans="1:20" x14ac:dyDescent="0.25">
      <c r="A73" s="183" t="s">
        <v>916</v>
      </c>
      <c r="B73" s="97" t="s">
        <v>743</v>
      </c>
      <c r="C73" s="76" t="s">
        <v>1948</v>
      </c>
      <c r="D73" s="108" t="s">
        <v>747</v>
      </c>
      <c r="E73" s="77" t="s">
        <v>1549</v>
      </c>
      <c r="F73" s="1"/>
      <c r="G73" s="1"/>
      <c r="H73" s="1"/>
      <c r="I73" s="1"/>
      <c r="M73" s="3" t="s">
        <v>1538</v>
      </c>
      <c r="N73" s="98"/>
      <c r="O73" s="98"/>
      <c r="P73" s="2"/>
      <c r="Q73" s="6"/>
      <c r="R73" s="39">
        <f>PACKAGING!E8</f>
        <v>420</v>
      </c>
      <c r="S73" s="1"/>
      <c r="T73" s="171"/>
    </row>
    <row r="74" spans="1:20" x14ac:dyDescent="0.25">
      <c r="A74" s="3" t="s">
        <v>1959</v>
      </c>
      <c r="B74" s="98">
        <v>1</v>
      </c>
      <c r="C74" s="2">
        <v>0.42</v>
      </c>
      <c r="D74" s="66">
        <f>'AROS, CADENAS, DIJES, ETC'!K66</f>
        <v>0</v>
      </c>
      <c r="E74" s="39">
        <f>D74*C74/B74</f>
        <v>0</v>
      </c>
      <c r="F74" s="1"/>
      <c r="G74" s="1"/>
      <c r="H74" s="1"/>
      <c r="I74" s="1"/>
      <c r="M74" s="3" t="s">
        <v>1558</v>
      </c>
      <c r="N74" s="98">
        <v>60</v>
      </c>
      <c r="O74" s="98"/>
      <c r="P74" s="2">
        <v>15</v>
      </c>
      <c r="Q74" s="66">
        <f>'INSUMOS VARIOS'!B3</f>
        <v>3500</v>
      </c>
      <c r="R74" s="39">
        <f>Q74*P74/N74</f>
        <v>875</v>
      </c>
      <c r="S74" s="1"/>
      <c r="T74" s="171"/>
    </row>
    <row r="75" spans="1:20" ht="16.5" thickBot="1" x14ac:dyDescent="0.3">
      <c r="A75" s="3" t="s">
        <v>1960</v>
      </c>
      <c r="B75" s="98"/>
      <c r="C75" s="2">
        <v>1</v>
      </c>
      <c r="D75" s="66">
        <f>FORNITURAS!N7</f>
        <v>3000</v>
      </c>
      <c r="E75" s="39">
        <f>D75*C75</f>
        <v>3000</v>
      </c>
      <c r="F75" s="1"/>
      <c r="G75" s="1"/>
      <c r="H75" s="1"/>
      <c r="I75" s="1"/>
      <c r="M75" s="79" t="s">
        <v>525</v>
      </c>
      <c r="N75" s="99"/>
      <c r="O75" s="99"/>
      <c r="P75" s="70"/>
      <c r="Q75" s="85"/>
      <c r="R75" s="51">
        <f>SUM(R62:R74)</f>
        <v>4856.550640394089</v>
      </c>
      <c r="S75" s="1"/>
      <c r="T75" s="171"/>
    </row>
    <row r="76" spans="1:20" x14ac:dyDescent="0.25">
      <c r="A76" s="104" t="s">
        <v>1555</v>
      </c>
      <c r="B76" s="98" t="s">
        <v>1933</v>
      </c>
      <c r="C76" s="2">
        <v>2</v>
      </c>
      <c r="D76" s="66">
        <f>FORNITURAS!D5</f>
        <v>46.8</v>
      </c>
      <c r="E76" s="39">
        <f>D76*C76</f>
        <v>93.6</v>
      </c>
      <c r="F76" s="1"/>
      <c r="G76" s="1"/>
      <c r="H76" s="1"/>
      <c r="I76" s="1"/>
      <c r="M76" s="80" t="s">
        <v>544</v>
      </c>
      <c r="N76" s="100"/>
      <c r="O76" s="100"/>
      <c r="P76" s="71"/>
      <c r="Q76" s="71"/>
      <c r="R76" s="267">
        <f>R75*2</f>
        <v>9713.101280788178</v>
      </c>
      <c r="S76" s="606">
        <f>R76+R76*70%</f>
        <v>16512.272177339903</v>
      </c>
      <c r="T76" s="268">
        <v>18000</v>
      </c>
    </row>
    <row r="77" spans="1:20" ht="16.5" thickBot="1" x14ac:dyDescent="0.3">
      <c r="A77" s="191" t="s">
        <v>1557</v>
      </c>
      <c r="B77" s="98"/>
      <c r="C77" s="2"/>
      <c r="D77" s="6"/>
      <c r="E77" s="39">
        <f>PACKAGING!E4</f>
        <v>80</v>
      </c>
      <c r="F77" s="162"/>
      <c r="G77" s="162"/>
      <c r="H77" s="1"/>
      <c r="I77" s="1"/>
      <c r="M77" s="81" t="s">
        <v>1559</v>
      </c>
      <c r="N77" s="101"/>
      <c r="O77" s="101"/>
      <c r="P77" s="73"/>
      <c r="Q77" s="73"/>
      <c r="R77" s="280"/>
      <c r="S77" s="607"/>
      <c r="T77" s="526"/>
    </row>
    <row r="78" spans="1:20" x14ac:dyDescent="0.25">
      <c r="A78" s="3" t="s">
        <v>1538</v>
      </c>
      <c r="B78" s="98"/>
      <c r="C78" s="2"/>
      <c r="D78" s="6"/>
      <c r="E78" s="39">
        <f>PACKAGING!E9</f>
        <v>450</v>
      </c>
      <c r="F78" s="1"/>
      <c r="G78" s="1"/>
      <c r="H78" s="1"/>
      <c r="I78" s="1"/>
    </row>
    <row r="79" spans="1:20" ht="16.5" thickBot="1" x14ac:dyDescent="0.3">
      <c r="A79" s="3" t="s">
        <v>1618</v>
      </c>
      <c r="B79" s="98">
        <v>60</v>
      </c>
      <c r="C79" s="2">
        <v>10</v>
      </c>
      <c r="D79" s="66">
        <f>'INSUMOS VARIOS'!B3</f>
        <v>3500</v>
      </c>
      <c r="E79" s="39">
        <f>D79*C79/B79</f>
        <v>583.33333333333337</v>
      </c>
      <c r="F79" s="1" t="s">
        <v>3023</v>
      </c>
      <c r="G79" s="1"/>
      <c r="H79" s="1"/>
      <c r="I79" s="1"/>
      <c r="M79" s="1602" t="s">
        <v>141</v>
      </c>
      <c r="N79" s="1600"/>
      <c r="O79" s="1600"/>
      <c r="P79" s="1600"/>
      <c r="Q79" s="1600"/>
      <c r="R79" s="1600"/>
      <c r="S79" s="171"/>
      <c r="T79" s="171"/>
    </row>
    <row r="80" spans="1:20" ht="16.5" thickBot="1" x14ac:dyDescent="0.3">
      <c r="A80" s="79" t="s">
        <v>525</v>
      </c>
      <c r="B80" s="99"/>
      <c r="C80" s="70"/>
      <c r="D80" s="85"/>
      <c r="E80" s="51">
        <f>SUM(E74:E79)</f>
        <v>4206.9333333333334</v>
      </c>
      <c r="F80" s="60">
        <f>E80+G81+G82</f>
        <v>7484.9333333333334</v>
      </c>
      <c r="G80" s="1"/>
      <c r="H80" s="1"/>
      <c r="I80" s="1"/>
      <c r="M80" s="78" t="s">
        <v>916</v>
      </c>
      <c r="N80" s="385" t="s">
        <v>743</v>
      </c>
      <c r="O80" s="385"/>
      <c r="P80" s="82" t="s">
        <v>1547</v>
      </c>
      <c r="Q80" s="84" t="s">
        <v>747</v>
      </c>
      <c r="R80" s="83" t="s">
        <v>1549</v>
      </c>
      <c r="S80" s="1"/>
      <c r="T80" s="1"/>
    </row>
    <row r="81" spans="1:20" x14ac:dyDescent="0.25">
      <c r="A81" s="80" t="s">
        <v>544</v>
      </c>
      <c r="B81" s="100"/>
      <c r="C81" s="71"/>
      <c r="D81" s="71"/>
      <c r="E81" s="72">
        <f>E80*2</f>
        <v>8413.8666666666668</v>
      </c>
      <c r="F81" s="512">
        <f>E81+E81*70%</f>
        <v>14303.573333333334</v>
      </c>
      <c r="G81" s="680">
        <f>PACKAGING!I3</f>
        <v>2433</v>
      </c>
      <c r="H81" s="681">
        <f>G81+F81+G82</f>
        <v>17581.573333333334</v>
      </c>
      <c r="I81" s="682">
        <v>46000</v>
      </c>
      <c r="M81" s="3" t="s">
        <v>1047</v>
      </c>
      <c r="N81" s="98" t="s">
        <v>959</v>
      </c>
      <c r="O81" s="98"/>
      <c r="P81" s="2">
        <v>1</v>
      </c>
      <c r="Q81" s="66">
        <f>'AROS, CADENAS, DIJES, ETC'!I52</f>
        <v>253</v>
      </c>
      <c r="R81" s="39">
        <f>Q81*P81</f>
        <v>253</v>
      </c>
      <c r="S81" s="1"/>
      <c r="T81" s="1"/>
    </row>
    <row r="82" spans="1:20" ht="16.5" thickBot="1" x14ac:dyDescent="0.3">
      <c r="A82" s="81" t="s">
        <v>1559</v>
      </c>
      <c r="B82" s="101"/>
      <c r="C82" s="73"/>
      <c r="D82" s="73"/>
      <c r="E82" s="73"/>
      <c r="F82" s="522"/>
      <c r="G82" s="709">
        <f>PACKAGING!I5</f>
        <v>845</v>
      </c>
      <c r="H82" s="690"/>
      <c r="I82" s="691"/>
      <c r="J82" t="s">
        <v>3687</v>
      </c>
      <c r="M82" s="3" t="s">
        <v>1931</v>
      </c>
      <c r="N82" s="98"/>
      <c r="O82" s="98"/>
      <c r="P82" s="2">
        <v>1</v>
      </c>
      <c r="Q82" s="66">
        <f>'AROS, CADENAS, DIJES, ETC'!O49</f>
        <v>130</v>
      </c>
      <c r="R82" s="39">
        <f>Q82*P82</f>
        <v>130</v>
      </c>
      <c r="S82" s="1"/>
      <c r="T82" s="1"/>
    </row>
    <row r="83" spans="1:20" ht="18.75" x14ac:dyDescent="0.25">
      <c r="A83" s="1"/>
      <c r="B83" s="1"/>
      <c r="C83" s="1"/>
      <c r="D83" s="1"/>
      <c r="E83" s="1"/>
      <c r="F83" s="1"/>
      <c r="G83" s="96"/>
      <c r="H83" s="171"/>
      <c r="I83" s="171"/>
      <c r="M83" s="104" t="s">
        <v>1587</v>
      </c>
      <c r="N83" s="98"/>
      <c r="O83" s="98"/>
      <c r="P83" s="2">
        <v>1</v>
      </c>
      <c r="Q83" s="66">
        <f>FORNITURAS!D18</f>
        <v>363</v>
      </c>
      <c r="R83" s="39">
        <f>Q83*P83</f>
        <v>363</v>
      </c>
      <c r="S83" s="1"/>
      <c r="T83" s="1"/>
    </row>
    <row r="84" spans="1:20" x14ac:dyDescent="0.25">
      <c r="A84" s="1602" t="s">
        <v>2251</v>
      </c>
      <c r="B84" s="1600"/>
      <c r="C84" s="1600"/>
      <c r="D84" s="1600"/>
      <c r="E84" s="1600"/>
      <c r="F84" s="171"/>
      <c r="G84" s="171"/>
      <c r="I84" s="171"/>
      <c r="M84" s="191" t="s">
        <v>1555</v>
      </c>
      <c r="N84" s="98" t="s">
        <v>1573</v>
      </c>
      <c r="O84" s="98"/>
      <c r="P84" s="2">
        <v>1</v>
      </c>
      <c r="Q84" s="66">
        <f>FORNITURAS!D7</f>
        <v>52</v>
      </c>
      <c r="R84" s="39">
        <f>Q84*P84</f>
        <v>52</v>
      </c>
      <c r="S84" s="1"/>
      <c r="T84" s="1"/>
    </row>
    <row r="85" spans="1:20" x14ac:dyDescent="0.25">
      <c r="A85" s="183" t="s">
        <v>916</v>
      </c>
      <c r="B85" s="97" t="s">
        <v>743</v>
      </c>
      <c r="C85" s="76" t="s">
        <v>1547</v>
      </c>
      <c r="D85" s="108" t="s">
        <v>747</v>
      </c>
      <c r="E85" s="77" t="s">
        <v>1549</v>
      </c>
      <c r="F85" s="1"/>
      <c r="G85" s="1"/>
      <c r="I85" s="171"/>
      <c r="M85" s="189" t="s">
        <v>1557</v>
      </c>
      <c r="N85" s="98" t="s">
        <v>1535</v>
      </c>
      <c r="O85" s="98"/>
      <c r="P85" s="2"/>
      <c r="Q85" s="6"/>
      <c r="R85" s="39">
        <f>PACKAGING!E4</f>
        <v>80</v>
      </c>
      <c r="S85" s="1"/>
      <c r="T85" s="171"/>
    </row>
    <row r="86" spans="1:20" x14ac:dyDescent="0.25">
      <c r="A86" s="3" t="s">
        <v>1632</v>
      </c>
      <c r="B86" s="98" t="s">
        <v>946</v>
      </c>
      <c r="C86" s="2">
        <v>1</v>
      </c>
      <c r="D86" s="66">
        <f>'AROS, CADENAS, DIJES, ETC'!I23</f>
        <v>1100</v>
      </c>
      <c r="E86" s="39">
        <f>D86*C86</f>
        <v>1100</v>
      </c>
      <c r="F86" s="1"/>
      <c r="G86" s="1"/>
      <c r="I86" s="171"/>
      <c r="M86" s="3" t="s">
        <v>1537</v>
      </c>
      <c r="N86" s="98"/>
      <c r="O86" s="98"/>
      <c r="P86" s="2"/>
      <c r="Q86" s="6"/>
      <c r="R86" s="39">
        <f>PACKAGING!E7</f>
        <v>170</v>
      </c>
      <c r="S86" s="1"/>
      <c r="T86" s="1"/>
    </row>
    <row r="87" spans="1:20" x14ac:dyDescent="0.25">
      <c r="A87" s="191" t="s">
        <v>1555</v>
      </c>
      <c r="B87" s="98" t="s">
        <v>1573</v>
      </c>
      <c r="C87" s="2">
        <v>1</v>
      </c>
      <c r="D87" s="66">
        <f>FORNITURAS!D7</f>
        <v>52</v>
      </c>
      <c r="E87" s="39">
        <f>D87*C87</f>
        <v>52</v>
      </c>
      <c r="F87" s="1"/>
      <c r="G87" s="1"/>
      <c r="I87" s="171"/>
      <c r="M87" s="3" t="s">
        <v>1538</v>
      </c>
      <c r="N87" s="98"/>
      <c r="O87" s="98"/>
      <c r="P87" s="2"/>
      <c r="Q87" s="6"/>
      <c r="R87" s="39">
        <f>PACKAGING!E8</f>
        <v>420</v>
      </c>
      <c r="S87" s="1"/>
      <c r="T87" s="1"/>
    </row>
    <row r="88" spans="1:20" x14ac:dyDescent="0.25">
      <c r="A88" s="20" t="s">
        <v>1557</v>
      </c>
      <c r="B88" s="98" t="s">
        <v>1535</v>
      </c>
      <c r="C88" s="2"/>
      <c r="D88" s="6"/>
      <c r="E88" s="39">
        <f>PACKAGING!E3</f>
        <v>150</v>
      </c>
      <c r="F88" s="1"/>
      <c r="G88" s="171"/>
      <c r="I88" s="171"/>
      <c r="M88" s="3" t="s">
        <v>1618</v>
      </c>
      <c r="N88" s="98">
        <v>60</v>
      </c>
      <c r="O88" s="98"/>
      <c r="P88" s="2">
        <v>5</v>
      </c>
      <c r="Q88" s="66">
        <f>'INSUMOS VARIOS'!B3</f>
        <v>3500</v>
      </c>
      <c r="R88" s="39">
        <f>Q88*P88/N88</f>
        <v>291.66666666666669</v>
      </c>
      <c r="S88" s="171"/>
      <c r="T88" s="1"/>
    </row>
    <row r="89" spans="1:20" ht="16.5" thickBot="1" x14ac:dyDescent="0.3">
      <c r="A89" s="3" t="s">
        <v>1537</v>
      </c>
      <c r="B89" s="98"/>
      <c r="C89" s="2"/>
      <c r="D89" s="6"/>
      <c r="E89" s="39">
        <f>PACKAGING!E7</f>
        <v>170</v>
      </c>
      <c r="F89" s="1"/>
      <c r="G89" s="1"/>
      <c r="I89" s="171"/>
      <c r="M89" s="79" t="s">
        <v>525</v>
      </c>
      <c r="N89" s="99"/>
      <c r="O89" s="99"/>
      <c r="P89" s="70"/>
      <c r="Q89" s="85"/>
      <c r="R89" s="51">
        <f>SUM(R81:R88)</f>
        <v>1759.6666666666667</v>
      </c>
      <c r="S89" s="171"/>
      <c r="T89" s="1"/>
    </row>
    <row r="90" spans="1:20" x14ac:dyDescent="0.25">
      <c r="A90" s="3" t="s">
        <v>1538</v>
      </c>
      <c r="B90" s="98"/>
      <c r="C90" s="2"/>
      <c r="D90" s="6"/>
      <c r="E90" s="39">
        <f>PACKAGING!E8</f>
        <v>420</v>
      </c>
      <c r="F90" s="1"/>
      <c r="G90" s="1"/>
      <c r="I90" s="171"/>
      <c r="M90" s="80" t="s">
        <v>544</v>
      </c>
      <c r="N90" s="100"/>
      <c r="O90" s="100"/>
      <c r="P90" s="71"/>
      <c r="Q90" s="71"/>
      <c r="R90" s="72">
        <f>R89*2</f>
        <v>3519.3333333333335</v>
      </c>
      <c r="S90" s="606">
        <f>R90+R90*50%</f>
        <v>5279</v>
      </c>
      <c r="T90" s="203">
        <v>5100</v>
      </c>
    </row>
    <row r="91" spans="1:20" ht="16.5" thickBot="1" x14ac:dyDescent="0.3">
      <c r="A91" s="79" t="s">
        <v>525</v>
      </c>
      <c r="B91" s="99"/>
      <c r="C91" s="70"/>
      <c r="D91" s="85"/>
      <c r="E91" s="51">
        <f>SUM(E86:E90)</f>
        <v>1892</v>
      </c>
      <c r="F91" s="1"/>
      <c r="G91" s="1"/>
      <c r="I91" s="171"/>
      <c r="M91" s="81" t="s">
        <v>1559</v>
      </c>
      <c r="N91" s="101"/>
      <c r="O91" s="101"/>
      <c r="P91" s="73"/>
      <c r="Q91" s="73"/>
      <c r="R91" s="73"/>
      <c r="S91" s="607"/>
      <c r="T91" s="204">
        <f>T90*2</f>
        <v>10200</v>
      </c>
    </row>
    <row r="92" spans="1:20" ht="16.5" thickBot="1" x14ac:dyDescent="0.3">
      <c r="A92" s="80" t="s">
        <v>544</v>
      </c>
      <c r="B92" s="100"/>
      <c r="C92" s="71"/>
      <c r="D92" s="71"/>
      <c r="E92" s="72">
        <f>E91*2</f>
        <v>3784</v>
      </c>
      <c r="F92" s="512">
        <f>E92+E92*40%</f>
        <v>5297.6</v>
      </c>
      <c r="G92" s="203">
        <v>6000</v>
      </c>
      <c r="I92" s="171"/>
    </row>
    <row r="93" spans="1:20" ht="16.5" thickBot="1" x14ac:dyDescent="0.3">
      <c r="A93" s="81" t="s">
        <v>1559</v>
      </c>
      <c r="B93" s="101"/>
      <c r="C93" s="73"/>
      <c r="D93" s="73"/>
      <c r="E93" s="73"/>
      <c r="F93" s="522"/>
      <c r="G93" s="204">
        <f>G92*2</f>
        <v>12000</v>
      </c>
      <c r="I93" s="171"/>
      <c r="M93" s="1568" t="s">
        <v>304</v>
      </c>
      <c r="N93" s="1569"/>
      <c r="O93" s="1569"/>
      <c r="P93" s="1569"/>
      <c r="Q93" s="1569"/>
      <c r="R93" s="1570"/>
      <c r="S93" s="171"/>
      <c r="T93" s="171"/>
    </row>
    <row r="94" spans="1:20" x14ac:dyDescent="0.25">
      <c r="I94" s="171"/>
      <c r="M94" s="183" t="s">
        <v>916</v>
      </c>
      <c r="N94" s="97" t="s">
        <v>743</v>
      </c>
      <c r="O94" s="97"/>
      <c r="P94" s="76" t="s">
        <v>1547</v>
      </c>
      <c r="Q94" s="108" t="s">
        <v>747</v>
      </c>
      <c r="R94" s="77" t="s">
        <v>1549</v>
      </c>
      <c r="S94" s="1"/>
      <c r="T94" s="171"/>
    </row>
    <row r="95" spans="1:20" x14ac:dyDescent="0.25">
      <c r="A95" s="1602" t="s">
        <v>3155</v>
      </c>
      <c r="B95" s="1600"/>
      <c r="C95" s="1600"/>
      <c r="D95" s="1600"/>
      <c r="E95" s="1600"/>
      <c r="F95" s="162"/>
      <c r="G95" s="162"/>
      <c r="H95" s="1"/>
      <c r="I95" s="1"/>
      <c r="M95" s="3" t="s">
        <v>1732</v>
      </c>
      <c r="N95" s="98" t="s">
        <v>959</v>
      </c>
      <c r="O95" s="98"/>
      <c r="P95" s="2">
        <v>1</v>
      </c>
      <c r="Q95" s="66">
        <f>'AROS, CADENAS, DIJES, ETC'!I9</f>
        <v>435</v>
      </c>
      <c r="R95" s="39">
        <f>Q95*P95</f>
        <v>435</v>
      </c>
      <c r="S95" s="1"/>
      <c r="T95" s="171"/>
    </row>
    <row r="96" spans="1:20" x14ac:dyDescent="0.25">
      <c r="A96" s="183" t="s">
        <v>916</v>
      </c>
      <c r="B96" s="97" t="s">
        <v>743</v>
      </c>
      <c r="C96" s="76" t="s">
        <v>1948</v>
      </c>
      <c r="D96" s="108" t="s">
        <v>747</v>
      </c>
      <c r="E96" s="77" t="s">
        <v>1549</v>
      </c>
      <c r="F96" s="1"/>
      <c r="G96" s="1"/>
      <c r="H96" s="1"/>
      <c r="I96" s="1"/>
      <c r="M96" s="104" t="s">
        <v>1961</v>
      </c>
      <c r="N96" s="98"/>
      <c r="O96" s="98"/>
      <c r="P96" s="2">
        <v>1</v>
      </c>
      <c r="Q96" s="66">
        <v>900</v>
      </c>
      <c r="R96" s="39">
        <f>Q96*P96</f>
        <v>900</v>
      </c>
      <c r="S96" s="1"/>
      <c r="T96" s="171"/>
    </row>
    <row r="97" spans="1:20" x14ac:dyDescent="0.25">
      <c r="A97" s="3" t="s">
        <v>3107</v>
      </c>
      <c r="B97" s="98">
        <v>0.55000000000000004</v>
      </c>
      <c r="C97" s="2"/>
      <c r="D97" s="66">
        <f>'AROS, CADENAS, DIJES, ETC'!K63</f>
        <v>6442</v>
      </c>
      <c r="E97" s="39">
        <f>D97</f>
        <v>6442</v>
      </c>
      <c r="F97" s="1"/>
      <c r="G97" s="1"/>
      <c r="H97" s="1"/>
      <c r="I97" s="1"/>
      <c r="M97" s="191" t="s">
        <v>1555</v>
      </c>
      <c r="N97" s="98" t="s">
        <v>1573</v>
      </c>
      <c r="O97" s="98"/>
      <c r="P97" s="2">
        <v>1</v>
      </c>
      <c r="Q97" s="66">
        <f>FORNITURAS!D7</f>
        <v>52</v>
      </c>
      <c r="R97" s="39">
        <f>Q97*P97</f>
        <v>52</v>
      </c>
      <c r="S97" s="1"/>
      <c r="T97" s="171"/>
    </row>
    <row r="98" spans="1:20" x14ac:dyDescent="0.25">
      <c r="A98" s="104" t="s">
        <v>1555</v>
      </c>
      <c r="B98" s="98" t="s">
        <v>1658</v>
      </c>
      <c r="C98" s="2">
        <v>1</v>
      </c>
      <c r="D98" s="66">
        <f>FORNITURAS!D8</f>
        <v>192.77777777777777</v>
      </c>
      <c r="E98" s="39">
        <f>D98*C98</f>
        <v>192.77777777777777</v>
      </c>
      <c r="F98" s="1"/>
      <c r="G98" s="1"/>
      <c r="H98" s="1"/>
      <c r="I98" s="1"/>
      <c r="M98" s="189" t="s">
        <v>1557</v>
      </c>
      <c r="N98" s="98" t="s">
        <v>1535</v>
      </c>
      <c r="O98" s="98"/>
      <c r="P98" s="2"/>
      <c r="Q98" s="6"/>
      <c r="R98" s="39">
        <f>PACKAGING!E4</f>
        <v>80</v>
      </c>
      <c r="S98" s="171"/>
      <c r="T98" s="171"/>
    </row>
    <row r="99" spans="1:20" x14ac:dyDescent="0.25">
      <c r="A99" s="104" t="s">
        <v>1537</v>
      </c>
      <c r="B99" s="98"/>
      <c r="C99" s="2"/>
      <c r="D99" s="66"/>
      <c r="E99" s="39">
        <f>PACKAGING!E7</f>
        <v>170</v>
      </c>
      <c r="F99" s="1"/>
      <c r="G99" s="1"/>
      <c r="H99" s="1"/>
      <c r="I99" s="1"/>
      <c r="M99" s="3" t="s">
        <v>1537</v>
      </c>
      <c r="N99" s="98"/>
      <c r="O99" s="98"/>
      <c r="P99" s="2"/>
      <c r="Q99" s="6"/>
      <c r="R99" s="39">
        <f>PACKAGING!E7</f>
        <v>170</v>
      </c>
      <c r="S99" s="1"/>
      <c r="T99" s="171"/>
    </row>
    <row r="100" spans="1:20" x14ac:dyDescent="0.25">
      <c r="A100" s="191" t="s">
        <v>1557</v>
      </c>
      <c r="B100" s="98"/>
      <c r="C100" s="2"/>
      <c r="D100" s="6"/>
      <c r="E100" s="39">
        <f>PACKAGING!E4</f>
        <v>80</v>
      </c>
      <c r="F100" s="162"/>
      <c r="G100" s="162"/>
      <c r="H100" s="1"/>
      <c r="I100" s="1"/>
      <c r="M100" s="3" t="s">
        <v>1538</v>
      </c>
      <c r="N100" s="98"/>
      <c r="O100" s="98"/>
      <c r="P100" s="2"/>
      <c r="Q100" s="6"/>
      <c r="R100" s="39">
        <f>PACKAGING!E8</f>
        <v>420</v>
      </c>
      <c r="S100" s="1"/>
      <c r="T100" s="171"/>
    </row>
    <row r="101" spans="1:20" ht="16.5" thickBot="1" x14ac:dyDescent="0.3">
      <c r="A101" s="3" t="s">
        <v>1538</v>
      </c>
      <c r="B101" s="98"/>
      <c r="C101" s="2"/>
      <c r="D101" s="6"/>
      <c r="E101" s="39">
        <f>PACKAGING!E8</f>
        <v>420</v>
      </c>
      <c r="F101" s="1" t="s">
        <v>3023</v>
      </c>
      <c r="G101" s="1"/>
      <c r="H101" s="1"/>
      <c r="I101" s="1"/>
      <c r="M101" s="79" t="s">
        <v>525</v>
      </c>
      <c r="N101" s="99"/>
      <c r="O101" s="99"/>
      <c r="P101" s="70"/>
      <c r="Q101" s="85"/>
      <c r="R101" s="51">
        <f>SUM(R95:R100)</f>
        <v>2057</v>
      </c>
      <c r="S101" s="1"/>
      <c r="T101" s="171"/>
    </row>
    <row r="102" spans="1:20" ht="16.5" thickBot="1" x14ac:dyDescent="0.3">
      <c r="A102" s="79" t="s">
        <v>525</v>
      </c>
      <c r="B102" s="99"/>
      <c r="C102" s="70"/>
      <c r="D102" s="85"/>
      <c r="E102" s="51">
        <f>SUM(E97:E101)</f>
        <v>7304.7777777777774</v>
      </c>
      <c r="F102" s="60">
        <f>E102+G103+G104</f>
        <v>10582.777777777777</v>
      </c>
      <c r="G102" s="1" t="s">
        <v>3108</v>
      </c>
      <c r="H102" s="1"/>
      <c r="I102" s="1"/>
      <c r="M102" s="211" t="s">
        <v>544</v>
      </c>
      <c r="N102" s="214"/>
      <c r="O102" s="214"/>
      <c r="P102" s="212"/>
      <c r="Q102" s="212"/>
      <c r="R102" s="213">
        <f>R101*2</f>
        <v>4114</v>
      </c>
      <c r="S102" s="490">
        <f>R102+R102*70%</f>
        <v>6993.7999999999993</v>
      </c>
      <c r="T102" s="527">
        <v>6200</v>
      </c>
    </row>
    <row r="103" spans="1:20" ht="16.5" thickBot="1" x14ac:dyDescent="0.3">
      <c r="A103" s="80" t="s">
        <v>544</v>
      </c>
      <c r="B103" s="100"/>
      <c r="C103" s="71"/>
      <c r="D103" s="71"/>
      <c r="E103" s="72">
        <f>E102*2</f>
        <v>14609.555555555555</v>
      </c>
      <c r="F103" s="512">
        <f>E103+E103*50%</f>
        <v>21914.333333333332</v>
      </c>
      <c r="G103" s="680">
        <f>PACKAGING!I3</f>
        <v>2433</v>
      </c>
      <c r="H103" s="681">
        <f>G103+F103+G104</f>
        <v>25192.333333333332</v>
      </c>
      <c r="I103" s="682">
        <v>12000</v>
      </c>
      <c r="M103" s="171"/>
      <c r="N103" s="171"/>
      <c r="O103" s="171"/>
      <c r="P103" s="171"/>
      <c r="Q103" s="171"/>
      <c r="R103" s="171"/>
      <c r="S103" s="171"/>
      <c r="T103" s="171"/>
    </row>
    <row r="104" spans="1:20" ht="16.5" thickBot="1" x14ac:dyDescent="0.3">
      <c r="A104" s="81" t="s">
        <v>1559</v>
      </c>
      <c r="B104" s="101"/>
      <c r="C104" s="73"/>
      <c r="D104" s="73"/>
      <c r="E104" s="73"/>
      <c r="F104" s="522"/>
      <c r="G104" s="709">
        <f>PACKAGING!I5</f>
        <v>845</v>
      </c>
      <c r="H104" s="690"/>
      <c r="I104" s="691">
        <f>I103*2</f>
        <v>24000</v>
      </c>
      <c r="M104" s="1585" t="s">
        <v>1962</v>
      </c>
      <c r="N104" s="1586"/>
      <c r="O104" s="1586"/>
      <c r="P104" s="1586"/>
      <c r="Q104" s="1586"/>
      <c r="R104" s="1587"/>
      <c r="S104" s="1"/>
      <c r="T104" s="1"/>
    </row>
    <row r="105" spans="1:20" x14ac:dyDescent="0.25">
      <c r="A105" s="1"/>
      <c r="B105" s="1"/>
      <c r="C105" s="1"/>
      <c r="D105" s="1"/>
      <c r="E105" s="1"/>
      <c r="F105" s="1"/>
      <c r="G105" s="1"/>
      <c r="H105" s="1"/>
      <c r="I105" s="1"/>
      <c r="M105" s="183" t="s">
        <v>916</v>
      </c>
      <c r="N105" s="97" t="s">
        <v>743</v>
      </c>
      <c r="O105" s="97"/>
      <c r="P105" s="76" t="s">
        <v>1547</v>
      </c>
      <c r="Q105" s="108" t="s">
        <v>747</v>
      </c>
      <c r="R105" s="77" t="s">
        <v>1549</v>
      </c>
      <c r="S105" s="1"/>
      <c r="T105" s="1"/>
    </row>
    <row r="106" spans="1:20" x14ac:dyDescent="0.25">
      <c r="A106" s="1602" t="s">
        <v>276</v>
      </c>
      <c r="B106" s="1600"/>
      <c r="C106" s="1600"/>
      <c r="D106" s="1600"/>
      <c r="E106" s="1600"/>
      <c r="F106" s="162"/>
      <c r="G106" s="162"/>
      <c r="I106" s="1"/>
      <c r="M106" s="3" t="s">
        <v>1963</v>
      </c>
      <c r="N106" s="98"/>
      <c r="O106" s="98"/>
      <c r="P106" s="2">
        <v>1</v>
      </c>
      <c r="Q106" s="66">
        <f>'AROS, CADENAS, DIJES, ETC'!I42</f>
        <v>2800</v>
      </c>
      <c r="R106" s="39">
        <f>Q106*P106</f>
        <v>2800</v>
      </c>
      <c r="S106" s="1"/>
      <c r="T106" s="1"/>
    </row>
    <row r="107" spans="1:20" x14ac:dyDescent="0.25">
      <c r="A107" s="183" t="s">
        <v>916</v>
      </c>
      <c r="B107" s="97" t="s">
        <v>743</v>
      </c>
      <c r="C107" s="76" t="s">
        <v>1948</v>
      </c>
      <c r="D107" s="108" t="s">
        <v>747</v>
      </c>
      <c r="E107" s="77" t="s">
        <v>1549</v>
      </c>
      <c r="F107" s="1"/>
      <c r="G107" s="1"/>
      <c r="I107" s="1"/>
      <c r="M107" s="3" t="s">
        <v>3616</v>
      </c>
      <c r="N107" s="98"/>
      <c r="O107" s="98"/>
      <c r="P107" s="2">
        <v>1</v>
      </c>
      <c r="Q107" s="66">
        <f>'PERLAS 2'!H9</f>
        <v>1601.6</v>
      </c>
      <c r="R107" s="39">
        <f>Q107*P107</f>
        <v>1601.6</v>
      </c>
      <c r="S107" s="1"/>
      <c r="T107" s="1"/>
    </row>
    <row r="108" spans="1:20" x14ac:dyDescent="0.25">
      <c r="A108" s="3" t="s">
        <v>3486</v>
      </c>
      <c r="B108" s="98">
        <v>0.6</v>
      </c>
      <c r="C108" s="2"/>
      <c r="D108" s="66">
        <f>'AROS, CADENAS, DIJES, ETC'!I32</f>
        <v>2000</v>
      </c>
      <c r="E108" s="39">
        <f>D108</f>
        <v>2000</v>
      </c>
      <c r="F108" s="1"/>
      <c r="G108" s="1"/>
      <c r="I108" s="1"/>
      <c r="M108" s="104" t="s">
        <v>2248</v>
      </c>
      <c r="N108" s="98"/>
      <c r="O108" s="98"/>
      <c r="P108" s="2">
        <v>1</v>
      </c>
      <c r="Q108" s="66">
        <f>'AROS, CADENAS, DIJES, ETC'!R180</f>
        <v>1500</v>
      </c>
      <c r="R108" s="39">
        <f>Q108*P108</f>
        <v>1500</v>
      </c>
      <c r="S108" s="1"/>
      <c r="T108" s="1"/>
    </row>
    <row r="109" spans="1:20" x14ac:dyDescent="0.25">
      <c r="A109" s="1613" t="s">
        <v>1555</v>
      </c>
      <c r="B109" s="98" t="s">
        <v>1658</v>
      </c>
      <c r="C109" s="2">
        <v>1</v>
      </c>
      <c r="D109" s="66">
        <f>FORNITURAS!D8</f>
        <v>192.77777777777777</v>
      </c>
      <c r="E109" s="39">
        <f>D109*C109</f>
        <v>192.77777777777777</v>
      </c>
      <c r="F109" s="1"/>
      <c r="G109" s="1"/>
      <c r="I109" s="1"/>
      <c r="M109" s="189" t="s">
        <v>1555</v>
      </c>
      <c r="N109" s="98" t="s">
        <v>1573</v>
      </c>
      <c r="O109" s="98"/>
      <c r="P109" s="2">
        <v>5</v>
      </c>
      <c r="Q109" s="66">
        <f>FORNITURAS!D7</f>
        <v>52</v>
      </c>
      <c r="R109" s="39">
        <f>Q109*P109</f>
        <v>260</v>
      </c>
      <c r="S109" s="1"/>
      <c r="T109" s="1"/>
    </row>
    <row r="110" spans="1:20" x14ac:dyDescent="0.25">
      <c r="A110" s="1615"/>
      <c r="B110" s="98" t="s">
        <v>1933</v>
      </c>
      <c r="C110" s="2">
        <v>2</v>
      </c>
      <c r="D110" s="66">
        <f>FORNITURAS!D5</f>
        <v>46.8</v>
      </c>
      <c r="E110" s="39">
        <f>D110*C110</f>
        <v>93.6</v>
      </c>
      <c r="F110" s="1"/>
      <c r="G110" s="1"/>
      <c r="I110" s="1"/>
      <c r="M110" s="104" t="s">
        <v>1587</v>
      </c>
      <c r="N110" s="98"/>
      <c r="O110" s="98"/>
      <c r="P110" s="2">
        <v>1</v>
      </c>
      <c r="Q110" s="66">
        <f>FORNITURAS!D18</f>
        <v>363</v>
      </c>
      <c r="R110" s="39">
        <f>Q110*P110</f>
        <v>363</v>
      </c>
      <c r="S110" s="1"/>
      <c r="T110" s="1"/>
    </row>
    <row r="111" spans="1:20" x14ac:dyDescent="0.25">
      <c r="A111" s="104" t="s">
        <v>1587</v>
      </c>
      <c r="B111" s="98"/>
      <c r="C111" s="2">
        <v>1</v>
      </c>
      <c r="D111" s="66">
        <f>FORNITURAS!D18</f>
        <v>363</v>
      </c>
      <c r="E111" s="39">
        <f>D111*C111</f>
        <v>363</v>
      </c>
      <c r="F111" s="1"/>
      <c r="G111" s="1"/>
      <c r="I111" s="1"/>
      <c r="M111" s="189" t="s">
        <v>1588</v>
      </c>
      <c r="N111" s="98" t="s">
        <v>1535</v>
      </c>
      <c r="O111" s="98"/>
      <c r="P111" s="2"/>
      <c r="Q111" s="6"/>
      <c r="R111" s="39">
        <f>PACKAGING!E4</f>
        <v>80</v>
      </c>
      <c r="S111" s="171"/>
      <c r="T111" s="171"/>
    </row>
    <row r="112" spans="1:20" x14ac:dyDescent="0.25">
      <c r="A112" s="104" t="s">
        <v>1537</v>
      </c>
      <c r="B112" s="98"/>
      <c r="C112" s="2"/>
      <c r="D112" s="66"/>
      <c r="E112" s="39">
        <f>PACKAGING!E7</f>
        <v>170</v>
      </c>
      <c r="F112" s="1"/>
      <c r="G112" s="1"/>
      <c r="I112" s="1"/>
      <c r="M112" s="3" t="s">
        <v>1537</v>
      </c>
      <c r="N112" s="98"/>
      <c r="O112" s="98"/>
      <c r="P112" s="2"/>
      <c r="Q112" s="6"/>
      <c r="R112" s="39">
        <f>PACKAGING!E7</f>
        <v>170</v>
      </c>
      <c r="S112" s="171"/>
      <c r="T112" s="171"/>
    </row>
    <row r="113" spans="1:20" x14ac:dyDescent="0.25">
      <c r="A113" s="104" t="s">
        <v>3362</v>
      </c>
      <c r="B113" s="98"/>
      <c r="C113" s="2">
        <v>1</v>
      </c>
      <c r="D113" s="66"/>
      <c r="E113" s="39">
        <f>PACKAGING!E17</f>
        <v>7.5</v>
      </c>
      <c r="F113" s="1"/>
      <c r="G113" s="1"/>
      <c r="I113" s="1"/>
      <c r="M113" s="191" t="s">
        <v>3618</v>
      </c>
      <c r="N113" s="98"/>
      <c r="O113" s="98"/>
      <c r="P113" s="2"/>
      <c r="Q113" s="6"/>
      <c r="R113" s="39">
        <f>PACKAGING!I5</f>
        <v>845</v>
      </c>
      <c r="S113" s="1"/>
      <c r="T113" s="1"/>
    </row>
    <row r="114" spans="1:20" x14ac:dyDescent="0.25">
      <c r="A114" s="191" t="s">
        <v>1557</v>
      </c>
      <c r="B114" s="98"/>
      <c r="C114" s="2"/>
      <c r="D114" s="6"/>
      <c r="E114" s="39">
        <f>PACKAGING!E4</f>
        <v>80</v>
      </c>
      <c r="F114" s="162"/>
      <c r="G114" s="162"/>
      <c r="I114" s="1"/>
      <c r="M114" s="1701" t="s">
        <v>1618</v>
      </c>
      <c r="N114" s="98">
        <v>60</v>
      </c>
      <c r="O114" s="98"/>
      <c r="P114" s="2">
        <v>15</v>
      </c>
      <c r="Q114" s="66">
        <f>'INSUMOS VARIOS'!B3</f>
        <v>3500</v>
      </c>
      <c r="R114" s="39">
        <f>Q114*P114/N114</f>
        <v>875</v>
      </c>
      <c r="S114" s="1"/>
      <c r="T114" s="1"/>
    </row>
    <row r="115" spans="1:20" x14ac:dyDescent="0.25">
      <c r="A115" s="3" t="s">
        <v>1538</v>
      </c>
      <c r="B115" s="98"/>
      <c r="C115" s="2"/>
      <c r="D115" s="6"/>
      <c r="E115" s="39">
        <f>PACKAGING!E9</f>
        <v>450</v>
      </c>
      <c r="F115" s="1"/>
      <c r="G115" s="1"/>
      <c r="I115" s="1"/>
      <c r="M115" s="1702"/>
      <c r="N115" s="98">
        <v>60</v>
      </c>
      <c r="O115" s="98"/>
      <c r="P115" s="2">
        <v>5</v>
      </c>
      <c r="Q115" s="66">
        <f>Q114</f>
        <v>3500</v>
      </c>
      <c r="R115" s="39">
        <f>Q115*P115/N115</f>
        <v>291.66666666666669</v>
      </c>
      <c r="S115" s="1"/>
      <c r="T115" s="1"/>
    </row>
    <row r="116" spans="1:20" ht="16.5" thickBot="1" x14ac:dyDescent="0.3">
      <c r="A116" s="79" t="s">
        <v>525</v>
      </c>
      <c r="B116" s="99"/>
      <c r="C116" s="70"/>
      <c r="D116" s="85"/>
      <c r="E116" s="51">
        <f>SUM(E108:E115)</f>
        <v>3356.8777777777777</v>
      </c>
      <c r="F116" s="60"/>
      <c r="G116" s="1"/>
      <c r="I116" s="1"/>
      <c r="M116" s="79" t="s">
        <v>525</v>
      </c>
      <c r="N116" s="99"/>
      <c r="O116" s="99"/>
      <c r="P116" s="70"/>
      <c r="Q116" s="85"/>
      <c r="R116" s="51">
        <f>SUM(R106:R115)</f>
        <v>8786.2666666666664</v>
      </c>
      <c r="S116" s="1"/>
      <c r="T116" s="1"/>
    </row>
    <row r="117" spans="1:20" ht="19.5" thickBot="1" x14ac:dyDescent="0.3">
      <c r="A117" s="80" t="s">
        <v>544</v>
      </c>
      <c r="B117" s="100"/>
      <c r="C117" s="71"/>
      <c r="D117" s="71"/>
      <c r="E117" s="72">
        <f>E116*2</f>
        <v>6713.7555555555555</v>
      </c>
      <c r="F117" s="512">
        <f>E117+E117*50%</f>
        <v>10070.633333333333</v>
      </c>
      <c r="G117" s="1274">
        <v>11000</v>
      </c>
      <c r="H117" s="1273" t="s">
        <v>3687</v>
      </c>
      <c r="I117" s="1"/>
      <c r="M117" s="596" t="s">
        <v>1559</v>
      </c>
      <c r="N117" s="597"/>
      <c r="O117" s="597"/>
      <c r="P117" s="598"/>
      <c r="Q117" s="598"/>
      <c r="R117" s="599">
        <f>R116*2</f>
        <v>17572.533333333333</v>
      </c>
      <c r="S117" s="515">
        <f>R117+R117*70%</f>
        <v>29873.306666666664</v>
      </c>
      <c r="T117" s="531">
        <v>30000</v>
      </c>
    </row>
    <row r="118" spans="1:20" ht="16.5" thickBot="1" x14ac:dyDescent="0.3">
      <c r="A118" s="81" t="s">
        <v>1559</v>
      </c>
      <c r="B118" s="101"/>
      <c r="C118" s="73"/>
      <c r="D118" s="73"/>
      <c r="E118" s="73"/>
      <c r="F118" s="522"/>
      <c r="G118" s="691">
        <f>G117*2</f>
        <v>22000</v>
      </c>
      <c r="I118" s="1"/>
    </row>
    <row r="119" spans="1:20" ht="16.5" thickBot="1" x14ac:dyDescent="0.3">
      <c r="A119" s="1"/>
      <c r="B119" s="1"/>
      <c r="C119" s="1"/>
      <c r="D119" s="1"/>
      <c r="E119" s="1"/>
      <c r="F119" s="1"/>
      <c r="G119" s="1"/>
      <c r="H119" s="1"/>
      <c r="I119" s="1"/>
      <c r="M119" s="1602" t="s">
        <v>317</v>
      </c>
      <c r="N119" s="1600"/>
      <c r="O119" s="1600"/>
      <c r="P119" s="1600"/>
      <c r="Q119" s="1600"/>
      <c r="R119" s="1600"/>
      <c r="S119" s="171"/>
      <c r="T119" s="171"/>
    </row>
    <row r="120" spans="1:20" ht="16.5" thickBot="1" x14ac:dyDescent="0.3">
      <c r="M120" s="78" t="s">
        <v>916</v>
      </c>
      <c r="N120" s="385" t="s">
        <v>743</v>
      </c>
      <c r="O120" s="385"/>
      <c r="P120" s="82" t="s">
        <v>1547</v>
      </c>
      <c r="Q120" s="84" t="s">
        <v>747</v>
      </c>
      <c r="R120" s="83" t="s">
        <v>1549</v>
      </c>
      <c r="S120" s="1"/>
      <c r="T120" s="1"/>
    </row>
    <row r="121" spans="1:20" ht="16.5" thickBot="1" x14ac:dyDescent="0.3">
      <c r="A121" s="1716" t="s">
        <v>3803</v>
      </c>
      <c r="B121" s="1717"/>
      <c r="C121" s="1717"/>
      <c r="D121" s="1717"/>
      <c r="E121" s="1718"/>
      <c r="F121" s="162"/>
      <c r="G121" s="162"/>
      <c r="H121" s="1"/>
      <c r="I121" s="1"/>
      <c r="M121" s="3" t="s">
        <v>1964</v>
      </c>
      <c r="N121" s="98" t="s">
        <v>950</v>
      </c>
      <c r="O121" s="98"/>
      <c r="P121" s="2">
        <v>1</v>
      </c>
      <c r="Q121" s="66">
        <f>'AROS, CADENAS, DIJES, ETC'!I11</f>
        <v>956</v>
      </c>
      <c r="R121" s="39">
        <f>Q121*P121</f>
        <v>956</v>
      </c>
      <c r="S121" s="1"/>
      <c r="T121" s="1"/>
    </row>
    <row r="122" spans="1:20" x14ac:dyDescent="0.25">
      <c r="A122" s="183" t="s">
        <v>916</v>
      </c>
      <c r="B122" s="97" t="s">
        <v>743</v>
      </c>
      <c r="C122" s="76" t="s">
        <v>1948</v>
      </c>
      <c r="D122" s="108" t="s">
        <v>747</v>
      </c>
      <c r="E122" s="77" t="s">
        <v>1549</v>
      </c>
      <c r="F122" s="1"/>
      <c r="G122" s="1"/>
      <c r="H122" s="1"/>
      <c r="I122" s="1"/>
      <c r="M122" s="3" t="s">
        <v>1965</v>
      </c>
      <c r="N122" s="98"/>
      <c r="O122" s="98"/>
      <c r="P122" s="2">
        <v>1</v>
      </c>
      <c r="Q122" s="66">
        <f>'AROS, CADENAS, DIJES, ETC'!O105</f>
        <v>2795</v>
      </c>
      <c r="R122" s="39">
        <f>Q122*P122</f>
        <v>2795</v>
      </c>
      <c r="S122" s="1"/>
      <c r="T122" s="1"/>
    </row>
    <row r="123" spans="1:20" x14ac:dyDescent="0.25">
      <c r="A123" s="3" t="s">
        <v>2001</v>
      </c>
      <c r="B123" s="98">
        <v>0.45</v>
      </c>
      <c r="C123" s="2"/>
      <c r="D123" s="66">
        <f>'AROS, CADENAS, DIJES, ETC'!K87</f>
        <v>9803</v>
      </c>
      <c r="E123" s="39">
        <f>D123</f>
        <v>9803</v>
      </c>
      <c r="F123" s="1"/>
      <c r="G123" s="1"/>
      <c r="H123" s="1"/>
      <c r="I123" s="1"/>
      <c r="M123" s="1701" t="s">
        <v>1555</v>
      </c>
      <c r="N123" s="98" t="s">
        <v>1556</v>
      </c>
      <c r="O123" s="98"/>
      <c r="P123" s="2">
        <v>1</v>
      </c>
      <c r="Q123" s="66">
        <f>FORNITURAS!D4</f>
        <v>48.7</v>
      </c>
      <c r="R123" s="39">
        <f>Q123*P123</f>
        <v>48.7</v>
      </c>
      <c r="S123" s="1"/>
      <c r="T123" s="1"/>
    </row>
    <row r="124" spans="1:20" x14ac:dyDescent="0.25">
      <c r="A124" s="104" t="s">
        <v>1555</v>
      </c>
      <c r="B124" s="98" t="s">
        <v>1573</v>
      </c>
      <c r="C124" s="2">
        <v>1</v>
      </c>
      <c r="D124" s="66">
        <f>FORNITURAS!D7</f>
        <v>52</v>
      </c>
      <c r="E124" s="39">
        <f>D124*C124</f>
        <v>52</v>
      </c>
      <c r="F124" s="1"/>
      <c r="G124" s="1"/>
      <c r="H124" s="1"/>
      <c r="I124" s="1"/>
      <c r="M124" s="1711"/>
      <c r="N124" s="98" t="s">
        <v>1933</v>
      </c>
      <c r="O124" s="98"/>
      <c r="P124" s="2">
        <v>1</v>
      </c>
      <c r="Q124" s="66">
        <f>FORNITURAS!D5</f>
        <v>46.8</v>
      </c>
      <c r="R124" s="39">
        <f>Q124*P124</f>
        <v>46.8</v>
      </c>
      <c r="S124" s="1"/>
      <c r="T124" s="1"/>
    </row>
    <row r="125" spans="1:20" x14ac:dyDescent="0.25">
      <c r="A125" s="104" t="s">
        <v>3124</v>
      </c>
      <c r="B125" s="98"/>
      <c r="C125" s="2">
        <v>1</v>
      </c>
      <c r="D125" s="66">
        <f>FORNITURAS!F50</f>
        <v>106</v>
      </c>
      <c r="E125" s="39">
        <f>D125*C125</f>
        <v>106</v>
      </c>
      <c r="F125" s="1426"/>
      <c r="G125" s="1"/>
      <c r="H125" s="1"/>
      <c r="I125" s="1"/>
      <c r="M125" s="1702"/>
      <c r="N125" s="98" t="s">
        <v>1573</v>
      </c>
      <c r="O125" s="98"/>
      <c r="P125" s="2">
        <v>1</v>
      </c>
      <c r="Q125" s="66">
        <f>FORNITURAS!D7</f>
        <v>52</v>
      </c>
      <c r="R125" s="39">
        <f>Q125*P125</f>
        <v>52</v>
      </c>
      <c r="S125" s="1"/>
      <c r="T125" s="1"/>
    </row>
    <row r="126" spans="1:20" x14ac:dyDescent="0.25">
      <c r="A126" s="104" t="s">
        <v>1537</v>
      </c>
      <c r="B126" s="98"/>
      <c r="C126" s="2"/>
      <c r="D126" s="66"/>
      <c r="E126" s="39">
        <f>PACKAGING!E7</f>
        <v>170</v>
      </c>
      <c r="F126" s="1"/>
      <c r="G126" s="1"/>
      <c r="H126" s="1"/>
      <c r="I126" s="1"/>
      <c r="M126" s="189" t="s">
        <v>1557</v>
      </c>
      <c r="N126" s="98"/>
      <c r="O126" s="98"/>
      <c r="P126" s="2"/>
      <c r="Q126" s="6"/>
      <c r="R126" s="39">
        <f>PACKAGING!E4</f>
        <v>80</v>
      </c>
      <c r="S126" s="1"/>
      <c r="T126" s="171"/>
    </row>
    <row r="127" spans="1:20" x14ac:dyDescent="0.25">
      <c r="A127" s="191" t="s">
        <v>1557</v>
      </c>
      <c r="B127" s="98"/>
      <c r="C127" s="2"/>
      <c r="D127" s="6"/>
      <c r="E127" s="39">
        <f>PACKAGING!E4</f>
        <v>80</v>
      </c>
      <c r="F127" s="162"/>
      <c r="G127" s="162"/>
      <c r="H127" s="1"/>
      <c r="I127" s="1"/>
      <c r="M127" s="3" t="s">
        <v>1537</v>
      </c>
      <c r="N127" s="98"/>
      <c r="O127" s="98"/>
      <c r="P127" s="2"/>
      <c r="Q127" s="6"/>
      <c r="R127" s="39">
        <f>PACKAGING!E7</f>
        <v>170</v>
      </c>
      <c r="S127" s="1"/>
      <c r="T127" s="1"/>
    </row>
    <row r="128" spans="1:20" x14ac:dyDescent="0.25">
      <c r="A128" s="3" t="s">
        <v>4539</v>
      </c>
      <c r="B128" s="98"/>
      <c r="C128" s="2"/>
      <c r="D128" s="6"/>
      <c r="E128" s="39">
        <f>PACKAGING!I10</f>
        <v>1100</v>
      </c>
      <c r="F128" s="1"/>
      <c r="G128" s="1"/>
      <c r="H128" s="1"/>
      <c r="I128" s="1"/>
      <c r="J128" s="1"/>
      <c r="M128" s="3" t="s">
        <v>1538</v>
      </c>
      <c r="N128" s="98"/>
      <c r="O128" s="98"/>
      <c r="P128" s="2"/>
      <c r="Q128" s="6"/>
      <c r="R128" s="39">
        <f>PACKAGING!E8</f>
        <v>420</v>
      </c>
      <c r="S128" s="1"/>
      <c r="T128" s="1"/>
    </row>
    <row r="129" spans="1:20" ht="16.5" thickBot="1" x14ac:dyDescent="0.3">
      <c r="A129" s="79" t="s">
        <v>525</v>
      </c>
      <c r="B129" s="99"/>
      <c r="C129" s="70"/>
      <c r="D129" s="85"/>
      <c r="E129" s="51">
        <f>SUM(E123:E128)</f>
        <v>11311</v>
      </c>
      <c r="F129" s="60"/>
      <c r="G129" s="1"/>
      <c r="H129" s="1"/>
      <c r="I129" s="1"/>
      <c r="J129" s="1"/>
      <c r="M129" s="3" t="s">
        <v>1618</v>
      </c>
      <c r="N129" s="98">
        <v>60</v>
      </c>
      <c r="O129" s="98"/>
      <c r="P129" s="2">
        <v>5</v>
      </c>
      <c r="Q129" s="66">
        <f>'INSUMOS VARIOS'!B3</f>
        <v>3500</v>
      </c>
      <c r="R129" s="39">
        <f>Q129*P129/N129</f>
        <v>291.66666666666669</v>
      </c>
      <c r="S129" s="1"/>
      <c r="T129" s="1"/>
    </row>
    <row r="130" spans="1:20" ht="16.5" thickBot="1" x14ac:dyDescent="0.3">
      <c r="A130" s="80" t="s">
        <v>544</v>
      </c>
      <c r="B130" s="100"/>
      <c r="C130" s="71"/>
      <c r="D130" s="71"/>
      <c r="E130" s="72">
        <f>E129*2</f>
        <v>22622</v>
      </c>
      <c r="F130" s="512">
        <f>E130+E130*70%</f>
        <v>38457.4</v>
      </c>
      <c r="G130" s="681">
        <v>40000</v>
      </c>
      <c r="H130" s="1"/>
      <c r="I130" s="1"/>
      <c r="J130" s="1"/>
      <c r="M130" s="79" t="s">
        <v>525</v>
      </c>
      <c r="N130" s="99"/>
      <c r="O130" s="99"/>
      <c r="P130" s="70"/>
      <c r="Q130" s="85"/>
      <c r="R130" s="51">
        <f>SUM(R121:R129)</f>
        <v>4860.166666666667</v>
      </c>
      <c r="S130" s="1"/>
      <c r="T130" s="1"/>
    </row>
    <row r="131" spans="1:20" ht="19.5" thickBot="1" x14ac:dyDescent="0.3">
      <c r="A131" s="81" t="s">
        <v>1559</v>
      </c>
      <c r="B131" s="101"/>
      <c r="C131" s="73"/>
      <c r="D131" s="73"/>
      <c r="E131" s="73"/>
      <c r="F131" s="522"/>
      <c r="G131" s="1274"/>
      <c r="H131" s="1" t="s">
        <v>3687</v>
      </c>
      <c r="I131" s="1"/>
      <c r="J131" s="1"/>
      <c r="M131" s="596" t="s">
        <v>1559</v>
      </c>
      <c r="N131" s="597"/>
      <c r="O131" s="597"/>
      <c r="P131" s="598"/>
      <c r="Q131" s="598"/>
      <c r="R131" s="599">
        <f>R130*2</f>
        <v>9720.3333333333339</v>
      </c>
      <c r="S131" s="515">
        <f>R131+R131*70%</f>
        <v>16524.566666666666</v>
      </c>
      <c r="T131" s="531">
        <v>22000</v>
      </c>
    </row>
    <row r="132" spans="1:20" ht="16.5" thickBot="1" x14ac:dyDescent="0.3">
      <c r="A132" s="1"/>
      <c r="B132" s="1"/>
      <c r="C132" s="1"/>
      <c r="D132" s="1"/>
      <c r="E132" s="1"/>
      <c r="F132" s="1"/>
      <c r="G132" s="1"/>
      <c r="H132" s="1"/>
      <c r="I132" s="1"/>
      <c r="J132" s="1"/>
    </row>
    <row r="133" spans="1:20" ht="16.5" thickBot="1" x14ac:dyDescent="0.3">
      <c r="A133" s="1716" t="s">
        <v>4529</v>
      </c>
      <c r="B133" s="1717"/>
      <c r="C133" s="1717"/>
      <c r="D133" s="1717"/>
      <c r="E133" s="1718"/>
      <c r="F133" s="162"/>
      <c r="G133" s="162"/>
      <c r="H133" s="1"/>
      <c r="I133" s="1"/>
      <c r="J133" s="1"/>
      <c r="M133" s="1602" t="s">
        <v>1966</v>
      </c>
      <c r="N133" s="1600"/>
      <c r="O133" s="1600"/>
      <c r="P133" s="1600"/>
      <c r="Q133" s="1600"/>
      <c r="R133" s="1600"/>
      <c r="S133" s="171"/>
      <c r="T133" s="171"/>
    </row>
    <row r="134" spans="1:20" x14ac:dyDescent="0.25">
      <c r="A134" s="183" t="s">
        <v>916</v>
      </c>
      <c r="B134" s="97" t="s">
        <v>743</v>
      </c>
      <c r="C134" s="76" t="s">
        <v>1948</v>
      </c>
      <c r="D134" s="108" t="s">
        <v>747</v>
      </c>
      <c r="E134" s="77" t="s">
        <v>1549</v>
      </c>
      <c r="F134" s="1"/>
      <c r="G134" s="1"/>
      <c r="H134" s="1"/>
      <c r="I134" s="1"/>
      <c r="J134" s="1"/>
      <c r="M134" s="78" t="s">
        <v>916</v>
      </c>
      <c r="N134" s="385" t="s">
        <v>743</v>
      </c>
      <c r="O134" s="385"/>
      <c r="P134" s="82" t="s">
        <v>1547</v>
      </c>
      <c r="Q134" s="84" t="s">
        <v>747</v>
      </c>
      <c r="R134" s="83" t="s">
        <v>1549</v>
      </c>
      <c r="S134" s="1"/>
      <c r="T134" s="1"/>
    </row>
    <row r="135" spans="1:20" x14ac:dyDescent="0.25">
      <c r="A135" s="3" t="s">
        <v>3734</v>
      </c>
      <c r="B135" s="98">
        <v>0.6</v>
      </c>
      <c r="C135" s="2"/>
      <c r="D135" s="66">
        <f>'AROS, CADENAS, DIJES, ETC'!K86</f>
        <v>5621</v>
      </c>
      <c r="E135" s="39">
        <f>D135</f>
        <v>5621</v>
      </c>
      <c r="F135" s="1"/>
      <c r="G135" s="1"/>
      <c r="H135" s="1"/>
      <c r="I135" s="1"/>
      <c r="J135" s="1"/>
      <c r="M135" s="3" t="s">
        <v>1964</v>
      </c>
      <c r="N135" s="98" t="s">
        <v>950</v>
      </c>
      <c r="O135" s="98"/>
      <c r="P135" s="2">
        <v>1</v>
      </c>
      <c r="Q135" s="66">
        <f>'AROS, CADENAS, DIJES, ETC'!I12</f>
        <v>436</v>
      </c>
      <c r="R135" s="39">
        <f>Q135*P135</f>
        <v>436</v>
      </c>
      <c r="S135" s="1"/>
      <c r="T135" s="1"/>
    </row>
    <row r="136" spans="1:20" x14ac:dyDescent="0.25">
      <c r="A136" s="104" t="s">
        <v>1555</v>
      </c>
      <c r="B136" s="98" t="s">
        <v>1573</v>
      </c>
      <c r="C136" s="2">
        <v>1</v>
      </c>
      <c r="D136" s="66">
        <f>FORNITURAS!D7</f>
        <v>52</v>
      </c>
      <c r="E136" s="39">
        <f>D136*C136</f>
        <v>52</v>
      </c>
      <c r="F136" s="1"/>
      <c r="G136" s="1"/>
      <c r="H136" s="1"/>
      <c r="I136" s="1"/>
      <c r="J136" s="1"/>
      <c r="M136" s="3" t="s">
        <v>1967</v>
      </c>
      <c r="N136" s="98"/>
      <c r="O136" s="98"/>
      <c r="P136" s="2">
        <v>1</v>
      </c>
      <c r="Q136" s="66">
        <f>'AROS, CADENAS, DIJES, ETC'!O132</f>
        <v>4397</v>
      </c>
      <c r="R136" s="39">
        <f>Q136*P136</f>
        <v>4397</v>
      </c>
      <c r="S136" s="1"/>
      <c r="T136" s="1"/>
    </row>
    <row r="137" spans="1:20" x14ac:dyDescent="0.25">
      <c r="A137" s="104" t="s">
        <v>1555</v>
      </c>
      <c r="B137" s="98" t="s">
        <v>1933</v>
      </c>
      <c r="C137" s="2">
        <v>1</v>
      </c>
      <c r="D137" s="66">
        <f>FORNITURAS!D5</f>
        <v>46.8</v>
      </c>
      <c r="E137" s="39">
        <f>D137*C137</f>
        <v>46.8</v>
      </c>
      <c r="F137" s="1"/>
      <c r="G137" s="1"/>
      <c r="H137" s="1"/>
      <c r="I137" s="1"/>
      <c r="J137" s="1"/>
      <c r="M137" s="1701" t="s">
        <v>1555</v>
      </c>
      <c r="N137" s="98" t="s">
        <v>1556</v>
      </c>
      <c r="O137" s="98"/>
      <c r="P137" s="2">
        <v>1</v>
      </c>
      <c r="Q137" s="66">
        <f>FORNITURAS!D4</f>
        <v>48.7</v>
      </c>
      <c r="R137" s="39">
        <f>Q137*P137</f>
        <v>48.7</v>
      </c>
      <c r="S137" s="1"/>
      <c r="T137" s="1"/>
    </row>
    <row r="138" spans="1:20" x14ac:dyDescent="0.25">
      <c r="A138" s="104" t="s">
        <v>3124</v>
      </c>
      <c r="B138" s="98"/>
      <c r="C138" s="2">
        <v>1</v>
      </c>
      <c r="D138" s="66">
        <f>FORNITURAS!F49</f>
        <v>64.833333333333329</v>
      </c>
      <c r="E138" s="39">
        <f>D138*C138</f>
        <v>64.833333333333329</v>
      </c>
      <c r="F138" s="1"/>
      <c r="G138" s="1"/>
      <c r="H138" s="1"/>
      <c r="I138" s="1"/>
      <c r="J138" s="1"/>
      <c r="M138" s="1711"/>
      <c r="N138" s="98" t="s">
        <v>1933</v>
      </c>
      <c r="O138" s="98"/>
      <c r="P138" s="2">
        <v>1</v>
      </c>
      <c r="Q138" s="66">
        <f>FORNITURAS!D5</f>
        <v>46.8</v>
      </c>
      <c r="R138" s="39">
        <f>Q138*P138</f>
        <v>46.8</v>
      </c>
      <c r="S138" s="1"/>
      <c r="T138" s="1"/>
    </row>
    <row r="139" spans="1:20" x14ac:dyDescent="0.25">
      <c r="A139" s="104" t="s">
        <v>1537</v>
      </c>
      <c r="B139" s="98"/>
      <c r="C139" s="2"/>
      <c r="D139" s="66"/>
      <c r="E139" s="39">
        <f>PACKAGING!E7</f>
        <v>170</v>
      </c>
      <c r="F139" s="1"/>
      <c r="G139" s="1"/>
      <c r="H139" s="1"/>
      <c r="I139" s="1"/>
      <c r="J139" s="1"/>
      <c r="M139" s="1702"/>
      <c r="N139" s="98" t="s">
        <v>1573</v>
      </c>
      <c r="O139" s="98"/>
      <c r="P139" s="2">
        <v>1</v>
      </c>
      <c r="Q139" s="66">
        <f>FORNITURAS!D7</f>
        <v>52</v>
      </c>
      <c r="R139" s="39">
        <f>Q139*P139</f>
        <v>52</v>
      </c>
      <c r="S139" s="1"/>
      <c r="T139" s="1"/>
    </row>
    <row r="140" spans="1:20" x14ac:dyDescent="0.25">
      <c r="A140" s="191" t="s">
        <v>1557</v>
      </c>
      <c r="B140" s="98"/>
      <c r="C140" s="2"/>
      <c r="D140" s="6"/>
      <c r="E140" s="39">
        <f>PACKAGING!E4</f>
        <v>80</v>
      </c>
      <c r="F140" s="162"/>
      <c r="G140" s="162"/>
      <c r="H140" s="1"/>
      <c r="I140" s="1"/>
      <c r="J140" s="1"/>
      <c r="M140" s="189" t="s">
        <v>1557</v>
      </c>
      <c r="N140" s="98"/>
      <c r="O140" s="98"/>
      <c r="P140" s="2"/>
      <c r="Q140" s="6"/>
      <c r="R140" s="39">
        <f>PACKAGING!E4</f>
        <v>80</v>
      </c>
      <c r="S140" s="1"/>
      <c r="T140" s="171"/>
    </row>
    <row r="141" spans="1:20" x14ac:dyDescent="0.25">
      <c r="A141" s="3" t="s">
        <v>4540</v>
      </c>
      <c r="B141" s="98"/>
      <c r="C141" s="2"/>
      <c r="D141" s="6"/>
      <c r="E141" s="39">
        <f>PACKAGING!I9</f>
        <v>1000</v>
      </c>
      <c r="F141" s="1"/>
      <c r="G141" s="1"/>
      <c r="H141" s="1"/>
      <c r="I141" s="1"/>
      <c r="J141" s="1"/>
      <c r="M141" s="3" t="s">
        <v>1537</v>
      </c>
      <c r="N141" s="98"/>
      <c r="O141" s="98"/>
      <c r="P141" s="2"/>
      <c r="Q141" s="6"/>
      <c r="R141" s="39">
        <f>PACKAGING!E7</f>
        <v>170</v>
      </c>
      <c r="S141" s="1"/>
      <c r="T141" s="1"/>
    </row>
    <row r="142" spans="1:20" ht="16.5" thickBot="1" x14ac:dyDescent="0.3">
      <c r="A142" s="79" t="s">
        <v>525</v>
      </c>
      <c r="B142" s="99"/>
      <c r="C142" s="70"/>
      <c r="D142" s="85"/>
      <c r="E142" s="51">
        <f>SUM(E135:E141)</f>
        <v>7034.6333333333332</v>
      </c>
      <c r="F142" s="60"/>
      <c r="G142" s="1"/>
      <c r="H142" s="1"/>
      <c r="I142" s="1"/>
      <c r="J142" s="1"/>
      <c r="M142" s="3" t="s">
        <v>1538</v>
      </c>
      <c r="N142" s="98"/>
      <c r="O142" s="98"/>
      <c r="P142" s="2"/>
      <c r="Q142" s="6"/>
      <c r="R142" s="39">
        <f>PACKAGING!E8</f>
        <v>420</v>
      </c>
      <c r="S142" s="1"/>
      <c r="T142" s="1"/>
    </row>
    <row r="143" spans="1:20" ht="16.5" thickBot="1" x14ac:dyDescent="0.3">
      <c r="A143" s="80" t="s">
        <v>544</v>
      </c>
      <c r="B143" s="100"/>
      <c r="C143" s="71"/>
      <c r="D143" s="71"/>
      <c r="E143" s="72">
        <f>E142*2</f>
        <v>14069.266666666666</v>
      </c>
      <c r="F143" s="512">
        <f>E143+E143*70%</f>
        <v>23917.753333333334</v>
      </c>
      <c r="G143" s="1277">
        <v>28000</v>
      </c>
      <c r="H143" s="1"/>
      <c r="I143" s="1"/>
      <c r="J143" s="1"/>
      <c r="M143" s="3" t="s">
        <v>1618</v>
      </c>
      <c r="N143" s="98">
        <v>60</v>
      </c>
      <c r="O143" s="98"/>
      <c r="P143" s="2">
        <v>15</v>
      </c>
      <c r="Q143" s="66">
        <f>'INSUMOS VARIOS'!B3</f>
        <v>3500</v>
      </c>
      <c r="R143" s="39">
        <f>Q143*P143/N143</f>
        <v>875</v>
      </c>
      <c r="S143" s="1"/>
      <c r="T143" s="1"/>
    </row>
    <row r="144" spans="1:20" ht="16.5" thickBot="1" x14ac:dyDescent="0.3">
      <c r="A144" s="81" t="s">
        <v>1559</v>
      </c>
      <c r="B144" s="101"/>
      <c r="C144" s="73"/>
      <c r="D144" s="73"/>
      <c r="E144" s="73"/>
      <c r="F144" s="522"/>
      <c r="G144" s="1275"/>
      <c r="H144" s="1" t="s">
        <v>3688</v>
      </c>
      <c r="I144" s="1"/>
      <c r="J144" s="1"/>
      <c r="M144" s="79" t="s">
        <v>525</v>
      </c>
      <c r="N144" s="99"/>
      <c r="O144" s="99"/>
      <c r="P144" s="70"/>
      <c r="Q144" s="85"/>
      <c r="R144" s="51">
        <f>SUM(R135:R143)</f>
        <v>6525.5</v>
      </c>
      <c r="S144" s="1"/>
      <c r="T144" s="1"/>
    </row>
    <row r="145" spans="1:20" ht="19.5" thickBot="1" x14ac:dyDescent="0.3">
      <c r="A145" s="1"/>
      <c r="B145" s="1"/>
      <c r="C145" s="1"/>
      <c r="D145" s="1"/>
      <c r="E145" s="1"/>
      <c r="F145" s="1"/>
      <c r="G145" s="1"/>
      <c r="H145" s="1"/>
      <c r="I145" s="1"/>
      <c r="J145" s="1"/>
      <c r="M145" s="596" t="s">
        <v>1559</v>
      </c>
      <c r="N145" s="597"/>
      <c r="O145" s="597"/>
      <c r="P145" s="598"/>
      <c r="Q145" s="598"/>
      <c r="R145" s="599">
        <f>R144*2</f>
        <v>13051</v>
      </c>
      <c r="S145" s="515">
        <f>R145+R145*70%</f>
        <v>22186.699999999997</v>
      </c>
      <c r="T145" s="531">
        <v>20000</v>
      </c>
    </row>
    <row r="146" spans="1:20" ht="16.5" thickBot="1" x14ac:dyDescent="0.3">
      <c r="A146" s="1716" t="s">
        <v>3801</v>
      </c>
      <c r="B146" s="1717"/>
      <c r="C146" s="1717"/>
      <c r="D146" s="1717"/>
      <c r="E146" s="1718"/>
      <c r="F146" s="162"/>
      <c r="G146" s="162"/>
      <c r="H146" s="1"/>
      <c r="I146" s="1"/>
      <c r="J146" s="1"/>
    </row>
    <row r="147" spans="1:20" ht="16.5" thickBot="1" x14ac:dyDescent="0.3">
      <c r="A147" s="183" t="s">
        <v>916</v>
      </c>
      <c r="B147" s="97" t="s">
        <v>743</v>
      </c>
      <c r="C147" s="76" t="s">
        <v>1948</v>
      </c>
      <c r="D147" s="108" t="s">
        <v>747</v>
      </c>
      <c r="E147" s="77" t="s">
        <v>1549</v>
      </c>
      <c r="F147" s="1"/>
      <c r="G147" s="1"/>
      <c r="H147" s="1"/>
      <c r="I147" s="1"/>
      <c r="M147" s="1602" t="s">
        <v>294</v>
      </c>
      <c r="N147" s="1600"/>
      <c r="O147" s="1600"/>
      <c r="P147" s="1600"/>
      <c r="Q147" s="1600"/>
      <c r="R147" s="1600"/>
      <c r="S147" s="171"/>
      <c r="T147" s="171"/>
    </row>
    <row r="148" spans="1:20" x14ac:dyDescent="0.25">
      <c r="A148" s="3" t="s">
        <v>3350</v>
      </c>
      <c r="B148" s="98">
        <v>0.6</v>
      </c>
      <c r="C148" s="2"/>
      <c r="D148" s="66">
        <f>'AROS, CADENAS, DIJES, ETC'!K88</f>
        <v>6190</v>
      </c>
      <c r="E148" s="39">
        <f>D148</f>
        <v>6190</v>
      </c>
      <c r="F148" s="1"/>
      <c r="G148" s="1"/>
      <c r="H148" s="1"/>
      <c r="I148" s="1"/>
      <c r="M148" s="78" t="s">
        <v>916</v>
      </c>
      <c r="N148" s="385" t="s">
        <v>743</v>
      </c>
      <c r="O148" s="385"/>
      <c r="P148" s="82" t="s">
        <v>1547</v>
      </c>
      <c r="Q148" s="84" t="s">
        <v>747</v>
      </c>
      <c r="R148" s="83" t="s">
        <v>1549</v>
      </c>
      <c r="S148" s="1"/>
      <c r="T148" s="1"/>
    </row>
    <row r="149" spans="1:20" x14ac:dyDescent="0.25">
      <c r="A149" s="104" t="s">
        <v>1555</v>
      </c>
      <c r="B149" s="98" t="s">
        <v>1658</v>
      </c>
      <c r="C149" s="2">
        <v>1</v>
      </c>
      <c r="D149" s="66">
        <f>FORNITURAS!D8</f>
        <v>192.77777777777777</v>
      </c>
      <c r="E149" s="39">
        <f>D149*C149</f>
        <v>192.77777777777777</v>
      </c>
      <c r="F149" s="1"/>
      <c r="G149" s="1"/>
      <c r="H149" s="1"/>
      <c r="I149" s="1"/>
      <c r="M149" s="3" t="s">
        <v>2290</v>
      </c>
      <c r="N149" s="98" t="s">
        <v>950</v>
      </c>
      <c r="O149" s="98"/>
      <c r="P149" s="2">
        <v>1</v>
      </c>
      <c r="Q149" s="66">
        <f>'AROS, CADENAS, DIJES, ETC'!I21</f>
        <v>388</v>
      </c>
      <c r="R149" s="39">
        <f>Q149*P149</f>
        <v>388</v>
      </c>
      <c r="S149" s="1"/>
      <c r="T149" s="1"/>
    </row>
    <row r="150" spans="1:20" x14ac:dyDescent="0.25">
      <c r="A150" s="104" t="s">
        <v>1587</v>
      </c>
      <c r="B150" s="98"/>
      <c r="C150" s="2">
        <v>1</v>
      </c>
      <c r="D150" s="66">
        <f>FORNITURAS!F44</f>
        <v>158</v>
      </c>
      <c r="E150" s="39">
        <f>D150*C150</f>
        <v>158</v>
      </c>
      <c r="F150" s="1"/>
      <c r="G150" s="1"/>
      <c r="H150" s="1"/>
      <c r="I150" s="1"/>
      <c r="M150" s="3" t="s">
        <v>1968</v>
      </c>
      <c r="N150" s="98"/>
      <c r="O150" s="98"/>
      <c r="P150" s="2">
        <v>1</v>
      </c>
      <c r="Q150" s="66">
        <f>'AROS, CADENAS, DIJES, ETC'!O133</f>
        <v>3200</v>
      </c>
      <c r="R150" s="39">
        <f>Q150*P150</f>
        <v>3200</v>
      </c>
      <c r="S150" s="1"/>
      <c r="T150" s="1"/>
    </row>
    <row r="151" spans="1:20" x14ac:dyDescent="0.25">
      <c r="A151" s="104" t="s">
        <v>1537</v>
      </c>
      <c r="B151" s="98"/>
      <c r="C151" s="2"/>
      <c r="D151" s="66"/>
      <c r="E151" s="39">
        <f>PACKAGING!E7</f>
        <v>170</v>
      </c>
      <c r="F151" s="1"/>
      <c r="G151" s="1"/>
      <c r="H151" s="1"/>
      <c r="I151" s="1"/>
      <c r="M151" s="1701" t="s">
        <v>1555</v>
      </c>
      <c r="N151" s="98" t="s">
        <v>1556</v>
      </c>
      <c r="O151" s="98"/>
      <c r="P151" s="2">
        <v>1</v>
      </c>
      <c r="Q151" s="66">
        <f>FORNITURAS!D4</f>
        <v>48.7</v>
      </c>
      <c r="R151" s="39">
        <f>Q151*P151</f>
        <v>48.7</v>
      </c>
      <c r="S151" s="1"/>
      <c r="T151" s="1"/>
    </row>
    <row r="152" spans="1:20" x14ac:dyDescent="0.25">
      <c r="A152" s="191" t="s">
        <v>1557</v>
      </c>
      <c r="B152" s="98"/>
      <c r="C152" s="2"/>
      <c r="D152" s="6"/>
      <c r="E152" s="39">
        <f>PACKAGING!E4</f>
        <v>80</v>
      </c>
      <c r="F152" s="162"/>
      <c r="G152" s="162"/>
      <c r="H152" s="1"/>
      <c r="I152" s="1"/>
      <c r="M152" s="1711"/>
      <c r="N152" s="98" t="s">
        <v>1933</v>
      </c>
      <c r="O152" s="98"/>
      <c r="P152" s="2">
        <v>1</v>
      </c>
      <c r="Q152" s="66">
        <f>FORNITURAS!D5</f>
        <v>46.8</v>
      </c>
      <c r="R152" s="39">
        <f>Q152*P152</f>
        <v>46.8</v>
      </c>
      <c r="S152" s="1"/>
      <c r="T152" s="1"/>
    </row>
    <row r="153" spans="1:20" x14ac:dyDescent="0.25">
      <c r="A153" s="3" t="s">
        <v>4539</v>
      </c>
      <c r="B153" s="98"/>
      <c r="C153" s="2"/>
      <c r="D153" s="6"/>
      <c r="E153" s="39">
        <f>PACKAGING!I10</f>
        <v>1100</v>
      </c>
      <c r="F153" s="1"/>
      <c r="G153" s="1"/>
      <c r="H153" s="1"/>
      <c r="I153" s="1"/>
      <c r="M153" s="1702"/>
      <c r="N153" s="98" t="s">
        <v>1573</v>
      </c>
      <c r="O153" s="98"/>
      <c r="P153" s="2">
        <v>1</v>
      </c>
      <c r="Q153" s="66">
        <f>FORNITURAS!D7</f>
        <v>52</v>
      </c>
      <c r="R153" s="39">
        <f>Q153*P153</f>
        <v>52</v>
      </c>
      <c r="S153" s="1"/>
      <c r="T153" s="1"/>
    </row>
    <row r="154" spans="1:20" ht="16.5" thickBot="1" x14ac:dyDescent="0.3">
      <c r="A154" s="79" t="s">
        <v>525</v>
      </c>
      <c r="B154" s="99"/>
      <c r="C154" s="70"/>
      <c r="D154" s="85"/>
      <c r="E154" s="51">
        <f>SUM(E148:E153)</f>
        <v>7890.7777777777774</v>
      </c>
      <c r="F154" s="60"/>
      <c r="G154" s="1"/>
      <c r="H154" s="1"/>
      <c r="I154" s="1"/>
      <c r="M154" s="189" t="s">
        <v>1557</v>
      </c>
      <c r="N154" s="98"/>
      <c r="O154" s="98"/>
      <c r="P154" s="2"/>
      <c r="Q154" s="6"/>
      <c r="R154" s="39">
        <f>PACKAGING!E4</f>
        <v>80</v>
      </c>
      <c r="S154" s="1"/>
      <c r="T154" s="171"/>
    </row>
    <row r="155" spans="1:20" ht="16.5" thickBot="1" x14ac:dyDescent="0.3">
      <c r="A155" s="80" t="s">
        <v>544</v>
      </c>
      <c r="B155" s="100"/>
      <c r="C155" s="71"/>
      <c r="D155" s="71"/>
      <c r="E155" s="72">
        <f>E154*2</f>
        <v>15781.555555555555</v>
      </c>
      <c r="F155" s="512">
        <f>E155+E155*70%</f>
        <v>26828.644444444442</v>
      </c>
      <c r="G155" s="1277">
        <v>30000</v>
      </c>
      <c r="M155" s="3" t="s">
        <v>1537</v>
      </c>
      <c r="N155" s="98"/>
      <c r="O155" s="98"/>
      <c r="P155" s="2"/>
      <c r="Q155" s="6"/>
      <c r="R155" s="39">
        <f>PACKAGING!E7</f>
        <v>170</v>
      </c>
      <c r="S155" s="1"/>
      <c r="T155" s="1"/>
    </row>
    <row r="156" spans="1:20" ht="16.5" thickBot="1" x14ac:dyDescent="0.3">
      <c r="A156" s="81" t="s">
        <v>1559</v>
      </c>
      <c r="B156" s="101"/>
      <c r="C156" s="73"/>
      <c r="D156" s="73"/>
      <c r="E156" s="73"/>
      <c r="F156" s="522"/>
      <c r="G156" s="1275">
        <f>G155*60%</f>
        <v>18000</v>
      </c>
      <c r="H156" s="1" t="s">
        <v>3688</v>
      </c>
      <c r="M156" s="3" t="s">
        <v>1538</v>
      </c>
      <c r="N156" s="98"/>
      <c r="O156" s="98"/>
      <c r="P156" s="2"/>
      <c r="Q156" s="6"/>
      <c r="R156" s="39">
        <f>PACKAGING!E8</f>
        <v>420</v>
      </c>
      <c r="S156" s="1"/>
      <c r="T156" s="1"/>
    </row>
    <row r="157" spans="1:20" ht="16.5" thickBot="1" x14ac:dyDescent="0.3">
      <c r="M157" s="3" t="s">
        <v>1618</v>
      </c>
      <c r="N157" s="98">
        <v>60</v>
      </c>
      <c r="O157" s="98"/>
      <c r="P157" s="2">
        <v>5</v>
      </c>
      <c r="Q157" s="66">
        <f>'INSUMOS VARIOS'!B3</f>
        <v>3500</v>
      </c>
      <c r="R157" s="39">
        <f>Q157*P157/N157</f>
        <v>291.66666666666669</v>
      </c>
      <c r="S157" s="1"/>
      <c r="T157" s="1"/>
    </row>
    <row r="158" spans="1:20" ht="16.5" thickBot="1" x14ac:dyDescent="0.3">
      <c r="A158" s="1716" t="s">
        <v>3732</v>
      </c>
      <c r="B158" s="1717"/>
      <c r="C158" s="1717"/>
      <c r="D158" s="1717"/>
      <c r="E158" s="1718"/>
      <c r="F158" s="162"/>
      <c r="G158" s="162"/>
      <c r="H158" s="1"/>
      <c r="M158" s="79" t="s">
        <v>525</v>
      </c>
      <c r="N158" s="99"/>
      <c r="O158" s="99"/>
      <c r="P158" s="70"/>
      <c r="Q158" s="85"/>
      <c r="R158" s="51">
        <f>SUM(R149:R157)</f>
        <v>4697.166666666667</v>
      </c>
      <c r="S158" s="1"/>
      <c r="T158" s="1"/>
    </row>
    <row r="159" spans="1:20" ht="19.5" thickBot="1" x14ac:dyDescent="0.3">
      <c r="A159" s="183" t="s">
        <v>916</v>
      </c>
      <c r="B159" s="97" t="s">
        <v>743</v>
      </c>
      <c r="C159" s="76" t="s">
        <v>1948</v>
      </c>
      <c r="D159" s="108" t="s">
        <v>747</v>
      </c>
      <c r="E159" s="77" t="s">
        <v>1549</v>
      </c>
      <c r="F159" s="1"/>
      <c r="G159" s="1"/>
      <c r="H159" s="1"/>
      <c r="M159" s="596" t="s">
        <v>1559</v>
      </c>
      <c r="N159" s="597"/>
      <c r="O159" s="597"/>
      <c r="P159" s="598"/>
      <c r="Q159" s="598"/>
      <c r="R159" s="599">
        <f>R158*2</f>
        <v>9394.3333333333339</v>
      </c>
      <c r="S159" s="515">
        <f>R159+R159*70%</f>
        <v>15970.366666666669</v>
      </c>
      <c r="T159" s="531">
        <v>17000</v>
      </c>
    </row>
    <row r="160" spans="1:20" ht="16.5" thickBot="1" x14ac:dyDescent="0.3">
      <c r="A160" s="3" t="s">
        <v>3350</v>
      </c>
      <c r="B160" s="98">
        <v>0.6</v>
      </c>
      <c r="C160" s="2"/>
      <c r="D160" s="66">
        <f>PLATEADO!F53</f>
        <v>2827</v>
      </c>
      <c r="E160" s="39">
        <f>D160</f>
        <v>2827</v>
      </c>
      <c r="F160" s="1"/>
      <c r="G160" s="1"/>
      <c r="H160" s="1"/>
    </row>
    <row r="161" spans="1:20" ht="16.5" thickBot="1" x14ac:dyDescent="0.3">
      <c r="A161" s="1613" t="s">
        <v>1555</v>
      </c>
      <c r="B161" s="98" t="s">
        <v>1573</v>
      </c>
      <c r="C161" s="2">
        <v>1</v>
      </c>
      <c r="D161" s="66">
        <f>FORNITURAS!D7</f>
        <v>52</v>
      </c>
      <c r="E161" s="39">
        <f>D161*C161</f>
        <v>52</v>
      </c>
      <c r="F161" s="1"/>
      <c r="G161" s="1"/>
      <c r="H161" s="1"/>
      <c r="M161" s="1565" t="s">
        <v>313</v>
      </c>
      <c r="N161" s="1566"/>
      <c r="O161" s="1566"/>
      <c r="P161" s="1566"/>
      <c r="Q161" s="1566"/>
      <c r="R161" s="1567"/>
      <c r="S161" s="171"/>
      <c r="T161" s="171"/>
    </row>
    <row r="162" spans="1:20" x14ac:dyDescent="0.25">
      <c r="A162" s="1615"/>
      <c r="B162" s="98" t="s">
        <v>1933</v>
      </c>
      <c r="C162" s="2">
        <v>2</v>
      </c>
      <c r="D162" s="66">
        <f>FORNITURAS!D5</f>
        <v>46.8</v>
      </c>
      <c r="E162" s="39">
        <f>D162*C162</f>
        <v>93.6</v>
      </c>
      <c r="F162" s="1"/>
      <c r="G162" s="1"/>
      <c r="H162" s="1"/>
      <c r="M162" s="183" t="s">
        <v>916</v>
      </c>
      <c r="N162" s="97" t="s">
        <v>743</v>
      </c>
      <c r="O162" s="97"/>
      <c r="P162" s="76" t="s">
        <v>1547</v>
      </c>
      <c r="Q162" s="108" t="s">
        <v>747</v>
      </c>
      <c r="R162" s="77" t="s">
        <v>1549</v>
      </c>
      <c r="S162" s="1"/>
      <c r="T162" s="1"/>
    </row>
    <row r="163" spans="1:20" x14ac:dyDescent="0.25">
      <c r="A163" s="104" t="s">
        <v>1587</v>
      </c>
      <c r="B163" s="98"/>
      <c r="C163" s="2">
        <v>1</v>
      </c>
      <c r="D163" s="66">
        <f>FORNITURAS!F44</f>
        <v>158</v>
      </c>
      <c r="E163" s="39">
        <f>D163*C163</f>
        <v>158</v>
      </c>
      <c r="F163" s="1"/>
      <c r="G163" s="1"/>
      <c r="H163" s="1"/>
      <c r="M163" s="3" t="s">
        <v>1632</v>
      </c>
      <c r="N163" s="98" t="s">
        <v>950</v>
      </c>
      <c r="O163" s="98"/>
      <c r="P163" s="2">
        <v>1</v>
      </c>
      <c r="Q163" s="66">
        <f>'AROS, CADENAS, DIJES, ETC'!I25</f>
        <v>1100</v>
      </c>
      <c r="R163" s="39">
        <f>Q163*P163</f>
        <v>1100</v>
      </c>
      <c r="S163" s="1"/>
      <c r="T163" s="1"/>
    </row>
    <row r="164" spans="1:20" x14ac:dyDescent="0.25">
      <c r="A164" s="104" t="s">
        <v>1537</v>
      </c>
      <c r="B164" s="98"/>
      <c r="C164" s="2"/>
      <c r="D164" s="66"/>
      <c r="E164" s="39">
        <f>PACKAGING!E7</f>
        <v>170</v>
      </c>
      <c r="F164" s="1"/>
      <c r="G164" s="1"/>
      <c r="H164" s="1"/>
      <c r="M164" s="3" t="s">
        <v>817</v>
      </c>
      <c r="N164" s="98"/>
      <c r="O164" s="98"/>
      <c r="P164" s="2">
        <v>1</v>
      </c>
      <c r="Q164" s="66">
        <f>'AROS, CADENAS, DIJES, ETC'!O103</f>
        <v>2400</v>
      </c>
      <c r="R164" s="39">
        <f>Q164*P164</f>
        <v>2400</v>
      </c>
      <c r="S164" s="1"/>
      <c r="T164" s="1"/>
    </row>
    <row r="165" spans="1:20" x14ac:dyDescent="0.25">
      <c r="A165" s="191" t="s">
        <v>1557</v>
      </c>
      <c r="B165" s="98"/>
      <c r="C165" s="2"/>
      <c r="D165" s="6"/>
      <c r="E165" s="39">
        <f>PACKAGING!E4</f>
        <v>80</v>
      </c>
      <c r="F165" s="162"/>
      <c r="G165" s="162"/>
      <c r="H165" s="1"/>
      <c r="M165" s="1701" t="s">
        <v>1555</v>
      </c>
      <c r="N165" s="98" t="s">
        <v>1556</v>
      </c>
      <c r="O165" s="98"/>
      <c r="P165" s="2">
        <v>1</v>
      </c>
      <c r="Q165" s="66">
        <f>FORNITURAS!D4</f>
        <v>48.7</v>
      </c>
      <c r="R165" s="39">
        <f>Q165*P165</f>
        <v>48.7</v>
      </c>
      <c r="S165" s="1"/>
      <c r="T165" s="1"/>
    </row>
    <row r="166" spans="1:20" x14ac:dyDescent="0.25">
      <c r="A166" s="3" t="s">
        <v>4539</v>
      </c>
      <c r="B166" s="98"/>
      <c r="C166" s="2"/>
      <c r="D166" s="6"/>
      <c r="E166" s="39">
        <f>PACKAGING!I10</f>
        <v>1100</v>
      </c>
      <c r="F166" s="1"/>
      <c r="G166" s="1"/>
      <c r="H166" s="1"/>
      <c r="M166" s="1711"/>
      <c r="N166" s="98" t="s">
        <v>1933</v>
      </c>
      <c r="O166" s="98"/>
      <c r="P166" s="2">
        <v>1</v>
      </c>
      <c r="Q166" s="66">
        <f>FORNITURAS!D5</f>
        <v>46.8</v>
      </c>
      <c r="R166" s="39">
        <f>Q166*P166</f>
        <v>46.8</v>
      </c>
      <c r="S166" s="1"/>
      <c r="T166" s="1"/>
    </row>
    <row r="167" spans="1:20" ht="16.5" thickBot="1" x14ac:dyDescent="0.3">
      <c r="A167" s="79" t="s">
        <v>525</v>
      </c>
      <c r="B167" s="99"/>
      <c r="C167" s="70"/>
      <c r="D167" s="85"/>
      <c r="E167" s="51">
        <f>SUM(E160:E166)</f>
        <v>4480.6000000000004</v>
      </c>
      <c r="F167" s="60"/>
      <c r="G167" s="1"/>
      <c r="H167" s="1"/>
      <c r="M167" s="1702"/>
      <c r="N167" s="98" t="s">
        <v>1573</v>
      </c>
      <c r="O167" s="98"/>
      <c r="P167" s="2">
        <v>1</v>
      </c>
      <c r="Q167" s="66">
        <f>FORNITURAS!D7</f>
        <v>52</v>
      </c>
      <c r="R167" s="39">
        <f>Q167*P167</f>
        <v>52</v>
      </c>
      <c r="S167" s="1"/>
      <c r="T167" s="1"/>
    </row>
    <row r="168" spans="1:20" ht="16.5" thickBot="1" x14ac:dyDescent="0.3">
      <c r="A168" s="80" t="s">
        <v>544</v>
      </c>
      <c r="B168" s="100"/>
      <c r="C168" s="71"/>
      <c r="D168" s="71"/>
      <c r="E168" s="72">
        <f>E167*2</f>
        <v>8961.2000000000007</v>
      </c>
      <c r="F168" s="512">
        <f>E168+E168*70%</f>
        <v>15234.04</v>
      </c>
      <c r="G168" s="1277">
        <v>30000</v>
      </c>
      <c r="M168" s="3" t="s">
        <v>1557</v>
      </c>
      <c r="N168" s="98" t="s">
        <v>1535</v>
      </c>
      <c r="O168" s="98"/>
      <c r="P168" s="2"/>
      <c r="Q168" s="6"/>
      <c r="R168" s="39">
        <f>PACKAGING!E4</f>
        <v>80</v>
      </c>
      <c r="S168" s="1"/>
      <c r="T168" s="171"/>
    </row>
    <row r="169" spans="1:20" ht="16.5" thickBot="1" x14ac:dyDescent="0.3">
      <c r="A169" s="81" t="s">
        <v>1559</v>
      </c>
      <c r="B169" s="101"/>
      <c r="C169" s="73"/>
      <c r="D169" s="73"/>
      <c r="E169" s="73"/>
      <c r="F169" s="522"/>
      <c r="G169" s="1275">
        <f>G168*60%</f>
        <v>18000</v>
      </c>
      <c r="H169" s="1" t="s">
        <v>3688</v>
      </c>
      <c r="M169" s="3" t="s">
        <v>1537</v>
      </c>
      <c r="N169" s="98"/>
      <c r="O169" s="98"/>
      <c r="P169" s="2"/>
      <c r="Q169" s="6"/>
      <c r="R169" s="39">
        <f>PACKAGING!E7</f>
        <v>170</v>
      </c>
      <c r="S169" s="1"/>
      <c r="T169" s="1"/>
    </row>
    <row r="170" spans="1:20" ht="16.5" thickBot="1" x14ac:dyDescent="0.3">
      <c r="M170" s="3" t="s">
        <v>1538</v>
      </c>
      <c r="N170" s="98"/>
      <c r="O170" s="98"/>
      <c r="P170" s="2"/>
      <c r="Q170" s="6"/>
      <c r="R170" s="39">
        <f>PACKAGING!E8</f>
        <v>420</v>
      </c>
      <c r="S170" s="171"/>
      <c r="T170" s="1"/>
    </row>
    <row r="171" spans="1:20" ht="16.5" thickBot="1" x14ac:dyDescent="0.3">
      <c r="A171" s="1716" t="s">
        <v>3802</v>
      </c>
      <c r="B171" s="1717"/>
      <c r="C171" s="1717"/>
      <c r="D171" s="1717"/>
      <c r="E171" s="1718"/>
      <c r="F171" s="162"/>
      <c r="G171" s="162"/>
      <c r="H171" s="1"/>
      <c r="M171" s="3" t="s">
        <v>1618</v>
      </c>
      <c r="N171" s="98">
        <v>60</v>
      </c>
      <c r="O171" s="98"/>
      <c r="P171" s="2">
        <v>5</v>
      </c>
      <c r="Q171" s="66">
        <f>'INSUMOS VARIOS'!B3</f>
        <v>3500</v>
      </c>
      <c r="R171" s="39">
        <f>Q171*P171/N171</f>
        <v>291.66666666666669</v>
      </c>
      <c r="S171" s="171"/>
      <c r="T171" s="1"/>
    </row>
    <row r="172" spans="1:20" ht="16.5" thickBot="1" x14ac:dyDescent="0.3">
      <c r="A172" s="183" t="s">
        <v>916</v>
      </c>
      <c r="B172" s="97" t="s">
        <v>743</v>
      </c>
      <c r="C172" s="76" t="s">
        <v>1948</v>
      </c>
      <c r="D172" s="108" t="s">
        <v>747</v>
      </c>
      <c r="E172" s="77" t="s">
        <v>1549</v>
      </c>
      <c r="F172" s="1"/>
      <c r="G172" s="1"/>
      <c r="H172" s="1"/>
      <c r="M172" s="348" t="s">
        <v>525</v>
      </c>
      <c r="N172" s="349"/>
      <c r="O172" s="349"/>
      <c r="P172" s="350"/>
      <c r="Q172" s="351"/>
      <c r="R172" s="352">
        <f>SUM(R163:R171)</f>
        <v>4609.166666666667</v>
      </c>
      <c r="S172" s="171"/>
      <c r="T172" s="1"/>
    </row>
    <row r="173" spans="1:20" ht="19.5" thickBot="1" x14ac:dyDescent="0.3">
      <c r="A173" s="3" t="s">
        <v>3734</v>
      </c>
      <c r="B173" s="98">
        <v>0.45</v>
      </c>
      <c r="C173" s="2"/>
      <c r="D173" s="66">
        <f>PLATEADO!F51</f>
        <v>2403</v>
      </c>
      <c r="E173" s="39">
        <f>D173</f>
        <v>2403</v>
      </c>
      <c r="F173" s="1"/>
      <c r="G173" s="1"/>
      <c r="H173" s="1"/>
      <c r="M173" s="211" t="s">
        <v>1559</v>
      </c>
      <c r="N173" s="962"/>
      <c r="O173" s="962"/>
      <c r="P173" s="212"/>
      <c r="Q173" s="212"/>
      <c r="R173" s="213">
        <f>R172*2</f>
        <v>9218.3333333333339</v>
      </c>
      <c r="S173" s="515">
        <f>R173+R173*70%</f>
        <v>15671.166666666668</v>
      </c>
      <c r="T173" s="961">
        <v>20000</v>
      </c>
    </row>
    <row r="174" spans="1:20" x14ac:dyDescent="0.25">
      <c r="A174" s="104" t="s">
        <v>1555</v>
      </c>
      <c r="B174" s="98" t="s">
        <v>1658</v>
      </c>
      <c r="C174" s="2">
        <v>1</v>
      </c>
      <c r="D174" s="66">
        <f>FORNITURAS!D8</f>
        <v>192.77777777777777</v>
      </c>
      <c r="E174" s="39">
        <f>D174*C174</f>
        <v>192.77777777777777</v>
      </c>
      <c r="F174" s="1"/>
      <c r="G174" s="1"/>
      <c r="H174" s="1"/>
      <c r="N174" s="958"/>
      <c r="O174" s="958"/>
      <c r="P174" s="958"/>
      <c r="Q174" s="958"/>
      <c r="R174" s="959"/>
      <c r="S174" s="959"/>
      <c r="T174" s="960"/>
    </row>
    <row r="175" spans="1:20" x14ac:dyDescent="0.25">
      <c r="A175" s="104" t="s">
        <v>3124</v>
      </c>
      <c r="B175" s="98"/>
      <c r="C175" s="2">
        <v>1</v>
      </c>
      <c r="D175" s="66">
        <f>FORNITURAS!F49</f>
        <v>64.833333333333329</v>
      </c>
      <c r="E175" s="39">
        <f>D175*C175</f>
        <v>64.833333333333329</v>
      </c>
      <c r="F175" s="1"/>
      <c r="G175" s="1"/>
      <c r="H175" s="1"/>
    </row>
    <row r="176" spans="1:20" x14ac:dyDescent="0.25">
      <c r="A176" s="104" t="s">
        <v>1537</v>
      </c>
      <c r="B176" s="98"/>
      <c r="C176" s="2"/>
      <c r="D176" s="66"/>
      <c r="E176" s="39">
        <f>PACKAGING!E7</f>
        <v>170</v>
      </c>
      <c r="F176" s="1"/>
      <c r="G176" s="1"/>
      <c r="H176" s="1"/>
      <c r="M176" s="1576" t="s">
        <v>2291</v>
      </c>
      <c r="N176" s="1577"/>
      <c r="O176" s="1577"/>
      <c r="P176" s="1577"/>
      <c r="Q176" s="1577"/>
      <c r="R176" s="1578"/>
      <c r="S176" s="171"/>
      <c r="T176" s="171"/>
    </row>
    <row r="177" spans="1:20" x14ac:dyDescent="0.25">
      <c r="A177" s="191" t="s">
        <v>1557</v>
      </c>
      <c r="B177" s="98"/>
      <c r="C177" s="2"/>
      <c r="D177" s="6"/>
      <c r="E177" s="39">
        <f>PACKAGING!E4</f>
        <v>80</v>
      </c>
      <c r="F177" s="162"/>
      <c r="G177" s="162"/>
      <c r="H177" s="1"/>
      <c r="M177" s="183" t="s">
        <v>916</v>
      </c>
      <c r="N177" s="97" t="s">
        <v>743</v>
      </c>
      <c r="O177" s="97"/>
      <c r="P177" s="76" t="s">
        <v>1547</v>
      </c>
      <c r="Q177" s="108" t="s">
        <v>747</v>
      </c>
      <c r="R177" s="77" t="s">
        <v>1549</v>
      </c>
      <c r="S177" s="1"/>
      <c r="T177" s="171"/>
    </row>
    <row r="178" spans="1:20" x14ac:dyDescent="0.25">
      <c r="A178" s="3" t="s">
        <v>4540</v>
      </c>
      <c r="B178" s="98"/>
      <c r="C178" s="2"/>
      <c r="D178" s="6"/>
      <c r="E178" s="39">
        <f>PACKAGING!I9</f>
        <v>1000</v>
      </c>
      <c r="F178" s="1"/>
      <c r="G178" s="1"/>
      <c r="H178" s="1"/>
      <c r="M178" s="3" t="s">
        <v>1969</v>
      </c>
      <c r="N178" s="98"/>
      <c r="O178" s="98"/>
      <c r="P178" s="2">
        <v>1</v>
      </c>
      <c r="Q178" s="66">
        <f>'AROS, CADENAS, DIJES, ETC'!O102</f>
        <v>3715</v>
      </c>
      <c r="R178" s="39">
        <f>Q178*P178</f>
        <v>3715</v>
      </c>
      <c r="S178" s="1"/>
      <c r="T178" s="171"/>
    </row>
    <row r="179" spans="1:20" ht="16.5" thickBot="1" x14ac:dyDescent="0.3">
      <c r="A179" s="79" t="s">
        <v>525</v>
      </c>
      <c r="B179" s="99"/>
      <c r="C179" s="70"/>
      <c r="D179" s="85"/>
      <c r="E179" s="51">
        <f>SUM(E173:E178)</f>
        <v>3910.6111111111113</v>
      </c>
      <c r="F179" s="60"/>
      <c r="G179" s="1"/>
      <c r="H179" s="1"/>
      <c r="M179" s="3" t="s">
        <v>1956</v>
      </c>
      <c r="N179" s="98">
        <v>0.5</v>
      </c>
      <c r="O179" s="98"/>
      <c r="P179" s="2">
        <v>0.45</v>
      </c>
      <c r="Q179" s="66">
        <f>'AROS, CADENAS, DIJES, ETC'!I30</f>
        <v>780</v>
      </c>
      <c r="R179" s="39">
        <f>Q179*P179/N179</f>
        <v>702</v>
      </c>
      <c r="S179" s="1"/>
      <c r="T179" s="171"/>
    </row>
    <row r="180" spans="1:20" ht="16.5" thickBot="1" x14ac:dyDescent="0.3">
      <c r="A180" s="80" t="s">
        <v>544</v>
      </c>
      <c r="B180" s="100"/>
      <c r="C180" s="71"/>
      <c r="D180" s="71"/>
      <c r="E180" s="72">
        <f>E179*2</f>
        <v>7821.2222222222226</v>
      </c>
      <c r="F180" s="512">
        <f>E180+E180*70%</f>
        <v>13296.077777777778</v>
      </c>
      <c r="G180" s="1277">
        <v>28000</v>
      </c>
      <c r="H180" s="1"/>
      <c r="M180" s="189" t="s">
        <v>1970</v>
      </c>
      <c r="N180" s="98">
        <v>0.17</v>
      </c>
      <c r="O180" s="98"/>
      <c r="P180" s="2">
        <v>0.02</v>
      </c>
      <c r="Q180" s="66">
        <f>'AROS, CADENAS, DIJES, ETC'!T12</f>
        <v>820</v>
      </c>
      <c r="R180" s="39">
        <f>Q180*P180/N180</f>
        <v>96.470588235294102</v>
      </c>
      <c r="S180" s="1"/>
      <c r="T180" s="171"/>
    </row>
    <row r="181" spans="1:20" ht="16.5" thickBot="1" x14ac:dyDescent="0.3">
      <c r="A181" s="81" t="s">
        <v>1559</v>
      </c>
      <c r="B181" s="101"/>
      <c r="C181" s="73"/>
      <c r="D181" s="73"/>
      <c r="E181" s="73"/>
      <c r="F181" s="522"/>
      <c r="G181" s="1275"/>
      <c r="H181" s="1" t="s">
        <v>3688</v>
      </c>
      <c r="M181" s="191" t="s">
        <v>1971</v>
      </c>
      <c r="N181" s="98" t="s">
        <v>1573</v>
      </c>
      <c r="O181" s="98"/>
      <c r="P181" s="2">
        <v>1</v>
      </c>
      <c r="Q181" s="66">
        <f>FORNITURAS!D7</f>
        <v>52</v>
      </c>
      <c r="R181" s="39">
        <f>Q181*P181</f>
        <v>52</v>
      </c>
      <c r="S181" s="1"/>
      <c r="T181" s="171"/>
    </row>
    <row r="182" spans="1:20" ht="16.5" thickBot="1" x14ac:dyDescent="0.3">
      <c r="M182" s="189" t="s">
        <v>1557</v>
      </c>
      <c r="N182" s="98" t="s">
        <v>1535</v>
      </c>
      <c r="O182" s="98"/>
      <c r="P182" s="2"/>
      <c r="Q182" s="6"/>
      <c r="R182" s="39">
        <f>PACKAGING!E4</f>
        <v>80</v>
      </c>
      <c r="S182" s="171"/>
      <c r="T182" s="171"/>
    </row>
    <row r="183" spans="1:20" ht="16.5" thickBot="1" x14ac:dyDescent="0.3">
      <c r="A183" s="1716" t="s">
        <v>3733</v>
      </c>
      <c r="B183" s="1717"/>
      <c r="C183" s="1717"/>
      <c r="D183" s="1717"/>
      <c r="E183" s="1718"/>
      <c r="F183" s="162"/>
      <c r="G183" s="162"/>
      <c r="H183" s="1"/>
      <c r="I183" s="1"/>
      <c r="M183" s="3" t="s">
        <v>1537</v>
      </c>
      <c r="N183" s="98"/>
      <c r="O183" s="98"/>
      <c r="P183" s="2"/>
      <c r="Q183" s="6"/>
      <c r="R183" s="39">
        <f>PACKAGING!E7</f>
        <v>170</v>
      </c>
      <c r="S183" s="1"/>
      <c r="T183" s="171"/>
    </row>
    <row r="184" spans="1:20" x14ac:dyDescent="0.25">
      <c r="A184" s="183" t="s">
        <v>916</v>
      </c>
      <c r="B184" s="97" t="s">
        <v>743</v>
      </c>
      <c r="C184" s="76" t="s">
        <v>1948</v>
      </c>
      <c r="D184" s="108" t="s">
        <v>747</v>
      </c>
      <c r="E184" s="77" t="s">
        <v>1549</v>
      </c>
      <c r="F184" s="1"/>
      <c r="G184" s="1"/>
      <c r="H184" s="1"/>
      <c r="I184" s="1"/>
      <c r="M184" s="3" t="s">
        <v>1538</v>
      </c>
      <c r="N184" s="98"/>
      <c r="O184" s="98"/>
      <c r="P184" s="2"/>
      <c r="Q184" s="6"/>
      <c r="R184" s="39">
        <f>PACKAGING!E8</f>
        <v>420</v>
      </c>
      <c r="S184" s="1"/>
      <c r="T184" s="171"/>
    </row>
    <row r="185" spans="1:20" x14ac:dyDescent="0.25">
      <c r="A185" s="3" t="s">
        <v>3734</v>
      </c>
      <c r="B185" s="98">
        <v>0.45</v>
      </c>
      <c r="C185" s="2"/>
      <c r="D185" s="66">
        <f>PLATEADO!F52</f>
        <v>5931</v>
      </c>
      <c r="E185" s="39">
        <f>D185</f>
        <v>5931</v>
      </c>
      <c r="F185" s="1"/>
      <c r="G185" s="1"/>
      <c r="H185" s="1"/>
      <c r="I185" s="1"/>
      <c r="M185" s="3" t="s">
        <v>1558</v>
      </c>
      <c r="N185" s="98">
        <v>60</v>
      </c>
      <c r="O185" s="98"/>
      <c r="P185" s="2">
        <v>10</v>
      </c>
      <c r="Q185" s="66">
        <f>'INSUMOS VARIOS'!B3</f>
        <v>3500</v>
      </c>
      <c r="R185" s="39">
        <f>Q185*P185/N185</f>
        <v>583.33333333333337</v>
      </c>
      <c r="S185" s="1"/>
      <c r="T185" s="171"/>
    </row>
    <row r="186" spans="1:20" ht="16.5" thickBot="1" x14ac:dyDescent="0.3">
      <c r="A186" s="104" t="s">
        <v>1555</v>
      </c>
      <c r="B186" s="98" t="s">
        <v>1658</v>
      </c>
      <c r="C186" s="2">
        <v>1</v>
      </c>
      <c r="D186" s="66">
        <f>FORNITURAS!D8</f>
        <v>192.77777777777777</v>
      </c>
      <c r="E186" s="39">
        <f>D186*C186</f>
        <v>192.77777777777777</v>
      </c>
      <c r="F186" s="1"/>
      <c r="G186" s="1"/>
      <c r="H186" s="1"/>
      <c r="I186" s="1"/>
      <c r="M186" s="79" t="s">
        <v>525</v>
      </c>
      <c r="N186" s="99"/>
      <c r="O186" s="99"/>
      <c r="P186" s="70"/>
      <c r="Q186" s="85"/>
      <c r="R186" s="51">
        <f>SUM(R177:R185)</f>
        <v>5818.8039215686267</v>
      </c>
      <c r="S186" s="171"/>
      <c r="T186" s="1"/>
    </row>
    <row r="187" spans="1:20" ht="19.5" thickBot="1" x14ac:dyDescent="0.3">
      <c r="A187" s="104" t="s">
        <v>3124</v>
      </c>
      <c r="B187" s="98"/>
      <c r="C187" s="2">
        <v>1</v>
      </c>
      <c r="D187" s="66">
        <f>FORNITURAS!F50</f>
        <v>106</v>
      </c>
      <c r="E187" s="39">
        <f>D187</f>
        <v>106</v>
      </c>
      <c r="F187" s="1"/>
      <c r="G187" s="1"/>
      <c r="H187" s="1"/>
      <c r="I187" s="1"/>
      <c r="M187" s="596" t="s">
        <v>1559</v>
      </c>
      <c r="N187" s="597"/>
      <c r="O187" s="597"/>
      <c r="P187" s="598"/>
      <c r="Q187" s="598"/>
      <c r="R187" s="215">
        <f>R186*2</f>
        <v>11637.607843137253</v>
      </c>
      <c r="S187" s="489">
        <f>R187+R187*70%</f>
        <v>19783.933333333331</v>
      </c>
      <c r="T187" s="210">
        <v>22000</v>
      </c>
    </row>
    <row r="188" spans="1:20" ht="18.75" x14ac:dyDescent="0.3">
      <c r="A188" s="104" t="s">
        <v>1537</v>
      </c>
      <c r="B188" s="98"/>
      <c r="C188" s="2"/>
      <c r="D188" s="66"/>
      <c r="E188" s="39">
        <f>PACKAGING!E7</f>
        <v>170</v>
      </c>
      <c r="F188" s="1"/>
      <c r="G188" s="1"/>
      <c r="H188" s="1"/>
      <c r="I188" s="1"/>
      <c r="T188" s="948"/>
    </row>
    <row r="189" spans="1:20" ht="16.5" thickBot="1" x14ac:dyDescent="0.3">
      <c r="A189" s="191" t="s">
        <v>1557</v>
      </c>
      <c r="B189" s="98"/>
      <c r="C189" s="2"/>
      <c r="D189" s="6"/>
      <c r="E189" s="39">
        <f>PACKAGING!E4</f>
        <v>80</v>
      </c>
      <c r="G189" s="1"/>
      <c r="M189" s="1602" t="s">
        <v>130</v>
      </c>
      <c r="N189" s="1600"/>
      <c r="O189" s="1600"/>
      <c r="P189" s="1600"/>
      <c r="Q189" s="1600"/>
      <c r="R189" s="1600"/>
      <c r="S189" s="171"/>
      <c r="T189" s="171"/>
    </row>
    <row r="190" spans="1:20" x14ac:dyDescent="0.25">
      <c r="A190" s="3" t="s">
        <v>4539</v>
      </c>
      <c r="B190" s="98"/>
      <c r="C190" s="2"/>
      <c r="D190" s="6"/>
      <c r="E190" s="39">
        <f>PACKAGING!I10</f>
        <v>1100</v>
      </c>
      <c r="F190" s="1"/>
      <c r="G190" s="1"/>
      <c r="M190" s="78" t="s">
        <v>916</v>
      </c>
      <c r="N190" s="385" t="s">
        <v>743</v>
      </c>
      <c r="O190" s="385"/>
      <c r="P190" s="82" t="s">
        <v>1547</v>
      </c>
      <c r="Q190" s="84" t="s">
        <v>747</v>
      </c>
      <c r="R190" s="83" t="s">
        <v>1549</v>
      </c>
      <c r="S190" s="1"/>
      <c r="T190" s="1"/>
    </row>
    <row r="191" spans="1:20" ht="16.5" thickBot="1" x14ac:dyDescent="0.3">
      <c r="A191" s="79" t="s">
        <v>525</v>
      </c>
      <c r="B191" s="99"/>
      <c r="C191" s="70"/>
      <c r="D191" s="85"/>
      <c r="E191" s="51">
        <f>SUM(E185:E189)</f>
        <v>6479.7777777777774</v>
      </c>
      <c r="F191" s="60"/>
      <c r="G191" s="1"/>
      <c r="M191" s="3" t="s">
        <v>1964</v>
      </c>
      <c r="N191" s="98" t="s">
        <v>950</v>
      </c>
      <c r="O191" s="98"/>
      <c r="P191" s="2">
        <v>1</v>
      </c>
      <c r="Q191" s="66">
        <f>'AROS, CADENAS, DIJES, ETC'!I11</f>
        <v>956</v>
      </c>
      <c r="R191" s="39">
        <f>Q191*P191</f>
        <v>956</v>
      </c>
      <c r="S191" s="1"/>
      <c r="T191" s="1"/>
    </row>
    <row r="192" spans="1:20" ht="16.5" thickBot="1" x14ac:dyDescent="0.3">
      <c r="A192" s="80" t="s">
        <v>544</v>
      </c>
      <c r="B192" s="100"/>
      <c r="C192" s="71"/>
      <c r="D192" s="71"/>
      <c r="E192" s="72">
        <f>E191*2</f>
        <v>12959.555555555555</v>
      </c>
      <c r="F192" s="512">
        <f>E192+E192*70%</f>
        <v>22031.244444444441</v>
      </c>
      <c r="G192" s="681">
        <v>40000</v>
      </c>
      <c r="H192" s="1" t="s">
        <v>3687</v>
      </c>
      <c r="M192" s="3" t="s">
        <v>3287</v>
      </c>
      <c r="N192" s="98"/>
      <c r="O192" s="98"/>
      <c r="P192" s="2">
        <v>1</v>
      </c>
      <c r="Q192" s="66">
        <f>'AROS, CADENAS, DIJES, ETC'!O144</f>
        <v>4626</v>
      </c>
      <c r="R192" s="39">
        <f>Q192*P192</f>
        <v>4626</v>
      </c>
      <c r="S192" s="1"/>
      <c r="T192" s="1"/>
    </row>
    <row r="193" spans="1:20" ht="16.5" thickBot="1" x14ac:dyDescent="0.3">
      <c r="A193" s="81" t="s">
        <v>1559</v>
      </c>
      <c r="B193" s="101"/>
      <c r="C193" s="73"/>
      <c r="D193" s="73"/>
      <c r="E193" s="73"/>
      <c r="F193" s="522"/>
      <c r="G193" s="1275"/>
      <c r="M193" s="1701" t="s">
        <v>1555</v>
      </c>
      <c r="N193" s="98" t="s">
        <v>1556</v>
      </c>
      <c r="O193" s="98"/>
      <c r="P193" s="2">
        <v>1</v>
      </c>
      <c r="Q193" s="66">
        <f>FORNITURAS!D4</f>
        <v>48.7</v>
      </c>
      <c r="R193" s="39">
        <f>Q193*P193</f>
        <v>48.7</v>
      </c>
      <c r="S193" s="1"/>
      <c r="T193" s="1"/>
    </row>
    <row r="194" spans="1:20" x14ac:dyDescent="0.25">
      <c r="M194" s="1711"/>
      <c r="N194" s="98" t="s">
        <v>1933</v>
      </c>
      <c r="O194" s="98"/>
      <c r="P194" s="2">
        <v>1</v>
      </c>
      <c r="Q194" s="66">
        <f>FORNITURAS!D5</f>
        <v>46.8</v>
      </c>
      <c r="R194" s="39">
        <f>Q194*P194</f>
        <v>46.8</v>
      </c>
      <c r="S194" s="1"/>
      <c r="T194" s="1"/>
    </row>
    <row r="195" spans="1:20" x14ac:dyDescent="0.25">
      <c r="M195" s="1702"/>
      <c r="N195" s="98" t="s">
        <v>1573</v>
      </c>
      <c r="O195" s="98"/>
      <c r="P195" s="2">
        <v>1</v>
      </c>
      <c r="Q195" s="66">
        <f>FORNITURAS!D7</f>
        <v>52</v>
      </c>
      <c r="R195" s="39">
        <f>Q195*P195</f>
        <v>52</v>
      </c>
      <c r="S195" s="1"/>
      <c r="T195" s="1"/>
    </row>
    <row r="196" spans="1:20" x14ac:dyDescent="0.25">
      <c r="C196" s="1"/>
      <c r="M196" s="191" t="s">
        <v>1587</v>
      </c>
      <c r="N196" s="98"/>
      <c r="O196" s="98"/>
      <c r="P196" s="2">
        <v>1</v>
      </c>
      <c r="Q196" s="66">
        <f>FORNITURAS!D18</f>
        <v>363</v>
      </c>
      <c r="R196" s="39">
        <f>Q196</f>
        <v>363</v>
      </c>
      <c r="S196" s="1"/>
      <c r="T196" s="1"/>
    </row>
    <row r="197" spans="1:20" x14ac:dyDescent="0.25">
      <c r="M197" s="189" t="s">
        <v>1557</v>
      </c>
      <c r="N197" s="98"/>
      <c r="O197" s="98"/>
      <c r="P197" s="2"/>
      <c r="Q197" s="6"/>
      <c r="R197" s="39">
        <f>PACKAGING!E4</f>
        <v>80</v>
      </c>
      <c r="S197" s="1"/>
      <c r="T197" s="171"/>
    </row>
    <row r="198" spans="1:20" x14ac:dyDescent="0.25">
      <c r="M198" s="3" t="s">
        <v>1537</v>
      </c>
      <c r="N198" s="98"/>
      <c r="O198" s="98"/>
      <c r="P198" s="2"/>
      <c r="Q198" s="6"/>
      <c r="R198" s="39">
        <f>PACKAGING!E7</f>
        <v>170</v>
      </c>
      <c r="S198" s="1"/>
      <c r="T198" s="1"/>
    </row>
    <row r="199" spans="1:20" x14ac:dyDescent="0.25">
      <c r="M199" s="3" t="s">
        <v>1538</v>
      </c>
      <c r="N199" s="98"/>
      <c r="O199" s="98"/>
      <c r="P199" s="2"/>
      <c r="Q199" s="6"/>
      <c r="R199" s="39">
        <f>PACKAGING!E8</f>
        <v>420</v>
      </c>
      <c r="S199" s="1"/>
      <c r="T199" s="1"/>
    </row>
    <row r="200" spans="1:20" x14ac:dyDescent="0.25">
      <c r="M200" s="3" t="s">
        <v>1618</v>
      </c>
      <c r="N200" s="98">
        <v>60</v>
      </c>
      <c r="O200" s="98"/>
      <c r="P200" s="2">
        <v>5</v>
      </c>
      <c r="Q200" s="66">
        <f>'INSUMOS VARIOS'!B3</f>
        <v>3500</v>
      </c>
      <c r="R200" s="39">
        <f>Q200*P200/N200</f>
        <v>291.66666666666669</v>
      </c>
      <c r="S200" s="1"/>
      <c r="T200" s="1"/>
    </row>
    <row r="201" spans="1:20" ht="16.5" thickBot="1" x14ac:dyDescent="0.3">
      <c r="M201" s="79" t="s">
        <v>525</v>
      </c>
      <c r="N201" s="99"/>
      <c r="O201" s="99"/>
      <c r="P201" s="70"/>
      <c r="Q201" s="85"/>
      <c r="R201" s="51">
        <f>SUM(R191:R200)</f>
        <v>7054.166666666667</v>
      </c>
      <c r="S201" s="1"/>
      <c r="T201" s="1"/>
    </row>
    <row r="202" spans="1:20" ht="19.5" thickBot="1" x14ac:dyDescent="0.3">
      <c r="M202" s="596" t="s">
        <v>1559</v>
      </c>
      <c r="N202" s="597"/>
      <c r="O202" s="597"/>
      <c r="P202" s="598"/>
      <c r="Q202" s="598"/>
      <c r="R202" s="599">
        <f>R201*2</f>
        <v>14108.333333333334</v>
      </c>
      <c r="S202" s="515">
        <f>R202+R202*70%</f>
        <v>23984.166666666668</v>
      </c>
      <c r="T202" s="531">
        <v>24000</v>
      </c>
    </row>
    <row r="203" spans="1:20" ht="16.5" thickBot="1" x14ac:dyDescent="0.3"/>
    <row r="204" spans="1:20" ht="16.5" thickBot="1" x14ac:dyDescent="0.3">
      <c r="M204" s="1716" t="s">
        <v>3583</v>
      </c>
      <c r="N204" s="1717"/>
      <c r="O204" s="1717"/>
      <c r="P204" s="1717"/>
      <c r="Q204" s="1717"/>
      <c r="R204" s="1717"/>
      <c r="S204" s="631"/>
      <c r="T204" s="171"/>
    </row>
    <row r="205" spans="1:20" x14ac:dyDescent="0.25">
      <c r="M205" s="183" t="s">
        <v>916</v>
      </c>
      <c r="N205" s="97" t="s">
        <v>743</v>
      </c>
      <c r="O205" s="97"/>
      <c r="P205" s="76" t="s">
        <v>1547</v>
      </c>
      <c r="Q205" s="108" t="s">
        <v>747</v>
      </c>
      <c r="R205" s="77" t="s">
        <v>1549</v>
      </c>
      <c r="S205" s="1"/>
      <c r="T205" s="171"/>
    </row>
    <row r="206" spans="1:20" x14ac:dyDescent="0.25">
      <c r="M206" s="3" t="s">
        <v>3743</v>
      </c>
      <c r="N206" s="98"/>
      <c r="O206" s="98"/>
      <c r="P206" s="2">
        <v>1</v>
      </c>
      <c r="Q206" s="66">
        <f>'AROS, CADENAS, DIJES, ETC'!O56</f>
        <v>8538</v>
      </c>
      <c r="R206" s="39">
        <f>Q206*P206</f>
        <v>8538</v>
      </c>
      <c r="S206" s="1"/>
      <c r="T206" s="171"/>
    </row>
    <row r="207" spans="1:20" x14ac:dyDescent="0.25">
      <c r="M207" s="3" t="s">
        <v>3742</v>
      </c>
      <c r="N207" s="98">
        <v>0.5</v>
      </c>
      <c r="O207" s="98"/>
      <c r="P207" s="2">
        <v>0.55000000000000004</v>
      </c>
      <c r="Q207" s="66">
        <f>'AROS, CADENAS, DIJES, ETC'!I25</f>
        <v>1100</v>
      </c>
      <c r="R207" s="39">
        <f>Q207*P207/N207</f>
        <v>1210</v>
      </c>
      <c r="S207" s="1"/>
      <c r="T207" s="171"/>
    </row>
    <row r="208" spans="1:20" x14ac:dyDescent="0.25">
      <c r="M208" s="1701" t="s">
        <v>1971</v>
      </c>
      <c r="N208" s="98" t="s">
        <v>1556</v>
      </c>
      <c r="O208" s="98"/>
      <c r="P208" s="2">
        <v>5</v>
      </c>
      <c r="Q208" s="66">
        <f>FORNITURAS!D4</f>
        <v>48.7</v>
      </c>
      <c r="R208" s="39">
        <f>Q208*P208</f>
        <v>243.5</v>
      </c>
      <c r="S208" s="1"/>
      <c r="T208" s="171"/>
    </row>
    <row r="209" spans="13:20" x14ac:dyDescent="0.25">
      <c r="M209" s="1702"/>
      <c r="N209" s="98" t="s">
        <v>1573</v>
      </c>
      <c r="O209" s="98"/>
      <c r="P209" s="2">
        <v>1</v>
      </c>
      <c r="Q209" s="66">
        <f>FORNITURAS!D7</f>
        <v>52</v>
      </c>
      <c r="R209" s="39">
        <f>Q209</f>
        <v>52</v>
      </c>
      <c r="S209" s="1"/>
      <c r="T209" s="171"/>
    </row>
    <row r="210" spans="13:20" x14ac:dyDescent="0.25">
      <c r="M210" s="189" t="s">
        <v>1557</v>
      </c>
      <c r="N210" s="98" t="s">
        <v>1535</v>
      </c>
      <c r="O210" s="98"/>
      <c r="P210" s="2"/>
      <c r="Q210" s="6"/>
      <c r="R210" s="39">
        <f>PACKAGING!E4</f>
        <v>80</v>
      </c>
      <c r="S210" s="171"/>
      <c r="T210" s="171"/>
    </row>
    <row r="211" spans="13:20" x14ac:dyDescent="0.25">
      <c r="M211" s="3" t="s">
        <v>1537</v>
      </c>
      <c r="N211" s="98"/>
      <c r="O211" s="98"/>
      <c r="P211" s="2"/>
      <c r="Q211" s="6"/>
      <c r="R211" s="39">
        <f>PACKAGING!E7</f>
        <v>170</v>
      </c>
      <c r="S211" s="1"/>
      <c r="T211" s="171"/>
    </row>
    <row r="212" spans="13:20" x14ac:dyDescent="0.25">
      <c r="M212" s="3" t="s">
        <v>4539</v>
      </c>
      <c r="N212" s="98"/>
      <c r="O212" s="98"/>
      <c r="P212" s="2"/>
      <c r="Q212" s="6"/>
      <c r="R212" s="39">
        <f>PACKAGING!I9</f>
        <v>1000</v>
      </c>
      <c r="S212" s="1"/>
      <c r="T212" s="171"/>
    </row>
    <row r="213" spans="13:20" x14ac:dyDescent="0.25">
      <c r="M213" s="3" t="s">
        <v>1558</v>
      </c>
      <c r="N213" s="98">
        <v>60</v>
      </c>
      <c r="O213" s="98"/>
      <c r="P213" s="2">
        <v>15</v>
      </c>
      <c r="Q213" s="66">
        <f>'INSUMOS VARIOS'!B3</f>
        <v>3500</v>
      </c>
      <c r="R213" s="39">
        <f>Q213*P213/N213</f>
        <v>875</v>
      </c>
      <c r="S213" s="1"/>
      <c r="T213" s="171"/>
    </row>
    <row r="214" spans="13:20" ht="16.5" thickBot="1" x14ac:dyDescent="0.3">
      <c r="M214" s="79" t="s">
        <v>525</v>
      </c>
      <c r="N214" s="99"/>
      <c r="O214" s="99"/>
      <c r="P214" s="70"/>
      <c r="Q214" s="85"/>
      <c r="R214" s="51">
        <f>SUM(R205:R213)</f>
        <v>12168.5</v>
      </c>
      <c r="S214" s="171"/>
      <c r="T214" s="1"/>
    </row>
    <row r="215" spans="13:20" ht="19.5" thickBot="1" x14ac:dyDescent="0.3">
      <c r="M215" s="596" t="s">
        <v>1559</v>
      </c>
      <c r="N215" s="597"/>
      <c r="O215" s="597"/>
      <c r="P215" s="598"/>
      <c r="Q215" s="598"/>
      <c r="R215" s="215">
        <f>R214*2</f>
        <v>24337</v>
      </c>
      <c r="S215" s="489">
        <f>R215+R215*70%</f>
        <v>41372.899999999994</v>
      </c>
      <c r="T215" s="210">
        <v>44000</v>
      </c>
    </row>
  </sheetData>
  <mergeCells count="50">
    <mergeCell ref="M189:R189"/>
    <mergeCell ref="M193:M195"/>
    <mergeCell ref="A84:E84"/>
    <mergeCell ref="M176:R176"/>
    <mergeCell ref="M147:R147"/>
    <mergeCell ref="M151:M153"/>
    <mergeCell ref="M161:R161"/>
    <mergeCell ref="M165:M167"/>
    <mergeCell ref="M123:M125"/>
    <mergeCell ref="M133:R133"/>
    <mergeCell ref="M137:M139"/>
    <mergeCell ref="A95:E95"/>
    <mergeCell ref="A121:E121"/>
    <mergeCell ref="A146:E146"/>
    <mergeCell ref="A106:E106"/>
    <mergeCell ref="A109:A110"/>
    <mergeCell ref="A183:E183"/>
    <mergeCell ref="A158:E158"/>
    <mergeCell ref="M19:R19"/>
    <mergeCell ref="A161:A162"/>
    <mergeCell ref="A171:E171"/>
    <mergeCell ref="A133:E133"/>
    <mergeCell ref="Z4:AD4"/>
    <mergeCell ref="Z17:AD17"/>
    <mergeCell ref="M119:R119"/>
    <mergeCell ref="Y2:AG2"/>
    <mergeCell ref="M104:R104"/>
    <mergeCell ref="M114:M115"/>
    <mergeCell ref="M33:R33"/>
    <mergeCell ref="M93:R93"/>
    <mergeCell ref="M23:M24"/>
    <mergeCell ref="M67:M69"/>
    <mergeCell ref="M60:R60"/>
    <mergeCell ref="M48:R48"/>
    <mergeCell ref="M204:R204"/>
    <mergeCell ref="M208:M209"/>
    <mergeCell ref="A2:J2"/>
    <mergeCell ref="L2:X2"/>
    <mergeCell ref="M37:M39"/>
    <mergeCell ref="M79:R79"/>
    <mergeCell ref="A61:E61"/>
    <mergeCell ref="A72:E72"/>
    <mergeCell ref="A4:E4"/>
    <mergeCell ref="A50:E50"/>
    <mergeCell ref="A28:E28"/>
    <mergeCell ref="A40:E40"/>
    <mergeCell ref="A16:E16"/>
    <mergeCell ref="M10:M11"/>
    <mergeCell ref="M6:M7"/>
    <mergeCell ref="M4:R4"/>
  </mergeCells>
  <pageMargins left="0.7" right="0.7" top="0.75" bottom="0.75" header="0.3" footer="0.3"/>
  <pageSetup orientation="portrait" r:id="rId1"/>
  <ignoredErrors>
    <ignoredError sqref="R179 R7 E165 E186 R207 E20" formula="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Hoja21"/>
  <dimension ref="A1:H49"/>
  <sheetViews>
    <sheetView topLeftCell="A17" workbookViewId="0">
      <selection activeCell="G7" sqref="G7"/>
    </sheetView>
  </sheetViews>
  <sheetFormatPr baseColWidth="10" defaultColWidth="11.42578125" defaultRowHeight="15" x14ac:dyDescent="0.25"/>
  <cols>
    <col min="1" max="1" width="13.5703125" bestFit="1" customWidth="1"/>
    <col min="6" max="6" width="11.85546875" bestFit="1" customWidth="1"/>
    <col min="7" max="7" width="15.85546875" bestFit="1" customWidth="1"/>
    <col min="8" max="8" width="15.140625" bestFit="1" customWidth="1"/>
  </cols>
  <sheetData>
    <row r="1" spans="1:8" ht="15.75" thickBot="1" x14ac:dyDescent="0.3"/>
    <row r="2" spans="1:8" ht="16.5" thickBot="1" x14ac:dyDescent="0.3">
      <c r="A2" s="1565" t="s">
        <v>1972</v>
      </c>
      <c r="B2" s="1566"/>
      <c r="C2" s="1566"/>
      <c r="D2" s="1566"/>
      <c r="E2" s="1567"/>
    </row>
    <row r="3" spans="1:8" ht="15.75" x14ac:dyDescent="0.25">
      <c r="A3" s="183" t="s">
        <v>916</v>
      </c>
      <c r="B3" s="97" t="s">
        <v>742</v>
      </c>
      <c r="C3" s="97" t="s">
        <v>1566</v>
      </c>
      <c r="D3" s="76" t="s">
        <v>1035</v>
      </c>
      <c r="E3" s="77" t="s">
        <v>1549</v>
      </c>
      <c r="F3" s="1"/>
    </row>
    <row r="4" spans="1:8" ht="15.75" x14ac:dyDescent="0.25">
      <c r="A4" s="3" t="s">
        <v>990</v>
      </c>
      <c r="B4" s="98" t="s">
        <v>950</v>
      </c>
      <c r="C4" s="98">
        <v>1</v>
      </c>
      <c r="D4" s="102">
        <f>'AROS, CADENAS, DIJES, ETC'!I25</f>
        <v>1100</v>
      </c>
      <c r="E4" s="39">
        <f>C4*D4</f>
        <v>1100</v>
      </c>
      <c r="F4" s="1"/>
    </row>
    <row r="5" spans="1:8" ht="15.75" x14ac:dyDescent="0.25">
      <c r="A5" s="184" t="s">
        <v>851</v>
      </c>
      <c r="B5" s="98"/>
      <c r="C5" s="98">
        <v>1</v>
      </c>
      <c r="D5" s="102">
        <f>'AROS, CADENAS, DIJES, ETC'!O45</f>
        <v>333</v>
      </c>
      <c r="E5" s="39">
        <f>C5*D5</f>
        <v>333</v>
      </c>
      <c r="F5" s="1"/>
    </row>
    <row r="6" spans="1:8" ht="15.75" x14ac:dyDescent="0.25">
      <c r="A6" s="184" t="s">
        <v>1644</v>
      </c>
      <c r="B6" s="98"/>
      <c r="C6" s="98">
        <v>40</v>
      </c>
      <c r="D6" s="102">
        <f>VIDRIOS!E44</f>
        <v>20.833333333333332</v>
      </c>
      <c r="E6" s="39">
        <f>D6*C6</f>
        <v>833.33333333333326</v>
      </c>
      <c r="F6" s="1"/>
    </row>
    <row r="7" spans="1:8" ht="15.75" x14ac:dyDescent="0.25">
      <c r="A7" s="1701" t="s">
        <v>1555</v>
      </c>
      <c r="B7" s="98" t="s">
        <v>1556</v>
      </c>
      <c r="C7" s="98">
        <v>5</v>
      </c>
      <c r="D7" s="102">
        <f>FORNITURAS!D4</f>
        <v>48.7</v>
      </c>
      <c r="E7" s="39">
        <f>D7*C7</f>
        <v>243.5</v>
      </c>
      <c r="F7" s="1"/>
    </row>
    <row r="8" spans="1:8" ht="15.75" x14ac:dyDescent="0.25">
      <c r="A8" s="1702"/>
      <c r="B8" s="98" t="s">
        <v>1573</v>
      </c>
      <c r="C8" s="98">
        <v>1</v>
      </c>
      <c r="D8" s="102">
        <f>FORNITURAS!D7</f>
        <v>52</v>
      </c>
      <c r="E8" s="39">
        <f>D8*C8</f>
        <v>52</v>
      </c>
      <c r="F8" s="1"/>
    </row>
    <row r="9" spans="1:8" ht="15.75" x14ac:dyDescent="0.25">
      <c r="A9" s="189" t="s">
        <v>1587</v>
      </c>
      <c r="B9" s="98"/>
      <c r="C9" s="98">
        <v>1</v>
      </c>
      <c r="D9" s="102">
        <f>FORNITURAS!D18</f>
        <v>363</v>
      </c>
      <c r="E9" s="39">
        <f>D9*C9</f>
        <v>363</v>
      </c>
      <c r="F9" s="1"/>
    </row>
    <row r="10" spans="1:8" ht="15.75" x14ac:dyDescent="0.25">
      <c r="A10" s="191" t="s">
        <v>1050</v>
      </c>
      <c r="B10" s="98" t="s">
        <v>1056</v>
      </c>
      <c r="C10" s="98">
        <v>0.2</v>
      </c>
      <c r="D10" s="102">
        <f>FORNITURAS!W4</f>
        <v>1404.9107142857144</v>
      </c>
      <c r="E10" s="39">
        <f>D10*C10</f>
        <v>280.98214285714289</v>
      </c>
      <c r="F10" s="1"/>
    </row>
    <row r="11" spans="1:8" ht="15.75" x14ac:dyDescent="0.25">
      <c r="A11" s="184" t="s">
        <v>1588</v>
      </c>
      <c r="B11" s="98"/>
      <c r="C11" s="98"/>
      <c r="D11" s="102"/>
      <c r="E11" s="39">
        <f>PACKAGING!E3</f>
        <v>150</v>
      </c>
      <c r="F11" s="1"/>
    </row>
    <row r="12" spans="1:8" ht="15.75" x14ac:dyDescent="0.25">
      <c r="A12" s="3" t="s">
        <v>1537</v>
      </c>
      <c r="B12" s="98"/>
      <c r="C12" s="98"/>
      <c r="D12" s="2"/>
      <c r="E12" s="39">
        <f>PACKAGING!E7</f>
        <v>170</v>
      </c>
      <c r="F12" s="1"/>
    </row>
    <row r="13" spans="1:8" ht="15.75" x14ac:dyDescent="0.25">
      <c r="A13" s="3" t="s">
        <v>1538</v>
      </c>
      <c r="B13" s="98"/>
      <c r="C13" s="98"/>
      <c r="D13" s="2"/>
      <c r="E13" s="39">
        <f>PACKAGING!E8</f>
        <v>420</v>
      </c>
      <c r="F13" s="1"/>
    </row>
    <row r="14" spans="1:8" ht="15.75" x14ac:dyDescent="0.25">
      <c r="A14" s="3" t="s">
        <v>1618</v>
      </c>
      <c r="B14" s="98">
        <v>60</v>
      </c>
      <c r="C14" s="98">
        <v>35</v>
      </c>
      <c r="D14" s="102">
        <f>'INSUMOS VARIOS'!B3</f>
        <v>3500</v>
      </c>
      <c r="E14" s="39">
        <f>D14*C14/B14</f>
        <v>2041.6666666666667</v>
      </c>
      <c r="F14" s="1"/>
    </row>
    <row r="15" spans="1:8" ht="16.5" thickBot="1" x14ac:dyDescent="0.3">
      <c r="A15" s="79" t="s">
        <v>525</v>
      </c>
      <c r="B15" s="99"/>
      <c r="C15" s="99"/>
      <c r="D15" s="70"/>
      <c r="E15" s="51">
        <f>SUM(E4:E14)</f>
        <v>5987.4821428571431</v>
      </c>
      <c r="G15" s="467"/>
      <c r="H15" s="422" t="s">
        <v>1725</v>
      </c>
    </row>
    <row r="16" spans="1:8" ht="18.75" x14ac:dyDescent="0.25">
      <c r="A16" s="80" t="s">
        <v>544</v>
      </c>
      <c r="B16" s="100"/>
      <c r="C16" s="100"/>
      <c r="D16" s="71"/>
      <c r="E16" s="267">
        <f>E15*2</f>
        <v>11974.964285714286</v>
      </c>
      <c r="F16" s="496">
        <f>E16+E16*50%</f>
        <v>17962.446428571428</v>
      </c>
      <c r="G16" s="278">
        <v>28000</v>
      </c>
      <c r="H16" s="423"/>
    </row>
    <row r="17" spans="1:8" ht="19.5" thickBot="1" x14ac:dyDescent="0.3">
      <c r="A17" s="81" t="s">
        <v>1559</v>
      </c>
      <c r="B17" s="101"/>
      <c r="C17" s="101"/>
      <c r="D17" s="73"/>
      <c r="E17" s="280"/>
      <c r="F17" s="505"/>
      <c r="G17" s="279"/>
      <c r="H17" s="423"/>
    </row>
    <row r="18" spans="1:8" ht="15.75" thickBot="1" x14ac:dyDescent="0.3"/>
    <row r="19" spans="1:8" ht="16.5" thickBot="1" x14ac:dyDescent="0.3">
      <c r="A19" s="1565" t="s">
        <v>1973</v>
      </c>
      <c r="B19" s="1566"/>
      <c r="C19" s="1566"/>
      <c r="D19" s="1566"/>
      <c r="E19" s="1567"/>
    </row>
    <row r="20" spans="1:8" ht="15.75" x14ac:dyDescent="0.25">
      <c r="A20" s="183" t="s">
        <v>916</v>
      </c>
      <c r="B20" s="97" t="s">
        <v>742</v>
      </c>
      <c r="C20" s="97" t="s">
        <v>1566</v>
      </c>
      <c r="D20" s="76" t="s">
        <v>1035</v>
      </c>
      <c r="E20" s="77" t="s">
        <v>1549</v>
      </c>
      <c r="F20" s="1"/>
    </row>
    <row r="21" spans="1:8" ht="15.75" x14ac:dyDescent="0.25">
      <c r="A21" s="184" t="s">
        <v>1644</v>
      </c>
      <c r="B21" s="98"/>
      <c r="C21" s="98">
        <v>38</v>
      </c>
      <c r="D21" s="102">
        <f>VIDRIOS!E44</f>
        <v>20.833333333333332</v>
      </c>
      <c r="E21" s="39">
        <f>D21*C21</f>
        <v>791.66666666666663</v>
      </c>
      <c r="F21" s="1"/>
    </row>
    <row r="22" spans="1:8" ht="15.75" x14ac:dyDescent="0.25">
      <c r="A22" s="334" t="s">
        <v>1555</v>
      </c>
      <c r="B22" s="98" t="s">
        <v>1556</v>
      </c>
      <c r="C22" s="98">
        <v>2</v>
      </c>
      <c r="D22" s="102">
        <f>FORNITURAS!D4</f>
        <v>48.7</v>
      </c>
      <c r="E22" s="39">
        <f>D22*C22</f>
        <v>97.4</v>
      </c>
      <c r="F22" s="1"/>
    </row>
    <row r="23" spans="1:8" ht="15.75" x14ac:dyDescent="0.25">
      <c r="A23" s="20" t="s">
        <v>1587</v>
      </c>
      <c r="B23" s="98"/>
      <c r="C23" s="98">
        <v>1</v>
      </c>
      <c r="D23" s="102">
        <f>FORNITURAS!D18</f>
        <v>363</v>
      </c>
      <c r="E23" s="39">
        <f>D23*C23</f>
        <v>363</v>
      </c>
      <c r="F23" s="1"/>
    </row>
    <row r="24" spans="1:8" ht="15.75" x14ac:dyDescent="0.25">
      <c r="A24" s="191" t="s">
        <v>1050</v>
      </c>
      <c r="B24" s="98" t="s">
        <v>1056</v>
      </c>
      <c r="C24" s="98">
        <v>0.14000000000000001</v>
      </c>
      <c r="D24" s="102">
        <f>FORNITURAS!W4</f>
        <v>1404.9107142857144</v>
      </c>
      <c r="E24" s="39">
        <f>D24*C24</f>
        <v>196.68750000000003</v>
      </c>
      <c r="F24" s="1"/>
    </row>
    <row r="25" spans="1:8" ht="15.75" x14ac:dyDescent="0.25">
      <c r="A25" s="184" t="s">
        <v>1588</v>
      </c>
      <c r="B25" s="98"/>
      <c r="C25" s="98"/>
      <c r="D25" s="102"/>
      <c r="E25" s="39">
        <f>PACKAGING!E3</f>
        <v>150</v>
      </c>
      <c r="F25" s="1"/>
    </row>
    <row r="26" spans="1:8" ht="15.75" x14ac:dyDescent="0.25">
      <c r="A26" s="3" t="s">
        <v>1538</v>
      </c>
      <c r="B26" s="98"/>
      <c r="C26" s="98"/>
      <c r="D26" s="2"/>
      <c r="E26" s="39">
        <f>PACKAGING!E8</f>
        <v>420</v>
      </c>
      <c r="F26" s="1"/>
    </row>
    <row r="27" spans="1:8" ht="15.75" x14ac:dyDescent="0.25">
      <c r="A27" s="3" t="s">
        <v>1618</v>
      </c>
      <c r="B27" s="98">
        <v>60</v>
      </c>
      <c r="C27" s="98">
        <v>25</v>
      </c>
      <c r="D27" s="102">
        <f>'COLLAR INICIAL'!D14</f>
        <v>3500</v>
      </c>
      <c r="E27" s="39">
        <f>D27*C27/B27</f>
        <v>1458.3333333333333</v>
      </c>
      <c r="F27" s="1"/>
    </row>
    <row r="28" spans="1:8" ht="16.5" thickBot="1" x14ac:dyDescent="0.3">
      <c r="A28" s="79" t="s">
        <v>525</v>
      </c>
      <c r="B28" s="99"/>
      <c r="C28" s="99"/>
      <c r="D28" s="70"/>
      <c r="E28" s="51">
        <f>SUM(E21:E27)</f>
        <v>3477.0874999999996</v>
      </c>
      <c r="H28" s="422" t="s">
        <v>1725</v>
      </c>
    </row>
    <row r="29" spans="1:8" ht="18.75" x14ac:dyDescent="0.25">
      <c r="A29" s="80" t="s">
        <v>544</v>
      </c>
      <c r="B29" s="100"/>
      <c r="C29" s="100"/>
      <c r="D29" s="71"/>
      <c r="E29" s="221">
        <f>E28*2</f>
        <v>6954.1749999999993</v>
      </c>
      <c r="F29" s="492">
        <f>E29+E29*70%</f>
        <v>11822.097499999998</v>
      </c>
      <c r="G29" s="278">
        <v>18000</v>
      </c>
      <c r="H29" s="423"/>
    </row>
    <row r="30" spans="1:8" ht="19.5" thickBot="1" x14ac:dyDescent="0.3">
      <c r="A30" s="81" t="s">
        <v>1559</v>
      </c>
      <c r="B30" s="101"/>
      <c r="C30" s="101"/>
      <c r="D30" s="73"/>
      <c r="E30" s="222"/>
      <c r="F30" s="493"/>
      <c r="G30" s="279"/>
      <c r="H30" s="423"/>
    </row>
    <row r="32" spans="1:8" ht="15.75" x14ac:dyDescent="0.25">
      <c r="A32" s="1602" t="s">
        <v>1974</v>
      </c>
      <c r="B32" s="1600"/>
      <c r="C32" s="1600"/>
      <c r="D32" s="1600"/>
      <c r="E32" s="1600"/>
      <c r="F32" s="1600"/>
      <c r="G32" s="171"/>
      <c r="H32" s="171"/>
    </row>
    <row r="33" spans="1:8" ht="15.75" x14ac:dyDescent="0.25">
      <c r="A33" s="183" t="s">
        <v>916</v>
      </c>
      <c r="B33" s="97" t="s">
        <v>743</v>
      </c>
      <c r="C33" s="97" t="s">
        <v>1089</v>
      </c>
      <c r="D33" s="97" t="s">
        <v>1566</v>
      </c>
      <c r="E33" s="76" t="s">
        <v>1035</v>
      </c>
      <c r="F33" s="77" t="s">
        <v>1549</v>
      </c>
      <c r="G33" s="1"/>
      <c r="H33" s="171"/>
    </row>
    <row r="34" spans="1:8" ht="15.75" x14ac:dyDescent="0.25">
      <c r="A34" s="184" t="s">
        <v>1485</v>
      </c>
      <c r="B34" s="98"/>
      <c r="C34" s="98"/>
      <c r="D34" s="98">
        <v>1</v>
      </c>
      <c r="E34" s="102">
        <f>VIDRIOS!D43</f>
        <v>2500</v>
      </c>
      <c r="F34" s="374">
        <f>E34*D34</f>
        <v>2500</v>
      </c>
      <c r="G34" s="1"/>
      <c r="H34" s="171"/>
    </row>
    <row r="35" spans="1:8" ht="15.75" x14ac:dyDescent="0.25">
      <c r="A35" s="184" t="s">
        <v>1975</v>
      </c>
      <c r="B35" s="98"/>
      <c r="C35" s="98"/>
      <c r="D35" s="98">
        <v>1</v>
      </c>
      <c r="E35" s="102">
        <f>'AROS, CADENAS, DIJES, ETC'!O9</f>
        <v>114</v>
      </c>
      <c r="F35" s="39">
        <f>D35*E35</f>
        <v>114</v>
      </c>
      <c r="G35" s="1"/>
      <c r="H35" s="171"/>
    </row>
    <row r="36" spans="1:8" ht="15.75" x14ac:dyDescent="0.25">
      <c r="A36" s="184" t="s">
        <v>1976</v>
      </c>
      <c r="B36" s="98"/>
      <c r="C36" s="98"/>
      <c r="D36" s="98">
        <v>1</v>
      </c>
      <c r="E36" s="102">
        <f>'PALAIS DU BIJOU'!M40</f>
        <v>214</v>
      </c>
      <c r="F36" s="39">
        <f>D36*E36</f>
        <v>214</v>
      </c>
      <c r="G36" s="1"/>
      <c r="H36" s="171"/>
    </row>
    <row r="37" spans="1:8" ht="15.75" x14ac:dyDescent="0.25">
      <c r="A37" s="184" t="s">
        <v>908</v>
      </c>
      <c r="B37" s="98"/>
      <c r="C37" s="98"/>
      <c r="D37" s="98">
        <v>0.1</v>
      </c>
      <c r="E37" s="102">
        <f>'AROS, CADENAS, DIJES, ETC'!I38</f>
        <v>3630</v>
      </c>
      <c r="F37" s="39">
        <f>D37*E37</f>
        <v>363</v>
      </c>
      <c r="G37" s="1"/>
      <c r="H37" s="171"/>
    </row>
    <row r="38" spans="1:8" ht="15.75" x14ac:dyDescent="0.25">
      <c r="A38" s="1613" t="s">
        <v>1555</v>
      </c>
      <c r="B38" s="98" t="s">
        <v>1556</v>
      </c>
      <c r="C38" s="98"/>
      <c r="D38" s="98">
        <v>2</v>
      </c>
      <c r="E38" s="102">
        <f>FORNITURAS!D4</f>
        <v>48.7</v>
      </c>
      <c r="F38" s="39">
        <f>D38*E38</f>
        <v>97.4</v>
      </c>
      <c r="G38" s="1"/>
      <c r="H38" s="171"/>
    </row>
    <row r="39" spans="1:8" ht="15.75" x14ac:dyDescent="0.25">
      <c r="A39" s="1615"/>
      <c r="B39" s="98" t="s">
        <v>1573</v>
      </c>
      <c r="C39" s="98"/>
      <c r="D39" s="98">
        <v>1</v>
      </c>
      <c r="E39" s="102">
        <f>FORNITURAS!D7</f>
        <v>52</v>
      </c>
      <c r="F39" s="39">
        <f>E39*D39</f>
        <v>52</v>
      </c>
      <c r="G39" s="1"/>
      <c r="H39" s="171"/>
    </row>
    <row r="40" spans="1:8" ht="15.75" x14ac:dyDescent="0.25">
      <c r="A40" s="331" t="s">
        <v>1587</v>
      </c>
      <c r="B40" s="98"/>
      <c r="C40" s="98"/>
      <c r="D40" s="98">
        <v>1</v>
      </c>
      <c r="E40" s="102">
        <f>FORNITURAS!D18</f>
        <v>363</v>
      </c>
      <c r="F40" s="39">
        <f>E40*D40</f>
        <v>363</v>
      </c>
      <c r="G40" s="1"/>
      <c r="H40" s="171"/>
    </row>
    <row r="41" spans="1:8" ht="15.75" x14ac:dyDescent="0.25">
      <c r="A41" s="184" t="s">
        <v>1424</v>
      </c>
      <c r="B41" s="98"/>
      <c r="C41" s="98"/>
      <c r="D41" s="98">
        <v>0.42</v>
      </c>
      <c r="E41" s="102">
        <f>'HILOS-CORDONES-TANZA-CUERO'!L9</f>
        <v>30</v>
      </c>
      <c r="F41" s="39">
        <f>E41*D41</f>
        <v>12.6</v>
      </c>
      <c r="G41" s="1"/>
      <c r="H41" s="171"/>
    </row>
    <row r="42" spans="1:8" ht="15.75" x14ac:dyDescent="0.25">
      <c r="A42" s="3" t="s">
        <v>1012</v>
      </c>
      <c r="B42" s="98"/>
      <c r="C42" s="98"/>
      <c r="D42" s="98">
        <v>2</v>
      </c>
      <c r="E42" s="102">
        <f>FORNITURAS!D17</f>
        <v>45.05</v>
      </c>
      <c r="F42" s="39">
        <f>E42*D42</f>
        <v>90.1</v>
      </c>
      <c r="G42" s="1"/>
      <c r="H42" s="171"/>
    </row>
    <row r="43" spans="1:8" ht="15.75" x14ac:dyDescent="0.25">
      <c r="A43" s="104" t="s">
        <v>1557</v>
      </c>
      <c r="B43" s="98" t="s">
        <v>1535</v>
      </c>
      <c r="C43" s="98"/>
      <c r="D43" s="98"/>
      <c r="E43" s="2"/>
      <c r="F43" s="39">
        <f>PACKAGING!E4</f>
        <v>80</v>
      </c>
      <c r="G43" s="1"/>
      <c r="H43" s="171"/>
    </row>
    <row r="44" spans="1:8" ht="15.75" x14ac:dyDescent="0.25">
      <c r="A44" s="104" t="s">
        <v>1670</v>
      </c>
      <c r="B44" s="98"/>
      <c r="C44" s="98"/>
      <c r="D44" s="98"/>
      <c r="E44" s="2"/>
      <c r="F44" s="39">
        <f>PACKAGING!E8</f>
        <v>420</v>
      </c>
      <c r="G44" s="1"/>
      <c r="H44" s="171"/>
    </row>
    <row r="45" spans="1:8" ht="15.75" x14ac:dyDescent="0.25">
      <c r="A45" s="104" t="s">
        <v>1537</v>
      </c>
      <c r="B45" s="98"/>
      <c r="C45" s="98"/>
      <c r="D45" s="98"/>
      <c r="E45" s="2"/>
      <c r="F45" s="39">
        <f>PACKAGING!E7</f>
        <v>170</v>
      </c>
      <c r="G45" s="1"/>
      <c r="H45" s="171"/>
    </row>
    <row r="46" spans="1:8" ht="15.75" x14ac:dyDescent="0.25">
      <c r="A46" s="3" t="s">
        <v>1618</v>
      </c>
      <c r="B46" s="98">
        <v>60</v>
      </c>
      <c r="C46" s="98"/>
      <c r="D46" s="98">
        <v>20</v>
      </c>
      <c r="E46" s="102">
        <f>'INSUMOS VARIOS'!B3</f>
        <v>3500</v>
      </c>
      <c r="F46" s="39">
        <f>E46*D46/B46</f>
        <v>1166.6666666666667</v>
      </c>
      <c r="G46" s="1"/>
      <c r="H46" s="171"/>
    </row>
    <row r="47" spans="1:8" ht="16.5" thickBot="1" x14ac:dyDescent="0.3">
      <c r="A47" s="79" t="s">
        <v>525</v>
      </c>
      <c r="B47" s="99"/>
      <c r="C47" s="99"/>
      <c r="D47" s="99"/>
      <c r="E47" s="70"/>
      <c r="F47" s="51">
        <f>SUM(F34:F46)</f>
        <v>5642.7666666666673</v>
      </c>
      <c r="G47" s="1"/>
      <c r="H47" s="171"/>
    </row>
    <row r="48" spans="1:8" ht="15.75" x14ac:dyDescent="0.25">
      <c r="A48" s="80" t="s">
        <v>544</v>
      </c>
      <c r="B48" s="100"/>
      <c r="C48" s="100"/>
      <c r="D48" s="100"/>
      <c r="E48" s="71"/>
      <c r="F48" s="72">
        <f>F47*2</f>
        <v>11285.533333333335</v>
      </c>
      <c r="G48" s="72">
        <f>F48+F48*15%</f>
        <v>12978.363333333335</v>
      </c>
      <c r="H48" s="203">
        <v>5000</v>
      </c>
    </row>
    <row r="49" spans="1:8" ht="16.5" thickBot="1" x14ac:dyDescent="0.3">
      <c r="A49" s="81" t="s">
        <v>1559</v>
      </c>
      <c r="B49" s="101"/>
      <c r="C49" s="101"/>
      <c r="D49" s="101"/>
      <c r="E49" s="73"/>
      <c r="F49" s="73"/>
      <c r="G49" s="222"/>
      <c r="H49" s="204">
        <f>H48*2</f>
        <v>10000</v>
      </c>
    </row>
  </sheetData>
  <mergeCells count="5">
    <mergeCell ref="A2:E2"/>
    <mergeCell ref="A7:A8"/>
    <mergeCell ref="A19:E19"/>
    <mergeCell ref="A32:F32"/>
    <mergeCell ref="A38:A3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H30"/>
  <sheetViews>
    <sheetView topLeftCell="A10" zoomScale="72" zoomScaleNormal="72" workbookViewId="0">
      <selection activeCell="M24" sqref="M24"/>
    </sheetView>
  </sheetViews>
  <sheetFormatPr baseColWidth="10" defaultColWidth="10.85546875" defaultRowHeight="15.75" x14ac:dyDescent="0.25"/>
  <cols>
    <col min="1" max="1" width="11.5703125" style="1" bestFit="1" customWidth="1"/>
    <col min="2" max="2" width="20.42578125" style="1" bestFit="1" customWidth="1"/>
    <col min="3" max="3" width="12.5703125" style="1" bestFit="1" customWidth="1"/>
    <col min="4" max="4" width="9.140625" style="1" customWidth="1"/>
    <col min="5" max="5" width="12.85546875" style="1" bestFit="1" customWidth="1"/>
    <col min="6" max="6" width="10.140625" style="1" bestFit="1" customWidth="1"/>
    <col min="7" max="7" width="20.5703125" style="1" bestFit="1" customWidth="1"/>
    <col min="8" max="16384" width="10.85546875" style="1"/>
  </cols>
  <sheetData>
    <row r="1" spans="1:8" ht="16.5" thickBot="1" x14ac:dyDescent="0.3">
      <c r="A1" s="1514" t="s">
        <v>83</v>
      </c>
      <c r="B1" s="1515"/>
      <c r="C1" s="309" t="s">
        <v>520</v>
      </c>
      <c r="D1" s="309" t="s">
        <v>521</v>
      </c>
      <c r="E1" s="309" t="s">
        <v>522</v>
      </c>
      <c r="F1" s="309" t="s">
        <v>523</v>
      </c>
      <c r="G1" s="309" t="s">
        <v>524</v>
      </c>
      <c r="H1" s="309" t="s">
        <v>525</v>
      </c>
    </row>
    <row r="2" spans="1:8" ht="16.5" thickBot="1" x14ac:dyDescent="0.3">
      <c r="A2" s="319" t="s">
        <v>526</v>
      </c>
      <c r="B2" s="322" t="s">
        <v>527</v>
      </c>
      <c r="C2" s="305">
        <v>14</v>
      </c>
      <c r="D2" s="18"/>
      <c r="E2" s="18">
        <v>3</v>
      </c>
      <c r="F2" s="18">
        <v>2</v>
      </c>
      <c r="G2" s="18">
        <v>7</v>
      </c>
      <c r="H2" s="18">
        <f>C2+G2+F2+E2+D2+J7</f>
        <v>26</v>
      </c>
    </row>
    <row r="3" spans="1:8" ht="16.5" thickBot="1" x14ac:dyDescent="0.3">
      <c r="A3" s="320" t="s">
        <v>526</v>
      </c>
      <c r="B3" s="323" t="s">
        <v>171</v>
      </c>
      <c r="C3" s="241">
        <v>4</v>
      </c>
      <c r="D3" s="133"/>
      <c r="E3" s="133">
        <v>3</v>
      </c>
      <c r="F3" s="133">
        <v>1</v>
      </c>
      <c r="G3" s="133">
        <v>4</v>
      </c>
      <c r="H3" s="18">
        <f t="shared" ref="H3:H21" si="0">C3+G3+F3+E3+D3+J8</f>
        <v>12</v>
      </c>
    </row>
    <row r="4" spans="1:8" ht="16.5" thickBot="1" x14ac:dyDescent="0.3">
      <c r="A4" s="321" t="s">
        <v>526</v>
      </c>
      <c r="B4" s="324" t="s">
        <v>377</v>
      </c>
      <c r="C4" s="241">
        <v>5</v>
      </c>
      <c r="D4" s="133"/>
      <c r="E4" s="133">
        <v>3</v>
      </c>
      <c r="F4" s="133">
        <v>2</v>
      </c>
      <c r="G4" s="133">
        <v>5</v>
      </c>
      <c r="H4" s="18">
        <f t="shared" si="0"/>
        <v>15</v>
      </c>
    </row>
    <row r="5" spans="1:8" ht="16.5" thickBot="1" x14ac:dyDescent="0.3">
      <c r="A5" s="319" t="s">
        <v>528</v>
      </c>
      <c r="B5" s="322" t="s">
        <v>529</v>
      </c>
      <c r="C5" s="241">
        <v>15</v>
      </c>
      <c r="D5" s="133">
        <v>2</v>
      </c>
      <c r="E5" s="133">
        <v>3</v>
      </c>
      <c r="F5" s="133">
        <v>2</v>
      </c>
      <c r="G5" s="133">
        <v>15</v>
      </c>
      <c r="H5" s="18">
        <f t="shared" si="0"/>
        <v>37</v>
      </c>
    </row>
    <row r="6" spans="1:8" ht="16.5" thickBot="1" x14ac:dyDescent="0.3">
      <c r="A6" s="320" t="s">
        <v>528</v>
      </c>
      <c r="B6" s="323" t="s">
        <v>530</v>
      </c>
      <c r="C6" s="241">
        <v>4</v>
      </c>
      <c r="D6" s="133">
        <v>2</v>
      </c>
      <c r="E6" s="133">
        <v>3</v>
      </c>
      <c r="F6" s="133">
        <v>1</v>
      </c>
      <c r="G6" s="133">
        <v>2</v>
      </c>
      <c r="H6" s="18">
        <f t="shared" si="0"/>
        <v>12</v>
      </c>
    </row>
    <row r="7" spans="1:8" ht="16.5" thickBot="1" x14ac:dyDescent="0.3">
      <c r="A7" s="320" t="s">
        <v>528</v>
      </c>
      <c r="B7" s="323" t="s">
        <v>171</v>
      </c>
      <c r="C7" s="241">
        <v>6</v>
      </c>
      <c r="D7" s="133"/>
      <c r="E7" s="133">
        <v>3</v>
      </c>
      <c r="F7" s="133">
        <v>1</v>
      </c>
      <c r="G7" s="133"/>
      <c r="H7" s="18">
        <f t="shared" si="0"/>
        <v>10</v>
      </c>
    </row>
    <row r="8" spans="1:8" ht="16.5" thickBot="1" x14ac:dyDescent="0.3">
      <c r="A8" s="320" t="s">
        <v>528</v>
      </c>
      <c r="B8" s="323" t="s">
        <v>169</v>
      </c>
      <c r="C8" s="241">
        <v>6</v>
      </c>
      <c r="D8" s="133">
        <v>2</v>
      </c>
      <c r="E8" s="133">
        <v>3</v>
      </c>
      <c r="F8" s="133">
        <v>2</v>
      </c>
      <c r="G8" s="133">
        <v>1</v>
      </c>
      <c r="H8" s="18">
        <f t="shared" si="0"/>
        <v>14</v>
      </c>
    </row>
    <row r="9" spans="1:8" ht="16.5" thickBot="1" x14ac:dyDescent="0.3">
      <c r="A9" s="320" t="s">
        <v>528</v>
      </c>
      <c r="B9" s="323" t="s">
        <v>366</v>
      </c>
      <c r="C9" s="241">
        <v>6</v>
      </c>
      <c r="D9" s="133">
        <v>2</v>
      </c>
      <c r="E9" s="133">
        <v>3</v>
      </c>
      <c r="F9" s="133"/>
      <c r="G9" s="133">
        <v>7</v>
      </c>
      <c r="H9" s="18">
        <f t="shared" si="0"/>
        <v>18</v>
      </c>
    </row>
    <row r="10" spans="1:8" ht="16.5" thickBot="1" x14ac:dyDescent="0.3">
      <c r="A10" s="320" t="s">
        <v>528</v>
      </c>
      <c r="B10" s="323" t="s">
        <v>195</v>
      </c>
      <c r="C10" s="241">
        <v>6</v>
      </c>
      <c r="D10" s="133"/>
      <c r="E10" s="133">
        <v>3</v>
      </c>
      <c r="F10" s="133">
        <v>2</v>
      </c>
      <c r="G10" s="133"/>
      <c r="H10" s="18">
        <f t="shared" si="0"/>
        <v>11</v>
      </c>
    </row>
    <row r="11" spans="1:8" ht="16.5" thickBot="1" x14ac:dyDescent="0.3">
      <c r="A11" s="321" t="s">
        <v>528</v>
      </c>
      <c r="B11" s="324" t="s">
        <v>148</v>
      </c>
      <c r="C11" s="241">
        <v>6</v>
      </c>
      <c r="D11" s="133">
        <v>2</v>
      </c>
      <c r="E11" s="133">
        <v>3</v>
      </c>
      <c r="F11" s="133">
        <v>2</v>
      </c>
      <c r="G11" s="133">
        <v>3</v>
      </c>
      <c r="H11" s="18">
        <f t="shared" si="0"/>
        <v>16</v>
      </c>
    </row>
    <row r="12" spans="1:8" ht="16.5" thickBot="1" x14ac:dyDescent="0.3">
      <c r="A12" s="319" t="s">
        <v>531</v>
      </c>
      <c r="B12" s="322" t="s">
        <v>123</v>
      </c>
      <c r="C12" s="241">
        <v>6</v>
      </c>
      <c r="D12" s="133">
        <v>3</v>
      </c>
      <c r="E12" s="133">
        <v>3</v>
      </c>
      <c r="F12" s="133">
        <v>2</v>
      </c>
      <c r="G12" s="133">
        <v>1</v>
      </c>
      <c r="H12" s="18">
        <f t="shared" si="0"/>
        <v>15</v>
      </c>
    </row>
    <row r="13" spans="1:8" ht="16.5" thickBot="1" x14ac:dyDescent="0.3">
      <c r="A13" s="320" t="s">
        <v>531</v>
      </c>
      <c r="B13" s="323" t="s">
        <v>169</v>
      </c>
      <c r="C13" s="241">
        <v>6</v>
      </c>
      <c r="D13" s="133">
        <v>2</v>
      </c>
      <c r="E13" s="133">
        <v>3</v>
      </c>
      <c r="F13" s="133">
        <v>3</v>
      </c>
      <c r="G13" s="133">
        <v>1</v>
      </c>
      <c r="H13" s="18">
        <f t="shared" si="0"/>
        <v>15</v>
      </c>
    </row>
    <row r="14" spans="1:8" ht="16.5" thickBot="1" x14ac:dyDescent="0.3">
      <c r="A14" s="320" t="s">
        <v>531</v>
      </c>
      <c r="B14" s="323" t="s">
        <v>530</v>
      </c>
      <c r="C14" s="241">
        <v>6</v>
      </c>
      <c r="D14" s="133">
        <v>2</v>
      </c>
      <c r="E14" s="133">
        <v>3</v>
      </c>
      <c r="F14" s="133">
        <v>1</v>
      </c>
      <c r="G14" s="133">
        <v>2</v>
      </c>
      <c r="H14" s="18">
        <f t="shared" si="0"/>
        <v>14</v>
      </c>
    </row>
    <row r="15" spans="1:8" ht="16.5" thickBot="1" x14ac:dyDescent="0.3">
      <c r="A15" s="321" t="s">
        <v>531</v>
      </c>
      <c r="B15" s="324" t="s">
        <v>529</v>
      </c>
      <c r="C15" s="241">
        <v>7</v>
      </c>
      <c r="D15" s="133">
        <v>3</v>
      </c>
      <c r="E15" s="133">
        <v>3</v>
      </c>
      <c r="F15" s="133"/>
      <c r="G15" s="133">
        <v>1</v>
      </c>
      <c r="H15" s="18">
        <f t="shared" si="0"/>
        <v>14</v>
      </c>
    </row>
    <row r="16" spans="1:8" ht="16.5" thickBot="1" x14ac:dyDescent="0.3">
      <c r="A16" s="319" t="s">
        <v>532</v>
      </c>
      <c r="B16" s="322" t="s">
        <v>533</v>
      </c>
      <c r="C16" s="241">
        <v>6</v>
      </c>
      <c r="D16" s="133"/>
      <c r="E16" s="133">
        <v>3</v>
      </c>
      <c r="F16" s="133"/>
      <c r="G16" s="133"/>
      <c r="H16" s="18">
        <f t="shared" si="0"/>
        <v>9</v>
      </c>
    </row>
    <row r="17" spans="1:8" ht="16.5" thickBot="1" x14ac:dyDescent="0.3">
      <c r="A17" s="320" t="s">
        <v>532</v>
      </c>
      <c r="B17" s="323" t="s">
        <v>534</v>
      </c>
      <c r="C17" s="241">
        <v>6</v>
      </c>
      <c r="D17" s="133"/>
      <c r="E17" s="133">
        <v>3</v>
      </c>
      <c r="F17" s="133"/>
      <c r="G17" s="133">
        <v>1</v>
      </c>
      <c r="H17" s="18">
        <f t="shared" si="0"/>
        <v>10</v>
      </c>
    </row>
    <row r="18" spans="1:8" ht="16.5" thickBot="1" x14ac:dyDescent="0.3">
      <c r="A18" s="320" t="s">
        <v>532</v>
      </c>
      <c r="B18" s="323" t="s">
        <v>535</v>
      </c>
      <c r="C18" s="241">
        <v>6</v>
      </c>
      <c r="D18" s="133"/>
      <c r="E18" s="133">
        <v>3</v>
      </c>
      <c r="F18" s="133"/>
      <c r="G18" s="133"/>
      <c r="H18" s="18">
        <f t="shared" si="0"/>
        <v>9</v>
      </c>
    </row>
    <row r="19" spans="1:8" ht="16.5" thickBot="1" x14ac:dyDescent="0.3">
      <c r="A19" s="320" t="s">
        <v>532</v>
      </c>
      <c r="B19" s="323" t="s">
        <v>536</v>
      </c>
      <c r="C19" s="241">
        <v>4</v>
      </c>
      <c r="D19" s="133"/>
      <c r="E19" s="133">
        <v>3</v>
      </c>
      <c r="F19" s="133"/>
      <c r="G19" s="133">
        <v>3</v>
      </c>
      <c r="H19" s="18">
        <f t="shared" si="0"/>
        <v>10</v>
      </c>
    </row>
    <row r="20" spans="1:8" ht="16.5" thickBot="1" x14ac:dyDescent="0.3">
      <c r="A20" s="320" t="s">
        <v>532</v>
      </c>
      <c r="B20" s="323" t="s">
        <v>537</v>
      </c>
      <c r="C20" s="241">
        <v>5</v>
      </c>
      <c r="D20" s="133"/>
      <c r="E20" s="133">
        <v>3</v>
      </c>
      <c r="F20" s="133"/>
      <c r="G20" s="133">
        <v>2</v>
      </c>
      <c r="H20" s="18">
        <f t="shared" si="0"/>
        <v>10</v>
      </c>
    </row>
    <row r="21" spans="1:8" ht="16.5" thickBot="1" x14ac:dyDescent="0.3">
      <c r="A21" s="320" t="s">
        <v>532</v>
      </c>
      <c r="B21" s="323" t="s">
        <v>538</v>
      </c>
      <c r="C21" s="241">
        <v>5</v>
      </c>
      <c r="D21" s="133"/>
      <c r="E21" s="133">
        <v>3</v>
      </c>
      <c r="F21" s="133"/>
      <c r="G21" s="133">
        <v>3</v>
      </c>
      <c r="H21" s="18">
        <f t="shared" si="0"/>
        <v>11</v>
      </c>
    </row>
    <row r="22" spans="1:8" ht="16.5" thickBot="1" x14ac:dyDescent="0.3">
      <c r="A22" s="321" t="s">
        <v>532</v>
      </c>
      <c r="B22" s="324" t="s">
        <v>539</v>
      </c>
      <c r="C22" s="306">
        <v>6</v>
      </c>
      <c r="D22" s="86"/>
      <c r="E22" s="86">
        <v>3</v>
      </c>
      <c r="F22" s="86"/>
      <c r="G22" s="86">
        <v>1</v>
      </c>
      <c r="H22" s="18" t="e">
        <f>C22+G22+F22+E22+D22+#REF!</f>
        <v>#REF!</v>
      </c>
    </row>
    <row r="23" spans="1:8" ht="16.5" thickBot="1" x14ac:dyDescent="0.3">
      <c r="A23" s="1509" t="s">
        <v>525</v>
      </c>
      <c r="B23" s="1510"/>
      <c r="C23" s="307">
        <f>SUM(C2:C22)</f>
        <v>135</v>
      </c>
      <c r="D23" s="307">
        <f>SUM(D2:D22)</f>
        <v>20</v>
      </c>
      <c r="E23" s="307">
        <f>SUM(E2:E22)</f>
        <v>63</v>
      </c>
      <c r="F23" s="307">
        <f>SUM(F2:F22)</f>
        <v>21</v>
      </c>
      <c r="G23" s="307">
        <f>SUM(G2:G22)</f>
        <v>59</v>
      </c>
      <c r="H23" s="328" t="e">
        <f>C23+G23+F23+E23+D23+#REF!</f>
        <v>#REF!</v>
      </c>
    </row>
    <row r="24" spans="1:8" ht="16.5" thickBot="1" x14ac:dyDescent="0.3">
      <c r="A24" s="1511" t="s">
        <v>540</v>
      </c>
      <c r="B24" s="1512"/>
      <c r="C24" s="308"/>
      <c r="D24" s="1511">
        <f>SUM(D23:G23)</f>
        <v>163</v>
      </c>
      <c r="E24" s="1513"/>
      <c r="F24" s="1513"/>
      <c r="G24" s="1512"/>
      <c r="H24" s="307" t="e">
        <f>H23-C23</f>
        <v>#REF!</v>
      </c>
    </row>
    <row r="26" spans="1:8" ht="16.5" thickBot="1" x14ac:dyDescent="0.3"/>
    <row r="27" spans="1:8" ht="18.75" x14ac:dyDescent="0.25">
      <c r="A27" s="18" t="s">
        <v>541</v>
      </c>
      <c r="B27" s="310" t="s">
        <v>528</v>
      </c>
    </row>
    <row r="28" spans="1:8" ht="18.75" x14ac:dyDescent="0.25">
      <c r="A28" s="133" t="s">
        <v>541</v>
      </c>
      <c r="B28" s="311" t="s">
        <v>526</v>
      </c>
    </row>
    <row r="29" spans="1:8" ht="18.75" x14ac:dyDescent="0.25">
      <c r="A29" s="133" t="s">
        <v>541</v>
      </c>
      <c r="B29" s="311" t="s">
        <v>531</v>
      </c>
    </row>
    <row r="30" spans="1:8" ht="19.5" thickBot="1" x14ac:dyDescent="0.3">
      <c r="A30" s="86" t="s">
        <v>541</v>
      </c>
      <c r="B30" s="312" t="s">
        <v>542</v>
      </c>
    </row>
  </sheetData>
  <mergeCells count="4">
    <mergeCell ref="A23:B23"/>
    <mergeCell ref="A24:B24"/>
    <mergeCell ref="D24:G24"/>
    <mergeCell ref="A1:B1"/>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Hoja22"/>
  <dimension ref="A2:Y1063"/>
  <sheetViews>
    <sheetView topLeftCell="A793" zoomScale="75" zoomScaleNormal="75" workbookViewId="0">
      <selection activeCell="F1008" sqref="F1008"/>
    </sheetView>
  </sheetViews>
  <sheetFormatPr baseColWidth="10" defaultColWidth="10.85546875" defaultRowHeight="15" x14ac:dyDescent="0.2"/>
  <cols>
    <col min="1" max="1" width="39" style="653" bestFit="1" customWidth="1"/>
    <col min="2" max="2" width="12.85546875" style="653" bestFit="1" customWidth="1"/>
    <col min="3" max="3" width="11" style="653" bestFit="1" customWidth="1"/>
    <col min="4" max="4" width="12.28515625" style="653" bestFit="1" customWidth="1"/>
    <col min="5" max="5" width="13.5703125" style="653" bestFit="1" customWidth="1"/>
    <col min="6" max="7" width="22" style="653" bestFit="1" customWidth="1"/>
    <col min="8" max="8" width="14.42578125" style="653" bestFit="1" customWidth="1"/>
    <col min="9" max="9" width="13.5703125" style="653" bestFit="1" customWidth="1"/>
    <col min="10" max="10" width="15.5703125" style="653" bestFit="1" customWidth="1"/>
    <col min="11" max="11" width="12.85546875" style="653" bestFit="1" customWidth="1"/>
    <col min="12" max="12" width="4.140625" style="767" customWidth="1"/>
    <col min="13" max="13" width="10.85546875" style="653"/>
    <col min="14" max="14" width="33.85546875" style="653" bestFit="1" customWidth="1"/>
    <col min="15" max="15" width="13.28515625" style="653" bestFit="1" customWidth="1"/>
    <col min="16" max="17" width="14.140625" style="653" bestFit="1" customWidth="1"/>
    <col min="18" max="18" width="13.5703125" style="653" bestFit="1" customWidth="1"/>
    <col min="19" max="19" width="22" style="653" bestFit="1" customWidth="1"/>
    <col min="20" max="20" width="20.42578125" style="653" bestFit="1" customWidth="1"/>
    <col min="21" max="21" width="15.5703125" style="653" bestFit="1" customWidth="1"/>
    <col min="22" max="22" width="14.5703125" style="653" bestFit="1" customWidth="1"/>
    <col min="23" max="23" width="15.5703125" style="653" bestFit="1" customWidth="1"/>
    <col min="24" max="16384" width="10.85546875" style="653"/>
  </cols>
  <sheetData>
    <row r="2" spans="1:23" ht="18" x14ac:dyDescent="0.25">
      <c r="A2" s="1759" t="s">
        <v>575</v>
      </c>
      <c r="B2" s="1759"/>
      <c r="C2" s="1759"/>
      <c r="D2" s="1759"/>
      <c r="E2" s="1759"/>
      <c r="F2" s="1759"/>
      <c r="G2" s="1759"/>
      <c r="H2" s="1759"/>
      <c r="I2" s="1759"/>
      <c r="J2" s="1759"/>
      <c r="K2" s="1759"/>
      <c r="L2" s="766"/>
      <c r="M2" s="1759" t="s">
        <v>1977</v>
      </c>
      <c r="N2" s="1759"/>
      <c r="O2" s="1759"/>
      <c r="P2" s="1759"/>
      <c r="Q2" s="1759"/>
      <c r="R2" s="1759"/>
      <c r="S2" s="1759"/>
      <c r="T2" s="1759"/>
      <c r="U2" s="1759"/>
      <c r="V2" s="1759"/>
      <c r="W2" s="1759"/>
    </row>
    <row r="3" spans="1:23" ht="15.75" thickBot="1" x14ac:dyDescent="0.25"/>
    <row r="4" spans="1:23" ht="15.75" thickBot="1" x14ac:dyDescent="0.25">
      <c r="A4" s="1760" t="s">
        <v>343</v>
      </c>
      <c r="B4" s="1761"/>
      <c r="C4" s="1761"/>
      <c r="D4" s="1761"/>
      <c r="E4" s="1761"/>
      <c r="F4" s="1761"/>
      <c r="N4" s="1738" t="s">
        <v>320</v>
      </c>
      <c r="O4" s="1739"/>
      <c r="P4" s="1739"/>
      <c r="Q4" s="1739"/>
      <c r="R4" s="1739"/>
      <c r="S4" s="1740"/>
    </row>
    <row r="5" spans="1:23" x14ac:dyDescent="0.2">
      <c r="A5" s="654" t="s">
        <v>916</v>
      </c>
      <c r="B5" s="655" t="s">
        <v>743</v>
      </c>
      <c r="C5" s="655" t="s">
        <v>1089</v>
      </c>
      <c r="D5" s="655" t="s">
        <v>1547</v>
      </c>
      <c r="E5" s="656" t="s">
        <v>1035</v>
      </c>
      <c r="F5" s="657" t="s">
        <v>1549</v>
      </c>
      <c r="G5" s="658"/>
      <c r="N5" s="654" t="s">
        <v>916</v>
      </c>
      <c r="O5" s="655" t="s">
        <v>743</v>
      </c>
      <c r="P5" s="655" t="s">
        <v>1089</v>
      </c>
      <c r="Q5" s="655" t="s">
        <v>1566</v>
      </c>
      <c r="R5" s="656" t="s">
        <v>1035</v>
      </c>
      <c r="S5" s="657" t="s">
        <v>1549</v>
      </c>
      <c r="T5" s="658"/>
    </row>
    <row r="6" spans="1:23" x14ac:dyDescent="0.2">
      <c r="A6" s="663" t="s">
        <v>1978</v>
      </c>
      <c r="B6" s="660"/>
      <c r="C6" s="660">
        <v>0.21</v>
      </c>
      <c r="D6" s="660">
        <v>0.21</v>
      </c>
      <c r="E6" s="661">
        <f>VIDRIOS!D22</f>
        <v>850</v>
      </c>
      <c r="F6" s="662">
        <f>E6*D6/C6</f>
        <v>850</v>
      </c>
      <c r="G6" s="658"/>
      <c r="N6" s="744" t="s">
        <v>3582</v>
      </c>
      <c r="O6" s="660">
        <v>0.4</v>
      </c>
      <c r="P6" s="660">
        <v>0.35</v>
      </c>
      <c r="Q6" s="660">
        <v>1</v>
      </c>
      <c r="R6" s="661">
        <f>'PERLAS 2'!G14</f>
        <v>17864</v>
      </c>
      <c r="S6" s="662">
        <f>R6*Q6*P6/O6</f>
        <v>15630.999999999998</v>
      </c>
      <c r="T6" s="658"/>
    </row>
    <row r="7" spans="1:23" x14ac:dyDescent="0.2">
      <c r="A7" s="1736" t="s">
        <v>1608</v>
      </c>
      <c r="B7" s="660"/>
      <c r="C7" s="660">
        <v>0.05</v>
      </c>
      <c r="D7" s="660">
        <v>2</v>
      </c>
      <c r="E7" s="661">
        <f>'AROS, CADENAS, DIJES, ETC'!I38</f>
        <v>3630</v>
      </c>
      <c r="F7" s="662">
        <f>E7*C7*D7</f>
        <v>363</v>
      </c>
      <c r="G7" s="658"/>
      <c r="N7" s="1736" t="s">
        <v>1572</v>
      </c>
      <c r="O7" s="660" t="s">
        <v>1556</v>
      </c>
      <c r="P7" s="660"/>
      <c r="Q7" s="660">
        <v>2</v>
      </c>
      <c r="R7" s="661">
        <f>FORNITURAS!D4</f>
        <v>48.7</v>
      </c>
      <c r="S7" s="662">
        <f>Q7*R7</f>
        <v>97.4</v>
      </c>
      <c r="T7" s="658"/>
    </row>
    <row r="8" spans="1:23" x14ac:dyDescent="0.2">
      <c r="A8" s="1737"/>
      <c r="B8" s="660"/>
      <c r="C8" s="660">
        <v>0.1</v>
      </c>
      <c r="D8" s="660">
        <v>1</v>
      </c>
      <c r="E8" s="661">
        <f>E7</f>
        <v>3630</v>
      </c>
      <c r="F8" s="662">
        <f>E8*C8*D8</f>
        <v>363</v>
      </c>
      <c r="G8" s="658"/>
      <c r="N8" s="1737"/>
      <c r="O8" s="660" t="s">
        <v>1573</v>
      </c>
      <c r="P8" s="660"/>
      <c r="Q8" s="660">
        <v>1</v>
      </c>
      <c r="R8" s="661">
        <f>FORNITURAS!D7</f>
        <v>52</v>
      </c>
      <c r="S8" s="662">
        <f>Q8*R8</f>
        <v>52</v>
      </c>
      <c r="T8" s="658"/>
    </row>
    <row r="9" spans="1:23" x14ac:dyDescent="0.2">
      <c r="A9" s="768" t="s">
        <v>1872</v>
      </c>
      <c r="B9" s="660"/>
      <c r="C9" s="660"/>
      <c r="D9" s="660">
        <v>0.33</v>
      </c>
      <c r="E9" s="661">
        <f>'HILOS-CORDONES-TANZA-CUERO'!L9</f>
        <v>30</v>
      </c>
      <c r="F9" s="662">
        <f t="shared" ref="F9:F14" si="0">E9*D9</f>
        <v>9.9</v>
      </c>
      <c r="G9" s="658"/>
      <c r="N9" s="665" t="s">
        <v>1554</v>
      </c>
      <c r="O9" s="660" t="s">
        <v>777</v>
      </c>
      <c r="P9" s="660"/>
      <c r="Q9" s="660">
        <v>2</v>
      </c>
      <c r="R9" s="661">
        <f>FORNITURAS!D26</f>
        <v>297.14285714285717</v>
      </c>
      <c r="S9" s="662">
        <f>Q9*R9</f>
        <v>594.28571428571433</v>
      </c>
      <c r="T9" s="658"/>
    </row>
    <row r="10" spans="1:23" x14ac:dyDescent="0.2">
      <c r="A10" s="663" t="s">
        <v>1012</v>
      </c>
      <c r="B10" s="660" t="s">
        <v>777</v>
      </c>
      <c r="C10" s="660"/>
      <c r="D10" s="660">
        <v>2</v>
      </c>
      <c r="E10" s="661">
        <f>FORNITURAS!D17</f>
        <v>45.05</v>
      </c>
      <c r="F10" s="662">
        <f t="shared" si="0"/>
        <v>90.1</v>
      </c>
      <c r="G10" s="658"/>
      <c r="N10" s="666" t="s">
        <v>1012</v>
      </c>
      <c r="O10" s="660"/>
      <c r="P10" s="660"/>
      <c r="Q10" s="660">
        <v>2</v>
      </c>
      <c r="R10" s="661">
        <f>FORNITURAS!D17</f>
        <v>45.05</v>
      </c>
      <c r="S10" s="662">
        <f>Q10*R10</f>
        <v>90.1</v>
      </c>
      <c r="T10" s="658"/>
    </row>
    <row r="11" spans="1:23" x14ac:dyDescent="0.2">
      <c r="A11" s="663" t="s">
        <v>1697</v>
      </c>
      <c r="B11" s="660"/>
      <c r="C11" s="660"/>
      <c r="D11" s="660">
        <v>2</v>
      </c>
      <c r="E11" s="661">
        <f>FORNITURAS!D26</f>
        <v>297.14285714285717</v>
      </c>
      <c r="F11" s="662">
        <f t="shared" si="0"/>
        <v>594.28571428571433</v>
      </c>
      <c r="G11" s="658"/>
      <c r="N11" s="666" t="s">
        <v>1608</v>
      </c>
      <c r="O11" s="660"/>
      <c r="P11" s="660"/>
      <c r="Q11" s="660">
        <v>0.1</v>
      </c>
      <c r="R11" s="661">
        <f>'AROS, CADENAS, DIJES, ETC'!I38</f>
        <v>3630</v>
      </c>
      <c r="S11" s="662">
        <f>R11*Q11</f>
        <v>363</v>
      </c>
      <c r="T11" s="658"/>
    </row>
    <row r="12" spans="1:23" x14ac:dyDescent="0.2">
      <c r="A12" s="663" t="s">
        <v>1587</v>
      </c>
      <c r="B12" s="660"/>
      <c r="C12" s="660"/>
      <c r="D12" s="660">
        <v>1</v>
      </c>
      <c r="E12" s="661">
        <f>FORNITURAS!D18</f>
        <v>363</v>
      </c>
      <c r="F12" s="662">
        <f t="shared" si="0"/>
        <v>363</v>
      </c>
      <c r="G12" s="658"/>
      <c r="N12" s="666" t="s">
        <v>1587</v>
      </c>
      <c r="O12" s="660"/>
      <c r="P12" s="660"/>
      <c r="Q12" s="660">
        <v>1</v>
      </c>
      <c r="R12" s="661">
        <f>FORNITURAS!D18</f>
        <v>363</v>
      </c>
      <c r="S12" s="662">
        <f>Q12*R12</f>
        <v>363</v>
      </c>
      <c r="T12" s="658"/>
    </row>
    <row r="13" spans="1:23" x14ac:dyDescent="0.2">
      <c r="A13" s="1741" t="s">
        <v>1572</v>
      </c>
      <c r="B13" s="660" t="s">
        <v>1556</v>
      </c>
      <c r="C13" s="660"/>
      <c r="D13" s="660">
        <v>3</v>
      </c>
      <c r="E13" s="661">
        <f>FORNITURAS!D4</f>
        <v>48.7</v>
      </c>
      <c r="F13" s="662">
        <f t="shared" si="0"/>
        <v>146.10000000000002</v>
      </c>
      <c r="G13" s="658"/>
      <c r="N13" s="666" t="s">
        <v>1557</v>
      </c>
      <c r="O13" s="660"/>
      <c r="P13" s="660"/>
      <c r="Q13" s="660"/>
      <c r="R13" s="661"/>
      <c r="S13" s="667">
        <f>PACKAGING!E4</f>
        <v>80</v>
      </c>
      <c r="U13" s="658"/>
    </row>
    <row r="14" spans="1:23" x14ac:dyDescent="0.2">
      <c r="A14" s="1742"/>
      <c r="B14" s="769" t="s">
        <v>1573</v>
      </c>
      <c r="C14" s="660"/>
      <c r="D14" s="660">
        <v>1</v>
      </c>
      <c r="E14" s="661">
        <f>FORNITURAS!D7</f>
        <v>52</v>
      </c>
      <c r="F14" s="662">
        <f t="shared" si="0"/>
        <v>52</v>
      </c>
      <c r="G14" s="658"/>
      <c r="N14" s="666" t="s">
        <v>1634</v>
      </c>
      <c r="O14" s="660"/>
      <c r="P14" s="660"/>
      <c r="Q14" s="660"/>
      <c r="R14" s="661"/>
      <c r="S14" s="667">
        <f>PACKAGING!E7</f>
        <v>170</v>
      </c>
      <c r="U14" s="658"/>
    </row>
    <row r="15" spans="1:23" x14ac:dyDescent="0.2">
      <c r="A15" s="744" t="s">
        <v>1557</v>
      </c>
      <c r="B15" s="660" t="s">
        <v>1535</v>
      </c>
      <c r="C15" s="660"/>
      <c r="D15" s="660"/>
      <c r="E15" s="769"/>
      <c r="F15" s="662">
        <f>PACKAGING!E4</f>
        <v>80</v>
      </c>
      <c r="G15" s="658"/>
      <c r="N15" s="666" t="s">
        <v>1670</v>
      </c>
      <c r="O15" s="660"/>
      <c r="P15" s="660"/>
      <c r="Q15" s="660"/>
      <c r="R15" s="661"/>
      <c r="S15" s="667">
        <f>PACKAGING!E9</f>
        <v>450</v>
      </c>
      <c r="U15" s="658"/>
    </row>
    <row r="16" spans="1:23" ht="15.75" x14ac:dyDescent="0.2">
      <c r="A16" s="666" t="s">
        <v>1537</v>
      </c>
      <c r="B16" s="660"/>
      <c r="C16" s="660"/>
      <c r="D16" s="660"/>
      <c r="E16" s="769"/>
      <c r="F16" s="662">
        <f>PACKAGING!E7</f>
        <v>170</v>
      </c>
      <c r="G16" s="658"/>
      <c r="N16" s="663" t="s">
        <v>1618</v>
      </c>
      <c r="O16" s="660">
        <v>60</v>
      </c>
      <c r="P16" s="660"/>
      <c r="Q16" s="660">
        <v>20</v>
      </c>
      <c r="R16" s="668">
        <f>'INSUMOS VARIOS'!B3</f>
        <v>3500</v>
      </c>
      <c r="S16" s="669">
        <f>R16*Q16/O16</f>
        <v>1166.6666666666667</v>
      </c>
      <c r="T16" s="1" t="s">
        <v>3023</v>
      </c>
      <c r="U16" s="658"/>
    </row>
    <row r="17" spans="1:23" ht="15.75" thickBot="1" x14ac:dyDescent="0.25">
      <c r="A17" s="666" t="s">
        <v>1979</v>
      </c>
      <c r="B17" s="660"/>
      <c r="C17" s="660"/>
      <c r="D17" s="660"/>
      <c r="E17" s="769"/>
      <c r="F17" s="662">
        <f>PACKAGING!E8</f>
        <v>420</v>
      </c>
      <c r="G17" s="658"/>
      <c r="N17" s="670" t="s">
        <v>525</v>
      </c>
      <c r="O17" s="671"/>
      <c r="P17" s="671"/>
      <c r="Q17" s="671"/>
      <c r="R17" s="672"/>
      <c r="S17" s="673">
        <f>SUM(S6:S16)</f>
        <v>19057.452380952378</v>
      </c>
      <c r="T17" s="698">
        <f>S17+U18+U19</f>
        <v>22535.452380952378</v>
      </c>
      <c r="U17" s="653" t="s">
        <v>2296</v>
      </c>
    </row>
    <row r="18" spans="1:23" ht="15.75" x14ac:dyDescent="0.2">
      <c r="A18" s="666" t="s">
        <v>1558</v>
      </c>
      <c r="B18" s="660">
        <v>60</v>
      </c>
      <c r="C18" s="660"/>
      <c r="D18" s="660">
        <v>25</v>
      </c>
      <c r="E18" s="661">
        <f>'INSUMOS VARIOS'!B3</f>
        <v>3500</v>
      </c>
      <c r="F18" s="662">
        <f>E18*D18/B18</f>
        <v>1458.3333333333333</v>
      </c>
      <c r="G18" s="658"/>
      <c r="N18" s="675" t="s">
        <v>544</v>
      </c>
      <c r="O18" s="676"/>
      <c r="P18" s="676"/>
      <c r="Q18" s="676"/>
      <c r="R18" s="677"/>
      <c r="S18" s="678">
        <f>S17*2</f>
        <v>38114.904761904756</v>
      </c>
      <c r="T18" s="679">
        <f>S18+S18*60%</f>
        <v>60983.847619047607</v>
      </c>
      <c r="U18" s="680">
        <f>PACKAGING!I4</f>
        <v>2633</v>
      </c>
      <c r="V18" s="681">
        <f>U18+T18+U19</f>
        <v>64461.847619047607</v>
      </c>
      <c r="W18" s="682">
        <v>68000</v>
      </c>
    </row>
    <row r="19" spans="1:23" ht="16.5" thickBot="1" x14ac:dyDescent="0.25">
      <c r="A19" s="670" t="s">
        <v>525</v>
      </c>
      <c r="B19" s="671"/>
      <c r="C19" s="671"/>
      <c r="D19" s="671"/>
      <c r="E19" s="672"/>
      <c r="F19" s="673">
        <f>SUM(F6:F18)</f>
        <v>4959.7190476190472</v>
      </c>
      <c r="G19" s="658"/>
      <c r="N19" s="684" t="s">
        <v>1559</v>
      </c>
      <c r="O19" s="685"/>
      <c r="P19" s="685"/>
      <c r="Q19" s="685"/>
      <c r="R19" s="686"/>
      <c r="S19" s="687"/>
      <c r="T19" s="688"/>
      <c r="U19" s="708">
        <f>PACKAGING!I5</f>
        <v>845</v>
      </c>
      <c r="V19" s="690"/>
      <c r="W19" s="691"/>
    </row>
    <row r="20" spans="1:23" ht="16.5" thickBot="1" x14ac:dyDescent="0.25">
      <c r="A20" s="675" t="s">
        <v>544</v>
      </c>
      <c r="B20" s="676"/>
      <c r="C20" s="676"/>
      <c r="D20" s="676"/>
      <c r="E20" s="677"/>
      <c r="F20" s="692">
        <f>F19*2</f>
        <v>9919.4380952380943</v>
      </c>
      <c r="G20" s="692">
        <f>F20+F20*40%</f>
        <v>13887.213333333333</v>
      </c>
      <c r="H20" s="770">
        <v>3300</v>
      </c>
    </row>
    <row r="21" spans="1:23" ht="16.5" thickBot="1" x14ac:dyDescent="0.25">
      <c r="A21" s="684" t="s">
        <v>1559</v>
      </c>
      <c r="B21" s="685"/>
      <c r="C21" s="685"/>
      <c r="D21" s="685"/>
      <c r="E21" s="686"/>
      <c r="F21" s="686"/>
      <c r="G21" s="771"/>
      <c r="H21" s="772">
        <f>H20*2</f>
        <v>6600</v>
      </c>
      <c r="N21" s="1738" t="s">
        <v>1980</v>
      </c>
      <c r="O21" s="1739"/>
      <c r="P21" s="1739"/>
      <c r="Q21" s="1739"/>
      <c r="R21" s="1740"/>
      <c r="U21" s="658"/>
      <c r="V21" s="658"/>
      <c r="W21" s="658"/>
    </row>
    <row r="22" spans="1:23" ht="15.75" thickBot="1" x14ac:dyDescent="0.25">
      <c r="N22" s="654" t="s">
        <v>916</v>
      </c>
      <c r="O22" s="655" t="s">
        <v>743</v>
      </c>
      <c r="P22" s="656" t="s">
        <v>1547</v>
      </c>
      <c r="Q22" s="773" t="s">
        <v>747</v>
      </c>
      <c r="R22" s="657" t="s">
        <v>1549</v>
      </c>
      <c r="S22" s="658"/>
      <c r="T22" s="658"/>
      <c r="U22" s="658"/>
      <c r="V22" s="658"/>
      <c r="W22" s="658"/>
    </row>
    <row r="23" spans="1:23" ht="15.75" thickBot="1" x14ac:dyDescent="0.25">
      <c r="A23" s="1738" t="s">
        <v>1981</v>
      </c>
      <c r="B23" s="1739"/>
      <c r="C23" s="1739"/>
      <c r="D23" s="1739"/>
      <c r="E23" s="1739"/>
      <c r="F23" s="1739"/>
      <c r="G23" s="1740"/>
      <c r="N23" s="665" t="s">
        <v>1687</v>
      </c>
      <c r="O23" s="660"/>
      <c r="P23" s="769">
        <v>2</v>
      </c>
      <c r="Q23" s="668">
        <f>'AROS, CADENAS, DIJES, ETC'!T12</f>
        <v>820</v>
      </c>
      <c r="R23" s="662">
        <f t="shared" ref="R23:R28" si="1">Q23*P23</f>
        <v>1640</v>
      </c>
      <c r="S23" s="658"/>
      <c r="T23" s="658"/>
      <c r="U23" s="658"/>
      <c r="V23" s="658"/>
      <c r="W23" s="658"/>
    </row>
    <row r="24" spans="1:23" x14ac:dyDescent="0.2">
      <c r="A24" s="774" t="s">
        <v>916</v>
      </c>
      <c r="B24" s="775" t="s">
        <v>743</v>
      </c>
      <c r="C24" s="775" t="s">
        <v>1716</v>
      </c>
      <c r="D24" s="775" t="s">
        <v>1607</v>
      </c>
      <c r="E24" s="775" t="s">
        <v>1566</v>
      </c>
      <c r="F24" s="776" t="s">
        <v>1035</v>
      </c>
      <c r="G24" s="777" t="s">
        <v>1549</v>
      </c>
      <c r="N24" s="665" t="s">
        <v>1983</v>
      </c>
      <c r="O24" s="660"/>
      <c r="P24" s="769">
        <v>26</v>
      </c>
      <c r="Q24" s="668">
        <f>'PERLAS 2'!H15</f>
        <v>680.16666666666663</v>
      </c>
      <c r="R24" s="662">
        <f t="shared" si="1"/>
        <v>17684.333333333332</v>
      </c>
      <c r="S24" s="658"/>
      <c r="T24" s="658"/>
      <c r="U24" s="658"/>
      <c r="V24" s="658"/>
      <c r="W24" s="658"/>
    </row>
    <row r="25" spans="1:23" x14ac:dyDescent="0.2">
      <c r="A25" s="663" t="s">
        <v>1982</v>
      </c>
      <c r="B25" s="660"/>
      <c r="C25" s="660">
        <v>0.37</v>
      </c>
      <c r="D25" s="660">
        <v>0.37</v>
      </c>
      <c r="E25" s="660"/>
      <c r="F25" s="661">
        <f>PIEDRAS!E24</f>
        <v>6940</v>
      </c>
      <c r="G25" s="662">
        <f>F25</f>
        <v>6940</v>
      </c>
      <c r="H25" s="658"/>
      <c r="N25" s="666" t="s">
        <v>1984</v>
      </c>
      <c r="O25" s="660"/>
      <c r="P25" s="769">
        <v>1</v>
      </c>
      <c r="Q25" s="668">
        <f>FORNITURAS!D21</f>
        <v>1500</v>
      </c>
      <c r="R25" s="662">
        <f t="shared" si="1"/>
        <v>1500</v>
      </c>
      <c r="S25" s="658"/>
      <c r="T25" s="658"/>
      <c r="U25" s="658"/>
      <c r="V25" s="658"/>
      <c r="W25" s="658"/>
    </row>
    <row r="26" spans="1:23" x14ac:dyDescent="0.2">
      <c r="A26" s="1736" t="s">
        <v>1555</v>
      </c>
      <c r="B26" s="660" t="s">
        <v>1556</v>
      </c>
      <c r="C26" s="660"/>
      <c r="D26" s="660"/>
      <c r="E26" s="660">
        <v>1</v>
      </c>
      <c r="F26" s="661">
        <f>FORNITURAS!D4</f>
        <v>48.7</v>
      </c>
      <c r="G26" s="662">
        <f>F26*E26</f>
        <v>48.7</v>
      </c>
      <c r="H26" s="658"/>
      <c r="N26" s="666" t="s">
        <v>1555</v>
      </c>
      <c r="O26" s="660" t="s">
        <v>1658</v>
      </c>
      <c r="P26" s="769">
        <v>1</v>
      </c>
      <c r="Q26" s="668">
        <f>FORNITURAS!D7</f>
        <v>52</v>
      </c>
      <c r="R26" s="662">
        <f t="shared" si="1"/>
        <v>52</v>
      </c>
      <c r="S26" s="658"/>
      <c r="T26" s="658"/>
      <c r="U26" s="658"/>
      <c r="V26" s="658"/>
      <c r="W26" s="658"/>
    </row>
    <row r="27" spans="1:23" x14ac:dyDescent="0.2">
      <c r="A27" s="1737"/>
      <c r="B27" s="660" t="s">
        <v>1573</v>
      </c>
      <c r="C27" s="660"/>
      <c r="D27" s="660"/>
      <c r="E27" s="660">
        <v>1</v>
      </c>
      <c r="F27" s="661">
        <f>FORNITURAS!D7</f>
        <v>52</v>
      </c>
      <c r="G27" s="662">
        <f>F27*E27</f>
        <v>52</v>
      </c>
      <c r="H27" s="658"/>
      <c r="N27" s="666" t="s">
        <v>1697</v>
      </c>
      <c r="O27" s="660" t="s">
        <v>777</v>
      </c>
      <c r="P27" s="769">
        <v>2</v>
      </c>
      <c r="Q27" s="668">
        <f>FORNITURAS!D26</f>
        <v>297.14285714285717</v>
      </c>
      <c r="R27" s="662">
        <f t="shared" si="1"/>
        <v>594.28571428571433</v>
      </c>
      <c r="S27" s="658"/>
      <c r="T27" s="658"/>
      <c r="U27" s="658"/>
      <c r="V27" s="658"/>
      <c r="W27" s="658"/>
    </row>
    <row r="28" spans="1:23" x14ac:dyDescent="0.2">
      <c r="A28" s="663" t="s">
        <v>1554</v>
      </c>
      <c r="B28" s="660" t="s">
        <v>777</v>
      </c>
      <c r="C28" s="660"/>
      <c r="D28" s="660"/>
      <c r="E28" s="660">
        <v>2</v>
      </c>
      <c r="F28" s="661">
        <f>FORNITURAS!D26</f>
        <v>297.14285714285717</v>
      </c>
      <c r="G28" s="662">
        <v>21.2</v>
      </c>
      <c r="H28" s="658"/>
      <c r="N28" s="768" t="s">
        <v>1012</v>
      </c>
      <c r="O28" s="660"/>
      <c r="P28" s="769">
        <v>2</v>
      </c>
      <c r="Q28" s="668">
        <f>FORNITURAS!D17</f>
        <v>45.05</v>
      </c>
      <c r="R28" s="662">
        <f t="shared" si="1"/>
        <v>90.1</v>
      </c>
      <c r="S28" s="658"/>
      <c r="T28" s="658"/>
      <c r="U28" s="658"/>
      <c r="V28" s="658"/>
      <c r="W28" s="658"/>
    </row>
    <row r="29" spans="1:23" x14ac:dyDescent="0.2">
      <c r="A29" s="663" t="s">
        <v>1587</v>
      </c>
      <c r="B29" s="660"/>
      <c r="C29" s="660"/>
      <c r="D29" s="660"/>
      <c r="E29" s="660">
        <v>1</v>
      </c>
      <c r="F29" s="661">
        <f>FORNITURAS!D18</f>
        <v>363</v>
      </c>
      <c r="G29" s="662">
        <f>F29*E29</f>
        <v>363</v>
      </c>
      <c r="H29" s="658"/>
      <c r="N29" s="778" t="s">
        <v>1557</v>
      </c>
      <c r="O29" s="660" t="s">
        <v>1535</v>
      </c>
      <c r="P29" s="769"/>
      <c r="Q29" s="779"/>
      <c r="R29" s="662">
        <f>PACKAGING!E4</f>
        <v>80</v>
      </c>
      <c r="U29" s="658"/>
      <c r="V29" s="658"/>
      <c r="W29" s="658"/>
    </row>
    <row r="30" spans="1:23" x14ac:dyDescent="0.2">
      <c r="A30" s="663" t="s">
        <v>1012</v>
      </c>
      <c r="B30" s="660"/>
      <c r="C30" s="660"/>
      <c r="D30" s="660"/>
      <c r="E30" s="660">
        <v>2</v>
      </c>
      <c r="F30" s="661">
        <f>FORNITURAS!D17</f>
        <v>45.05</v>
      </c>
      <c r="G30" s="662">
        <v>15</v>
      </c>
      <c r="H30" s="658"/>
      <c r="N30" s="665" t="s">
        <v>1538</v>
      </c>
      <c r="O30" s="660"/>
      <c r="P30" s="769"/>
      <c r="Q30" s="779"/>
      <c r="R30" s="662">
        <f>PACKAGING!E9</f>
        <v>450</v>
      </c>
      <c r="T30" s="658"/>
      <c r="U30" s="658"/>
      <c r="V30" s="658"/>
      <c r="W30" s="658"/>
    </row>
    <row r="31" spans="1:23" x14ac:dyDescent="0.2">
      <c r="A31" s="663" t="s">
        <v>1424</v>
      </c>
      <c r="B31" s="660"/>
      <c r="C31" s="660">
        <v>1</v>
      </c>
      <c r="D31" s="660">
        <v>0.47</v>
      </c>
      <c r="E31" s="660">
        <v>1</v>
      </c>
      <c r="F31" s="661">
        <f>'HILOS-CORDONES-TANZA-CUERO'!L9</f>
        <v>30</v>
      </c>
      <c r="G31" s="662">
        <v>6.02</v>
      </c>
      <c r="H31" s="658"/>
      <c r="N31" s="665" t="s">
        <v>1618</v>
      </c>
      <c r="O31" s="660">
        <v>60</v>
      </c>
      <c r="P31" s="769">
        <v>20</v>
      </c>
      <c r="Q31" s="668">
        <f>'INSUMOS VARIOS'!B3</f>
        <v>3500</v>
      </c>
      <c r="R31" s="662">
        <f>Q31*P31/O31</f>
        <v>1166.6666666666667</v>
      </c>
      <c r="S31" s="658" t="s">
        <v>3023</v>
      </c>
      <c r="T31" s="658"/>
      <c r="U31" s="658"/>
      <c r="V31" s="658"/>
      <c r="W31" s="658"/>
    </row>
    <row r="32" spans="1:23" ht="15.75" thickBot="1" x14ac:dyDescent="0.25">
      <c r="A32" s="663" t="s">
        <v>1608</v>
      </c>
      <c r="B32" s="660"/>
      <c r="C32" s="660"/>
      <c r="D32" s="660">
        <v>0.1</v>
      </c>
      <c r="E32" s="660">
        <v>1</v>
      </c>
      <c r="F32" s="661">
        <f>'AROS, CADENAS, DIJES, ETC'!I38</f>
        <v>3630</v>
      </c>
      <c r="G32" s="662">
        <f>F32*D32*E32</f>
        <v>363</v>
      </c>
      <c r="H32" s="658"/>
      <c r="N32" s="670" t="s">
        <v>525</v>
      </c>
      <c r="O32" s="671"/>
      <c r="P32" s="672"/>
      <c r="Q32" s="780"/>
      <c r="R32" s="673">
        <f>SUM(R23:R31)</f>
        <v>23257.385714285712</v>
      </c>
      <c r="S32" s="1073">
        <f>R32+T33+T34</f>
        <v>26735.385714285712</v>
      </c>
      <c r="T32" s="653" t="s">
        <v>2296</v>
      </c>
      <c r="U32" s="658"/>
      <c r="V32" s="658"/>
      <c r="W32" s="658"/>
    </row>
    <row r="33" spans="1:23" ht="16.5" thickBot="1" x14ac:dyDescent="0.25">
      <c r="A33" s="665" t="s">
        <v>1557</v>
      </c>
      <c r="B33" s="660"/>
      <c r="C33" s="660"/>
      <c r="D33" s="660"/>
      <c r="E33" s="660"/>
      <c r="F33" s="769"/>
      <c r="G33" s="662">
        <f>PACKAGING!E4</f>
        <v>80</v>
      </c>
      <c r="H33" s="658"/>
      <c r="N33" s="704" t="s">
        <v>1559</v>
      </c>
      <c r="O33" s="705"/>
      <c r="P33" s="705"/>
      <c r="Q33" s="706"/>
      <c r="R33" s="707">
        <f>R32*2</f>
        <v>46514.771428571425</v>
      </c>
      <c r="S33" s="700">
        <f>R33+R33*60%</f>
        <v>74423.634285714274</v>
      </c>
      <c r="T33" s="702">
        <f>PACKAGING!I4</f>
        <v>2633</v>
      </c>
      <c r="U33" s="702">
        <f>S33+T33+T34</f>
        <v>77901.634285714274</v>
      </c>
      <c r="V33" s="703">
        <v>78000</v>
      </c>
      <c r="W33" s="658"/>
    </row>
    <row r="34" spans="1:23" ht="16.5" thickBot="1" x14ac:dyDescent="0.25">
      <c r="A34" s="666" t="s">
        <v>1634</v>
      </c>
      <c r="B34" s="660"/>
      <c r="C34" s="660"/>
      <c r="D34" s="660"/>
      <c r="E34" s="660"/>
      <c r="F34" s="769"/>
      <c r="G34" s="662">
        <f>PACKAGING!E7</f>
        <v>170</v>
      </c>
      <c r="H34" s="658"/>
      <c r="N34" s="658"/>
      <c r="O34" s="658"/>
      <c r="P34" s="658"/>
      <c r="Q34" s="658"/>
      <c r="R34" s="658"/>
      <c r="S34" s="698"/>
      <c r="T34" s="702">
        <f>PACKAGING!I5</f>
        <v>845</v>
      </c>
      <c r="U34" s="658"/>
      <c r="V34" s="658"/>
      <c r="W34" s="658"/>
    </row>
    <row r="35" spans="1:23" ht="15.75" thickBot="1" x14ac:dyDescent="0.25">
      <c r="A35" s="666" t="s">
        <v>1538</v>
      </c>
      <c r="B35" s="660"/>
      <c r="C35" s="660"/>
      <c r="D35" s="660"/>
      <c r="E35" s="660"/>
      <c r="F35" s="769"/>
      <c r="G35" s="662">
        <f>PACKAGING!E9</f>
        <v>450</v>
      </c>
      <c r="H35" s="658"/>
      <c r="N35" s="1738" t="s">
        <v>322</v>
      </c>
      <c r="O35" s="1739"/>
      <c r="P35" s="1739"/>
      <c r="Q35" s="1739"/>
      <c r="R35" s="1739"/>
      <c r="S35" s="1740"/>
      <c r="V35" s="658"/>
      <c r="W35" s="658"/>
    </row>
    <row r="36" spans="1:23" x14ac:dyDescent="0.2">
      <c r="A36" s="666" t="s">
        <v>1558</v>
      </c>
      <c r="B36" s="660">
        <v>60</v>
      </c>
      <c r="C36" s="660"/>
      <c r="D36" s="660"/>
      <c r="E36" s="660">
        <v>25</v>
      </c>
      <c r="F36" s="661">
        <v>450</v>
      </c>
      <c r="G36" s="662">
        <f>F36*E36/B36</f>
        <v>187.5</v>
      </c>
      <c r="H36" s="658"/>
      <c r="N36" s="654" t="s">
        <v>916</v>
      </c>
      <c r="O36" s="655" t="s">
        <v>743</v>
      </c>
      <c r="P36" s="655" t="s">
        <v>1607</v>
      </c>
      <c r="Q36" s="655" t="s">
        <v>1566</v>
      </c>
      <c r="R36" s="656" t="s">
        <v>1035</v>
      </c>
      <c r="S36" s="657" t="s">
        <v>1549</v>
      </c>
      <c r="V36" s="658"/>
      <c r="W36" s="658"/>
    </row>
    <row r="37" spans="1:23" ht="15.75" thickBot="1" x14ac:dyDescent="0.25">
      <c r="A37" s="670" t="s">
        <v>525</v>
      </c>
      <c r="B37" s="671"/>
      <c r="C37" s="671"/>
      <c r="D37" s="671"/>
      <c r="E37" s="671"/>
      <c r="F37" s="672"/>
      <c r="G37" s="673">
        <f>SUM(G25:G36)</f>
        <v>8696.42</v>
      </c>
      <c r="H37" s="658"/>
      <c r="N37" s="663" t="s">
        <v>3597</v>
      </c>
      <c r="O37" s="660"/>
      <c r="P37" s="660"/>
      <c r="Q37" s="660">
        <v>1</v>
      </c>
      <c r="R37" s="661">
        <f>'PERLAS 2'!H8</f>
        <v>1525.3333333333333</v>
      </c>
      <c r="S37" s="662">
        <f t="shared" ref="S37:S46" si="2">R37*Q37</f>
        <v>1525.3333333333333</v>
      </c>
      <c r="T37" s="658"/>
      <c r="V37" s="658"/>
      <c r="W37" s="658"/>
    </row>
    <row r="38" spans="1:23" ht="16.5" thickBot="1" x14ac:dyDescent="0.25">
      <c r="A38" s="781" t="s">
        <v>1559</v>
      </c>
      <c r="B38" s="782"/>
      <c r="C38" s="782"/>
      <c r="D38" s="782"/>
      <c r="E38" s="782"/>
      <c r="F38" s="783"/>
      <c r="G38" s="784">
        <f>G37*2</f>
        <v>17392.84</v>
      </c>
      <c r="H38" s="701">
        <f>G38+G38*70%</f>
        <v>29567.828000000001</v>
      </c>
      <c r="I38" s="785">
        <v>30000</v>
      </c>
      <c r="J38" s="711"/>
      <c r="N38" s="663" t="s">
        <v>3598</v>
      </c>
      <c r="O38" s="660"/>
      <c r="P38" s="660"/>
      <c r="Q38" s="660">
        <v>5</v>
      </c>
      <c r="R38" s="661">
        <f>'PERLAS 2'!H31</f>
        <v>804.77419354838707</v>
      </c>
      <c r="S38" s="662">
        <f t="shared" si="2"/>
        <v>4023.8709677419356</v>
      </c>
      <c r="T38" s="658"/>
      <c r="V38" s="658"/>
      <c r="W38" s="658"/>
    </row>
    <row r="39" spans="1:23" x14ac:dyDescent="0.2">
      <c r="N39" s="663" t="s">
        <v>3601</v>
      </c>
      <c r="O39" s="660"/>
      <c r="P39" s="660"/>
      <c r="Q39" s="660">
        <v>1</v>
      </c>
      <c r="R39" s="661">
        <f>'PERLAS 2'!H12</f>
        <v>3141.6</v>
      </c>
      <c r="S39" s="662">
        <f t="shared" si="2"/>
        <v>3141.6</v>
      </c>
      <c r="T39" s="658"/>
      <c r="V39" s="658"/>
      <c r="W39" s="658"/>
    </row>
    <row r="40" spans="1:23" x14ac:dyDescent="0.2">
      <c r="A40" s="1753" t="s">
        <v>1985</v>
      </c>
      <c r="B40" s="1754"/>
      <c r="C40" s="1754"/>
      <c r="D40" s="1754"/>
      <c r="E40" s="1754"/>
      <c r="F40" s="1754"/>
      <c r="N40" s="663" t="s">
        <v>3602</v>
      </c>
      <c r="O40" s="660"/>
      <c r="P40" s="660"/>
      <c r="Q40" s="660">
        <v>1</v>
      </c>
      <c r="R40" s="661">
        <f>'PERLAS 2'!H11</f>
        <v>1416.8</v>
      </c>
      <c r="S40" s="662">
        <f t="shared" si="2"/>
        <v>1416.8</v>
      </c>
      <c r="T40" s="658"/>
      <c r="V40" s="658"/>
      <c r="W40" s="658"/>
    </row>
    <row r="41" spans="1:23" x14ac:dyDescent="0.2">
      <c r="A41" s="654" t="s">
        <v>916</v>
      </c>
      <c r="B41" s="655" t="s">
        <v>743</v>
      </c>
      <c r="C41" s="655" t="s">
        <v>1089</v>
      </c>
      <c r="D41" s="655" t="s">
        <v>1566</v>
      </c>
      <c r="E41" s="656" t="s">
        <v>1035</v>
      </c>
      <c r="F41" s="657" t="s">
        <v>1549</v>
      </c>
      <c r="G41" s="658"/>
      <c r="N41" s="663" t="s">
        <v>3606</v>
      </c>
      <c r="O41" s="660"/>
      <c r="P41" s="660"/>
      <c r="Q41" s="660">
        <v>1</v>
      </c>
      <c r="R41" s="661">
        <f>'PERLAS 2'!H5</f>
        <v>434</v>
      </c>
      <c r="S41" s="662">
        <f t="shared" si="2"/>
        <v>434</v>
      </c>
      <c r="T41" s="658"/>
      <c r="V41" s="658"/>
      <c r="W41" s="658"/>
    </row>
    <row r="42" spans="1:23" x14ac:dyDescent="0.2">
      <c r="A42" s="659" t="s">
        <v>1224</v>
      </c>
      <c r="B42" s="660"/>
      <c r="C42" s="660">
        <v>1</v>
      </c>
      <c r="D42" s="660"/>
      <c r="E42" s="661">
        <f>'HILOS-CORDONES-TANZA-CUERO'!E5</f>
        <v>50.35</v>
      </c>
      <c r="F42" s="662">
        <f>E42*C42</f>
        <v>50.35</v>
      </c>
      <c r="G42" s="658"/>
      <c r="N42" s="663" t="s">
        <v>3607</v>
      </c>
      <c r="O42" s="660"/>
      <c r="P42" s="660"/>
      <c r="Q42" s="660">
        <v>1</v>
      </c>
      <c r="R42" s="661">
        <f>'PERLAS 2'!H13</f>
        <v>785.4</v>
      </c>
      <c r="S42" s="662">
        <f t="shared" si="2"/>
        <v>785.4</v>
      </c>
      <c r="T42" s="698"/>
      <c r="V42" s="658"/>
      <c r="W42" s="658"/>
    </row>
    <row r="43" spans="1:23" x14ac:dyDescent="0.2">
      <c r="A43" s="663" t="s">
        <v>1706</v>
      </c>
      <c r="B43" s="660"/>
      <c r="C43" s="660">
        <v>0.20499999999999999</v>
      </c>
      <c r="D43" s="660">
        <v>0.31</v>
      </c>
      <c r="E43" s="661">
        <f>VIDRIOS!D30</f>
        <v>1430</v>
      </c>
      <c r="F43" s="664">
        <f>E43*D43/C43</f>
        <v>2162.439024390244</v>
      </c>
      <c r="G43" s="658"/>
      <c r="N43" s="663" t="s">
        <v>3610</v>
      </c>
      <c r="O43" s="660"/>
      <c r="P43" s="660"/>
      <c r="Q43" s="660">
        <v>15</v>
      </c>
      <c r="R43" s="661">
        <f>'PERLAS 2'!H14</f>
        <v>324.8</v>
      </c>
      <c r="S43" s="662">
        <f t="shared" si="2"/>
        <v>4872</v>
      </c>
      <c r="T43" s="658"/>
      <c r="V43" s="658"/>
      <c r="W43" s="658"/>
    </row>
    <row r="44" spans="1:23" x14ac:dyDescent="0.2">
      <c r="A44" s="663" t="s">
        <v>1988</v>
      </c>
      <c r="B44" s="660"/>
      <c r="C44" s="660"/>
      <c r="D44" s="660">
        <v>1</v>
      </c>
      <c r="E44" s="661">
        <f>FORNITURAS!D21</f>
        <v>1500</v>
      </c>
      <c r="F44" s="662">
        <f>E44*D44</f>
        <v>1500</v>
      </c>
      <c r="G44" s="658"/>
      <c r="N44" s="663" t="s">
        <v>1989</v>
      </c>
      <c r="O44" s="660"/>
      <c r="P44" s="660"/>
      <c r="Q44" s="660">
        <v>5</v>
      </c>
      <c r="R44" s="661">
        <f>'PERLAS 2'!H34</f>
        <v>421.05263157894734</v>
      </c>
      <c r="S44" s="662">
        <f t="shared" si="2"/>
        <v>2105.2631578947367</v>
      </c>
      <c r="T44" s="658"/>
      <c r="V44" s="658"/>
      <c r="W44" s="658"/>
    </row>
    <row r="45" spans="1:23" x14ac:dyDescent="0.2">
      <c r="A45" s="663" t="s">
        <v>908</v>
      </c>
      <c r="B45" s="660"/>
      <c r="C45" s="660">
        <v>0.5</v>
      </c>
      <c r="D45" s="660">
        <v>0.06</v>
      </c>
      <c r="E45" s="661">
        <f>'AROS, CADENAS, DIJES, ETC'!I56</f>
        <v>2614</v>
      </c>
      <c r="F45" s="662">
        <f>E45*D45/C45</f>
        <v>313.68</v>
      </c>
      <c r="G45" s="658"/>
      <c r="N45" s="663" t="s">
        <v>3609</v>
      </c>
      <c r="O45" s="660"/>
      <c r="P45" s="660"/>
      <c r="Q45" s="660">
        <v>26</v>
      </c>
      <c r="R45" s="661">
        <f>'PERLAS 2'!H18</f>
        <v>167.2</v>
      </c>
      <c r="S45" s="662">
        <f t="shared" si="2"/>
        <v>4347.2</v>
      </c>
      <c r="T45" s="698"/>
      <c r="V45" s="658"/>
      <c r="W45" s="658"/>
    </row>
    <row r="46" spans="1:23" x14ac:dyDescent="0.2">
      <c r="A46" s="1736" t="s">
        <v>1555</v>
      </c>
      <c r="B46" s="660" t="s">
        <v>1933</v>
      </c>
      <c r="C46" s="660"/>
      <c r="D46" s="660">
        <v>2</v>
      </c>
      <c r="E46" s="661">
        <f>FORNITURAS!D5</f>
        <v>46.8</v>
      </c>
      <c r="F46" s="662">
        <f>E46*D46</f>
        <v>93.6</v>
      </c>
      <c r="G46" s="658"/>
      <c r="N46" s="663" t="s">
        <v>1554</v>
      </c>
      <c r="O46" s="660" t="s">
        <v>777</v>
      </c>
      <c r="P46" s="660"/>
      <c r="Q46" s="660">
        <v>2</v>
      </c>
      <c r="R46" s="661">
        <f>FORNITURAS!D26</f>
        <v>297.14285714285717</v>
      </c>
      <c r="S46" s="662">
        <f t="shared" si="2"/>
        <v>594.28571428571433</v>
      </c>
      <c r="T46" s="658"/>
      <c r="V46" s="658"/>
      <c r="W46" s="658"/>
    </row>
    <row r="47" spans="1:23" x14ac:dyDescent="0.2">
      <c r="A47" s="1737"/>
      <c r="B47" s="660" t="s">
        <v>1573</v>
      </c>
      <c r="C47" s="660"/>
      <c r="D47" s="660">
        <v>1</v>
      </c>
      <c r="E47" s="661">
        <f>FORNITURAS!D7</f>
        <v>52</v>
      </c>
      <c r="F47" s="662">
        <f>E47*D47</f>
        <v>52</v>
      </c>
      <c r="G47" s="658"/>
      <c r="N47" s="663" t="s">
        <v>1587</v>
      </c>
      <c r="O47" s="660"/>
      <c r="P47" s="660"/>
      <c r="Q47" s="660">
        <v>1</v>
      </c>
      <c r="R47" s="661">
        <f>FORNITURAS!D18</f>
        <v>363</v>
      </c>
      <c r="S47" s="662">
        <f>Q47*R47</f>
        <v>363</v>
      </c>
      <c r="T47" s="658"/>
      <c r="V47" s="658"/>
      <c r="W47" s="658"/>
    </row>
    <row r="48" spans="1:23" x14ac:dyDescent="0.2">
      <c r="A48" s="666" t="s">
        <v>1557</v>
      </c>
      <c r="B48" s="660"/>
      <c r="C48" s="660"/>
      <c r="D48" s="660"/>
      <c r="E48" s="661"/>
      <c r="F48" s="667">
        <f>PACKAGING!E4</f>
        <v>80</v>
      </c>
      <c r="G48" s="658"/>
      <c r="N48" s="663" t="s">
        <v>1012</v>
      </c>
      <c r="O48" s="660"/>
      <c r="P48" s="660"/>
      <c r="Q48" s="660">
        <v>2</v>
      </c>
      <c r="R48" s="661">
        <f>FORNITURAS!D17</f>
        <v>45.05</v>
      </c>
      <c r="S48" s="662">
        <f>Q48*R48</f>
        <v>90.1</v>
      </c>
      <c r="T48" s="658"/>
      <c r="V48" s="658"/>
      <c r="W48" s="658"/>
    </row>
    <row r="49" spans="1:25" x14ac:dyDescent="0.2">
      <c r="A49" s="666" t="s">
        <v>1634</v>
      </c>
      <c r="B49" s="660"/>
      <c r="C49" s="660"/>
      <c r="D49" s="660"/>
      <c r="E49" s="661"/>
      <c r="F49" s="667">
        <f>PACKAGING!E7</f>
        <v>170</v>
      </c>
      <c r="G49" s="658"/>
      <c r="N49" s="663" t="s">
        <v>908</v>
      </c>
      <c r="O49" s="660"/>
      <c r="P49" s="660"/>
      <c r="Q49" s="660">
        <v>0.1</v>
      </c>
      <c r="R49" s="661">
        <f>'AROS, CADENAS, DIJES, ETC'!I38</f>
        <v>3630</v>
      </c>
      <c r="S49" s="662">
        <f>Q49*R49</f>
        <v>363</v>
      </c>
      <c r="T49" s="658"/>
      <c r="V49" s="658"/>
      <c r="W49" s="658"/>
    </row>
    <row r="50" spans="1:25" x14ac:dyDescent="0.2">
      <c r="A50" s="666" t="s">
        <v>1670</v>
      </c>
      <c r="B50" s="660"/>
      <c r="C50" s="660"/>
      <c r="D50" s="660"/>
      <c r="E50" s="661"/>
      <c r="F50" s="667">
        <f>PACKAGING!E9</f>
        <v>450</v>
      </c>
      <c r="G50" s="658"/>
      <c r="N50" s="1736" t="s">
        <v>1555</v>
      </c>
      <c r="O50" s="660" t="s">
        <v>1556</v>
      </c>
      <c r="P50" s="660"/>
      <c r="Q50" s="660">
        <v>1</v>
      </c>
      <c r="R50" s="661">
        <f>FORNITURAS!D4</f>
        <v>48.7</v>
      </c>
      <c r="S50" s="662">
        <f>Q50*R50</f>
        <v>48.7</v>
      </c>
      <c r="T50" s="658"/>
      <c r="V50" s="658"/>
      <c r="W50" s="658"/>
    </row>
    <row r="51" spans="1:25" x14ac:dyDescent="0.2">
      <c r="A51" s="683" t="s">
        <v>1618</v>
      </c>
      <c r="B51" s="660"/>
      <c r="C51" s="660">
        <v>60</v>
      </c>
      <c r="D51" s="660">
        <v>25</v>
      </c>
      <c r="E51" s="668">
        <f>'INSUMOS VARIOS'!B3</f>
        <v>3500</v>
      </c>
      <c r="F51" s="669">
        <f>E51*D51/C51</f>
        <v>1458.3333333333333</v>
      </c>
      <c r="G51" s="658"/>
      <c r="N51" s="1737"/>
      <c r="O51" s="660" t="s">
        <v>1573</v>
      </c>
      <c r="P51" s="660"/>
      <c r="Q51" s="660">
        <v>1</v>
      </c>
      <c r="R51" s="661">
        <f>FORNITURAS!D7</f>
        <v>52</v>
      </c>
      <c r="S51" s="662">
        <f>R51*Q51</f>
        <v>52</v>
      </c>
      <c r="T51" s="658"/>
      <c r="V51" s="658"/>
      <c r="W51" s="658"/>
    </row>
    <row r="52" spans="1:25" ht="15.75" thickBot="1" x14ac:dyDescent="0.25">
      <c r="A52" s="670" t="s">
        <v>525</v>
      </c>
      <c r="B52" s="671"/>
      <c r="C52" s="671"/>
      <c r="D52" s="671"/>
      <c r="E52" s="672"/>
      <c r="F52" s="673">
        <f>SUM(F42:F51)</f>
        <v>6330.4023577235766</v>
      </c>
      <c r="G52" s="658"/>
      <c r="N52" s="666" t="s">
        <v>1557</v>
      </c>
      <c r="O52" s="660"/>
      <c r="P52" s="660"/>
      <c r="Q52" s="660"/>
      <c r="R52" s="661"/>
      <c r="S52" s="667">
        <f>PACKAGING!E4</f>
        <v>80</v>
      </c>
      <c r="T52" s="658"/>
      <c r="V52" s="658"/>
      <c r="W52" s="658"/>
    </row>
    <row r="53" spans="1:25" ht="15.75" x14ac:dyDescent="0.2">
      <c r="A53" s="675" t="s">
        <v>544</v>
      </c>
      <c r="B53" s="676"/>
      <c r="C53" s="676"/>
      <c r="D53" s="676"/>
      <c r="E53" s="677"/>
      <c r="F53" s="786">
        <f>F52*2</f>
        <v>12660.804715447153</v>
      </c>
      <c r="G53" s="693">
        <f>F53+F53*50%</f>
        <v>18991.207073170728</v>
      </c>
      <c r="H53" s="682">
        <v>11500</v>
      </c>
      <c r="N53" s="666" t="s">
        <v>1634</v>
      </c>
      <c r="O53" s="660"/>
      <c r="P53" s="660"/>
      <c r="Q53" s="660"/>
      <c r="R53" s="661"/>
      <c r="S53" s="667">
        <f>PACKAGING!E7</f>
        <v>170</v>
      </c>
      <c r="T53" s="658"/>
      <c r="V53" s="658"/>
      <c r="W53" s="658"/>
    </row>
    <row r="54" spans="1:25" ht="16.5" thickBot="1" x14ac:dyDescent="0.25">
      <c r="A54" s="684" t="s">
        <v>1559</v>
      </c>
      <c r="B54" s="685"/>
      <c r="C54" s="685"/>
      <c r="D54" s="685"/>
      <c r="E54" s="686"/>
      <c r="F54" s="771"/>
      <c r="G54" s="694"/>
      <c r="H54" s="691">
        <f>H53*2</f>
        <v>23000</v>
      </c>
      <c r="N54" s="663" t="s">
        <v>1618</v>
      </c>
      <c r="O54" s="660"/>
      <c r="P54" s="660">
        <v>60</v>
      </c>
      <c r="Q54" s="660">
        <v>40</v>
      </c>
      <c r="R54" s="668">
        <f>'INSUMOS VARIOS'!B3</f>
        <v>3500</v>
      </c>
      <c r="S54" s="669">
        <f>R54*Q54/P54</f>
        <v>2333.3333333333335</v>
      </c>
      <c r="T54" s="658" t="s">
        <v>3023</v>
      </c>
      <c r="V54" s="658"/>
      <c r="W54" s="658"/>
    </row>
    <row r="55" spans="1:25" ht="15.75" thickBot="1" x14ac:dyDescent="0.25">
      <c r="N55" s="670" t="s">
        <v>525</v>
      </c>
      <c r="O55" s="671"/>
      <c r="P55" s="671"/>
      <c r="Q55" s="671"/>
      <c r="R55" s="672"/>
      <c r="S55" s="673">
        <f>SUM(S37:S54)</f>
        <v>26745.88650658905</v>
      </c>
      <c r="T55" s="698">
        <f>S55+U56+U57</f>
        <v>30223.88650658905</v>
      </c>
      <c r="U55" s="653" t="s">
        <v>2296</v>
      </c>
      <c r="V55" s="658"/>
      <c r="W55" s="658"/>
    </row>
    <row r="56" spans="1:25" ht="16.5" thickBot="1" x14ac:dyDescent="0.25">
      <c r="A56" s="1738" t="s">
        <v>127</v>
      </c>
      <c r="B56" s="1739"/>
      <c r="C56" s="1739"/>
      <c r="D56" s="1739"/>
      <c r="E56" s="1739"/>
      <c r="F56" s="1740"/>
      <c r="N56" s="704" t="s">
        <v>1559</v>
      </c>
      <c r="O56" s="705"/>
      <c r="P56" s="705"/>
      <c r="Q56" s="706"/>
      <c r="R56" s="706"/>
      <c r="S56" s="707">
        <f>S55*2</f>
        <v>53491.773013178099</v>
      </c>
      <c r="T56" s="700">
        <f>S56+S56*50%</f>
        <v>80237.659519767156</v>
      </c>
      <c r="U56" s="701">
        <f>PACKAGING!I4</f>
        <v>2633</v>
      </c>
      <c r="V56" s="702">
        <f>T56+U56+U57</f>
        <v>83715.659519767156</v>
      </c>
      <c r="W56" s="703">
        <v>82000</v>
      </c>
    </row>
    <row r="57" spans="1:25" ht="15.75" thickBot="1" x14ac:dyDescent="0.25">
      <c r="A57" s="654" t="s">
        <v>916</v>
      </c>
      <c r="B57" s="655" t="s">
        <v>743</v>
      </c>
      <c r="C57" s="655" t="s">
        <v>1607</v>
      </c>
      <c r="D57" s="655" t="s">
        <v>1566</v>
      </c>
      <c r="E57" s="656" t="s">
        <v>1035</v>
      </c>
      <c r="F57" s="657" t="s">
        <v>1549</v>
      </c>
      <c r="N57" s="658"/>
      <c r="O57" s="658"/>
      <c r="P57" s="658"/>
      <c r="Q57" s="658"/>
      <c r="R57" s="658"/>
      <c r="S57" s="698"/>
      <c r="T57" s="698"/>
      <c r="U57" s="699">
        <f>PACKAGING!I5</f>
        <v>845</v>
      </c>
      <c r="V57" s="658"/>
      <c r="W57" s="658"/>
    </row>
    <row r="58" spans="1:25" ht="15.75" thickBot="1" x14ac:dyDescent="0.25">
      <c r="A58" s="663" t="s">
        <v>1992</v>
      </c>
      <c r="B58" s="660"/>
      <c r="C58" s="660">
        <v>0.2</v>
      </c>
      <c r="D58" s="660">
        <v>0.37</v>
      </c>
      <c r="E58" s="661">
        <f>VIDRIOS!D25</f>
        <v>1430</v>
      </c>
      <c r="F58" s="662">
        <f>E58*D58/C58</f>
        <v>2645.5</v>
      </c>
      <c r="G58" s="658"/>
      <c r="N58" s="1738" t="s">
        <v>372</v>
      </c>
      <c r="O58" s="1739"/>
      <c r="P58" s="1739"/>
      <c r="Q58" s="1739"/>
      <c r="R58" s="1739"/>
      <c r="S58" s="1740"/>
      <c r="V58" s="658"/>
      <c r="W58" s="658"/>
    </row>
    <row r="59" spans="1:25" x14ac:dyDescent="0.2">
      <c r="A59" s="1736" t="s">
        <v>1555</v>
      </c>
      <c r="B59" s="660" t="s">
        <v>1556</v>
      </c>
      <c r="C59" s="660"/>
      <c r="D59" s="660">
        <v>2</v>
      </c>
      <c r="E59" s="661">
        <f>FORNITURAS!D4</f>
        <v>48.7</v>
      </c>
      <c r="F59" s="662">
        <f t="shared" ref="F59:F64" si="3">E59*D59</f>
        <v>97.4</v>
      </c>
      <c r="G59" s="658"/>
      <c r="N59" s="654" t="s">
        <v>916</v>
      </c>
      <c r="O59" s="655" t="s">
        <v>743</v>
      </c>
      <c r="P59" s="655" t="s">
        <v>1607</v>
      </c>
      <c r="Q59" s="655" t="s">
        <v>1566</v>
      </c>
      <c r="R59" s="656" t="s">
        <v>1035</v>
      </c>
      <c r="S59" s="657" t="s">
        <v>1549</v>
      </c>
      <c r="V59" s="658"/>
      <c r="W59" s="658"/>
    </row>
    <row r="60" spans="1:25" x14ac:dyDescent="0.2">
      <c r="A60" s="1737"/>
      <c r="B60" s="660" t="s">
        <v>1573</v>
      </c>
      <c r="C60" s="660"/>
      <c r="D60" s="660">
        <v>1</v>
      </c>
      <c r="E60" s="661">
        <f>FORNITURAS!D7</f>
        <v>52</v>
      </c>
      <c r="F60" s="662">
        <f t="shared" si="3"/>
        <v>52</v>
      </c>
      <c r="G60" s="658"/>
      <c r="N60" s="663" t="s">
        <v>1435</v>
      </c>
      <c r="O60" s="660"/>
      <c r="P60" s="660"/>
      <c r="Q60" s="660">
        <v>5</v>
      </c>
      <c r="R60" s="661">
        <f>'PALAIS DU BIJOU'!M57</f>
        <v>150</v>
      </c>
      <c r="S60" s="662">
        <f t="shared" ref="S60:S73" si="4">R60*Q60</f>
        <v>750</v>
      </c>
      <c r="T60" s="658"/>
      <c r="V60" s="658"/>
      <c r="W60" s="658"/>
    </row>
    <row r="61" spans="1:25" x14ac:dyDescent="0.2">
      <c r="A61" s="663" t="s">
        <v>1944</v>
      </c>
      <c r="B61" s="660" t="s">
        <v>777</v>
      </c>
      <c r="C61" s="660"/>
      <c r="D61" s="660">
        <v>2</v>
      </c>
      <c r="E61" s="661">
        <f>FORNITURAS!I4</f>
        <v>66.099999999999994</v>
      </c>
      <c r="F61" s="662">
        <f t="shared" si="3"/>
        <v>132.19999999999999</v>
      </c>
      <c r="G61" s="658"/>
      <c r="N61" s="663" t="s">
        <v>1993</v>
      </c>
      <c r="O61" s="660"/>
      <c r="P61" s="660"/>
      <c r="Q61" s="660">
        <v>2</v>
      </c>
      <c r="R61" s="661">
        <f>'PALAIS DU BIJOU'!N49</f>
        <v>37.313432835820898</v>
      </c>
      <c r="S61" s="662">
        <f t="shared" si="4"/>
        <v>74.626865671641795</v>
      </c>
      <c r="T61" s="658"/>
      <c r="V61" s="658"/>
      <c r="W61" s="658"/>
    </row>
    <row r="62" spans="1:25" x14ac:dyDescent="0.2">
      <c r="A62" s="663" t="s">
        <v>1587</v>
      </c>
      <c r="B62" s="660"/>
      <c r="C62" s="660"/>
      <c r="D62" s="660">
        <v>1</v>
      </c>
      <c r="E62" s="661">
        <f>FORNITURAS!D18</f>
        <v>363</v>
      </c>
      <c r="F62" s="662">
        <f t="shared" si="3"/>
        <v>363</v>
      </c>
      <c r="G62" s="658"/>
      <c r="N62" s="663" t="s">
        <v>3183</v>
      </c>
      <c r="O62" s="660" t="s">
        <v>1022</v>
      </c>
      <c r="P62" s="660"/>
      <c r="Q62" s="660">
        <v>1</v>
      </c>
      <c r="R62" s="661">
        <f>PIEDRAS!F132</f>
        <v>60</v>
      </c>
      <c r="S62" s="662">
        <f t="shared" ref="S62:S67" si="5">R62*Q62</f>
        <v>60</v>
      </c>
      <c r="T62" s="658"/>
      <c r="V62" s="658"/>
      <c r="W62" s="658"/>
    </row>
    <row r="63" spans="1:25" x14ac:dyDescent="0.2">
      <c r="A63" s="663" t="s">
        <v>1012</v>
      </c>
      <c r="B63" s="660"/>
      <c r="C63" s="660"/>
      <c r="D63" s="660">
        <v>2</v>
      </c>
      <c r="E63" s="661">
        <f>FORNITURAS!D17</f>
        <v>45.05</v>
      </c>
      <c r="F63" s="662">
        <f t="shared" si="3"/>
        <v>90.1</v>
      </c>
      <c r="G63" s="658"/>
      <c r="N63" s="663" t="s">
        <v>3183</v>
      </c>
      <c r="O63" s="660" t="s">
        <v>937</v>
      </c>
      <c r="P63" s="660"/>
      <c r="Q63" s="660">
        <v>2</v>
      </c>
      <c r="R63" s="661">
        <f>PIEDRAS!F133</f>
        <v>170</v>
      </c>
      <c r="S63" s="662">
        <f t="shared" si="5"/>
        <v>340</v>
      </c>
      <c r="T63" s="1159"/>
      <c r="U63" s="1158"/>
      <c r="V63" s="1159"/>
      <c r="W63" s="1159"/>
      <c r="Y63" s="1158"/>
    </row>
    <row r="64" spans="1:25" x14ac:dyDescent="0.2">
      <c r="A64" s="663" t="s">
        <v>1424</v>
      </c>
      <c r="B64" s="660"/>
      <c r="C64" s="660">
        <v>0.47</v>
      </c>
      <c r="D64" s="660">
        <v>1</v>
      </c>
      <c r="E64" s="661">
        <f>'HILOS-CORDONES-TANZA-CUERO'!L9</f>
        <v>30</v>
      </c>
      <c r="F64" s="662">
        <f t="shared" si="3"/>
        <v>30</v>
      </c>
      <c r="G64" s="658"/>
      <c r="N64" s="663" t="s">
        <v>3279</v>
      </c>
      <c r="O64" s="660"/>
      <c r="P64" s="660"/>
      <c r="Q64" s="660">
        <v>1</v>
      </c>
      <c r="R64" s="661">
        <f>'INS VARIOS'!C10</f>
        <v>216.66666666666666</v>
      </c>
      <c r="S64" s="662">
        <f t="shared" si="5"/>
        <v>216.66666666666666</v>
      </c>
      <c r="T64" s="658"/>
      <c r="V64" s="658"/>
      <c r="W64" s="658"/>
      <c r="X64" s="1158"/>
    </row>
    <row r="65" spans="1:23" x14ac:dyDescent="0.2">
      <c r="A65" s="663" t="s">
        <v>1608</v>
      </c>
      <c r="B65" s="660"/>
      <c r="C65" s="660">
        <v>0.26</v>
      </c>
      <c r="D65" s="660">
        <v>0.1</v>
      </c>
      <c r="E65" s="661">
        <f>'AROS, CADENAS, DIJES, ETC'!T10</f>
        <v>1000</v>
      </c>
      <c r="F65" s="662">
        <f>E65*D65/C65</f>
        <v>384.61538461538458</v>
      </c>
      <c r="G65" s="658"/>
      <c r="N65" s="663" t="s">
        <v>1995</v>
      </c>
      <c r="O65" s="660"/>
      <c r="P65" s="660"/>
      <c r="Q65" s="660">
        <v>1</v>
      </c>
      <c r="R65" s="661">
        <f>'INSUMOS VARIOS'!K24</f>
        <v>431.5</v>
      </c>
      <c r="S65" s="662">
        <f t="shared" si="5"/>
        <v>431.5</v>
      </c>
      <c r="T65" s="658"/>
      <c r="V65" s="658"/>
      <c r="W65" s="658"/>
    </row>
    <row r="66" spans="1:23" x14ac:dyDescent="0.2">
      <c r="A66" s="665" t="s">
        <v>1557</v>
      </c>
      <c r="B66" s="660"/>
      <c r="C66" s="660"/>
      <c r="D66" s="660"/>
      <c r="E66" s="769"/>
      <c r="F66" s="662">
        <f>PACKAGING!E4</f>
        <v>80</v>
      </c>
      <c r="G66" s="658"/>
      <c r="N66" s="663" t="s">
        <v>3278</v>
      </c>
      <c r="O66" s="660"/>
      <c r="P66" s="660"/>
      <c r="Q66" s="660">
        <v>1</v>
      </c>
      <c r="R66" s="661">
        <f>'PALAIS DU BIJOU'!M58</f>
        <v>300</v>
      </c>
      <c r="S66" s="662">
        <f t="shared" si="5"/>
        <v>300</v>
      </c>
      <c r="T66" s="658"/>
      <c r="V66" s="658"/>
      <c r="W66" s="658"/>
    </row>
    <row r="67" spans="1:23" x14ac:dyDescent="0.2">
      <c r="A67" s="666" t="s">
        <v>1634</v>
      </c>
      <c r="B67" s="660"/>
      <c r="C67" s="660"/>
      <c r="D67" s="660"/>
      <c r="E67" s="769"/>
      <c r="F67" s="662">
        <f>PACKAGING!E7</f>
        <v>170</v>
      </c>
      <c r="G67" s="658"/>
      <c r="N67" s="663" t="s">
        <v>1996</v>
      </c>
      <c r="O67" s="660"/>
      <c r="P67" s="660"/>
      <c r="Q67" s="660">
        <v>1</v>
      </c>
      <c r="R67" s="661">
        <f>'INSUMOS VARIOS'!K25</f>
        <v>431.5</v>
      </c>
      <c r="S67" s="662">
        <f t="shared" si="5"/>
        <v>431.5</v>
      </c>
      <c r="T67" s="658"/>
      <c r="V67" s="658"/>
      <c r="W67" s="658"/>
    </row>
    <row r="68" spans="1:23" x14ac:dyDescent="0.2">
      <c r="A68" s="666" t="s">
        <v>1538</v>
      </c>
      <c r="B68" s="660"/>
      <c r="C68" s="660"/>
      <c r="D68" s="660"/>
      <c r="E68" s="769"/>
      <c r="F68" s="662">
        <f>PACKAGING!E9</f>
        <v>450</v>
      </c>
      <c r="G68" s="658"/>
      <c r="N68" s="663" t="s">
        <v>1986</v>
      </c>
      <c r="O68" s="660"/>
      <c r="P68" s="660"/>
      <c r="Q68" s="660">
        <v>1</v>
      </c>
      <c r="R68" s="661">
        <f>PERLAS!O14</f>
        <v>2400</v>
      </c>
      <c r="S68" s="662">
        <f t="shared" si="4"/>
        <v>2400</v>
      </c>
      <c r="T68" s="658"/>
      <c r="V68" s="658"/>
      <c r="W68" s="658"/>
    </row>
    <row r="69" spans="1:23" x14ac:dyDescent="0.2">
      <c r="A69" s="666" t="s">
        <v>1558</v>
      </c>
      <c r="B69" s="660">
        <v>60</v>
      </c>
      <c r="C69" s="660"/>
      <c r="D69" s="660">
        <v>15</v>
      </c>
      <c r="E69" s="661">
        <f>'INSUMOS VARIOS'!B3</f>
        <v>3500</v>
      </c>
      <c r="F69" s="662">
        <f>E69*D69/B69</f>
        <v>875</v>
      </c>
      <c r="G69" s="658"/>
      <c r="N69" s="663" t="s">
        <v>1987</v>
      </c>
      <c r="O69" s="660"/>
      <c r="P69" s="660"/>
      <c r="Q69" s="660">
        <v>1</v>
      </c>
      <c r="R69" s="661">
        <f>PERLAS!O15</f>
        <v>1280</v>
      </c>
      <c r="S69" s="662">
        <f t="shared" si="4"/>
        <v>1280</v>
      </c>
      <c r="T69" s="658"/>
      <c r="V69" s="658"/>
      <c r="W69" s="658"/>
    </row>
    <row r="70" spans="1:23" ht="15.75" thickBot="1" x14ac:dyDescent="0.25">
      <c r="A70" s="670" t="s">
        <v>525</v>
      </c>
      <c r="B70" s="671"/>
      <c r="C70" s="671"/>
      <c r="D70" s="671"/>
      <c r="E70" s="672"/>
      <c r="F70" s="673">
        <f>SUM(F58:F69)</f>
        <v>5369.8153846153846</v>
      </c>
      <c r="G70" s="658"/>
      <c r="N70" s="663" t="s">
        <v>1989</v>
      </c>
      <c r="O70" s="660"/>
      <c r="P70" s="660"/>
      <c r="Q70" s="660">
        <v>6</v>
      </c>
      <c r="R70" s="661">
        <f>PERLAS!F21</f>
        <v>173.68421052631578</v>
      </c>
      <c r="S70" s="662">
        <f t="shared" si="4"/>
        <v>1042.1052631578946</v>
      </c>
      <c r="T70" s="658"/>
      <c r="V70" s="658"/>
      <c r="W70" s="658"/>
    </row>
    <row r="71" spans="1:23" ht="15.75" x14ac:dyDescent="0.2">
      <c r="A71" s="675" t="s">
        <v>544</v>
      </c>
      <c r="B71" s="676"/>
      <c r="C71" s="676"/>
      <c r="D71" s="676"/>
      <c r="E71" s="677"/>
      <c r="F71" s="786">
        <f>F70*2</f>
        <v>10739.630769230769</v>
      </c>
      <c r="G71" s="680">
        <f>F71+F71*50%</f>
        <v>16109.446153846155</v>
      </c>
      <c r="H71" s="770">
        <v>11600</v>
      </c>
      <c r="N71" s="663" t="s">
        <v>1990</v>
      </c>
      <c r="O71" s="660"/>
      <c r="P71" s="660"/>
      <c r="Q71" s="660">
        <v>12</v>
      </c>
      <c r="R71" s="661">
        <f>PERLAS!F20</f>
        <v>101.53846153846153</v>
      </c>
      <c r="S71" s="662">
        <f t="shared" si="4"/>
        <v>1218.4615384615383</v>
      </c>
      <c r="T71" s="658"/>
      <c r="V71" s="658"/>
      <c r="W71" s="658"/>
    </row>
    <row r="72" spans="1:23" ht="16.5" thickBot="1" x14ac:dyDescent="0.25">
      <c r="A72" s="781" t="s">
        <v>1559</v>
      </c>
      <c r="B72" s="782"/>
      <c r="C72" s="782"/>
      <c r="D72" s="782"/>
      <c r="E72" s="783"/>
      <c r="F72" s="787"/>
      <c r="G72" s="690"/>
      <c r="H72" s="797">
        <f>H71*2</f>
        <v>23200</v>
      </c>
      <c r="N72" s="663" t="s">
        <v>1991</v>
      </c>
      <c r="O72" s="660"/>
      <c r="P72" s="660"/>
      <c r="Q72" s="660">
        <v>12</v>
      </c>
      <c r="R72" s="661">
        <f>PERLAS!F25</f>
        <v>106.45161290322581</v>
      </c>
      <c r="S72" s="662">
        <f t="shared" si="4"/>
        <v>1277.4193548387098</v>
      </c>
      <c r="T72" s="658"/>
      <c r="V72" s="658"/>
      <c r="W72" s="658"/>
    </row>
    <row r="73" spans="1:23" ht="15.75" thickBot="1" x14ac:dyDescent="0.25">
      <c r="A73" s="798"/>
      <c r="B73" s="798"/>
      <c r="C73" s="798"/>
      <c r="D73" s="798"/>
      <c r="E73" s="798"/>
      <c r="F73" s="798"/>
      <c r="G73" s="798"/>
      <c r="H73" s="798"/>
      <c r="N73" s="663" t="s">
        <v>1554</v>
      </c>
      <c r="O73" s="660" t="s">
        <v>777</v>
      </c>
      <c r="P73" s="660"/>
      <c r="Q73" s="660">
        <v>2</v>
      </c>
      <c r="R73" s="661">
        <f>FORNITURAS!D26</f>
        <v>297.14285714285717</v>
      </c>
      <c r="S73" s="662">
        <f t="shared" si="4"/>
        <v>594.28571428571433</v>
      </c>
      <c r="T73" s="658"/>
      <c r="V73" s="658"/>
      <c r="W73" s="658"/>
    </row>
    <row r="74" spans="1:23" ht="15.75" thickBot="1" x14ac:dyDescent="0.25">
      <c r="A74" s="1738" t="s">
        <v>369</v>
      </c>
      <c r="B74" s="1739"/>
      <c r="C74" s="1739"/>
      <c r="D74" s="1739"/>
      <c r="E74" s="1739"/>
      <c r="F74" s="1740"/>
      <c r="N74" s="663" t="s">
        <v>1587</v>
      </c>
      <c r="O74" s="660"/>
      <c r="P74" s="660"/>
      <c r="Q74" s="660">
        <v>1</v>
      </c>
      <c r="R74" s="661">
        <f>FORNITURAS!D18</f>
        <v>363</v>
      </c>
      <c r="S74" s="662">
        <f>Q74*R74</f>
        <v>363</v>
      </c>
      <c r="T74" s="658"/>
      <c r="V74" s="658"/>
      <c r="W74" s="658"/>
    </row>
    <row r="75" spans="1:23" x14ac:dyDescent="0.2">
      <c r="A75" s="654" t="s">
        <v>916</v>
      </c>
      <c r="B75" s="655" t="s">
        <v>743</v>
      </c>
      <c r="C75" s="655" t="s">
        <v>1607</v>
      </c>
      <c r="D75" s="655" t="s">
        <v>1566</v>
      </c>
      <c r="E75" s="656" t="s">
        <v>1035</v>
      </c>
      <c r="F75" s="657" t="s">
        <v>1549</v>
      </c>
      <c r="N75" s="663" t="s">
        <v>1012</v>
      </c>
      <c r="O75" s="660"/>
      <c r="P75" s="660"/>
      <c r="Q75" s="660">
        <v>2</v>
      </c>
      <c r="R75" s="661">
        <f>FORNITURAS!D17</f>
        <v>45.05</v>
      </c>
      <c r="S75" s="662">
        <f>Q75*R75</f>
        <v>90.1</v>
      </c>
      <c r="T75" s="658"/>
      <c r="V75" s="658"/>
      <c r="W75" s="658"/>
    </row>
    <row r="76" spans="1:23" x14ac:dyDescent="0.2">
      <c r="A76" s="663" t="s">
        <v>1998</v>
      </c>
      <c r="B76" s="660"/>
      <c r="C76" s="660">
        <v>0.2</v>
      </c>
      <c r="D76" s="660">
        <v>0.35499999999999998</v>
      </c>
      <c r="E76" s="661">
        <f>VIDRIOS!D26</f>
        <v>1430</v>
      </c>
      <c r="F76" s="662">
        <f>E76*D76/C76</f>
        <v>2538.2499999999995</v>
      </c>
      <c r="G76" s="658"/>
      <c r="N76" s="663" t="s">
        <v>908</v>
      </c>
      <c r="O76" s="660"/>
      <c r="P76" s="660">
        <v>0.5</v>
      </c>
      <c r="Q76" s="660">
        <v>0.1</v>
      </c>
      <c r="R76" s="661">
        <f>'AROS, CADENAS, DIJES, ETC'!I55</f>
        <v>690</v>
      </c>
      <c r="S76" s="662">
        <f>R76*Q76/P76</f>
        <v>138</v>
      </c>
      <c r="T76" s="658"/>
      <c r="V76" s="658"/>
      <c r="W76" s="658"/>
    </row>
    <row r="77" spans="1:23" x14ac:dyDescent="0.2">
      <c r="A77" s="1736" t="s">
        <v>1555</v>
      </c>
      <c r="B77" s="660" t="s">
        <v>1556</v>
      </c>
      <c r="C77" s="660"/>
      <c r="D77" s="660">
        <v>2</v>
      </c>
      <c r="E77" s="661">
        <f>FORNITURAS!D4</f>
        <v>48.7</v>
      </c>
      <c r="F77" s="662">
        <f t="shared" ref="F77:F82" si="6">E77*D77</f>
        <v>97.4</v>
      </c>
      <c r="G77" s="658"/>
      <c r="N77" s="1736" t="s">
        <v>1555</v>
      </c>
      <c r="O77" s="660" t="s">
        <v>1556</v>
      </c>
      <c r="P77" s="660"/>
      <c r="Q77" s="660">
        <v>1</v>
      </c>
      <c r="R77" s="661">
        <f>FORNITURAS!D4</f>
        <v>48.7</v>
      </c>
      <c r="S77" s="662">
        <f>Q77*R77</f>
        <v>48.7</v>
      </c>
      <c r="T77" s="658"/>
      <c r="V77" s="658"/>
      <c r="W77" s="658"/>
    </row>
    <row r="78" spans="1:23" x14ac:dyDescent="0.2">
      <c r="A78" s="1737"/>
      <c r="B78" s="660" t="s">
        <v>1573</v>
      </c>
      <c r="C78" s="660"/>
      <c r="D78" s="660">
        <v>1</v>
      </c>
      <c r="E78" s="661">
        <f>FORNITURAS!D7</f>
        <v>52</v>
      </c>
      <c r="F78" s="662">
        <f t="shared" si="6"/>
        <v>52</v>
      </c>
      <c r="G78" s="658"/>
      <c r="N78" s="1737"/>
      <c r="O78" s="660" t="s">
        <v>1573</v>
      </c>
      <c r="P78" s="660"/>
      <c r="Q78" s="660">
        <v>1</v>
      </c>
      <c r="R78" s="661">
        <f>FORNITURAS!D7</f>
        <v>52</v>
      </c>
      <c r="S78" s="662">
        <f>R78*Q78</f>
        <v>52</v>
      </c>
      <c r="T78" s="658"/>
      <c r="V78" s="658"/>
      <c r="W78" s="658"/>
    </row>
    <row r="79" spans="1:23" x14ac:dyDescent="0.2">
      <c r="A79" s="663" t="s">
        <v>1944</v>
      </c>
      <c r="B79" s="660" t="s">
        <v>846</v>
      </c>
      <c r="C79" s="660"/>
      <c r="D79" s="660">
        <v>2</v>
      </c>
      <c r="E79" s="661">
        <f>FORNITURAS!I6</f>
        <v>155.52941176470588</v>
      </c>
      <c r="F79" s="662">
        <f t="shared" si="6"/>
        <v>311.05882352941177</v>
      </c>
      <c r="G79" s="658"/>
      <c r="N79" s="666" t="s">
        <v>1557</v>
      </c>
      <c r="O79" s="660"/>
      <c r="P79" s="660"/>
      <c r="Q79" s="660"/>
      <c r="R79" s="661"/>
      <c r="S79" s="667">
        <f>PACKAGING!E4</f>
        <v>80</v>
      </c>
      <c r="T79" s="658"/>
      <c r="V79" s="658"/>
      <c r="W79" s="658"/>
    </row>
    <row r="80" spans="1:23" x14ac:dyDescent="0.2">
      <c r="A80" s="663" t="s">
        <v>1587</v>
      </c>
      <c r="B80" s="660"/>
      <c r="C80" s="660"/>
      <c r="D80" s="660">
        <v>1</v>
      </c>
      <c r="E80" s="661">
        <f>FORNITURAS!D18</f>
        <v>363</v>
      </c>
      <c r="F80" s="662">
        <f t="shared" si="6"/>
        <v>363</v>
      </c>
      <c r="G80" s="658"/>
      <c r="N80" s="666" t="s">
        <v>1634</v>
      </c>
      <c r="O80" s="660"/>
      <c r="P80" s="660"/>
      <c r="Q80" s="660"/>
      <c r="R80" s="661"/>
      <c r="S80" s="667">
        <f>PACKAGING!E7</f>
        <v>170</v>
      </c>
      <c r="T80" s="658"/>
      <c r="V80" s="658"/>
      <c r="W80" s="658"/>
    </row>
    <row r="81" spans="1:23" x14ac:dyDescent="0.2">
      <c r="A81" s="663" t="s">
        <v>1012</v>
      </c>
      <c r="B81" s="660"/>
      <c r="C81" s="660"/>
      <c r="D81" s="660">
        <v>2</v>
      </c>
      <c r="E81" s="661">
        <f>FORNITURAS!D17</f>
        <v>45.05</v>
      </c>
      <c r="F81" s="662">
        <f t="shared" si="6"/>
        <v>90.1</v>
      </c>
      <c r="G81" s="658"/>
      <c r="N81" s="666" t="s">
        <v>1670</v>
      </c>
      <c r="O81" s="660"/>
      <c r="P81" s="660"/>
      <c r="Q81" s="660"/>
      <c r="R81" s="661"/>
      <c r="S81" s="667">
        <f>PACKAGING!E9</f>
        <v>450</v>
      </c>
      <c r="T81" s="658"/>
      <c r="V81" s="658"/>
      <c r="W81" s="658"/>
    </row>
    <row r="82" spans="1:23" x14ac:dyDescent="0.2">
      <c r="A82" s="663" t="s">
        <v>1424</v>
      </c>
      <c r="B82" s="660"/>
      <c r="C82" s="660">
        <v>0.47</v>
      </c>
      <c r="D82" s="660">
        <v>1</v>
      </c>
      <c r="E82" s="661">
        <f>'HILOS-CORDONES-TANZA-CUERO'!L9</f>
        <v>30</v>
      </c>
      <c r="F82" s="662">
        <f t="shared" si="6"/>
        <v>30</v>
      </c>
      <c r="G82" s="658"/>
      <c r="N82" s="663" t="s">
        <v>1618</v>
      </c>
      <c r="O82" s="660"/>
      <c r="P82" s="660">
        <v>60</v>
      </c>
      <c r="Q82" s="660">
        <v>20</v>
      </c>
      <c r="R82" s="668">
        <f>'INSUMOS VARIOS'!B3</f>
        <v>3500</v>
      </c>
      <c r="S82" s="669">
        <f>R82*Q82/P82</f>
        <v>1166.6666666666667</v>
      </c>
      <c r="T82" s="658"/>
      <c r="V82" s="658"/>
      <c r="W82" s="658"/>
    </row>
    <row r="83" spans="1:23" ht="15.75" thickBot="1" x14ac:dyDescent="0.25">
      <c r="A83" s="663" t="s">
        <v>1608</v>
      </c>
      <c r="B83" s="660"/>
      <c r="C83" s="660">
        <v>0.26</v>
      </c>
      <c r="D83" s="660">
        <v>0.1</v>
      </c>
      <c r="E83" s="661">
        <f>'AROS, CADENAS, DIJES, ETC'!T10</f>
        <v>1000</v>
      </c>
      <c r="F83" s="662">
        <f>E83*D83/C83</f>
        <v>384.61538461538458</v>
      </c>
      <c r="G83" s="658"/>
      <c r="N83" s="670" t="s">
        <v>525</v>
      </c>
      <c r="O83" s="671"/>
      <c r="P83" s="671"/>
      <c r="Q83" s="671"/>
      <c r="R83" s="672"/>
      <c r="S83" s="673">
        <f>SUM(S60:S82)</f>
        <v>12975.032069748833</v>
      </c>
      <c r="T83" s="658"/>
      <c r="V83" s="658"/>
      <c r="W83" s="658"/>
    </row>
    <row r="84" spans="1:23" ht="16.5" thickBot="1" x14ac:dyDescent="0.25">
      <c r="A84" s="665" t="s">
        <v>1557</v>
      </c>
      <c r="B84" s="660"/>
      <c r="C84" s="660"/>
      <c r="D84" s="660"/>
      <c r="E84" s="769"/>
      <c r="F84" s="662">
        <f>PACKAGING!E4</f>
        <v>80</v>
      </c>
      <c r="G84" s="658"/>
      <c r="N84" s="704" t="s">
        <v>1559</v>
      </c>
      <c r="O84" s="705"/>
      <c r="P84" s="705"/>
      <c r="Q84" s="705"/>
      <c r="R84" s="706"/>
      <c r="S84" s="707">
        <f>S83*2</f>
        <v>25950.064139497666</v>
      </c>
      <c r="T84" s="701">
        <f>S84+S84*70%</f>
        <v>44115.10903714603</v>
      </c>
      <c r="U84" s="785">
        <v>34000</v>
      </c>
      <c r="V84" s="658"/>
      <c r="W84" s="658"/>
    </row>
    <row r="85" spans="1:23" ht="15.75" thickBot="1" x14ac:dyDescent="0.25">
      <c r="A85" s="666" t="s">
        <v>1634</v>
      </c>
      <c r="B85" s="660"/>
      <c r="C85" s="660"/>
      <c r="D85" s="660"/>
      <c r="E85" s="769"/>
      <c r="F85" s="662">
        <f>PACKAGING!E7</f>
        <v>170</v>
      </c>
      <c r="G85" s="658"/>
    </row>
    <row r="86" spans="1:23" ht="15.75" thickBot="1" x14ac:dyDescent="0.25">
      <c r="A86" s="666" t="s">
        <v>1538</v>
      </c>
      <c r="B86" s="660"/>
      <c r="C86" s="660"/>
      <c r="D86" s="660"/>
      <c r="E86" s="769"/>
      <c r="F86" s="662">
        <f>PACKAGING!E9</f>
        <v>450</v>
      </c>
      <c r="G86" s="658"/>
      <c r="N86" s="1738" t="s">
        <v>321</v>
      </c>
      <c r="O86" s="1739"/>
      <c r="P86" s="1739"/>
      <c r="Q86" s="1739"/>
      <c r="R86" s="1739"/>
      <c r="S86" s="1740"/>
      <c r="V86" s="658"/>
      <c r="W86" s="658"/>
    </row>
    <row r="87" spans="1:23" x14ac:dyDescent="0.2">
      <c r="A87" s="666" t="s">
        <v>1558</v>
      </c>
      <c r="B87" s="660">
        <v>60</v>
      </c>
      <c r="C87" s="660"/>
      <c r="D87" s="660">
        <v>15</v>
      </c>
      <c r="E87" s="661">
        <f>'INSUMOS VARIOS'!B3</f>
        <v>3500</v>
      </c>
      <c r="F87" s="662">
        <f>E87*D87/B87</f>
        <v>875</v>
      </c>
      <c r="G87" s="658"/>
      <c r="N87" s="654" t="s">
        <v>916</v>
      </c>
      <c r="O87" s="655" t="s">
        <v>743</v>
      </c>
      <c r="P87" s="655" t="s">
        <v>1716</v>
      </c>
      <c r="Q87" s="655" t="s">
        <v>1566</v>
      </c>
      <c r="R87" s="656" t="s">
        <v>1035</v>
      </c>
      <c r="S87" s="657" t="s">
        <v>1549</v>
      </c>
      <c r="T87" s="658"/>
      <c r="V87" s="658"/>
      <c r="W87" s="658"/>
    </row>
    <row r="88" spans="1:23" ht="15.75" thickBot="1" x14ac:dyDescent="0.25">
      <c r="A88" s="670" t="s">
        <v>525</v>
      </c>
      <c r="B88" s="671"/>
      <c r="C88" s="671"/>
      <c r="D88" s="671"/>
      <c r="E88" s="672"/>
      <c r="F88" s="673">
        <f>SUM(F76:F87)</f>
        <v>5441.4242081447956</v>
      </c>
      <c r="G88" s="658"/>
      <c r="N88" s="665" t="s">
        <v>3612</v>
      </c>
      <c r="O88" s="660"/>
      <c r="P88" s="660"/>
      <c r="Q88" s="660">
        <v>60</v>
      </c>
      <c r="R88" s="661">
        <f>'PERLAS 2'!O24</f>
        <v>0</v>
      </c>
      <c r="S88" s="662">
        <f t="shared" ref="S88:S93" si="7">R88*Q88</f>
        <v>0</v>
      </c>
      <c r="T88" s="658"/>
      <c r="V88" s="658"/>
      <c r="W88" s="658"/>
    </row>
    <row r="89" spans="1:23" ht="15.75" x14ac:dyDescent="0.2">
      <c r="A89" s="675" t="s">
        <v>544</v>
      </c>
      <c r="B89" s="676"/>
      <c r="C89" s="676"/>
      <c r="D89" s="676"/>
      <c r="E89" s="677"/>
      <c r="F89" s="786">
        <f>F88*2</f>
        <v>10882.848416289591</v>
      </c>
      <c r="G89" s="680">
        <f>F89+F89*15%</f>
        <v>12515.275678733029</v>
      </c>
      <c r="H89" s="770">
        <v>4400</v>
      </c>
      <c r="N89" s="663" t="s">
        <v>1232</v>
      </c>
      <c r="O89" s="660"/>
      <c r="P89" s="660">
        <v>1</v>
      </c>
      <c r="Q89" s="660">
        <v>0.47</v>
      </c>
      <c r="R89" s="661">
        <f>'HILOS-CORDONES-TANZA-CUERO'!L9</f>
        <v>30</v>
      </c>
      <c r="S89" s="662">
        <f t="shared" si="7"/>
        <v>14.1</v>
      </c>
      <c r="T89" s="658"/>
      <c r="V89" s="658"/>
      <c r="W89" s="658"/>
    </row>
    <row r="90" spans="1:23" ht="16.5" thickBot="1" x14ac:dyDescent="0.25">
      <c r="A90" s="781" t="s">
        <v>1559</v>
      </c>
      <c r="B90" s="782"/>
      <c r="C90" s="782"/>
      <c r="D90" s="782"/>
      <c r="E90" s="783"/>
      <c r="F90" s="787"/>
      <c r="G90" s="690"/>
      <c r="H90" s="797">
        <f>H89*2</f>
        <v>8800</v>
      </c>
      <c r="N90" s="659" t="s">
        <v>1608</v>
      </c>
      <c r="O90" s="660"/>
      <c r="P90" s="660"/>
      <c r="Q90" s="660">
        <v>0.1</v>
      </c>
      <c r="R90" s="661">
        <f>'AROS, CADENAS, DIJES, ETC'!I38</f>
        <v>3630</v>
      </c>
      <c r="S90" s="662">
        <f t="shared" si="7"/>
        <v>363</v>
      </c>
      <c r="T90" s="658"/>
      <c r="V90" s="658"/>
      <c r="W90" s="658"/>
    </row>
    <row r="91" spans="1:23" ht="15.75" thickBot="1" x14ac:dyDescent="0.25">
      <c r="A91" s="658"/>
      <c r="B91" s="658"/>
      <c r="C91" s="658"/>
      <c r="D91" s="658"/>
      <c r="E91" s="658"/>
      <c r="F91" s="658"/>
      <c r="G91" s="658"/>
      <c r="H91" s="658"/>
      <c r="N91" s="663" t="s">
        <v>1587</v>
      </c>
      <c r="O91" s="660"/>
      <c r="P91" s="660"/>
      <c r="Q91" s="660">
        <v>1</v>
      </c>
      <c r="R91" s="661">
        <f>FORNITURAS!D18</f>
        <v>363</v>
      </c>
      <c r="S91" s="662">
        <f t="shared" si="7"/>
        <v>363</v>
      </c>
      <c r="T91" s="658"/>
      <c r="V91" s="658"/>
      <c r="W91" s="658"/>
    </row>
    <row r="92" spans="1:23" ht="15.75" thickBot="1" x14ac:dyDescent="0.25">
      <c r="A92" s="1738" t="s">
        <v>379</v>
      </c>
      <c r="B92" s="1739"/>
      <c r="C92" s="1739"/>
      <c r="D92" s="1739"/>
      <c r="E92" s="1740"/>
      <c r="H92" s="658"/>
      <c r="N92" s="663" t="s">
        <v>1012</v>
      </c>
      <c r="O92" s="660"/>
      <c r="P92" s="660"/>
      <c r="Q92" s="660">
        <v>2</v>
      </c>
      <c r="R92" s="661">
        <f>FORNITURAS!D17</f>
        <v>45.05</v>
      </c>
      <c r="S92" s="662">
        <f t="shared" si="7"/>
        <v>90.1</v>
      </c>
      <c r="V92" s="658"/>
      <c r="W92" s="658"/>
    </row>
    <row r="93" spans="1:23" x14ac:dyDescent="0.2">
      <c r="A93" s="654" t="s">
        <v>916</v>
      </c>
      <c r="B93" s="655" t="s">
        <v>743</v>
      </c>
      <c r="C93" s="655" t="s">
        <v>1566</v>
      </c>
      <c r="D93" s="656" t="s">
        <v>1035</v>
      </c>
      <c r="E93" s="657" t="s">
        <v>1549</v>
      </c>
      <c r="F93" s="658"/>
      <c r="H93" s="658"/>
      <c r="N93" s="663" t="s">
        <v>1999</v>
      </c>
      <c r="O93" s="660" t="s">
        <v>777</v>
      </c>
      <c r="P93" s="660"/>
      <c r="Q93" s="660">
        <v>2</v>
      </c>
      <c r="R93" s="661">
        <f>FORNITURAS!D26</f>
        <v>297.14285714285717</v>
      </c>
      <c r="S93" s="662">
        <f t="shared" si="7"/>
        <v>594.28571428571433</v>
      </c>
      <c r="V93" s="658"/>
      <c r="W93" s="658"/>
    </row>
    <row r="94" spans="1:23" x14ac:dyDescent="0.2">
      <c r="A94" s="659" t="s">
        <v>1268</v>
      </c>
      <c r="B94" s="660"/>
      <c r="C94" s="660">
        <v>1</v>
      </c>
      <c r="D94" s="661">
        <f>PIEDRAS!F7</f>
        <v>440</v>
      </c>
      <c r="E94" s="662">
        <f>D94*C94</f>
        <v>440</v>
      </c>
      <c r="F94" s="658"/>
      <c r="H94" s="658"/>
      <c r="N94" s="1736" t="s">
        <v>1555</v>
      </c>
      <c r="O94" s="660" t="s">
        <v>1556</v>
      </c>
      <c r="P94" s="660"/>
      <c r="Q94" s="660">
        <v>2</v>
      </c>
      <c r="R94" s="661">
        <f>FORNITURAS!D4</f>
        <v>48.7</v>
      </c>
      <c r="S94" s="662">
        <f>Q94*R94</f>
        <v>97.4</v>
      </c>
      <c r="T94" s="658"/>
      <c r="V94" s="658"/>
      <c r="W94" s="658"/>
    </row>
    <row r="95" spans="1:23" x14ac:dyDescent="0.2">
      <c r="A95" s="663" t="s">
        <v>1572</v>
      </c>
      <c r="B95" s="660" t="s">
        <v>1573</v>
      </c>
      <c r="C95" s="660">
        <v>1</v>
      </c>
      <c r="D95" s="661">
        <f>FORNITURAS!D7</f>
        <v>52</v>
      </c>
      <c r="E95" s="662">
        <f>C95*D95</f>
        <v>52</v>
      </c>
      <c r="F95" s="658"/>
      <c r="H95" s="658"/>
      <c r="N95" s="1737"/>
      <c r="O95" s="660" t="s">
        <v>1573</v>
      </c>
      <c r="P95" s="660"/>
      <c r="Q95" s="660">
        <v>1</v>
      </c>
      <c r="R95" s="661">
        <f>FORNITURAS!D7</f>
        <v>52</v>
      </c>
      <c r="S95" s="662">
        <f>R95*Q95</f>
        <v>52</v>
      </c>
      <c r="T95" s="658"/>
      <c r="V95" s="658"/>
      <c r="W95" s="658"/>
    </row>
    <row r="96" spans="1:23" x14ac:dyDescent="0.2">
      <c r="A96" s="665" t="s">
        <v>2000</v>
      </c>
      <c r="B96" s="660" t="s">
        <v>846</v>
      </c>
      <c r="C96" s="660">
        <v>2</v>
      </c>
      <c r="D96" s="661">
        <f>FORNITURAS!I6</f>
        <v>155.52941176470588</v>
      </c>
      <c r="E96" s="662">
        <f>C96*D96</f>
        <v>311.05882352941177</v>
      </c>
      <c r="F96" s="658"/>
      <c r="H96" s="658"/>
      <c r="N96" s="665" t="s">
        <v>1588</v>
      </c>
      <c r="O96" s="660" t="s">
        <v>1535</v>
      </c>
      <c r="P96" s="660"/>
      <c r="Q96" s="660"/>
      <c r="R96" s="769"/>
      <c r="S96" s="662">
        <f>PACKAGING!E4</f>
        <v>80</v>
      </c>
      <c r="T96" s="658"/>
      <c r="V96" s="658"/>
      <c r="W96" s="658"/>
    </row>
    <row r="97" spans="1:23" x14ac:dyDescent="0.2">
      <c r="A97" s="666" t="s">
        <v>1191</v>
      </c>
      <c r="B97" s="660"/>
      <c r="C97" s="660">
        <v>2</v>
      </c>
      <c r="D97" s="661">
        <f>FORNITURAS!D17</f>
        <v>45.05</v>
      </c>
      <c r="E97" s="662">
        <f>C97*D97</f>
        <v>90.1</v>
      </c>
      <c r="F97" s="658"/>
      <c r="H97" s="658"/>
      <c r="N97" s="666" t="s">
        <v>1537</v>
      </c>
      <c r="O97" s="660"/>
      <c r="P97" s="660"/>
      <c r="Q97" s="660"/>
      <c r="R97" s="769"/>
      <c r="S97" s="662">
        <f>PACKAGING!E7</f>
        <v>170</v>
      </c>
      <c r="T97" s="658"/>
      <c r="V97" s="658"/>
      <c r="W97" s="658"/>
    </row>
    <row r="98" spans="1:23" x14ac:dyDescent="0.2">
      <c r="A98" s="666" t="s">
        <v>1608</v>
      </c>
      <c r="B98" s="660">
        <v>0.5</v>
      </c>
      <c r="C98" s="660">
        <v>5.5E-2</v>
      </c>
      <c r="D98" s="661">
        <f>'AROS, CADENAS, DIJES, ETC'!I56</f>
        <v>2614</v>
      </c>
      <c r="E98" s="662">
        <f>C98*D98/B98</f>
        <v>287.54000000000002</v>
      </c>
      <c r="F98" s="658"/>
      <c r="H98" s="658"/>
      <c r="N98" s="665" t="s">
        <v>1670</v>
      </c>
      <c r="O98" s="660"/>
      <c r="P98" s="660"/>
      <c r="Q98" s="660"/>
      <c r="R98" s="769"/>
      <c r="S98" s="662">
        <f>PACKAGING!E8</f>
        <v>420</v>
      </c>
      <c r="T98" s="658"/>
      <c r="V98" s="658"/>
      <c r="W98" s="658"/>
    </row>
    <row r="99" spans="1:23" x14ac:dyDescent="0.2">
      <c r="A99" s="666" t="s">
        <v>2141</v>
      </c>
      <c r="B99" s="660"/>
      <c r="C99" s="660">
        <v>1</v>
      </c>
      <c r="D99" s="661">
        <f>FORNITURAS!D21</f>
        <v>1500</v>
      </c>
      <c r="E99" s="662">
        <f>C99*D99</f>
        <v>1500</v>
      </c>
      <c r="F99" s="658"/>
      <c r="H99" s="658"/>
      <c r="N99" s="665" t="s">
        <v>1590</v>
      </c>
      <c r="O99" s="660">
        <v>60</v>
      </c>
      <c r="P99" s="660"/>
      <c r="Q99" s="660">
        <v>15</v>
      </c>
      <c r="R99" s="661">
        <f>'INSUMOS VARIOS'!B3</f>
        <v>3500</v>
      </c>
      <c r="S99" s="662">
        <f>R99*Q99/O99</f>
        <v>875</v>
      </c>
      <c r="T99" s="658"/>
      <c r="V99" s="658"/>
      <c r="W99" s="658"/>
    </row>
    <row r="100" spans="1:23" ht="15.75" x14ac:dyDescent="0.2">
      <c r="A100" s="666" t="s">
        <v>1557</v>
      </c>
      <c r="B100" s="660"/>
      <c r="C100" s="660"/>
      <c r="D100" s="661"/>
      <c r="E100" s="667">
        <f>PACKAGING!E4</f>
        <v>80</v>
      </c>
      <c r="G100" s="658"/>
      <c r="H100" s="658"/>
      <c r="N100" s="665" t="s">
        <v>2001</v>
      </c>
      <c r="O100" s="660">
        <v>60</v>
      </c>
      <c r="P100" s="660"/>
      <c r="Q100" s="660">
        <v>5</v>
      </c>
      <c r="R100" s="661">
        <f>R99</f>
        <v>3500</v>
      </c>
      <c r="S100" s="662">
        <f>R100*Q100/O100</f>
        <v>291.66666666666669</v>
      </c>
      <c r="T100" s="1" t="s">
        <v>3023</v>
      </c>
      <c r="V100" s="658"/>
      <c r="W100" s="658"/>
    </row>
    <row r="101" spans="1:23" ht="15.75" thickBot="1" x14ac:dyDescent="0.25">
      <c r="A101" s="666" t="s">
        <v>1634</v>
      </c>
      <c r="B101" s="660"/>
      <c r="C101" s="660"/>
      <c r="D101" s="661"/>
      <c r="E101" s="667">
        <f>PACKAGING!E7</f>
        <v>170</v>
      </c>
      <c r="G101" s="658"/>
      <c r="H101" s="658"/>
      <c r="N101" s="670" t="s">
        <v>525</v>
      </c>
      <c r="O101" s="671"/>
      <c r="P101" s="671"/>
      <c r="Q101" s="671"/>
      <c r="R101" s="672"/>
      <c r="S101" s="673">
        <f>SUM(S88:S100)</f>
        <v>3410.5523809523811</v>
      </c>
      <c r="T101" s="698">
        <f>S101+U102+U103</f>
        <v>6888.5523809523811</v>
      </c>
      <c r="U101" s="653" t="s">
        <v>2296</v>
      </c>
      <c r="V101" s="658"/>
      <c r="W101" s="658"/>
    </row>
    <row r="102" spans="1:23" ht="15.75" x14ac:dyDescent="0.2">
      <c r="A102" s="666" t="s">
        <v>1670</v>
      </c>
      <c r="B102" s="660"/>
      <c r="C102" s="660"/>
      <c r="D102" s="661"/>
      <c r="E102" s="667">
        <f>PACKAGING!E9</f>
        <v>450</v>
      </c>
      <c r="G102" s="658"/>
      <c r="H102" s="658"/>
      <c r="N102" s="675" t="s">
        <v>544</v>
      </c>
      <c r="O102" s="676"/>
      <c r="P102" s="676"/>
      <c r="Q102" s="676"/>
      <c r="R102" s="677"/>
      <c r="S102" s="692">
        <f>S101*2</f>
        <v>6821.1047619047622</v>
      </c>
      <c r="T102" s="679">
        <f>S102+S102*70%</f>
        <v>11595.878095238095</v>
      </c>
      <c r="U102" s="680">
        <f>PACKAGING!I4</f>
        <v>2633</v>
      </c>
      <c r="V102" s="681">
        <f>U102+T102+U103</f>
        <v>15073.878095238095</v>
      </c>
      <c r="W102" s="682">
        <v>44000</v>
      </c>
    </row>
    <row r="103" spans="1:23" ht="16.5" thickBot="1" x14ac:dyDescent="0.25">
      <c r="A103" s="1734" t="s">
        <v>1618</v>
      </c>
      <c r="B103" s="660">
        <v>60</v>
      </c>
      <c r="C103" s="660">
        <v>10</v>
      </c>
      <c r="D103" s="668">
        <f>'INSUMOS VARIOS'!B3</f>
        <v>3500</v>
      </c>
      <c r="E103" s="669">
        <f>D103*C103/B103</f>
        <v>583.33333333333337</v>
      </c>
      <c r="G103" s="658"/>
      <c r="H103" s="658"/>
      <c r="N103" s="684" t="s">
        <v>1559</v>
      </c>
      <c r="O103" s="685"/>
      <c r="P103" s="685"/>
      <c r="Q103" s="685"/>
      <c r="R103" s="686"/>
      <c r="S103" s="686"/>
      <c r="T103" s="688"/>
      <c r="U103" s="709">
        <f>PACKAGING!I5</f>
        <v>845</v>
      </c>
      <c r="V103" s="690"/>
      <c r="W103" s="691"/>
    </row>
    <row r="104" spans="1:23" ht="15.75" thickBot="1" x14ac:dyDescent="0.25">
      <c r="A104" s="1735"/>
      <c r="B104" s="660">
        <v>60</v>
      </c>
      <c r="C104" s="660">
        <v>5</v>
      </c>
      <c r="D104" s="668">
        <f>D103</f>
        <v>3500</v>
      </c>
      <c r="E104" s="669">
        <f>D104*C104/B104</f>
        <v>291.66666666666669</v>
      </c>
      <c r="G104" s="658"/>
      <c r="H104" s="658"/>
      <c r="N104" s="658"/>
      <c r="O104" s="658"/>
      <c r="P104" s="658"/>
      <c r="Q104" s="658"/>
      <c r="R104" s="658"/>
      <c r="S104" s="658"/>
      <c r="T104" s="658"/>
      <c r="U104" s="658"/>
      <c r="V104" s="658"/>
      <c r="W104" s="658"/>
    </row>
    <row r="105" spans="1:23" ht="16.5" thickBot="1" x14ac:dyDescent="0.3">
      <c r="A105" s="670" t="s">
        <v>525</v>
      </c>
      <c r="B105" s="671"/>
      <c r="C105" s="671"/>
      <c r="D105" s="672"/>
      <c r="E105" s="673">
        <f>SUM(E94:E104)</f>
        <v>4255.698823529412</v>
      </c>
      <c r="F105" s="658"/>
      <c r="H105" s="658"/>
      <c r="N105" s="1565" t="s">
        <v>579</v>
      </c>
      <c r="O105" s="1566"/>
      <c r="P105" s="1566"/>
      <c r="Q105" s="1566"/>
      <c r="R105" s="1566"/>
      <c r="S105" s="1567"/>
      <c r="T105"/>
      <c r="U105" s="1"/>
      <c r="V105" s="1"/>
      <c r="W105" s="1"/>
    </row>
    <row r="106" spans="1:23" ht="15.75" x14ac:dyDescent="0.2">
      <c r="A106" s="675" t="s">
        <v>544</v>
      </c>
      <c r="B106" s="676"/>
      <c r="C106" s="676"/>
      <c r="D106" s="677"/>
      <c r="E106" s="692">
        <f>E105*2</f>
        <v>8511.3976470588241</v>
      </c>
      <c r="F106" s="693">
        <f>E106+E106*15%</f>
        <v>9788.1072941176481</v>
      </c>
      <c r="G106" s="770">
        <v>3400</v>
      </c>
      <c r="H106" s="658"/>
      <c r="N106" s="183" t="s">
        <v>916</v>
      </c>
      <c r="O106" s="97" t="s">
        <v>743</v>
      </c>
      <c r="P106" s="97" t="s">
        <v>1716</v>
      </c>
      <c r="Q106" s="97" t="s">
        <v>1566</v>
      </c>
      <c r="R106" s="76" t="s">
        <v>1035</v>
      </c>
      <c r="S106" s="77" t="s">
        <v>1549</v>
      </c>
      <c r="T106" s="1"/>
      <c r="U106" s="1"/>
      <c r="V106" s="1"/>
      <c r="W106" s="1"/>
    </row>
    <row r="107" spans="1:23" ht="16.5" thickBot="1" x14ac:dyDescent="0.25">
      <c r="A107" s="684" t="s">
        <v>1559</v>
      </c>
      <c r="B107" s="685"/>
      <c r="C107" s="685"/>
      <c r="D107" s="686"/>
      <c r="E107" s="686"/>
      <c r="F107" s="694"/>
      <c r="G107" s="772">
        <f>G106*2</f>
        <v>6800</v>
      </c>
      <c r="H107" s="658"/>
      <c r="N107" s="184" t="s">
        <v>908</v>
      </c>
      <c r="O107" s="98">
        <v>0.5</v>
      </c>
      <c r="P107" s="98">
        <v>0.08</v>
      </c>
      <c r="Q107" s="98">
        <v>2</v>
      </c>
      <c r="R107" s="102">
        <f>'AROS, CADENAS, DIJES, ETC'!I56</f>
        <v>2614</v>
      </c>
      <c r="S107" s="39">
        <f>R107*Q107*P107/O107</f>
        <v>836.48</v>
      </c>
      <c r="T107" s="1"/>
      <c r="U107" s="1"/>
      <c r="V107" s="1"/>
      <c r="W107" s="1"/>
    </row>
    <row r="108" spans="1:23" ht="16.5" thickBot="1" x14ac:dyDescent="0.25">
      <c r="N108" s="184" t="s">
        <v>1742</v>
      </c>
      <c r="O108" s="98"/>
      <c r="P108" s="98">
        <v>0.35</v>
      </c>
      <c r="Q108" s="98">
        <v>0.14499999999999999</v>
      </c>
      <c r="R108" s="102">
        <f>PERLAS!E14</f>
        <v>6600</v>
      </c>
      <c r="S108" s="39">
        <f>R108*Q108/P108</f>
        <v>2734.2857142857142</v>
      </c>
      <c r="T108" s="1"/>
      <c r="U108" s="1"/>
      <c r="V108" s="1"/>
      <c r="W108" s="1"/>
    </row>
    <row r="109" spans="1:23" ht="16.5" thickBot="1" x14ac:dyDescent="0.25">
      <c r="A109" s="1738" t="s">
        <v>362</v>
      </c>
      <c r="B109" s="1739"/>
      <c r="C109" s="1739"/>
      <c r="D109" s="1739"/>
      <c r="E109" s="1739"/>
      <c r="F109" s="1740"/>
      <c r="N109" s="184" t="s">
        <v>2002</v>
      </c>
      <c r="O109" s="98"/>
      <c r="P109" s="98">
        <v>0.20499999999999999</v>
      </c>
      <c r="Q109" s="98">
        <v>0.14000000000000001</v>
      </c>
      <c r="R109" s="102">
        <f>VIDRIOS!D27</f>
        <v>850</v>
      </c>
      <c r="S109" s="39">
        <f>R109*Q109/P109</f>
        <v>580.48780487804891</v>
      </c>
      <c r="T109" s="1"/>
      <c r="U109" s="1"/>
      <c r="V109" s="1"/>
      <c r="W109" s="1"/>
    </row>
    <row r="110" spans="1:23" ht="15.75" x14ac:dyDescent="0.2">
      <c r="A110" s="774" t="s">
        <v>916</v>
      </c>
      <c r="B110" s="775" t="s">
        <v>743</v>
      </c>
      <c r="C110" s="775" t="s">
        <v>1607</v>
      </c>
      <c r="D110" s="775" t="s">
        <v>1566</v>
      </c>
      <c r="E110" s="776" t="s">
        <v>1035</v>
      </c>
      <c r="F110" s="777" t="s">
        <v>1549</v>
      </c>
      <c r="N110" s="184" t="s">
        <v>1012</v>
      </c>
      <c r="O110" s="98"/>
      <c r="P110" s="98"/>
      <c r="Q110" s="98">
        <v>4</v>
      </c>
      <c r="R110" s="102">
        <f>FORNITURAS!D17</f>
        <v>45.05</v>
      </c>
      <c r="S110" s="39">
        <f>R110*Q110</f>
        <v>180.2</v>
      </c>
      <c r="T110" s="1"/>
      <c r="U110" s="1"/>
      <c r="V110" s="1"/>
      <c r="W110" s="1"/>
    </row>
    <row r="111" spans="1:23" ht="15.75" x14ac:dyDescent="0.2">
      <c r="A111" s="663" t="s">
        <v>2003</v>
      </c>
      <c r="B111" s="660"/>
      <c r="C111" s="660"/>
      <c r="D111" s="660">
        <v>48</v>
      </c>
      <c r="E111" s="661">
        <f>PIEDRAS!F20</f>
        <v>102.05882352941177</v>
      </c>
      <c r="F111" s="662">
        <f>E111*D111</f>
        <v>4898.8235294117649</v>
      </c>
      <c r="G111" s="658"/>
      <c r="N111" s="185" t="s">
        <v>1554</v>
      </c>
      <c r="O111" s="98"/>
      <c r="P111" s="98"/>
      <c r="Q111" s="98">
        <v>4</v>
      </c>
      <c r="R111" s="102">
        <f>FORNITURAS!D26</f>
        <v>297.14285714285717</v>
      </c>
      <c r="S111" s="39">
        <f>R111*Q111</f>
        <v>1188.5714285714287</v>
      </c>
      <c r="T111" s="1"/>
      <c r="U111" s="1"/>
      <c r="V111" s="1"/>
      <c r="W111" s="1"/>
    </row>
    <row r="112" spans="1:23" ht="15.75" x14ac:dyDescent="0.2">
      <c r="A112" s="1736" t="s">
        <v>2004</v>
      </c>
      <c r="B112" s="660"/>
      <c r="C112" s="660">
        <v>0.6</v>
      </c>
      <c r="D112" s="660">
        <v>0.1</v>
      </c>
      <c r="E112" s="661">
        <f>'AROS, CADENAS, DIJES, ETC'!I32</f>
        <v>2000</v>
      </c>
      <c r="F112" s="662">
        <f>E112*D112/C112</f>
        <v>333.33333333333337</v>
      </c>
      <c r="G112" s="658"/>
      <c r="N112" s="185" t="s">
        <v>2141</v>
      </c>
      <c r="O112" s="98"/>
      <c r="P112" s="98"/>
      <c r="Q112" s="98">
        <v>1</v>
      </c>
      <c r="R112" s="102">
        <f>FORNITURAS!D21</f>
        <v>1500</v>
      </c>
      <c r="S112" s="39">
        <f>R112*Q112</f>
        <v>1500</v>
      </c>
      <c r="T112" s="1"/>
      <c r="U112" s="1"/>
      <c r="V112" s="1"/>
      <c r="W112" s="1"/>
    </row>
    <row r="113" spans="1:23" ht="15.75" x14ac:dyDescent="0.2">
      <c r="A113" s="1737"/>
      <c r="B113" s="660"/>
      <c r="C113" s="660">
        <v>0.6</v>
      </c>
      <c r="D113" s="660">
        <v>0.19</v>
      </c>
      <c r="E113" s="661">
        <f>E112</f>
        <v>2000</v>
      </c>
      <c r="F113" s="662">
        <f>E113*D113/C113</f>
        <v>633.33333333333337</v>
      </c>
      <c r="G113" s="658"/>
      <c r="N113" s="1701" t="s">
        <v>1572</v>
      </c>
      <c r="O113" s="98" t="s">
        <v>1933</v>
      </c>
      <c r="P113" s="98"/>
      <c r="Q113" s="98">
        <v>2</v>
      </c>
      <c r="R113" s="102">
        <f>FORNITURAS!D5</f>
        <v>46.8</v>
      </c>
      <c r="S113" s="39">
        <f>R113*Q113</f>
        <v>93.6</v>
      </c>
      <c r="T113" s="1"/>
      <c r="U113" s="1"/>
      <c r="V113" s="1"/>
      <c r="W113" s="1"/>
    </row>
    <row r="114" spans="1:23" ht="15.75" x14ac:dyDescent="0.2">
      <c r="A114" s="663" t="s">
        <v>2005</v>
      </c>
      <c r="B114" s="660"/>
      <c r="C114" s="660"/>
      <c r="D114" s="660">
        <v>1</v>
      </c>
      <c r="E114" s="661">
        <f>PERLAS!O4</f>
        <v>1386.6666666666667</v>
      </c>
      <c r="F114" s="662">
        <f t="shared" ref="F114:F120" si="8">E114*D114</f>
        <v>1386.6666666666667</v>
      </c>
      <c r="G114" s="658"/>
      <c r="N114" s="1711"/>
      <c r="O114" s="24" t="s">
        <v>1573</v>
      </c>
      <c r="P114" s="24"/>
      <c r="Q114" s="24">
        <v>1</v>
      </c>
      <c r="R114" s="102">
        <f>FORNITURAS!D7</f>
        <v>52</v>
      </c>
      <c r="S114" s="523">
        <f>R114*Q114</f>
        <v>52</v>
      </c>
      <c r="T114" s="1"/>
      <c r="U114" s="1"/>
      <c r="V114" s="1"/>
      <c r="W114" s="1"/>
    </row>
    <row r="115" spans="1:23" ht="15.75" x14ac:dyDescent="0.2">
      <c r="A115" s="663" t="s">
        <v>2006</v>
      </c>
      <c r="B115" s="660"/>
      <c r="C115" s="660"/>
      <c r="D115" s="660">
        <v>1</v>
      </c>
      <c r="E115" s="661">
        <f>PERLAS!O9</f>
        <v>1558.2608695652175</v>
      </c>
      <c r="F115" s="662">
        <f t="shared" si="8"/>
        <v>1558.2608695652175</v>
      </c>
      <c r="G115" s="658"/>
      <c r="N115" s="3" t="s">
        <v>1588</v>
      </c>
      <c r="O115" s="2"/>
      <c r="P115" s="2"/>
      <c r="Q115" s="2"/>
      <c r="R115" s="2"/>
      <c r="S115" s="39">
        <f>PACKAGING!E4</f>
        <v>80</v>
      </c>
      <c r="T115" s="1"/>
      <c r="U115" s="1"/>
      <c r="V115" s="1"/>
      <c r="W115" s="1"/>
    </row>
    <row r="116" spans="1:23" ht="15.75" x14ac:dyDescent="0.2">
      <c r="A116" s="663" t="s">
        <v>1044</v>
      </c>
      <c r="B116" s="660"/>
      <c r="C116" s="660"/>
      <c r="D116" s="660">
        <v>2</v>
      </c>
      <c r="E116" s="661">
        <f>FORNITURAS!I14</f>
        <v>145.375</v>
      </c>
      <c r="F116" s="662">
        <f t="shared" si="8"/>
        <v>290.75</v>
      </c>
      <c r="G116" s="658"/>
      <c r="N116" s="104" t="s">
        <v>1537</v>
      </c>
      <c r="O116" s="148"/>
      <c r="P116" s="148"/>
      <c r="Q116" s="148"/>
      <c r="R116" s="190"/>
      <c r="S116" s="39">
        <f>PACKAGING!E7</f>
        <v>170</v>
      </c>
      <c r="T116" s="1"/>
      <c r="U116" s="1"/>
      <c r="V116" s="1"/>
      <c r="W116" s="1"/>
    </row>
    <row r="117" spans="1:23" ht="15.75" x14ac:dyDescent="0.2">
      <c r="A117" s="663" t="s">
        <v>1743</v>
      </c>
      <c r="B117" s="660"/>
      <c r="C117" s="660"/>
      <c r="D117" s="660">
        <v>1</v>
      </c>
      <c r="E117" s="661">
        <f>FORNITURAS!D15</f>
        <v>142</v>
      </c>
      <c r="F117" s="662">
        <f t="shared" si="8"/>
        <v>142</v>
      </c>
      <c r="G117" s="658"/>
      <c r="N117" s="104" t="s">
        <v>1670</v>
      </c>
      <c r="O117" s="148"/>
      <c r="P117" s="148"/>
      <c r="Q117" s="148"/>
      <c r="R117" s="190"/>
      <c r="S117" s="39">
        <f>PACKAGING!E8</f>
        <v>420</v>
      </c>
      <c r="T117" s="1"/>
      <c r="U117" s="1"/>
      <c r="V117" s="1"/>
      <c r="W117" s="1"/>
    </row>
    <row r="118" spans="1:23" ht="15.75" x14ac:dyDescent="0.2">
      <c r="A118" s="1736" t="s">
        <v>1555</v>
      </c>
      <c r="B118" s="660" t="s">
        <v>1556</v>
      </c>
      <c r="C118" s="660"/>
      <c r="D118" s="660">
        <v>2</v>
      </c>
      <c r="E118" s="661">
        <f>FORNITURAS!D4</f>
        <v>48.7</v>
      </c>
      <c r="F118" s="662">
        <f t="shared" si="8"/>
        <v>97.4</v>
      </c>
      <c r="G118" s="658"/>
      <c r="N118" s="3" t="s">
        <v>1590</v>
      </c>
      <c r="O118" s="98" t="s">
        <v>1590</v>
      </c>
      <c r="P118" s="98">
        <v>60</v>
      </c>
      <c r="Q118" s="98">
        <v>10</v>
      </c>
      <c r="R118" s="102">
        <f>'INSUMOS VARIOS'!B3</f>
        <v>3500</v>
      </c>
      <c r="S118" s="39">
        <f>R118*Q118/P118</f>
        <v>583.33333333333337</v>
      </c>
      <c r="T118" s="1"/>
      <c r="U118" s="1"/>
      <c r="V118" s="1"/>
      <c r="W118" s="1"/>
    </row>
    <row r="119" spans="1:23" ht="15.75" x14ac:dyDescent="0.2">
      <c r="A119" s="1758"/>
      <c r="B119" s="660" t="s">
        <v>1933</v>
      </c>
      <c r="C119" s="660"/>
      <c r="D119" s="660">
        <v>2</v>
      </c>
      <c r="E119" s="661">
        <f>FORNITURAS!D5</f>
        <v>46.8</v>
      </c>
      <c r="F119" s="662">
        <f t="shared" si="8"/>
        <v>93.6</v>
      </c>
      <c r="G119" s="658"/>
      <c r="N119" s="3" t="s">
        <v>908</v>
      </c>
      <c r="O119" s="98" t="s">
        <v>908</v>
      </c>
      <c r="P119" s="98">
        <v>60</v>
      </c>
      <c r="Q119" s="98">
        <v>10</v>
      </c>
      <c r="R119" s="102">
        <f>R118</f>
        <v>3500</v>
      </c>
      <c r="S119" s="39">
        <f>R119*Q119/P119</f>
        <v>583.33333333333337</v>
      </c>
      <c r="T119" s="1" t="s">
        <v>3023</v>
      </c>
      <c r="U119" s="1"/>
      <c r="V119" s="1"/>
      <c r="W119" s="1"/>
    </row>
    <row r="120" spans="1:23" ht="16.5" thickBot="1" x14ac:dyDescent="0.25">
      <c r="A120" s="1737"/>
      <c r="B120" s="660" t="s">
        <v>1573</v>
      </c>
      <c r="C120" s="660"/>
      <c r="D120" s="660">
        <v>1</v>
      </c>
      <c r="E120" s="661">
        <f>FORNITURAS!D7</f>
        <v>52</v>
      </c>
      <c r="F120" s="662">
        <f t="shared" si="8"/>
        <v>52</v>
      </c>
      <c r="G120" s="658"/>
      <c r="N120" s="79" t="s">
        <v>525</v>
      </c>
      <c r="O120" s="99"/>
      <c r="P120" s="99"/>
      <c r="Q120" s="99"/>
      <c r="R120" s="70"/>
      <c r="S120" s="51">
        <f>SUM(S107:S119)</f>
        <v>9002.29161440186</v>
      </c>
      <c r="T120" s="60">
        <f>S120+U121+U122</f>
        <v>12480.29161440186</v>
      </c>
      <c r="U120" s="653" t="s">
        <v>2296</v>
      </c>
      <c r="V120" s="1"/>
      <c r="W120" s="1"/>
    </row>
    <row r="121" spans="1:23" ht="16.5" thickBot="1" x14ac:dyDescent="0.25">
      <c r="A121" s="663" t="s">
        <v>1554</v>
      </c>
      <c r="B121" s="660" t="s">
        <v>777</v>
      </c>
      <c r="C121" s="660"/>
      <c r="D121" s="660">
        <v>2</v>
      </c>
      <c r="E121" s="661">
        <f>FORNITURAS!D26</f>
        <v>297.14285714285717</v>
      </c>
      <c r="F121" s="662">
        <v>21.2</v>
      </c>
      <c r="G121" s="658"/>
      <c r="N121" s="675" t="s">
        <v>544</v>
      </c>
      <c r="O121" s="676"/>
      <c r="P121" s="676"/>
      <c r="Q121" s="677"/>
      <c r="R121" s="677"/>
      <c r="S121" s="678">
        <f>S120*2</f>
        <v>18004.58322880372</v>
      </c>
      <c r="T121" s="679">
        <f>S121+S121*50%</f>
        <v>27006.87484320558</v>
      </c>
      <c r="U121" s="680">
        <f>PACKAGING!I4</f>
        <v>2633</v>
      </c>
      <c r="V121" s="681">
        <f>U121+T121+U122</f>
        <v>30484.87484320558</v>
      </c>
      <c r="W121" s="682">
        <v>12000</v>
      </c>
    </row>
    <row r="122" spans="1:23" ht="16.5" thickBot="1" x14ac:dyDescent="0.25">
      <c r="A122" s="663" t="s">
        <v>1587</v>
      </c>
      <c r="B122" s="660"/>
      <c r="C122" s="660"/>
      <c r="D122" s="660">
        <v>1</v>
      </c>
      <c r="E122" s="661">
        <f>FORNITURAS!D18</f>
        <v>363</v>
      </c>
      <c r="F122" s="662">
        <f>E122*D122</f>
        <v>363</v>
      </c>
      <c r="G122" s="658"/>
      <c r="N122" s="684" t="s">
        <v>1559</v>
      </c>
      <c r="O122" s="685"/>
      <c r="P122" s="685"/>
      <c r="Q122" s="686"/>
      <c r="R122" s="686"/>
      <c r="S122" s="687"/>
      <c r="T122" s="688"/>
      <c r="U122" s="680">
        <f>PACKAGING!I5</f>
        <v>845</v>
      </c>
      <c r="V122" s="690"/>
      <c r="W122" s="691">
        <f>W121*2</f>
        <v>24000</v>
      </c>
    </row>
    <row r="123" spans="1:23" ht="15.75" thickBot="1" x14ac:dyDescent="0.25">
      <c r="A123" s="663" t="s">
        <v>1012</v>
      </c>
      <c r="B123" s="660"/>
      <c r="C123" s="660"/>
      <c r="D123" s="660">
        <v>2</v>
      </c>
      <c r="E123" s="661">
        <f>'HILOS-CORDONES-TANZA-CUERO'!L9</f>
        <v>30</v>
      </c>
      <c r="F123" s="662">
        <v>15</v>
      </c>
      <c r="G123" s="658"/>
    </row>
    <row r="124" spans="1:23" ht="16.5" thickBot="1" x14ac:dyDescent="0.3">
      <c r="A124" s="663" t="s">
        <v>1424</v>
      </c>
      <c r="B124" s="660"/>
      <c r="C124" s="660"/>
      <c r="D124" s="660">
        <v>0.37</v>
      </c>
      <c r="E124" s="661">
        <f>'HILOS-CORDONES-TANZA-CUERO'!L9</f>
        <v>30</v>
      </c>
      <c r="F124" s="662">
        <f>E124*D124</f>
        <v>11.1</v>
      </c>
      <c r="G124" s="658"/>
      <c r="N124" s="1565" t="s">
        <v>221</v>
      </c>
      <c r="O124" s="1566"/>
      <c r="P124" s="1566"/>
      <c r="Q124" s="1566"/>
      <c r="R124" s="1566"/>
      <c r="S124" s="1566"/>
      <c r="T124" s="1567"/>
      <c r="U124" s="171"/>
      <c r="V124" s="171"/>
    </row>
    <row r="125" spans="1:23" ht="15.75" x14ac:dyDescent="0.25">
      <c r="A125" s="665" t="s">
        <v>1557</v>
      </c>
      <c r="B125" s="660"/>
      <c r="C125" s="660"/>
      <c r="D125" s="660"/>
      <c r="E125" s="769"/>
      <c r="F125" s="662">
        <f>PACKAGING!E4</f>
        <v>80</v>
      </c>
      <c r="G125" s="658"/>
      <c r="N125" s="183" t="s">
        <v>916</v>
      </c>
      <c r="O125" s="97" t="s">
        <v>743</v>
      </c>
      <c r="P125" s="97" t="s">
        <v>1716</v>
      </c>
      <c r="Q125" s="97" t="s">
        <v>1607</v>
      </c>
      <c r="R125" s="97" t="s">
        <v>1566</v>
      </c>
      <c r="S125" s="76" t="s">
        <v>1035</v>
      </c>
      <c r="T125" s="77" t="s">
        <v>1549</v>
      </c>
      <c r="U125" s="171"/>
      <c r="V125" s="171"/>
    </row>
    <row r="126" spans="1:23" ht="15.75" x14ac:dyDescent="0.25">
      <c r="A126" s="666" t="s">
        <v>1634</v>
      </c>
      <c r="B126" s="660"/>
      <c r="C126" s="660"/>
      <c r="D126" s="660"/>
      <c r="E126" s="769"/>
      <c r="F126" s="662">
        <f>PACKAGING!E7</f>
        <v>170</v>
      </c>
      <c r="G126" s="658"/>
      <c r="N126" s="1613" t="s">
        <v>1581</v>
      </c>
      <c r="O126" s="98" t="s">
        <v>2007</v>
      </c>
      <c r="P126" s="98"/>
      <c r="Q126" s="98">
        <v>0.4</v>
      </c>
      <c r="R126" s="98">
        <v>0.6</v>
      </c>
      <c r="S126" s="102">
        <f>PERLAS!F26</f>
        <v>57.692307692307693</v>
      </c>
      <c r="T126" s="39">
        <f>S126*R126/Q126</f>
        <v>86.538461538461533</v>
      </c>
      <c r="U126" s="1"/>
      <c r="V126" s="171"/>
    </row>
    <row r="127" spans="1:23" ht="15.75" x14ac:dyDescent="0.25">
      <c r="A127" s="666" t="s">
        <v>1538</v>
      </c>
      <c r="B127" s="660"/>
      <c r="C127" s="660"/>
      <c r="D127" s="660"/>
      <c r="E127" s="769"/>
      <c r="F127" s="662">
        <f>PACKAGING!E9</f>
        <v>450</v>
      </c>
      <c r="G127" s="658"/>
      <c r="N127" s="1614"/>
      <c r="O127" s="98" t="s">
        <v>2008</v>
      </c>
      <c r="P127" s="98"/>
      <c r="Q127" s="98"/>
      <c r="R127" s="98">
        <v>5</v>
      </c>
      <c r="S127" s="102">
        <f>PERLAS!F14</f>
        <v>103.125</v>
      </c>
      <c r="T127" s="39">
        <f t="shared" ref="T127:T134" si="9">S127*R127</f>
        <v>515.625</v>
      </c>
      <c r="U127" s="1"/>
      <c r="V127" s="171"/>
    </row>
    <row r="128" spans="1:23" ht="15.75" x14ac:dyDescent="0.25">
      <c r="A128" s="666" t="s">
        <v>1558</v>
      </c>
      <c r="B128" s="660">
        <v>60</v>
      </c>
      <c r="C128" s="660"/>
      <c r="D128" s="660">
        <v>30</v>
      </c>
      <c r="E128" s="661">
        <v>450</v>
      </c>
      <c r="F128" s="662">
        <f>E128*D128/B128</f>
        <v>225</v>
      </c>
      <c r="G128" s="658"/>
      <c r="N128" s="1615"/>
      <c r="O128" s="98" t="s">
        <v>2009</v>
      </c>
      <c r="P128" s="98"/>
      <c r="Q128" s="98"/>
      <c r="R128" s="98">
        <v>6</v>
      </c>
      <c r="S128" s="102">
        <f>PERLAS!F34</f>
        <v>132.0754716981132</v>
      </c>
      <c r="T128" s="39">
        <f t="shared" si="9"/>
        <v>792.45283018867917</v>
      </c>
      <c r="U128" s="171"/>
      <c r="V128" s="171"/>
    </row>
    <row r="129" spans="1:22" ht="16.5" thickBot="1" x14ac:dyDescent="0.3">
      <c r="A129" s="670" t="s">
        <v>525</v>
      </c>
      <c r="B129" s="671"/>
      <c r="C129" s="671"/>
      <c r="D129" s="671"/>
      <c r="E129" s="672"/>
      <c r="F129" s="673">
        <f>SUM(F111:F128)</f>
        <v>10821.467732310317</v>
      </c>
      <c r="G129" s="658"/>
      <c r="N129" s="3" t="s">
        <v>1496</v>
      </c>
      <c r="O129" s="98"/>
      <c r="P129" s="98"/>
      <c r="Q129" s="98"/>
      <c r="R129" s="98">
        <v>12</v>
      </c>
      <c r="S129" s="102">
        <f>VIDRIOS!L52</f>
        <v>44.666666666666664</v>
      </c>
      <c r="T129" s="39">
        <f t="shared" si="9"/>
        <v>536</v>
      </c>
      <c r="U129" s="171"/>
      <c r="V129" s="171"/>
    </row>
    <row r="130" spans="1:22" ht="16.5" thickBot="1" x14ac:dyDescent="0.3">
      <c r="A130" s="781" t="s">
        <v>1559</v>
      </c>
      <c r="B130" s="782"/>
      <c r="C130" s="782"/>
      <c r="D130" s="782"/>
      <c r="E130" s="783"/>
      <c r="F130" s="784">
        <f>F129*2</f>
        <v>21642.935464620634</v>
      </c>
      <c r="G130" s="701">
        <f>F130+F130*70%</f>
        <v>36792.990289855079</v>
      </c>
      <c r="H130" s="785">
        <v>20000</v>
      </c>
      <c r="N130" s="1613" t="s">
        <v>1555</v>
      </c>
      <c r="O130" s="98" t="s">
        <v>1556</v>
      </c>
      <c r="P130" s="98"/>
      <c r="Q130" s="98"/>
      <c r="R130" s="98">
        <v>2</v>
      </c>
      <c r="S130" s="102">
        <f>FORNITURAS!D4</f>
        <v>48.7</v>
      </c>
      <c r="T130" s="39">
        <f t="shared" si="9"/>
        <v>97.4</v>
      </c>
      <c r="U130" s="1"/>
      <c r="V130" s="171"/>
    </row>
    <row r="131" spans="1:22" ht="16.5" thickBot="1" x14ac:dyDescent="0.3">
      <c r="N131" s="1615"/>
      <c r="O131" s="98" t="s">
        <v>1573</v>
      </c>
      <c r="P131" s="98"/>
      <c r="Q131" s="98"/>
      <c r="R131" s="98">
        <v>1</v>
      </c>
      <c r="S131" s="102">
        <f>FORNITURAS!D7</f>
        <v>52</v>
      </c>
      <c r="T131" s="39">
        <f t="shared" si="9"/>
        <v>52</v>
      </c>
      <c r="U131" s="1"/>
      <c r="V131" s="171"/>
    </row>
    <row r="132" spans="1:22" ht="16.5" thickBot="1" x14ac:dyDescent="0.3">
      <c r="A132" s="1738" t="s">
        <v>679</v>
      </c>
      <c r="B132" s="1739"/>
      <c r="C132" s="1739"/>
      <c r="D132" s="1739"/>
      <c r="E132" s="1739"/>
      <c r="F132" s="1740"/>
      <c r="H132" s="658"/>
      <c r="N132" s="184" t="s">
        <v>1554</v>
      </c>
      <c r="O132" s="98" t="s">
        <v>777</v>
      </c>
      <c r="P132" s="98"/>
      <c r="Q132" s="98"/>
      <c r="R132" s="98">
        <v>2</v>
      </c>
      <c r="S132" s="102">
        <f>FORNITURAS!D26</f>
        <v>297.14285714285717</v>
      </c>
      <c r="T132" s="39">
        <f t="shared" si="9"/>
        <v>594.28571428571433</v>
      </c>
      <c r="U132" s="1"/>
      <c r="V132" s="171"/>
    </row>
    <row r="133" spans="1:22" ht="15.75" x14ac:dyDescent="0.25">
      <c r="A133" s="654" t="s">
        <v>916</v>
      </c>
      <c r="B133" s="655" t="s">
        <v>743</v>
      </c>
      <c r="C133" s="655" t="s">
        <v>1716</v>
      </c>
      <c r="D133" s="655" t="s">
        <v>1566</v>
      </c>
      <c r="E133" s="656" t="s">
        <v>1035</v>
      </c>
      <c r="F133" s="657" t="s">
        <v>1549</v>
      </c>
      <c r="G133" s="658"/>
      <c r="H133" s="658"/>
      <c r="N133" s="184" t="s">
        <v>1587</v>
      </c>
      <c r="O133" s="98"/>
      <c r="P133" s="98"/>
      <c r="Q133" s="98"/>
      <c r="R133" s="98">
        <v>1</v>
      </c>
      <c r="S133" s="102">
        <f>FORNITURAS!D18</f>
        <v>363</v>
      </c>
      <c r="T133" s="39">
        <f t="shared" si="9"/>
        <v>363</v>
      </c>
      <c r="U133" s="1"/>
      <c r="V133" s="171"/>
    </row>
    <row r="134" spans="1:22" ht="15.75" x14ac:dyDescent="0.25">
      <c r="A134" s="1736" t="s">
        <v>1814</v>
      </c>
      <c r="B134" s="660">
        <v>0.39</v>
      </c>
      <c r="C134" s="660">
        <v>0.1</v>
      </c>
      <c r="D134" s="660">
        <v>2</v>
      </c>
      <c r="E134" s="661">
        <f>PIEDRAS!E109</f>
        <v>120</v>
      </c>
      <c r="F134" s="662">
        <f>E134*D134*C134/B134</f>
        <v>61.538461538461533</v>
      </c>
      <c r="G134" s="658"/>
      <c r="H134" s="658"/>
      <c r="N134" s="184" t="s">
        <v>1012</v>
      </c>
      <c r="O134" s="98"/>
      <c r="P134" s="98"/>
      <c r="Q134" s="98"/>
      <c r="R134" s="98">
        <v>2</v>
      </c>
      <c r="S134" s="102">
        <f>FORNITURAS!D17</f>
        <v>45.05</v>
      </c>
      <c r="T134" s="39">
        <f t="shared" si="9"/>
        <v>90.1</v>
      </c>
      <c r="U134" s="1"/>
      <c r="V134" s="171"/>
    </row>
    <row r="135" spans="1:22" ht="15.75" x14ac:dyDescent="0.25">
      <c r="A135" s="1737"/>
      <c r="B135" s="660">
        <v>0.39</v>
      </c>
      <c r="C135" s="660">
        <v>3.5000000000000003E-2</v>
      </c>
      <c r="D135" s="660">
        <v>4</v>
      </c>
      <c r="E135" s="661">
        <f>E134</f>
        <v>120</v>
      </c>
      <c r="F135" s="662">
        <f>E135*D135*C135/B135</f>
        <v>43.07692307692308</v>
      </c>
      <c r="G135" s="658"/>
      <c r="H135" s="658"/>
      <c r="N135" s="184" t="s">
        <v>1424</v>
      </c>
      <c r="O135" s="98"/>
      <c r="P135" s="98"/>
      <c r="Q135" s="98">
        <v>0.47</v>
      </c>
      <c r="R135" s="98"/>
      <c r="S135" s="102">
        <f>'HILOS-CORDONES-TANZA-CUERO'!L9</f>
        <v>30</v>
      </c>
      <c r="T135" s="39">
        <f>S135*Q135</f>
        <v>14.1</v>
      </c>
      <c r="U135" s="1"/>
      <c r="V135" s="171"/>
    </row>
    <row r="136" spans="1:22" ht="15.75" x14ac:dyDescent="0.25">
      <c r="A136" s="665" t="s">
        <v>1944</v>
      </c>
      <c r="B136" s="660"/>
      <c r="C136" s="660"/>
      <c r="D136" s="660">
        <v>2</v>
      </c>
      <c r="E136" s="661">
        <f>FORNITURAS!I4</f>
        <v>66.099999999999994</v>
      </c>
      <c r="F136" s="662">
        <f>E136*D136</f>
        <v>132.19999999999999</v>
      </c>
      <c r="G136" s="658"/>
      <c r="H136" s="658"/>
      <c r="N136" s="184" t="s">
        <v>1608</v>
      </c>
      <c r="O136" s="98"/>
      <c r="P136" s="98"/>
      <c r="Q136" s="98">
        <v>0.1</v>
      </c>
      <c r="R136" s="98">
        <v>1</v>
      </c>
      <c r="S136" s="102">
        <f>'AROS, CADENAS, DIJES, ETC'!I38</f>
        <v>3630</v>
      </c>
      <c r="T136" s="39">
        <f>S136*Q136*R136</f>
        <v>363</v>
      </c>
      <c r="U136" s="1"/>
      <c r="V136" s="171"/>
    </row>
    <row r="137" spans="1:22" ht="15.75" x14ac:dyDescent="0.25">
      <c r="A137" s="768" t="s">
        <v>2010</v>
      </c>
      <c r="B137" s="660"/>
      <c r="C137" s="660"/>
      <c r="D137" s="660">
        <v>2</v>
      </c>
      <c r="E137" s="661">
        <f>FORNITURAS!D32</f>
        <v>422</v>
      </c>
      <c r="F137" s="662">
        <f>E137*D137</f>
        <v>844</v>
      </c>
      <c r="G137" s="658"/>
      <c r="H137" s="658"/>
      <c r="N137" s="3" t="s">
        <v>1557</v>
      </c>
      <c r="O137" s="98"/>
      <c r="P137" s="98"/>
      <c r="Q137" s="98"/>
      <c r="R137" s="98"/>
      <c r="S137" s="2"/>
      <c r="T137" s="39">
        <f>PACKAGING!E4</f>
        <v>80</v>
      </c>
      <c r="U137" s="1"/>
      <c r="V137" s="171"/>
    </row>
    <row r="138" spans="1:22" ht="15.75" x14ac:dyDescent="0.25">
      <c r="A138" s="663" t="s">
        <v>1608</v>
      </c>
      <c r="B138" s="660"/>
      <c r="C138" s="660"/>
      <c r="D138" s="660">
        <v>0.1</v>
      </c>
      <c r="E138" s="661">
        <f>'AROS, CADENAS, DIJES, ETC'!I38</f>
        <v>3630</v>
      </c>
      <c r="F138" s="662">
        <f>E138*D138</f>
        <v>363</v>
      </c>
      <c r="G138" s="658"/>
      <c r="H138" s="658"/>
      <c r="N138" s="104" t="s">
        <v>1634</v>
      </c>
      <c r="O138" s="98"/>
      <c r="P138" s="98"/>
      <c r="Q138" s="98"/>
      <c r="R138" s="98"/>
      <c r="S138" s="2"/>
      <c r="T138" s="39">
        <f>PACKAGING!E7</f>
        <v>170</v>
      </c>
      <c r="U138" s="1"/>
      <c r="V138" s="171"/>
    </row>
    <row r="139" spans="1:22" ht="15.75" x14ac:dyDescent="0.25">
      <c r="A139" s="659" t="s">
        <v>1424</v>
      </c>
      <c r="B139" s="660"/>
      <c r="C139" s="660">
        <v>1</v>
      </c>
      <c r="D139" s="660">
        <v>0.47</v>
      </c>
      <c r="E139" s="661">
        <f>'HILOS-CORDONES-TANZA-CUERO'!L9</f>
        <v>30</v>
      </c>
      <c r="F139" s="662">
        <f>E139*D139/C139</f>
        <v>14.1</v>
      </c>
      <c r="G139" s="658"/>
      <c r="H139" s="658"/>
      <c r="N139" s="104" t="s">
        <v>1538</v>
      </c>
      <c r="O139" s="98"/>
      <c r="P139" s="98"/>
      <c r="Q139" s="98"/>
      <c r="R139" s="98"/>
      <c r="S139" s="2"/>
      <c r="T139" s="39">
        <f>PACKAGING!E8</f>
        <v>420</v>
      </c>
      <c r="U139" s="1"/>
      <c r="V139" s="171"/>
    </row>
    <row r="140" spans="1:22" ht="15.75" x14ac:dyDescent="0.25">
      <c r="A140" s="659" t="s">
        <v>1012</v>
      </c>
      <c r="B140" s="660"/>
      <c r="C140" s="660"/>
      <c r="D140" s="660">
        <v>2</v>
      </c>
      <c r="E140" s="661">
        <f>FORNITURAS!D17</f>
        <v>45.05</v>
      </c>
      <c r="F140" s="662">
        <f>E140*D140</f>
        <v>90.1</v>
      </c>
      <c r="G140" s="658"/>
      <c r="H140" s="658"/>
      <c r="N140" s="104" t="s">
        <v>1558</v>
      </c>
      <c r="O140" s="98">
        <v>60</v>
      </c>
      <c r="P140" s="98"/>
      <c r="Q140" s="98"/>
      <c r="R140" s="98">
        <v>20</v>
      </c>
      <c r="S140" s="102">
        <f>'INSUMOS VARIOS'!B3</f>
        <v>3500</v>
      </c>
      <c r="T140" s="39">
        <f>S140*R140/O140</f>
        <v>1166.6666666666667</v>
      </c>
      <c r="U140" s="1"/>
      <c r="V140" s="171"/>
    </row>
    <row r="141" spans="1:22" ht="16.5" thickBot="1" x14ac:dyDescent="0.3">
      <c r="A141" s="659" t="s">
        <v>1587</v>
      </c>
      <c r="B141" s="660"/>
      <c r="C141" s="660"/>
      <c r="D141" s="660">
        <v>1</v>
      </c>
      <c r="E141" s="661">
        <f>FORNITURAS!D18</f>
        <v>363</v>
      </c>
      <c r="F141" s="662">
        <f>E141*D141</f>
        <v>363</v>
      </c>
      <c r="G141" s="658"/>
      <c r="H141" s="658"/>
      <c r="N141" s="79" t="s">
        <v>525</v>
      </c>
      <c r="O141" s="99"/>
      <c r="P141" s="99"/>
      <c r="Q141" s="99"/>
      <c r="R141" s="99"/>
      <c r="S141" s="70"/>
      <c r="T141" s="51">
        <f>SUM(T126:T140)</f>
        <v>5341.1686726795224</v>
      </c>
      <c r="U141" s="1"/>
      <c r="V141" s="171"/>
    </row>
    <row r="142" spans="1:22" ht="15.75" x14ac:dyDescent="0.2">
      <c r="A142" s="1741" t="s">
        <v>1572</v>
      </c>
      <c r="B142" s="660" t="s">
        <v>1556</v>
      </c>
      <c r="C142" s="660"/>
      <c r="D142" s="660">
        <v>1</v>
      </c>
      <c r="E142" s="661">
        <f>FORNITURAS!D4</f>
        <v>48.7</v>
      </c>
      <c r="F142" s="662">
        <f>E142*D142</f>
        <v>48.7</v>
      </c>
      <c r="G142" s="658"/>
      <c r="H142" s="658"/>
      <c r="N142" s="80" t="s">
        <v>544</v>
      </c>
      <c r="O142" s="100"/>
      <c r="P142" s="100"/>
      <c r="Q142" s="100"/>
      <c r="R142" s="100"/>
      <c r="S142" s="71"/>
      <c r="T142" s="221">
        <f>T141*2</f>
        <v>10682.337345359045</v>
      </c>
      <c r="U142" s="512">
        <f>T142+T142*50%</f>
        <v>16023.506018038566</v>
      </c>
      <c r="V142" s="268">
        <v>19000</v>
      </c>
    </row>
    <row r="143" spans="1:22" ht="16.5" thickBot="1" x14ac:dyDescent="0.25">
      <c r="A143" s="1742"/>
      <c r="B143" s="660" t="s">
        <v>1573</v>
      </c>
      <c r="C143" s="660"/>
      <c r="D143" s="660">
        <v>1</v>
      </c>
      <c r="E143" s="661">
        <f>FORNITURAS!D7</f>
        <v>52</v>
      </c>
      <c r="F143" s="662">
        <f>E143*D143</f>
        <v>52</v>
      </c>
      <c r="G143" s="658"/>
      <c r="H143" s="658"/>
      <c r="N143" s="211" t="s">
        <v>1559</v>
      </c>
      <c r="O143" s="214"/>
      <c r="P143" s="214"/>
      <c r="Q143" s="214"/>
      <c r="R143" s="214"/>
      <c r="S143" s="212"/>
      <c r="T143" s="372"/>
      <c r="U143" s="522"/>
      <c r="V143" s="710"/>
    </row>
    <row r="144" spans="1:22" ht="15.75" thickBot="1" x14ac:dyDescent="0.25">
      <c r="A144" s="665" t="s">
        <v>1588</v>
      </c>
      <c r="B144" s="660"/>
      <c r="C144" s="660"/>
      <c r="D144" s="660"/>
      <c r="E144" s="769"/>
      <c r="F144" s="662">
        <f>PACKAGING!E4</f>
        <v>80</v>
      </c>
      <c r="G144" s="658"/>
      <c r="H144" s="658"/>
    </row>
    <row r="145" spans="1:22" ht="15.75" x14ac:dyDescent="0.25">
      <c r="A145" s="666" t="s">
        <v>1537</v>
      </c>
      <c r="B145" s="660"/>
      <c r="C145" s="660"/>
      <c r="D145" s="660"/>
      <c r="E145" s="769"/>
      <c r="F145" s="662">
        <f>PACKAGING!E7</f>
        <v>170</v>
      </c>
      <c r="G145" s="658"/>
      <c r="H145" s="658"/>
      <c r="N145" s="1585" t="s">
        <v>288</v>
      </c>
      <c r="O145" s="1586"/>
      <c r="P145" s="1586"/>
      <c r="Q145" s="1586"/>
      <c r="R145" s="1587"/>
      <c r="S145" s="1"/>
      <c r="T145" s="1"/>
      <c r="U145" s="171"/>
      <c r="V145" s="171"/>
    </row>
    <row r="146" spans="1:22" ht="15.75" x14ac:dyDescent="0.25">
      <c r="A146" s="666"/>
      <c r="B146" s="660"/>
      <c r="C146" s="660"/>
      <c r="D146" s="660"/>
      <c r="E146" s="769"/>
      <c r="F146" s="662">
        <f>PACKAGING!E8</f>
        <v>420</v>
      </c>
      <c r="G146" s="658"/>
      <c r="H146" s="658"/>
      <c r="N146" s="183" t="s">
        <v>916</v>
      </c>
      <c r="O146" s="97" t="s">
        <v>743</v>
      </c>
      <c r="P146" s="76" t="s">
        <v>1547</v>
      </c>
      <c r="Q146" s="108" t="s">
        <v>747</v>
      </c>
      <c r="R146" s="77" t="s">
        <v>1549</v>
      </c>
      <c r="S146" s="1"/>
      <c r="T146" s="1"/>
      <c r="U146" s="171"/>
      <c r="V146" s="171"/>
    </row>
    <row r="147" spans="1:22" ht="15.75" x14ac:dyDescent="0.25">
      <c r="A147" s="665" t="s">
        <v>1590</v>
      </c>
      <c r="B147" s="660" t="s">
        <v>1590</v>
      </c>
      <c r="C147" s="660">
        <v>60</v>
      </c>
      <c r="D147" s="660">
        <v>10</v>
      </c>
      <c r="E147" s="661">
        <f>'INSUMOS VARIOS'!B3</f>
        <v>3500</v>
      </c>
      <c r="F147" s="662">
        <f>E147*D147/C147</f>
        <v>583.33333333333337</v>
      </c>
      <c r="G147" s="658"/>
      <c r="H147" s="658"/>
      <c r="N147" s="3" t="s">
        <v>2011</v>
      </c>
      <c r="O147" s="98">
        <v>0.24</v>
      </c>
      <c r="P147" s="2">
        <v>0.26500000000000001</v>
      </c>
      <c r="Q147" s="66">
        <f>'AROS, CADENAS, DIJES, ETC'!T10</f>
        <v>1000</v>
      </c>
      <c r="R147" s="39">
        <f>Q147*P147/O147</f>
        <v>1104.1666666666667</v>
      </c>
      <c r="S147" s="1"/>
      <c r="T147" s="1"/>
      <c r="U147" s="171"/>
      <c r="V147" s="171"/>
    </row>
    <row r="148" spans="1:22" ht="15.75" x14ac:dyDescent="0.25">
      <c r="A148" s="665" t="s">
        <v>908</v>
      </c>
      <c r="B148" s="660" t="s">
        <v>908</v>
      </c>
      <c r="C148" s="660">
        <v>60</v>
      </c>
      <c r="D148" s="660">
        <v>5</v>
      </c>
      <c r="E148" s="661">
        <f>E147</f>
        <v>3500</v>
      </c>
      <c r="F148" s="662">
        <f>E148*D148/C148</f>
        <v>291.66666666666669</v>
      </c>
      <c r="G148" s="658"/>
      <c r="H148" s="658"/>
      <c r="N148" s="3" t="s">
        <v>2012</v>
      </c>
      <c r="O148" s="98">
        <v>0.34</v>
      </c>
      <c r="P148" s="2">
        <v>0.22500000000000001</v>
      </c>
      <c r="Q148" s="66">
        <f>'PERLAS 2'!G18</f>
        <v>11704</v>
      </c>
      <c r="R148" s="39">
        <f>Q148*P148/O148</f>
        <v>7745.2941176470586</v>
      </c>
      <c r="S148" s="1"/>
      <c r="T148" s="1"/>
      <c r="U148" s="171"/>
      <c r="V148" s="171"/>
    </row>
    <row r="149" spans="1:22" ht="16.5" thickBot="1" x14ac:dyDescent="0.3">
      <c r="A149" s="670" t="s">
        <v>525</v>
      </c>
      <c r="B149" s="671"/>
      <c r="C149" s="671"/>
      <c r="D149" s="671"/>
      <c r="E149" s="672"/>
      <c r="F149" s="673">
        <f>SUM(F134:F148)</f>
        <v>3556.7153846153842</v>
      </c>
      <c r="G149" s="658"/>
      <c r="H149" s="658"/>
      <c r="N149" s="104" t="s">
        <v>1742</v>
      </c>
      <c r="O149" s="98"/>
      <c r="P149" s="2">
        <v>1</v>
      </c>
      <c r="Q149" s="66">
        <f>'PERLAS 2'!H26</f>
        <v>651.20000000000005</v>
      </c>
      <c r="R149" s="39">
        <f t="shared" ref="R149:R156" si="10">Q149*P149</f>
        <v>651.20000000000005</v>
      </c>
      <c r="S149" s="1"/>
      <c r="T149" s="1"/>
      <c r="U149" s="171"/>
      <c r="V149" s="171"/>
    </row>
    <row r="150" spans="1:22" ht="15.75" x14ac:dyDescent="0.25">
      <c r="A150" s="675" t="s">
        <v>544</v>
      </c>
      <c r="B150" s="676"/>
      <c r="C150" s="676"/>
      <c r="D150" s="676"/>
      <c r="E150" s="677"/>
      <c r="F150" s="692">
        <f>F149*2</f>
        <v>7113.4307692307684</v>
      </c>
      <c r="G150" s="799">
        <f>F150+F150*50%</f>
        <v>10670.146153846152</v>
      </c>
      <c r="H150" s="770">
        <v>8000</v>
      </c>
      <c r="N150" s="104" t="s">
        <v>1743</v>
      </c>
      <c r="O150" s="98"/>
      <c r="P150" s="2">
        <v>1</v>
      </c>
      <c r="Q150" s="66">
        <f>FORNITURAS!D15</f>
        <v>142</v>
      </c>
      <c r="R150" s="39">
        <f t="shared" si="10"/>
        <v>142</v>
      </c>
      <c r="S150" s="1"/>
      <c r="T150" s="1"/>
      <c r="U150" s="171"/>
      <c r="V150" s="171"/>
    </row>
    <row r="151" spans="1:22" ht="16.5" thickBot="1" x14ac:dyDescent="0.3">
      <c r="A151" s="684" t="s">
        <v>1559</v>
      </c>
      <c r="B151" s="685"/>
      <c r="C151" s="685"/>
      <c r="D151" s="685"/>
      <c r="E151" s="686"/>
      <c r="F151" s="686"/>
      <c r="G151" s="772"/>
      <c r="H151" s="772">
        <v>16000</v>
      </c>
      <c r="N151" s="104" t="s">
        <v>1587</v>
      </c>
      <c r="O151" s="98" t="s">
        <v>805</v>
      </c>
      <c r="P151" s="2">
        <v>2</v>
      </c>
      <c r="Q151" s="66">
        <f>FORNITURAS!D18</f>
        <v>363</v>
      </c>
      <c r="R151" s="39">
        <f t="shared" si="10"/>
        <v>726</v>
      </c>
      <c r="S151" s="1"/>
      <c r="T151" s="1"/>
      <c r="U151" s="171"/>
      <c r="V151" s="171"/>
    </row>
    <row r="152" spans="1:22" ht="16.5" thickBot="1" x14ac:dyDescent="0.3">
      <c r="N152" s="104" t="s">
        <v>1872</v>
      </c>
      <c r="O152" s="98"/>
      <c r="P152" s="2">
        <v>0.32500000000000001</v>
      </c>
      <c r="Q152" s="66">
        <f>'HILOS-CORDONES-TANZA-CUERO'!L9</f>
        <v>30</v>
      </c>
      <c r="R152" s="39">
        <f t="shared" si="10"/>
        <v>9.75</v>
      </c>
      <c r="S152" s="1"/>
      <c r="T152" s="1"/>
      <c r="U152" s="171"/>
      <c r="V152" s="171"/>
    </row>
    <row r="153" spans="1:22" ht="16.5" thickBot="1" x14ac:dyDescent="0.3">
      <c r="A153" s="1738" t="s">
        <v>2013</v>
      </c>
      <c r="B153" s="1739"/>
      <c r="C153" s="1739"/>
      <c r="D153" s="1739"/>
      <c r="E153" s="1739"/>
      <c r="F153" s="1740"/>
      <c r="H153" s="658"/>
      <c r="N153" s="1701" t="s">
        <v>1555</v>
      </c>
      <c r="O153" s="98" t="s">
        <v>1556</v>
      </c>
      <c r="P153" s="2">
        <v>2</v>
      </c>
      <c r="Q153" s="66">
        <f>FORNITURAS!D4</f>
        <v>48.7</v>
      </c>
      <c r="R153" s="39">
        <f t="shared" si="10"/>
        <v>97.4</v>
      </c>
      <c r="S153" s="1"/>
      <c r="T153" s="1"/>
      <c r="U153" s="171"/>
      <c r="V153" s="171"/>
    </row>
    <row r="154" spans="1:22" ht="15.75" x14ac:dyDescent="0.25">
      <c r="A154" s="654" t="s">
        <v>916</v>
      </c>
      <c r="B154" s="655" t="s">
        <v>743</v>
      </c>
      <c r="C154" s="655" t="s">
        <v>1716</v>
      </c>
      <c r="D154" s="655" t="s">
        <v>1566</v>
      </c>
      <c r="E154" s="656" t="s">
        <v>1035</v>
      </c>
      <c r="F154" s="657" t="s">
        <v>1549</v>
      </c>
      <c r="G154" s="658"/>
      <c r="H154" s="658"/>
      <c r="N154" s="1702"/>
      <c r="O154" s="98" t="s">
        <v>1573</v>
      </c>
      <c r="P154" s="2">
        <v>1</v>
      </c>
      <c r="Q154" s="66">
        <f>FORNITURAS!D7</f>
        <v>52</v>
      </c>
      <c r="R154" s="39">
        <f t="shared" si="10"/>
        <v>52</v>
      </c>
      <c r="S154" s="1"/>
      <c r="T154" s="1"/>
      <c r="U154" s="171"/>
      <c r="V154" s="171"/>
    </row>
    <row r="155" spans="1:22" ht="15.75" x14ac:dyDescent="0.25">
      <c r="A155" s="1736" t="s">
        <v>1814</v>
      </c>
      <c r="B155" s="660">
        <v>0.39</v>
      </c>
      <c r="C155" s="660">
        <v>0.1</v>
      </c>
      <c r="D155" s="660">
        <v>2</v>
      </c>
      <c r="E155" s="661">
        <f>PIEDRAS!E116</f>
        <v>1400</v>
      </c>
      <c r="F155" s="662">
        <f>E155*D155*C155/B155</f>
        <v>717.9487179487179</v>
      </c>
      <c r="G155" s="658"/>
      <c r="H155" s="658"/>
      <c r="N155" s="104" t="s">
        <v>1697</v>
      </c>
      <c r="O155" s="98" t="s">
        <v>777</v>
      </c>
      <c r="P155" s="2">
        <v>2</v>
      </c>
      <c r="Q155" s="66">
        <f>FORNITURAS!D26</f>
        <v>297.14285714285717</v>
      </c>
      <c r="R155" s="39">
        <f t="shared" si="10"/>
        <v>594.28571428571433</v>
      </c>
      <c r="S155" s="1"/>
      <c r="T155" s="1"/>
      <c r="U155" s="171"/>
      <c r="V155" s="171"/>
    </row>
    <row r="156" spans="1:22" ht="15.75" x14ac:dyDescent="0.25">
      <c r="A156" s="1737"/>
      <c r="B156" s="660">
        <v>0.39</v>
      </c>
      <c r="C156" s="660">
        <v>3.5000000000000003E-2</v>
      </c>
      <c r="D156" s="660">
        <v>4</v>
      </c>
      <c r="E156" s="661">
        <f>E155</f>
        <v>1400</v>
      </c>
      <c r="F156" s="662">
        <f>E156*D156*C156/B156</f>
        <v>502.5641025641026</v>
      </c>
      <c r="G156" s="658"/>
      <c r="H156" s="658"/>
      <c r="N156" s="331" t="s">
        <v>1012</v>
      </c>
      <c r="O156" s="98"/>
      <c r="P156" s="2">
        <v>2</v>
      </c>
      <c r="Q156" s="66">
        <f>FORNITURAS!D17</f>
        <v>45.05</v>
      </c>
      <c r="R156" s="39">
        <f t="shared" si="10"/>
        <v>90.1</v>
      </c>
      <c r="S156" s="1"/>
      <c r="T156" s="1"/>
      <c r="U156" s="171"/>
      <c r="V156" s="171"/>
    </row>
    <row r="157" spans="1:22" ht="15.75" x14ac:dyDescent="0.25">
      <c r="A157" s="665" t="s">
        <v>1944</v>
      </c>
      <c r="B157" s="660"/>
      <c r="C157" s="660"/>
      <c r="D157" s="660">
        <v>2</v>
      </c>
      <c r="E157" s="661">
        <f>FORNITURAS!I4</f>
        <v>66.099999999999994</v>
      </c>
      <c r="F157" s="662">
        <f t="shared" ref="F157:F164" si="11">E157*D157</f>
        <v>132.19999999999999</v>
      </c>
      <c r="G157" s="658"/>
      <c r="H157" s="658"/>
      <c r="N157" s="189" t="s">
        <v>1588</v>
      </c>
      <c r="O157" s="98" t="s">
        <v>1535</v>
      </c>
      <c r="P157" s="2"/>
      <c r="Q157" s="6"/>
      <c r="R157" s="39">
        <f>PACKAGING!E4</f>
        <v>80</v>
      </c>
      <c r="S157" s="171"/>
      <c r="T157" s="171"/>
      <c r="U157" s="171"/>
      <c r="V157" s="171"/>
    </row>
    <row r="158" spans="1:22" ht="15.75" x14ac:dyDescent="0.25">
      <c r="A158" s="768" t="s">
        <v>2010</v>
      </c>
      <c r="B158" s="660"/>
      <c r="C158" s="660"/>
      <c r="D158" s="660">
        <v>2</v>
      </c>
      <c r="E158" s="661">
        <f>FORNITURAS!D32</f>
        <v>422</v>
      </c>
      <c r="F158" s="662">
        <f t="shared" si="11"/>
        <v>844</v>
      </c>
      <c r="G158" s="658"/>
      <c r="H158" s="658"/>
      <c r="N158" s="3" t="s">
        <v>1537</v>
      </c>
      <c r="O158" s="98"/>
      <c r="P158" s="2"/>
      <c r="Q158" s="6"/>
      <c r="R158" s="39">
        <f>PACKAGING!E7</f>
        <v>170</v>
      </c>
      <c r="S158" s="1"/>
      <c r="T158" s="1"/>
      <c r="U158" s="171"/>
      <c r="V158" s="171"/>
    </row>
    <row r="159" spans="1:22" ht="15.75" x14ac:dyDescent="0.25">
      <c r="A159" s="663" t="s">
        <v>1608</v>
      </c>
      <c r="B159" s="660"/>
      <c r="C159" s="660"/>
      <c r="D159" s="660">
        <v>0.1</v>
      </c>
      <c r="E159" s="661">
        <f>'AROS, CADENAS, DIJES, ETC'!I38</f>
        <v>3630</v>
      </c>
      <c r="F159" s="662">
        <f t="shared" si="11"/>
        <v>363</v>
      </c>
      <c r="G159" s="658"/>
      <c r="H159" s="658"/>
      <c r="N159" s="1701" t="s">
        <v>1618</v>
      </c>
      <c r="O159" s="98">
        <v>60</v>
      </c>
      <c r="P159" s="2">
        <v>20</v>
      </c>
      <c r="Q159" s="66">
        <f>'INSUMOS VARIOS'!B3</f>
        <v>3500</v>
      </c>
      <c r="R159" s="39">
        <f>Q159*P159/O159</f>
        <v>1166.6666666666667</v>
      </c>
      <c r="S159" s="1" t="s">
        <v>2014</v>
      </c>
      <c r="T159" s="1"/>
      <c r="U159" s="171"/>
      <c r="V159" s="171"/>
    </row>
    <row r="160" spans="1:22" ht="15.75" x14ac:dyDescent="0.25">
      <c r="A160" s="659" t="s">
        <v>1424</v>
      </c>
      <c r="B160" s="660"/>
      <c r="C160" s="660"/>
      <c r="D160" s="660">
        <v>0.47</v>
      </c>
      <c r="E160" s="661">
        <f>'HILOS-CORDONES-TANZA-CUERO'!L9</f>
        <v>30</v>
      </c>
      <c r="F160" s="662">
        <f t="shared" si="11"/>
        <v>14.1</v>
      </c>
      <c r="G160" s="658"/>
      <c r="H160" s="658"/>
      <c r="N160" s="1702"/>
      <c r="O160" s="98">
        <v>60</v>
      </c>
      <c r="P160" s="2">
        <v>5</v>
      </c>
      <c r="Q160" s="66">
        <f>Q159</f>
        <v>3500</v>
      </c>
      <c r="R160" s="39">
        <f>Q160*P160/O160</f>
        <v>291.66666666666669</v>
      </c>
      <c r="S160" s="1" t="s">
        <v>2015</v>
      </c>
      <c r="T160" s="1"/>
      <c r="U160" s="171"/>
      <c r="V160" s="171"/>
    </row>
    <row r="161" spans="1:23" ht="16.5" thickBot="1" x14ac:dyDescent="0.3">
      <c r="A161" s="659" t="s">
        <v>1012</v>
      </c>
      <c r="B161" s="660"/>
      <c r="C161" s="660"/>
      <c r="D161" s="660">
        <v>2</v>
      </c>
      <c r="E161" s="661">
        <f>FORNITURAS!D17</f>
        <v>45.05</v>
      </c>
      <c r="F161" s="662">
        <f t="shared" si="11"/>
        <v>90.1</v>
      </c>
      <c r="G161" s="658"/>
      <c r="H161" s="658"/>
      <c r="N161" s="79" t="s">
        <v>525</v>
      </c>
      <c r="O161" s="99"/>
      <c r="P161" s="70"/>
      <c r="Q161" s="85"/>
      <c r="R161" s="51">
        <f>SUM(R147:R160)</f>
        <v>12920.529831932772</v>
      </c>
      <c r="S161" s="60">
        <f>R161+T162+T163</f>
        <v>16198.529831932772</v>
      </c>
      <c r="T161" s="653" t="s">
        <v>2296</v>
      </c>
      <c r="U161" s="171"/>
      <c r="V161" s="171"/>
    </row>
    <row r="162" spans="1:23" ht="16.5" thickBot="1" x14ac:dyDescent="0.25">
      <c r="A162" s="659" t="s">
        <v>1587</v>
      </c>
      <c r="B162" s="660"/>
      <c r="C162" s="660"/>
      <c r="D162" s="660">
        <v>1</v>
      </c>
      <c r="E162" s="661">
        <f>FORNITURAS!D18</f>
        <v>363</v>
      </c>
      <c r="F162" s="662">
        <f t="shared" si="11"/>
        <v>363</v>
      </c>
      <c r="G162" s="658"/>
      <c r="H162" s="658"/>
      <c r="N162" s="80" t="s">
        <v>544</v>
      </c>
      <c r="O162" s="100"/>
      <c r="P162" s="71"/>
      <c r="Q162" s="71"/>
      <c r="R162" s="72">
        <f>R161*2</f>
        <v>25841.059663865544</v>
      </c>
      <c r="S162" s="679">
        <f>R162+R162*70%</f>
        <v>43929.801428571423</v>
      </c>
      <c r="T162" s="680">
        <f>PACKAGING!I3</f>
        <v>2433</v>
      </c>
      <c r="U162" s="681">
        <f>T162+S162+T163</f>
        <v>47207.801428571423</v>
      </c>
      <c r="V162" s="682">
        <v>44000</v>
      </c>
    </row>
    <row r="163" spans="1:23" ht="16.5" thickBot="1" x14ac:dyDescent="0.25">
      <c r="A163" s="1741" t="s">
        <v>1572</v>
      </c>
      <c r="B163" s="660" t="s">
        <v>1556</v>
      </c>
      <c r="C163" s="660"/>
      <c r="D163" s="660">
        <v>1</v>
      </c>
      <c r="E163" s="661">
        <f>FORNITURAS!D4</f>
        <v>48.7</v>
      </c>
      <c r="F163" s="662">
        <f t="shared" si="11"/>
        <v>48.7</v>
      </c>
      <c r="G163" s="658"/>
      <c r="H163" s="658"/>
      <c r="N163" s="81" t="s">
        <v>1559</v>
      </c>
      <c r="O163" s="101"/>
      <c r="P163" s="73"/>
      <c r="Q163" s="73"/>
      <c r="R163" s="73"/>
      <c r="S163" s="688"/>
      <c r="T163" s="712">
        <f>PACKAGING!I5</f>
        <v>845</v>
      </c>
      <c r="U163" s="690"/>
      <c r="V163" s="691"/>
    </row>
    <row r="164" spans="1:23" ht="15.75" thickBot="1" x14ac:dyDescent="0.25">
      <c r="A164" s="1742"/>
      <c r="B164" s="660" t="s">
        <v>1573</v>
      </c>
      <c r="C164" s="660"/>
      <c r="D164" s="660">
        <v>1</v>
      </c>
      <c r="E164" s="661">
        <f>FORNITURAS!D7</f>
        <v>52</v>
      </c>
      <c r="F164" s="662">
        <f t="shared" si="11"/>
        <v>52</v>
      </c>
      <c r="G164" s="658"/>
      <c r="H164" s="658"/>
    </row>
    <row r="165" spans="1:23" ht="15.75" customHeight="1" x14ac:dyDescent="0.25">
      <c r="A165" s="665" t="s">
        <v>1588</v>
      </c>
      <c r="B165" s="660"/>
      <c r="C165" s="660"/>
      <c r="D165" s="660"/>
      <c r="E165" s="769"/>
      <c r="F165" s="662">
        <f>PACKAGING!E4</f>
        <v>80</v>
      </c>
      <c r="G165" s="658"/>
      <c r="H165" s="658"/>
      <c r="N165" s="1746" t="s">
        <v>3225</v>
      </c>
      <c r="O165" s="1747"/>
      <c r="P165" s="1747"/>
      <c r="Q165" s="1747"/>
      <c r="R165" s="1747"/>
      <c r="S165" s="1748"/>
      <c r="V165" s="652"/>
      <c r="W165"/>
    </row>
    <row r="166" spans="1:23" ht="15.75" x14ac:dyDescent="0.25">
      <c r="A166" s="666" t="s">
        <v>1537</v>
      </c>
      <c r="B166" s="660"/>
      <c r="C166" s="660"/>
      <c r="D166" s="660"/>
      <c r="E166" s="769"/>
      <c r="F166" s="662">
        <f>PACKAGING!E7</f>
        <v>170</v>
      </c>
      <c r="G166" s="658"/>
      <c r="H166" s="658"/>
      <c r="N166" s="654" t="s">
        <v>916</v>
      </c>
      <c r="O166" s="655" t="s">
        <v>743</v>
      </c>
      <c r="P166" s="655" t="s">
        <v>1089</v>
      </c>
      <c r="Q166" s="655" t="s">
        <v>1566</v>
      </c>
      <c r="R166" s="656" t="s">
        <v>1035</v>
      </c>
      <c r="S166" s="657" t="s">
        <v>1549</v>
      </c>
      <c r="T166" s="658"/>
      <c r="V166" s="652"/>
      <c r="W166"/>
    </row>
    <row r="167" spans="1:23" ht="15.75" x14ac:dyDescent="0.25">
      <c r="A167" s="666" t="s">
        <v>1670</v>
      </c>
      <c r="B167" s="660"/>
      <c r="C167" s="660"/>
      <c r="D167" s="660"/>
      <c r="E167" s="769"/>
      <c r="F167" s="662">
        <f>PACKAGING!E8</f>
        <v>420</v>
      </c>
      <c r="G167" s="658"/>
      <c r="H167" s="658"/>
      <c r="N167" s="659" t="s">
        <v>3179</v>
      </c>
      <c r="O167" s="660"/>
      <c r="P167" s="660"/>
      <c r="Q167" s="660">
        <v>44</v>
      </c>
      <c r="R167" s="661">
        <f>PERLAS!F34</f>
        <v>132.0754716981132</v>
      </c>
      <c r="S167" s="662">
        <f>R167*Q167</f>
        <v>5811.3207547169814</v>
      </c>
      <c r="T167" s="658"/>
      <c r="V167" s="652"/>
      <c r="W167"/>
    </row>
    <row r="168" spans="1:23" ht="15.75" x14ac:dyDescent="0.25">
      <c r="A168" s="665" t="s">
        <v>1590</v>
      </c>
      <c r="B168" s="660" t="s">
        <v>1590</v>
      </c>
      <c r="C168" s="660">
        <v>60</v>
      </c>
      <c r="D168" s="660">
        <v>10</v>
      </c>
      <c r="E168" s="661">
        <f>'INSUMOS VARIOS'!B3</f>
        <v>3500</v>
      </c>
      <c r="F168" s="662">
        <f>E168*D168/C168</f>
        <v>583.33333333333337</v>
      </c>
      <c r="G168" s="658"/>
      <c r="H168" s="658"/>
      <c r="M168" s="1131"/>
      <c r="N168" s="660" t="s">
        <v>3178</v>
      </c>
      <c r="O168" s="660"/>
      <c r="P168" s="660"/>
      <c r="Q168" s="660">
        <v>21</v>
      </c>
      <c r="R168" s="661">
        <f>'PALAIS DU BIJOU'!O17</f>
        <v>3.4375</v>
      </c>
      <c r="S168" s="664">
        <f>R168*Q168</f>
        <v>72.1875</v>
      </c>
      <c r="T168" s="658"/>
      <c r="V168" s="652"/>
      <c r="W168"/>
    </row>
    <row r="169" spans="1:23" ht="15.75" x14ac:dyDescent="0.25">
      <c r="A169" s="665" t="s">
        <v>908</v>
      </c>
      <c r="B169" s="660" t="s">
        <v>908</v>
      </c>
      <c r="C169" s="660">
        <v>60</v>
      </c>
      <c r="D169" s="660">
        <v>5</v>
      </c>
      <c r="E169" s="661">
        <f>E168</f>
        <v>3500</v>
      </c>
      <c r="F169" s="662">
        <f>E169*D169/C169</f>
        <v>291.66666666666669</v>
      </c>
      <c r="G169" s="658"/>
      <c r="H169" s="658"/>
      <c r="M169" s="1131"/>
      <c r="N169" s="660" t="s">
        <v>1872</v>
      </c>
      <c r="O169" s="660"/>
      <c r="P169" s="660"/>
      <c r="Q169" s="660">
        <v>0.37</v>
      </c>
      <c r="R169" s="661">
        <f>'HILOS-CORDONES-TANZA-CUERO'!L9</f>
        <v>30</v>
      </c>
      <c r="S169" s="664">
        <f>R169*Q169</f>
        <v>11.1</v>
      </c>
      <c r="T169" s="658"/>
      <c r="V169" s="652"/>
      <c r="W169"/>
    </row>
    <row r="170" spans="1:23" ht="16.5" thickBot="1" x14ac:dyDescent="0.3">
      <c r="A170" s="670" t="s">
        <v>525</v>
      </c>
      <c r="B170" s="671"/>
      <c r="C170" s="671"/>
      <c r="D170" s="671"/>
      <c r="E170" s="672"/>
      <c r="F170" s="673">
        <f>SUM(F155:F169)</f>
        <v>4672.6128205128207</v>
      </c>
      <c r="G170" s="658"/>
      <c r="H170" s="658"/>
      <c r="M170" s="1131"/>
      <c r="N170" s="660" t="s">
        <v>3123</v>
      </c>
      <c r="O170" s="660"/>
      <c r="P170" s="660"/>
      <c r="Q170" s="660">
        <v>1</v>
      </c>
      <c r="R170" s="661">
        <f>'AROS, CADENAS, DIJES, ETC'!O52</f>
        <v>4079</v>
      </c>
      <c r="S170" s="662">
        <f>R170</f>
        <v>4079</v>
      </c>
      <c r="T170" s="658"/>
      <c r="V170" s="652"/>
      <c r="W170"/>
    </row>
    <row r="171" spans="1:23" ht="15.75" x14ac:dyDescent="0.25">
      <c r="A171" s="675" t="s">
        <v>544</v>
      </c>
      <c r="B171" s="676"/>
      <c r="C171" s="676"/>
      <c r="D171" s="676"/>
      <c r="E171" s="677"/>
      <c r="F171" s="692">
        <f>F170*2</f>
        <v>9345.2256410256414</v>
      </c>
      <c r="G171" s="799">
        <f>F171+F171*50%</f>
        <v>14017.838461538462</v>
      </c>
      <c r="H171" s="770">
        <v>8000</v>
      </c>
      <c r="M171" s="1131"/>
      <c r="N171" s="1757" t="s">
        <v>3109</v>
      </c>
      <c r="O171" s="660" t="s">
        <v>1658</v>
      </c>
      <c r="P171" s="660"/>
      <c r="Q171" s="660">
        <v>2</v>
      </c>
      <c r="R171" s="661">
        <f>FORNITURAS!D8</f>
        <v>192.77777777777777</v>
      </c>
      <c r="S171" s="662">
        <f>R171*Q171</f>
        <v>385.55555555555554</v>
      </c>
      <c r="T171" s="658"/>
      <c r="V171" s="652"/>
      <c r="W171"/>
    </row>
    <row r="172" spans="1:23" ht="16.5" thickBot="1" x14ac:dyDescent="0.3">
      <c r="A172" s="684" t="s">
        <v>1559</v>
      </c>
      <c r="B172" s="685"/>
      <c r="C172" s="685"/>
      <c r="D172" s="685"/>
      <c r="E172" s="686"/>
      <c r="F172" s="686"/>
      <c r="G172" s="772"/>
      <c r="H172" s="772">
        <f>H171*2</f>
        <v>16000</v>
      </c>
      <c r="M172" s="1131"/>
      <c r="N172" s="1757"/>
      <c r="O172" s="660" t="s">
        <v>1658</v>
      </c>
      <c r="P172" s="660"/>
      <c r="Q172" s="660">
        <v>1</v>
      </c>
      <c r="R172" s="661">
        <f>FORNITURAS!D8</f>
        <v>192.77777777777777</v>
      </c>
      <c r="S172" s="662">
        <f>R172*Q172</f>
        <v>192.77777777777777</v>
      </c>
      <c r="T172" s="658"/>
      <c r="V172" s="652"/>
      <c r="W172"/>
    </row>
    <row r="173" spans="1:23" ht="16.5" thickBot="1" x14ac:dyDescent="0.3">
      <c r="M173" s="1131"/>
      <c r="N173" s="660" t="s">
        <v>1537</v>
      </c>
      <c r="O173" s="660"/>
      <c r="P173" s="660"/>
      <c r="Q173" s="660"/>
      <c r="R173" s="661"/>
      <c r="S173" s="662">
        <f>PACKAGING!E7</f>
        <v>170</v>
      </c>
      <c r="T173" s="658"/>
      <c r="V173" s="652"/>
      <c r="W173"/>
    </row>
    <row r="174" spans="1:23" ht="15.75" thickBot="1" x14ac:dyDescent="0.25">
      <c r="A174" s="1738" t="s">
        <v>589</v>
      </c>
      <c r="B174" s="1739"/>
      <c r="C174" s="1739"/>
      <c r="D174" s="1739"/>
      <c r="E174" s="1739"/>
      <c r="F174" s="1740"/>
      <c r="N174" s="666" t="s">
        <v>1557</v>
      </c>
      <c r="O174" s="660"/>
      <c r="P174" s="660"/>
      <c r="Q174" s="660"/>
      <c r="R174" s="661"/>
      <c r="S174" s="662">
        <f>PACKAGING!E4</f>
        <v>80</v>
      </c>
    </row>
    <row r="175" spans="1:23" ht="15.75" x14ac:dyDescent="0.25">
      <c r="A175" s="654" t="s">
        <v>916</v>
      </c>
      <c r="B175" s="655" t="s">
        <v>743</v>
      </c>
      <c r="C175" s="655" t="s">
        <v>1716</v>
      </c>
      <c r="D175" s="655" t="s">
        <v>1566</v>
      </c>
      <c r="E175" s="656" t="s">
        <v>1035</v>
      </c>
      <c r="F175" s="657" t="s">
        <v>1549</v>
      </c>
      <c r="G175" s="658"/>
      <c r="N175" s="663" t="s">
        <v>1618</v>
      </c>
      <c r="O175" s="660"/>
      <c r="P175" s="660">
        <v>60</v>
      </c>
      <c r="Q175" s="660">
        <v>20</v>
      </c>
      <c r="R175" s="668">
        <f>'INSUMOS VARIOS'!B3</f>
        <v>3500</v>
      </c>
      <c r="S175" s="669">
        <f>R175*Q175/P175</f>
        <v>1166.6666666666667</v>
      </c>
      <c r="T175" s="1" t="s">
        <v>3023</v>
      </c>
      <c r="V175" s="652"/>
      <c r="W175"/>
    </row>
    <row r="176" spans="1:23" ht="16.5" thickBot="1" x14ac:dyDescent="0.3">
      <c r="A176" s="1736" t="s">
        <v>1268</v>
      </c>
      <c r="B176" s="660">
        <v>0.4</v>
      </c>
      <c r="C176" s="660">
        <v>0.1</v>
      </c>
      <c r="D176" s="660">
        <v>2</v>
      </c>
      <c r="E176" s="661">
        <f>PIEDRAS!E3</f>
        <v>650</v>
      </c>
      <c r="F176" s="662">
        <f>E176*D176*C176/B176</f>
        <v>325</v>
      </c>
      <c r="G176" s="658"/>
      <c r="N176" s="670" t="s">
        <v>525</v>
      </c>
      <c r="O176" s="671"/>
      <c r="P176" s="671"/>
      <c r="Q176" s="671"/>
      <c r="R176" s="672"/>
      <c r="S176" s="673">
        <f>SUM(S167:S175)</f>
        <v>11968.608254716981</v>
      </c>
      <c r="T176" s="698">
        <f>(S176+U177+U178)</f>
        <v>15246.608254716981</v>
      </c>
      <c r="U176" s="658" t="s">
        <v>2028</v>
      </c>
      <c r="V176" s="674" t="s">
        <v>2029</v>
      </c>
      <c r="W176"/>
    </row>
    <row r="177" spans="1:23" ht="16.5" thickBot="1" x14ac:dyDescent="0.25">
      <c r="A177" s="1737"/>
      <c r="B177" s="660">
        <v>0.4</v>
      </c>
      <c r="C177" s="660">
        <v>3.5000000000000003E-2</v>
      </c>
      <c r="D177" s="660">
        <v>4</v>
      </c>
      <c r="E177" s="661">
        <f>E176</f>
        <v>650</v>
      </c>
      <c r="F177" s="662">
        <f>E177*D177*C177/B177</f>
        <v>227.50000000000003</v>
      </c>
      <c r="G177" s="658"/>
      <c r="N177" s="675" t="s">
        <v>544</v>
      </c>
      <c r="O177" s="676"/>
      <c r="P177" s="676"/>
      <c r="Q177" s="676"/>
      <c r="R177" s="677"/>
      <c r="S177" s="678">
        <f>S176*2</f>
        <v>23937.216509433962</v>
      </c>
      <c r="T177" s="679">
        <f>S177+S177*70%</f>
        <v>40693.268066037737</v>
      </c>
      <c r="U177" s="680">
        <f>PACKAGING!I3</f>
        <v>2433</v>
      </c>
      <c r="V177" s="681">
        <f>T177+U177+U178</f>
        <v>43971.268066037737</v>
      </c>
      <c r="W177" s="956">
        <v>40000</v>
      </c>
    </row>
    <row r="178" spans="1:23" ht="16.5" thickBot="1" x14ac:dyDescent="0.3">
      <c r="A178" s="665" t="s">
        <v>1944</v>
      </c>
      <c r="B178" s="660"/>
      <c r="C178" s="660"/>
      <c r="D178" s="660">
        <v>2</v>
      </c>
      <c r="E178" s="661">
        <f>FORNITURAS!I4</f>
        <v>66.099999999999994</v>
      </c>
      <c r="F178" s="662">
        <f t="shared" ref="F178:F185" si="12">E178*D178</f>
        <v>132.19999999999999</v>
      </c>
      <c r="G178" s="658"/>
      <c r="N178" s="684" t="s">
        <v>1559</v>
      </c>
      <c r="O178" s="685"/>
      <c r="P178" s="685"/>
      <c r="Q178" s="685"/>
      <c r="R178" s="686"/>
      <c r="S178" s="687"/>
      <c r="T178" s="688"/>
      <c r="U178" s="680">
        <f>PACKAGING!I5</f>
        <v>845</v>
      </c>
      <c r="V178"/>
      <c r="W178" s="956"/>
    </row>
    <row r="179" spans="1:23" ht="16.5" customHeight="1" thickBot="1" x14ac:dyDescent="0.25">
      <c r="A179" s="768" t="s">
        <v>2010</v>
      </c>
      <c r="B179" s="660"/>
      <c r="C179" s="660"/>
      <c r="D179" s="660">
        <v>2</v>
      </c>
      <c r="E179" s="661">
        <f>FORNITURAS!D32</f>
        <v>422</v>
      </c>
      <c r="F179" s="662">
        <f t="shared" si="12"/>
        <v>844</v>
      </c>
      <c r="G179" s="658"/>
    </row>
    <row r="180" spans="1:23" ht="16.5" thickBot="1" x14ac:dyDescent="0.3">
      <c r="A180" s="663" t="s">
        <v>1608</v>
      </c>
      <c r="B180" s="660"/>
      <c r="C180" s="660"/>
      <c r="D180" s="660">
        <v>0.1</v>
      </c>
      <c r="E180" s="661">
        <f>'AROS, CADENAS, DIJES, ETC'!I38</f>
        <v>3630</v>
      </c>
      <c r="F180" s="662">
        <f t="shared" si="12"/>
        <v>363</v>
      </c>
      <c r="G180" s="658"/>
      <c r="N180" s="1565" t="s">
        <v>280</v>
      </c>
      <c r="O180" s="1566"/>
      <c r="P180" s="1566"/>
      <c r="Q180" s="1566"/>
      <c r="R180" s="1566"/>
      <c r="S180" s="1567"/>
      <c r="T180" s="171"/>
      <c r="U180" s="171"/>
    </row>
    <row r="181" spans="1:23" ht="15.75" x14ac:dyDescent="0.25">
      <c r="A181" s="659" t="s">
        <v>1424</v>
      </c>
      <c r="B181" s="660"/>
      <c r="C181" s="660"/>
      <c r="D181" s="660">
        <v>0.47</v>
      </c>
      <c r="E181" s="661">
        <f>'HILOS-CORDONES-TANZA-CUERO'!L9</f>
        <v>30</v>
      </c>
      <c r="F181" s="662">
        <f t="shared" si="12"/>
        <v>14.1</v>
      </c>
      <c r="G181" s="658"/>
      <c r="N181" s="183" t="s">
        <v>916</v>
      </c>
      <c r="O181" s="97" t="s">
        <v>743</v>
      </c>
      <c r="P181" s="97" t="s">
        <v>3260</v>
      </c>
      <c r="Q181" s="97" t="s">
        <v>1566</v>
      </c>
      <c r="R181" s="76" t="s">
        <v>1035</v>
      </c>
      <c r="S181" s="77" t="s">
        <v>1549</v>
      </c>
      <c r="T181" s="171"/>
      <c r="U181" s="171"/>
    </row>
    <row r="182" spans="1:23" ht="15.75" x14ac:dyDescent="0.25">
      <c r="A182" s="659" t="s">
        <v>1012</v>
      </c>
      <c r="B182" s="660"/>
      <c r="C182" s="660"/>
      <c r="D182" s="660">
        <v>2</v>
      </c>
      <c r="E182" s="661">
        <f>FORNITURAS!D17</f>
        <v>45.05</v>
      </c>
      <c r="F182" s="662">
        <f t="shared" si="12"/>
        <v>90.1</v>
      </c>
      <c r="G182" s="658"/>
      <c r="N182" s="1613" t="s">
        <v>1581</v>
      </c>
      <c r="O182" s="98" t="s">
        <v>2170</v>
      </c>
      <c r="P182" s="148"/>
      <c r="Q182" s="148">
        <v>13</v>
      </c>
      <c r="R182" s="120">
        <f>'PERLAS 2'!H18</f>
        <v>167.2</v>
      </c>
      <c r="S182" s="1154">
        <f>R182*Q182</f>
        <v>2173.6</v>
      </c>
      <c r="T182" s="1"/>
      <c r="U182" s="171"/>
    </row>
    <row r="183" spans="1:23" ht="15.75" x14ac:dyDescent="0.25">
      <c r="A183" s="659" t="s">
        <v>1587</v>
      </c>
      <c r="B183" s="660"/>
      <c r="C183" s="660"/>
      <c r="D183" s="660">
        <v>1</v>
      </c>
      <c r="E183" s="661">
        <f>FORNITURAS!D18</f>
        <v>363</v>
      </c>
      <c r="F183" s="662">
        <f t="shared" si="12"/>
        <v>363</v>
      </c>
      <c r="G183" s="658"/>
      <c r="N183" s="1615"/>
      <c r="O183" s="98" t="s">
        <v>1316</v>
      </c>
      <c r="P183" s="98"/>
      <c r="Q183" s="98">
        <v>10</v>
      </c>
      <c r="R183" s="102">
        <f>'PERLAS 2'!H34</f>
        <v>421.05263157894734</v>
      </c>
      <c r="S183" s="39">
        <f>R183*Q183</f>
        <v>4210.5263157894733</v>
      </c>
      <c r="T183" s="1"/>
      <c r="U183" s="171"/>
    </row>
    <row r="184" spans="1:23" ht="15.75" x14ac:dyDescent="0.25">
      <c r="A184" s="1741" t="s">
        <v>1572</v>
      </c>
      <c r="B184" s="660" t="s">
        <v>1556</v>
      </c>
      <c r="C184" s="660"/>
      <c r="D184" s="660">
        <v>2</v>
      </c>
      <c r="E184" s="661">
        <f>FORNITURAS!D4</f>
        <v>48.7</v>
      </c>
      <c r="F184" s="662">
        <f t="shared" si="12"/>
        <v>97.4</v>
      </c>
      <c r="G184" s="658"/>
      <c r="N184" s="3" t="s">
        <v>1585</v>
      </c>
      <c r="O184" s="98">
        <v>0.5</v>
      </c>
      <c r="P184" s="98">
        <v>0.17</v>
      </c>
      <c r="Q184" s="98">
        <v>1</v>
      </c>
      <c r="R184" s="102">
        <f>'PALAIS DU BIJOU'!N17</f>
        <v>1100</v>
      </c>
      <c r="S184" s="39">
        <f>P184*R184/O184</f>
        <v>374</v>
      </c>
      <c r="T184" s="171"/>
      <c r="U184" s="171"/>
    </row>
    <row r="185" spans="1:23" ht="15.75" x14ac:dyDescent="0.25">
      <c r="A185" s="1742"/>
      <c r="B185" s="660" t="s">
        <v>1573</v>
      </c>
      <c r="C185" s="660"/>
      <c r="D185" s="660">
        <v>1</v>
      </c>
      <c r="E185" s="661">
        <f>FORNITURAS!D7</f>
        <v>52</v>
      </c>
      <c r="F185" s="662">
        <f t="shared" si="12"/>
        <v>52</v>
      </c>
      <c r="G185" s="658"/>
      <c r="N185" s="1613" t="s">
        <v>1555</v>
      </c>
      <c r="O185" s="98" t="s">
        <v>1556</v>
      </c>
      <c r="P185" s="98"/>
      <c r="Q185" s="98">
        <v>2</v>
      </c>
      <c r="R185" s="102">
        <f>FORNITURAS!D4</f>
        <v>48.7</v>
      </c>
      <c r="S185" s="39">
        <f t="shared" ref="S185:S188" si="13">R185*Q185</f>
        <v>97.4</v>
      </c>
      <c r="T185" s="171"/>
      <c r="U185" s="171"/>
    </row>
    <row r="186" spans="1:23" ht="15.75" x14ac:dyDescent="0.25">
      <c r="A186" s="665" t="s">
        <v>1588</v>
      </c>
      <c r="B186" s="660"/>
      <c r="C186" s="660"/>
      <c r="D186" s="660"/>
      <c r="E186" s="769"/>
      <c r="F186" s="662">
        <f>PACKAGING!E4</f>
        <v>80</v>
      </c>
      <c r="G186" s="658"/>
      <c r="N186" s="1615"/>
      <c r="O186" s="98" t="s">
        <v>1573</v>
      </c>
      <c r="P186" s="98"/>
      <c r="Q186" s="98">
        <v>1</v>
      </c>
      <c r="R186" s="102">
        <f>FORNITURAS!D7</f>
        <v>52</v>
      </c>
      <c r="S186" s="39">
        <f t="shared" si="13"/>
        <v>52</v>
      </c>
      <c r="T186" s="1"/>
      <c r="U186" s="171"/>
    </row>
    <row r="187" spans="1:23" ht="15.75" x14ac:dyDescent="0.25">
      <c r="A187" s="666" t="s">
        <v>1537</v>
      </c>
      <c r="B187" s="660"/>
      <c r="C187" s="660"/>
      <c r="D187" s="660"/>
      <c r="E187" s="769"/>
      <c r="F187" s="662">
        <f>PACKAGING!E7</f>
        <v>170</v>
      </c>
      <c r="G187" s="658"/>
      <c r="N187" s="184" t="s">
        <v>1587</v>
      </c>
      <c r="O187" s="98"/>
      <c r="P187" s="98"/>
      <c r="Q187" s="98">
        <v>1</v>
      </c>
      <c r="R187" s="102">
        <f>FORNITURAS!D18</f>
        <v>363</v>
      </c>
      <c r="S187" s="39">
        <f t="shared" si="13"/>
        <v>363</v>
      </c>
      <c r="T187" s="1"/>
      <c r="U187" s="171"/>
    </row>
    <row r="188" spans="1:23" ht="15.75" x14ac:dyDescent="0.25">
      <c r="A188" s="666" t="s">
        <v>1670</v>
      </c>
      <c r="B188" s="660"/>
      <c r="C188" s="660"/>
      <c r="D188" s="660"/>
      <c r="E188" s="769"/>
      <c r="F188" s="662">
        <f>PACKAGING!E8</f>
        <v>420</v>
      </c>
      <c r="G188" s="658"/>
      <c r="N188" s="184" t="s">
        <v>1012</v>
      </c>
      <c r="O188" s="98"/>
      <c r="P188" s="98"/>
      <c r="Q188" s="98">
        <v>12</v>
      </c>
      <c r="R188" s="102">
        <f>FORNITURAS!D16</f>
        <v>45.05</v>
      </c>
      <c r="S188" s="39">
        <f t="shared" si="13"/>
        <v>540.59999999999991</v>
      </c>
      <c r="T188" s="1"/>
      <c r="U188" s="171"/>
    </row>
    <row r="189" spans="1:23" ht="15.75" x14ac:dyDescent="0.25">
      <c r="A189" s="665" t="s">
        <v>1590</v>
      </c>
      <c r="B189" s="660" t="s">
        <v>1590</v>
      </c>
      <c r="C189" s="660">
        <v>60</v>
      </c>
      <c r="D189" s="660">
        <v>10</v>
      </c>
      <c r="E189" s="661">
        <f>'INSUMOS VARIOS'!B3</f>
        <v>3500</v>
      </c>
      <c r="F189" s="662">
        <f>E189*D189/C189</f>
        <v>583.33333333333337</v>
      </c>
      <c r="G189" s="658"/>
      <c r="N189" s="184" t="s">
        <v>3256</v>
      </c>
      <c r="O189" s="98"/>
      <c r="P189" s="98">
        <v>0.47</v>
      </c>
      <c r="Q189" s="98"/>
      <c r="R189" s="102">
        <f>'HILOS-CORDONES-TANZA-CUERO'!L3</f>
        <v>6.8</v>
      </c>
      <c r="S189" s="39">
        <f>R189*P189</f>
        <v>3.1959999999999997</v>
      </c>
      <c r="T189" s="1"/>
      <c r="U189" s="171"/>
    </row>
    <row r="190" spans="1:23" ht="15.75" x14ac:dyDescent="0.25">
      <c r="A190" s="665" t="s">
        <v>908</v>
      </c>
      <c r="B190" s="660" t="s">
        <v>908</v>
      </c>
      <c r="C190" s="660">
        <v>60</v>
      </c>
      <c r="D190" s="660">
        <v>5</v>
      </c>
      <c r="E190" s="661">
        <f>E189</f>
        <v>3500</v>
      </c>
      <c r="F190" s="662">
        <f>E190*D190/C190</f>
        <v>291.66666666666669</v>
      </c>
      <c r="G190" s="658"/>
      <c r="N190" s="184" t="s">
        <v>1608</v>
      </c>
      <c r="O190" s="98"/>
      <c r="P190" s="98">
        <v>0.1</v>
      </c>
      <c r="Q190" s="98">
        <v>1</v>
      </c>
      <c r="R190" s="102">
        <f>'AROS, CADENAS, DIJES, ETC'!I38</f>
        <v>3630</v>
      </c>
      <c r="S190" s="39">
        <f>R190*P190*Q190</f>
        <v>363</v>
      </c>
      <c r="T190" s="1"/>
      <c r="U190" s="171"/>
    </row>
    <row r="191" spans="1:23" ht="16.5" thickBot="1" x14ac:dyDescent="0.3">
      <c r="A191" s="670" t="s">
        <v>525</v>
      </c>
      <c r="B191" s="671"/>
      <c r="C191" s="671"/>
      <c r="D191" s="671"/>
      <c r="E191" s="672"/>
      <c r="F191" s="673">
        <f>SUM(F176:F190)</f>
        <v>4053.2999999999997</v>
      </c>
      <c r="G191" s="658"/>
      <c r="N191" s="3" t="s">
        <v>1557</v>
      </c>
      <c r="O191" s="98"/>
      <c r="P191" s="98"/>
      <c r="Q191" s="98"/>
      <c r="R191" s="2"/>
      <c r="S191" s="39">
        <f>PACKAGING!E4</f>
        <v>80</v>
      </c>
      <c r="T191" s="1"/>
      <c r="U191" s="171"/>
    </row>
    <row r="192" spans="1:23" ht="16.5" thickBot="1" x14ac:dyDescent="0.3">
      <c r="A192" s="704" t="s">
        <v>1559</v>
      </c>
      <c r="B192" s="705"/>
      <c r="C192" s="705"/>
      <c r="D192" s="705"/>
      <c r="E192" s="706"/>
      <c r="F192" s="788">
        <f>F191*2</f>
        <v>8106.5999999999995</v>
      </c>
      <c r="G192" s="785">
        <f>F192+F192*70%</f>
        <v>13781.219999999998</v>
      </c>
      <c r="H192" s="785">
        <v>8800</v>
      </c>
      <c r="N192" s="104" t="s">
        <v>1634</v>
      </c>
      <c r="O192" s="98"/>
      <c r="P192" s="98"/>
      <c r="Q192" s="98"/>
      <c r="R192" s="2"/>
      <c r="S192" s="39">
        <f>PACKAGING!E7</f>
        <v>170</v>
      </c>
      <c r="T192" s="1"/>
      <c r="U192" s="171"/>
    </row>
    <row r="193" spans="1:23" ht="16.5" thickBot="1" x14ac:dyDescent="0.3">
      <c r="N193" s="104" t="s">
        <v>1538</v>
      </c>
      <c r="O193" s="98"/>
      <c r="P193" s="98"/>
      <c r="Q193" s="98"/>
      <c r="R193" s="2"/>
      <c r="S193" s="39">
        <f>PACKAGING!E9</f>
        <v>450</v>
      </c>
      <c r="T193" s="1"/>
      <c r="U193" s="171"/>
    </row>
    <row r="194" spans="1:23" ht="16.5" thickBot="1" x14ac:dyDescent="0.25">
      <c r="A194" s="1738" t="s">
        <v>166</v>
      </c>
      <c r="B194" s="1739"/>
      <c r="C194" s="1739"/>
      <c r="D194" s="1739"/>
      <c r="E194" s="1740"/>
      <c r="N194" s="104" t="s">
        <v>1558</v>
      </c>
      <c r="O194" s="98"/>
      <c r="P194" s="98">
        <v>60</v>
      </c>
      <c r="Q194" s="98">
        <v>20</v>
      </c>
      <c r="R194" s="102">
        <f>'INSUMOS VARIOS'!B3</f>
        <v>3500</v>
      </c>
      <c r="S194" s="39">
        <f>R194*Q194/P194</f>
        <v>1166.6666666666667</v>
      </c>
      <c r="T194" s="1" t="s">
        <v>3023</v>
      </c>
    </row>
    <row r="195" spans="1:23" ht="16.5" thickBot="1" x14ac:dyDescent="0.3">
      <c r="A195" s="654" t="s">
        <v>916</v>
      </c>
      <c r="B195" s="655" t="s">
        <v>743</v>
      </c>
      <c r="C195" s="655" t="s">
        <v>1566</v>
      </c>
      <c r="D195" s="656" t="s">
        <v>1035</v>
      </c>
      <c r="E195" s="657" t="s">
        <v>1549</v>
      </c>
      <c r="F195" s="658"/>
      <c r="N195" s="79" t="s">
        <v>525</v>
      </c>
      <c r="O195" s="99"/>
      <c r="P195" s="99"/>
      <c r="Q195" s="99"/>
      <c r="R195" s="70"/>
      <c r="S195" s="51">
        <f>SUM(S182:S194)</f>
        <v>10043.98898245614</v>
      </c>
      <c r="T195" s="698">
        <f>(S195+U196+U197)</f>
        <v>13321.98898245614</v>
      </c>
      <c r="U195" s="658" t="s">
        <v>2028</v>
      </c>
      <c r="V195" s="674" t="s">
        <v>2029</v>
      </c>
      <c r="W195"/>
    </row>
    <row r="196" spans="1:23" ht="16.5" thickBot="1" x14ac:dyDescent="0.25">
      <c r="A196" s="659" t="s">
        <v>2016</v>
      </c>
      <c r="B196" s="660">
        <v>0.38</v>
      </c>
      <c r="C196" s="660">
        <v>0.35</v>
      </c>
      <c r="D196" s="661">
        <f>PIEDRAS!E16</f>
        <v>5930</v>
      </c>
      <c r="E196" s="662">
        <f>D196*C196/B196</f>
        <v>5461.8421052631575</v>
      </c>
      <c r="F196" s="658"/>
      <c r="N196" s="80" t="s">
        <v>544</v>
      </c>
      <c r="O196" s="100"/>
      <c r="P196" s="100"/>
      <c r="Q196" s="100"/>
      <c r="R196" s="71"/>
      <c r="S196" s="221">
        <f>S195*2</f>
        <v>20087.977964912279</v>
      </c>
      <c r="T196" s="512">
        <f>S196+S196*70%</f>
        <v>34149.562540350875</v>
      </c>
      <c r="U196" s="680">
        <f>PACKAGING!I3</f>
        <v>2433</v>
      </c>
      <c r="V196" s="681">
        <f>T196+U196+U197</f>
        <v>37427.562540350875</v>
      </c>
      <c r="W196" s="956">
        <v>28000</v>
      </c>
    </row>
    <row r="197" spans="1:23" ht="16.5" thickBot="1" x14ac:dyDescent="0.3">
      <c r="A197" s="1736" t="s">
        <v>1572</v>
      </c>
      <c r="B197" s="660" t="s">
        <v>1556</v>
      </c>
      <c r="C197" s="660">
        <v>2</v>
      </c>
      <c r="D197" s="661">
        <f>FORNITURAS!D4</f>
        <v>48.7</v>
      </c>
      <c r="E197" s="662">
        <f t="shared" ref="E197:E202" si="14">C197*D197</f>
        <v>97.4</v>
      </c>
      <c r="F197" s="658"/>
      <c r="N197" s="211" t="s">
        <v>1559</v>
      </c>
      <c r="O197" s="214"/>
      <c r="P197" s="214"/>
      <c r="Q197" s="214"/>
      <c r="R197" s="212"/>
      <c r="S197" s="372"/>
      <c r="T197" s="522"/>
      <c r="U197" s="680">
        <f>PACKAGING!I5</f>
        <v>845</v>
      </c>
      <c r="V197"/>
      <c r="W197" s="956"/>
    </row>
    <row r="198" spans="1:23" ht="15.75" x14ac:dyDescent="0.25">
      <c r="A198" s="1737"/>
      <c r="B198" s="660" t="s">
        <v>1573</v>
      </c>
      <c r="C198" s="660">
        <v>1</v>
      </c>
      <c r="D198" s="661">
        <f>FORNITURAS!D7</f>
        <v>52</v>
      </c>
      <c r="E198" s="662">
        <f t="shared" si="14"/>
        <v>52</v>
      </c>
      <c r="F198" s="658"/>
      <c r="T198"/>
      <c r="U198" s="1"/>
    </row>
    <row r="199" spans="1:23" ht="15.75" thickBot="1" x14ac:dyDescent="0.25">
      <c r="A199" s="665" t="s">
        <v>1554</v>
      </c>
      <c r="B199" s="660" t="s">
        <v>777</v>
      </c>
      <c r="C199" s="660">
        <v>2</v>
      </c>
      <c r="D199" s="661">
        <f>FORNITURAS!D26</f>
        <v>297.14285714285717</v>
      </c>
      <c r="E199" s="662">
        <f t="shared" si="14"/>
        <v>594.28571428571433</v>
      </c>
      <c r="F199" s="658"/>
      <c r="W199" s="658"/>
    </row>
    <row r="200" spans="1:23" ht="15.75" x14ac:dyDescent="0.25">
      <c r="A200" s="666" t="s">
        <v>1012</v>
      </c>
      <c r="B200" s="660"/>
      <c r="C200" s="660">
        <v>2</v>
      </c>
      <c r="D200" s="661">
        <f>FORNITURAS!D17</f>
        <v>45.05</v>
      </c>
      <c r="E200" s="662">
        <f t="shared" si="14"/>
        <v>90.1</v>
      </c>
      <c r="F200" s="658"/>
      <c r="N200" s="1746" t="s">
        <v>3298</v>
      </c>
      <c r="O200" s="1747"/>
      <c r="P200" s="1747"/>
      <c r="Q200" s="1747"/>
      <c r="R200" s="1747"/>
      <c r="S200" s="1748"/>
      <c r="V200" s="652"/>
      <c r="W200"/>
    </row>
    <row r="201" spans="1:23" ht="15.75" x14ac:dyDescent="0.25">
      <c r="A201" s="666" t="s">
        <v>1608</v>
      </c>
      <c r="B201" s="660"/>
      <c r="C201" s="660">
        <v>0.1</v>
      </c>
      <c r="D201" s="661">
        <f>'AROS, CADENAS, DIJES, ETC'!I38</f>
        <v>3630</v>
      </c>
      <c r="E201" s="662">
        <f t="shared" si="14"/>
        <v>363</v>
      </c>
      <c r="F201" s="658"/>
      <c r="N201" s="654" t="s">
        <v>916</v>
      </c>
      <c r="O201" s="655" t="s">
        <v>743</v>
      </c>
      <c r="P201" s="655" t="s">
        <v>1089</v>
      </c>
      <c r="Q201" s="655" t="s">
        <v>1566</v>
      </c>
      <c r="R201" s="656" t="s">
        <v>1035</v>
      </c>
      <c r="S201" s="657" t="s">
        <v>1549</v>
      </c>
      <c r="T201" s="658"/>
      <c r="V201" s="652"/>
      <c r="W201"/>
    </row>
    <row r="202" spans="1:23" ht="15.75" x14ac:dyDescent="0.25">
      <c r="A202" s="666" t="s">
        <v>1587</v>
      </c>
      <c r="B202" s="660"/>
      <c r="C202" s="660">
        <v>1</v>
      </c>
      <c r="D202" s="661">
        <f>FORNITURAS!D18</f>
        <v>363</v>
      </c>
      <c r="E202" s="662">
        <f t="shared" si="14"/>
        <v>363</v>
      </c>
      <c r="F202" s="658"/>
      <c r="M202" s="1131"/>
      <c r="N202" s="1155" t="s">
        <v>3269</v>
      </c>
      <c r="O202" s="660" t="s">
        <v>3581</v>
      </c>
      <c r="P202" s="660"/>
      <c r="Q202" s="660">
        <v>82</v>
      </c>
      <c r="R202" s="661">
        <f>'PERLAS 2'!H27</f>
        <v>377.3</v>
      </c>
      <c r="S202" s="662">
        <f t="shared" ref="S202:S208" si="15">R202*Q202</f>
        <v>30938.600000000002</v>
      </c>
      <c r="T202" s="658"/>
      <c r="V202" s="652"/>
      <c r="W202"/>
    </row>
    <row r="203" spans="1:23" ht="15.75" x14ac:dyDescent="0.25">
      <c r="A203" s="666" t="s">
        <v>1557</v>
      </c>
      <c r="B203" s="660"/>
      <c r="C203" s="660"/>
      <c r="D203" s="661"/>
      <c r="E203" s="667">
        <f>PACKAGING!E4</f>
        <v>80</v>
      </c>
      <c r="G203" s="658"/>
      <c r="M203" s="1131"/>
      <c r="N203" s="1155" t="s">
        <v>1872</v>
      </c>
      <c r="O203" s="660"/>
      <c r="P203" s="660"/>
      <c r="Q203" s="660">
        <v>0.37</v>
      </c>
      <c r="R203" s="661">
        <f>'HILOS-CORDONES-TANZA-CUERO'!L3</f>
        <v>6.8</v>
      </c>
      <c r="S203" s="662">
        <f t="shared" si="15"/>
        <v>2.516</v>
      </c>
      <c r="T203" s="658"/>
      <c r="V203" s="652"/>
      <c r="W203"/>
    </row>
    <row r="204" spans="1:23" ht="15.75" x14ac:dyDescent="0.25">
      <c r="A204" s="666" t="s">
        <v>1634</v>
      </c>
      <c r="B204" s="660"/>
      <c r="C204" s="660"/>
      <c r="D204" s="661"/>
      <c r="E204" s="667">
        <f>PACKAGING!E7</f>
        <v>170</v>
      </c>
      <c r="G204" s="658"/>
      <c r="M204" s="1131"/>
      <c r="N204" s="1155" t="s">
        <v>1012</v>
      </c>
      <c r="O204" s="660"/>
      <c r="P204" s="660"/>
      <c r="Q204" s="660">
        <v>2</v>
      </c>
      <c r="R204" s="661">
        <f>FORNITURAS!D16</f>
        <v>45.05</v>
      </c>
      <c r="S204" s="662">
        <f t="shared" si="15"/>
        <v>90.1</v>
      </c>
      <c r="T204" s="658"/>
      <c r="V204" s="652"/>
      <c r="W204"/>
    </row>
    <row r="205" spans="1:23" ht="15.75" x14ac:dyDescent="0.25">
      <c r="A205" s="666" t="s">
        <v>1670</v>
      </c>
      <c r="B205" s="660"/>
      <c r="C205" s="660"/>
      <c r="D205" s="661"/>
      <c r="E205" s="667">
        <f>PACKAGING!E8</f>
        <v>420</v>
      </c>
      <c r="G205" s="658"/>
      <c r="M205" s="1131"/>
      <c r="N205" s="1155" t="s">
        <v>1608</v>
      </c>
      <c r="O205" s="660"/>
      <c r="P205" s="660"/>
      <c r="Q205" s="660">
        <v>0.1</v>
      </c>
      <c r="R205" s="661">
        <f>'AROS, CADENAS, DIJES, ETC'!I38</f>
        <v>3630</v>
      </c>
      <c r="S205" s="662">
        <f>R205*Q205</f>
        <v>363</v>
      </c>
      <c r="T205" s="658"/>
      <c r="V205" s="652"/>
      <c r="W205"/>
    </row>
    <row r="206" spans="1:23" ht="15.75" x14ac:dyDescent="0.25">
      <c r="A206" s="683" t="s">
        <v>1618</v>
      </c>
      <c r="B206" s="660">
        <v>60</v>
      </c>
      <c r="C206" s="660">
        <v>15</v>
      </c>
      <c r="D206" s="668">
        <f>'INSUMOS VARIOS'!B3</f>
        <v>3500</v>
      </c>
      <c r="E206" s="669">
        <f>D206*C206/B206</f>
        <v>875</v>
      </c>
      <c r="G206" s="658"/>
      <c r="M206" s="1131"/>
      <c r="N206" s="660" t="s">
        <v>1554</v>
      </c>
      <c r="O206" s="660"/>
      <c r="P206" s="660"/>
      <c r="Q206" s="660">
        <v>11</v>
      </c>
      <c r="R206" s="661">
        <f>FORNITURAS!D26</f>
        <v>297.14285714285717</v>
      </c>
      <c r="S206" s="664">
        <f t="shared" si="15"/>
        <v>3268.5714285714289</v>
      </c>
      <c r="T206" s="658"/>
      <c r="V206" s="652"/>
      <c r="W206"/>
    </row>
    <row r="207" spans="1:23" ht="16.5" thickBot="1" x14ac:dyDescent="0.3">
      <c r="A207" s="670" t="s">
        <v>525</v>
      </c>
      <c r="B207" s="671"/>
      <c r="C207" s="671"/>
      <c r="D207" s="672"/>
      <c r="E207" s="673">
        <f>SUM(E196:E206)</f>
        <v>8566.6278195488721</v>
      </c>
      <c r="F207" s="658"/>
      <c r="M207" s="1131"/>
      <c r="N207" s="1757" t="s">
        <v>3109</v>
      </c>
      <c r="O207" s="660" t="s">
        <v>1556</v>
      </c>
      <c r="P207" s="660"/>
      <c r="Q207" s="660">
        <v>2</v>
      </c>
      <c r="R207" s="661">
        <f>FORNITURAS!D4</f>
        <v>48.7</v>
      </c>
      <c r="S207" s="662">
        <f t="shared" si="15"/>
        <v>97.4</v>
      </c>
      <c r="T207" s="658"/>
      <c r="V207" s="652"/>
      <c r="W207"/>
    </row>
    <row r="208" spans="1:23" ht="16.5" thickBot="1" x14ac:dyDescent="0.3">
      <c r="A208" s="675" t="s">
        <v>544</v>
      </c>
      <c r="B208" s="676"/>
      <c r="C208" s="676"/>
      <c r="D208" s="677"/>
      <c r="E208" s="692">
        <f>E207*2</f>
        <v>17133.255639097744</v>
      </c>
      <c r="F208" s="693">
        <f>E208+E208*70%</f>
        <v>29126.534586466165</v>
      </c>
      <c r="G208" s="770">
        <v>18000</v>
      </c>
      <c r="M208" s="1131"/>
      <c r="N208" s="1757"/>
      <c r="O208" s="660" t="s">
        <v>1573</v>
      </c>
      <c r="P208" s="660"/>
      <c r="Q208" s="660">
        <v>1</v>
      </c>
      <c r="R208" s="661">
        <f>FORNITURAS!D7</f>
        <v>52</v>
      </c>
      <c r="S208" s="662">
        <f t="shared" si="15"/>
        <v>52</v>
      </c>
      <c r="T208" s="658"/>
      <c r="V208" s="652"/>
      <c r="W208"/>
    </row>
    <row r="209" spans="1:23" ht="16.5" thickBot="1" x14ac:dyDescent="0.3">
      <c r="A209" s="684" t="s">
        <v>1559</v>
      </c>
      <c r="B209" s="685"/>
      <c r="C209" s="685"/>
      <c r="D209" s="686"/>
      <c r="E209" s="686"/>
      <c r="F209" s="694"/>
      <c r="G209" s="770">
        <v>18000</v>
      </c>
      <c r="M209" s="1131"/>
      <c r="N209" s="660" t="s">
        <v>1537</v>
      </c>
      <c r="O209" s="660"/>
      <c r="P209" s="660"/>
      <c r="Q209" s="660"/>
      <c r="R209" s="661"/>
      <c r="S209" s="662">
        <f>PACKAGING!E7</f>
        <v>170</v>
      </c>
      <c r="T209" s="658"/>
      <c r="V209" s="652"/>
      <c r="W209"/>
    </row>
    <row r="210" spans="1:23" ht="15.75" thickBot="1" x14ac:dyDescent="0.25">
      <c r="A210" s="658"/>
      <c r="B210" s="658"/>
      <c r="C210" s="658"/>
      <c r="D210" s="658"/>
      <c r="E210" s="658"/>
      <c r="F210" s="658"/>
      <c r="G210" s="658"/>
      <c r="M210" s="1131"/>
      <c r="N210" s="820" t="s">
        <v>1557</v>
      </c>
      <c r="O210" s="660"/>
      <c r="P210" s="660"/>
      <c r="Q210" s="660"/>
      <c r="R210" s="661"/>
      <c r="S210" s="662">
        <f>PACKAGING!E4</f>
        <v>80</v>
      </c>
    </row>
    <row r="211" spans="1:23" ht="16.5" thickBot="1" x14ac:dyDescent="0.3">
      <c r="A211" s="1738" t="s">
        <v>2298</v>
      </c>
      <c r="B211" s="1739"/>
      <c r="C211" s="1739"/>
      <c r="D211" s="1739"/>
      <c r="E211" s="1740"/>
      <c r="N211" s="663" t="s">
        <v>1618</v>
      </c>
      <c r="O211" s="660"/>
      <c r="P211" s="660">
        <v>60</v>
      </c>
      <c r="Q211" s="660">
        <v>20</v>
      </c>
      <c r="R211" s="668">
        <f>'INSUMOS VARIOS'!B3</f>
        <v>3500</v>
      </c>
      <c r="S211" s="669">
        <f>R211*Q211/P211</f>
        <v>1166.6666666666667</v>
      </c>
      <c r="T211" s="1" t="s">
        <v>3023</v>
      </c>
      <c r="V211" s="652"/>
      <c r="W211"/>
    </row>
    <row r="212" spans="1:23" ht="16.5" thickBot="1" x14ac:dyDescent="0.3">
      <c r="A212" s="654" t="s">
        <v>916</v>
      </c>
      <c r="B212" s="655" t="s">
        <v>743</v>
      </c>
      <c r="C212" s="655" t="s">
        <v>1566</v>
      </c>
      <c r="D212" s="656" t="s">
        <v>1035</v>
      </c>
      <c r="E212" s="657" t="s">
        <v>1549</v>
      </c>
      <c r="F212" s="658"/>
      <c r="N212" s="670" t="s">
        <v>525</v>
      </c>
      <c r="O212" s="671"/>
      <c r="P212" s="671"/>
      <c r="Q212" s="671"/>
      <c r="R212" s="672"/>
      <c r="S212" s="673">
        <f>SUM(S202:S211)</f>
        <v>36228.854095238094</v>
      </c>
      <c r="T212" s="698">
        <f>(S212+U213+U214)</f>
        <v>39506.854095238094</v>
      </c>
      <c r="U212" s="658" t="s">
        <v>2028</v>
      </c>
      <c r="V212" s="674" t="s">
        <v>2029</v>
      </c>
      <c r="W212"/>
    </row>
    <row r="213" spans="1:23" ht="16.5" thickBot="1" x14ac:dyDescent="0.25">
      <c r="A213" s="659" t="s">
        <v>2016</v>
      </c>
      <c r="B213" s="660">
        <v>0.4</v>
      </c>
      <c r="C213" s="660">
        <v>0.35</v>
      </c>
      <c r="D213" s="661">
        <f>PIEDRAS!E115</f>
        <v>1200</v>
      </c>
      <c r="E213" s="662">
        <f>D213*C213/B213</f>
        <v>1050</v>
      </c>
      <c r="F213" s="658"/>
      <c r="N213" s="675" t="s">
        <v>544</v>
      </c>
      <c r="O213" s="676"/>
      <c r="P213" s="676"/>
      <c r="Q213" s="676"/>
      <c r="R213" s="677"/>
      <c r="S213" s="678">
        <f>S212*2</f>
        <v>72457.708190476187</v>
      </c>
      <c r="T213" s="679">
        <f>S213+S213*50%</f>
        <v>108686.56228571429</v>
      </c>
      <c r="U213" s="680">
        <f>PACKAGING!I3</f>
        <v>2433</v>
      </c>
      <c r="V213" s="681">
        <f>T213+U213+U214</f>
        <v>111964.56228571429</v>
      </c>
      <c r="W213" s="1099">
        <v>70000</v>
      </c>
    </row>
    <row r="214" spans="1:23" ht="16.5" thickBot="1" x14ac:dyDescent="0.3">
      <c r="A214" s="1736" t="s">
        <v>1572</v>
      </c>
      <c r="B214" s="660" t="s">
        <v>1556</v>
      </c>
      <c r="C214" s="660">
        <v>2</v>
      </c>
      <c r="D214" s="661">
        <f>FORNITURAS!D4</f>
        <v>48.7</v>
      </c>
      <c r="E214" s="662">
        <f>C214*D214</f>
        <v>97.4</v>
      </c>
      <c r="F214" s="658"/>
      <c r="N214" s="684" t="s">
        <v>1559</v>
      </c>
      <c r="O214" s="685"/>
      <c r="P214" s="685"/>
      <c r="Q214" s="685"/>
      <c r="R214" s="686"/>
      <c r="S214" s="687"/>
      <c r="T214" s="688"/>
      <c r="U214" s="680">
        <f>PACKAGING!I5</f>
        <v>845</v>
      </c>
      <c r="V214"/>
      <c r="W214" s="956"/>
    </row>
    <row r="215" spans="1:23" ht="15.75" thickBot="1" x14ac:dyDescent="0.25">
      <c r="A215" s="1737"/>
      <c r="B215" s="660" t="s">
        <v>1573</v>
      </c>
      <c r="C215" s="660">
        <v>1</v>
      </c>
      <c r="D215" s="661">
        <f>FORNITURAS!D7</f>
        <v>52</v>
      </c>
      <c r="E215" s="662">
        <f>C215*D215</f>
        <v>52</v>
      </c>
      <c r="F215" s="658"/>
    </row>
    <row r="216" spans="1:23" ht="15.75" x14ac:dyDescent="0.25">
      <c r="A216" s="665" t="s">
        <v>1605</v>
      </c>
      <c r="B216" s="660" t="s">
        <v>846</v>
      </c>
      <c r="C216" s="660">
        <v>2</v>
      </c>
      <c r="D216" s="661">
        <f>FORNITURAS!I6</f>
        <v>155.52941176470588</v>
      </c>
      <c r="E216" s="662">
        <f>C216*D216</f>
        <v>311.05882352941177</v>
      </c>
      <c r="F216" s="658"/>
      <c r="N216" s="1746" t="s">
        <v>3297</v>
      </c>
      <c r="O216" s="1747"/>
      <c r="P216" s="1747"/>
      <c r="Q216" s="1747"/>
      <c r="R216" s="1747"/>
      <c r="S216" s="1748"/>
      <c r="V216" s="652"/>
      <c r="W216"/>
    </row>
    <row r="217" spans="1:23" ht="15.75" x14ac:dyDescent="0.25">
      <c r="A217" s="666" t="s">
        <v>1012</v>
      </c>
      <c r="B217" s="660"/>
      <c r="C217" s="660">
        <v>2</v>
      </c>
      <c r="D217" s="661">
        <f>FORNITURAS!D17</f>
        <v>45.05</v>
      </c>
      <c r="E217" s="662">
        <f>C217*D217</f>
        <v>90.1</v>
      </c>
      <c r="F217" s="658"/>
      <c r="N217" s="654" t="s">
        <v>916</v>
      </c>
      <c r="O217" s="655" t="s">
        <v>743</v>
      </c>
      <c r="P217" s="655" t="s">
        <v>1089</v>
      </c>
      <c r="Q217" s="655" t="s">
        <v>1566</v>
      </c>
      <c r="R217" s="656" t="s">
        <v>1035</v>
      </c>
      <c r="S217" s="657" t="s">
        <v>1549</v>
      </c>
      <c r="T217" s="658"/>
      <c r="V217" s="652"/>
      <c r="W217"/>
    </row>
    <row r="218" spans="1:23" ht="15.75" x14ac:dyDescent="0.25">
      <c r="A218" s="666" t="s">
        <v>1608</v>
      </c>
      <c r="B218" s="660">
        <v>0.5</v>
      </c>
      <c r="C218" s="660">
        <v>0.1</v>
      </c>
      <c r="D218" s="661">
        <f>'AROS, CADENAS, DIJES, ETC'!I56</f>
        <v>2614</v>
      </c>
      <c r="E218" s="662">
        <f>C218*D218/B218</f>
        <v>522.80000000000007</v>
      </c>
      <c r="F218" s="658"/>
      <c r="M218" s="1131"/>
      <c r="N218" s="1155" t="s">
        <v>3099</v>
      </c>
      <c r="O218" s="660"/>
      <c r="P218" s="660"/>
      <c r="Q218" s="660">
        <v>72</v>
      </c>
      <c r="R218" s="661">
        <f>PERLAS!F5</f>
        <v>108.25</v>
      </c>
      <c r="S218" s="662">
        <f t="shared" ref="S218:S220" si="16">R218*Q218</f>
        <v>7794</v>
      </c>
      <c r="T218" s="658"/>
      <c r="V218" s="652"/>
      <c r="W218"/>
    </row>
    <row r="219" spans="1:23" ht="15.75" x14ac:dyDescent="0.25">
      <c r="A219" s="666" t="s">
        <v>2017</v>
      </c>
      <c r="B219" s="660"/>
      <c r="C219" s="660">
        <v>1</v>
      </c>
      <c r="D219" s="661">
        <f>FORNITURAS!D21</f>
        <v>1500</v>
      </c>
      <c r="E219" s="662">
        <f>C219*D219</f>
        <v>1500</v>
      </c>
      <c r="F219" s="658"/>
      <c r="M219" s="1131"/>
      <c r="N219" s="1155" t="s">
        <v>1872</v>
      </c>
      <c r="O219" s="660"/>
      <c r="P219" s="660"/>
      <c r="Q219" s="660">
        <v>0.37</v>
      </c>
      <c r="R219" s="661">
        <f>'HILOS-CORDONES-TANZA-CUERO'!L9</f>
        <v>30</v>
      </c>
      <c r="S219" s="662">
        <f t="shared" si="16"/>
        <v>11.1</v>
      </c>
      <c r="T219" s="658"/>
      <c r="V219" s="652"/>
      <c r="W219"/>
    </row>
    <row r="220" spans="1:23" ht="15.75" x14ac:dyDescent="0.25">
      <c r="A220" s="666" t="s">
        <v>1557</v>
      </c>
      <c r="B220" s="660"/>
      <c r="C220" s="660"/>
      <c r="D220" s="661"/>
      <c r="E220" s="667">
        <f>PACKAGING!E4</f>
        <v>80</v>
      </c>
      <c r="G220" s="658"/>
      <c r="M220" s="1131"/>
      <c r="N220" s="1155" t="s">
        <v>1012</v>
      </c>
      <c r="O220" s="660"/>
      <c r="P220" s="660"/>
      <c r="Q220" s="660">
        <v>2</v>
      </c>
      <c r="R220" s="661">
        <f>FORNITURAS!D17</f>
        <v>45.05</v>
      </c>
      <c r="S220" s="662">
        <f t="shared" si="16"/>
        <v>90.1</v>
      </c>
      <c r="T220" s="658"/>
      <c r="V220" s="652"/>
      <c r="W220"/>
    </row>
    <row r="221" spans="1:23" ht="15.75" x14ac:dyDescent="0.25">
      <c r="A221" s="666" t="s">
        <v>1634</v>
      </c>
      <c r="B221" s="660"/>
      <c r="C221" s="660"/>
      <c r="D221" s="661"/>
      <c r="E221" s="667">
        <f>PACKAGING!E7</f>
        <v>170</v>
      </c>
      <c r="G221" s="658"/>
      <c r="M221" s="1131"/>
      <c r="N221" s="1155" t="s">
        <v>1608</v>
      </c>
      <c r="O221" s="660"/>
      <c r="P221" s="660"/>
      <c r="Q221" s="660">
        <v>0.1</v>
      </c>
      <c r="R221" s="661">
        <f>'AROS, CADENAS, DIJES, ETC'!I38</f>
        <v>3630</v>
      </c>
      <c r="S221" s="662">
        <f>R221*Q221</f>
        <v>363</v>
      </c>
      <c r="T221" s="658"/>
      <c r="V221" s="652"/>
      <c r="W221"/>
    </row>
    <row r="222" spans="1:23" ht="15.75" x14ac:dyDescent="0.25">
      <c r="A222" s="666" t="s">
        <v>1670</v>
      </c>
      <c r="B222" s="660"/>
      <c r="C222" s="660"/>
      <c r="D222" s="661"/>
      <c r="E222" s="667">
        <f>PACKAGING!E9</f>
        <v>450</v>
      </c>
      <c r="G222" s="658"/>
      <c r="M222" s="1131"/>
      <c r="N222" s="660" t="s">
        <v>1554</v>
      </c>
      <c r="O222" s="660"/>
      <c r="P222" s="660"/>
      <c r="Q222" s="660">
        <v>16</v>
      </c>
      <c r="R222" s="661">
        <f>FORNITURAS!D26</f>
        <v>297.14285714285717</v>
      </c>
      <c r="S222" s="664">
        <f t="shared" ref="S222:S224" si="17">R222*Q222</f>
        <v>4754.2857142857147</v>
      </c>
      <c r="T222" s="658"/>
      <c r="V222" s="652"/>
      <c r="W222"/>
    </row>
    <row r="223" spans="1:23" ht="15.75" x14ac:dyDescent="0.25">
      <c r="A223" s="683" t="s">
        <v>1618</v>
      </c>
      <c r="B223" s="660">
        <v>60</v>
      </c>
      <c r="C223" s="660">
        <v>15</v>
      </c>
      <c r="D223" s="668">
        <f>'INSUMOS VARIOS'!B3</f>
        <v>3500</v>
      </c>
      <c r="E223" s="669">
        <f>D223*C223/B223</f>
        <v>875</v>
      </c>
      <c r="F223" s="658" t="s">
        <v>3023</v>
      </c>
      <c r="G223" s="658"/>
      <c r="M223" s="1131"/>
      <c r="N223" s="1757" t="s">
        <v>3109</v>
      </c>
      <c r="O223" s="660" t="s">
        <v>1556</v>
      </c>
      <c r="P223" s="660"/>
      <c r="Q223" s="660">
        <v>2</v>
      </c>
      <c r="R223" s="661">
        <f>FORNITURAS!D4</f>
        <v>48.7</v>
      </c>
      <c r="S223" s="662">
        <f t="shared" si="17"/>
        <v>97.4</v>
      </c>
      <c r="T223" s="658"/>
      <c r="V223" s="652"/>
      <c r="W223"/>
    </row>
    <row r="224" spans="1:23" ht="16.5" thickBot="1" x14ac:dyDescent="0.3">
      <c r="A224" s="670" t="s">
        <v>525</v>
      </c>
      <c r="B224" s="671"/>
      <c r="C224" s="671"/>
      <c r="D224" s="672"/>
      <c r="E224" s="673">
        <f>SUM(E213:E223)</f>
        <v>5198.3588235294119</v>
      </c>
      <c r="F224" s="698">
        <f>E224+G225+G226</f>
        <v>8676.3588235294119</v>
      </c>
      <c r="G224" s="653" t="s">
        <v>2296</v>
      </c>
      <c r="M224" s="1131"/>
      <c r="N224" s="1757"/>
      <c r="O224" s="660" t="s">
        <v>1573</v>
      </c>
      <c r="P224" s="660"/>
      <c r="Q224" s="660">
        <v>1</v>
      </c>
      <c r="R224" s="661">
        <f>FORNITURAS!D7</f>
        <v>52</v>
      </c>
      <c r="S224" s="662">
        <f t="shared" si="17"/>
        <v>52</v>
      </c>
      <c r="T224" s="658"/>
      <c r="V224" s="652"/>
      <c r="W224"/>
    </row>
    <row r="225" spans="1:23" ht="15.75" x14ac:dyDescent="0.25">
      <c r="A225" s="675" t="s">
        <v>544</v>
      </c>
      <c r="B225" s="676"/>
      <c r="C225" s="676"/>
      <c r="D225" s="677"/>
      <c r="E225" s="692">
        <f>E224*2</f>
        <v>10396.717647058824</v>
      </c>
      <c r="F225" s="693">
        <f>E225+E225*30%</f>
        <v>13515.732941176471</v>
      </c>
      <c r="G225" s="680">
        <f>PACKAGING!I4</f>
        <v>2633</v>
      </c>
      <c r="H225" s="681">
        <f>G225+F225+G226</f>
        <v>16993.732941176473</v>
      </c>
      <c r="I225" s="682">
        <v>5800</v>
      </c>
      <c r="M225" s="1131"/>
      <c r="N225" s="660" t="s">
        <v>1537</v>
      </c>
      <c r="O225" s="660"/>
      <c r="P225" s="660"/>
      <c r="Q225" s="660"/>
      <c r="R225" s="661"/>
      <c r="S225" s="662">
        <f>PACKAGING!E6</f>
        <v>240</v>
      </c>
      <c r="T225" s="658"/>
      <c r="V225" s="652"/>
      <c r="W225"/>
    </row>
    <row r="226" spans="1:23" ht="16.5" thickBot="1" x14ac:dyDescent="0.25">
      <c r="A226" s="684" t="s">
        <v>1559</v>
      </c>
      <c r="B226" s="685"/>
      <c r="C226" s="685"/>
      <c r="D226" s="686"/>
      <c r="E226" s="686"/>
      <c r="F226" s="694"/>
      <c r="G226" s="708">
        <f>PACKAGING!I5</f>
        <v>845</v>
      </c>
      <c r="H226" s="690"/>
      <c r="I226" s="691">
        <f>I225*2</f>
        <v>11600</v>
      </c>
      <c r="M226" s="1131"/>
      <c r="N226" s="820" t="s">
        <v>1557</v>
      </c>
      <c r="O226" s="660"/>
      <c r="P226" s="660"/>
      <c r="Q226" s="660"/>
      <c r="R226" s="661"/>
      <c r="S226" s="662">
        <f>PACKAGING!E4</f>
        <v>80</v>
      </c>
    </row>
    <row r="227" spans="1:23" ht="16.5" thickBot="1" x14ac:dyDescent="0.3">
      <c r="N227" s="663" t="s">
        <v>1618</v>
      </c>
      <c r="O227" s="660"/>
      <c r="P227" s="660">
        <v>60</v>
      </c>
      <c r="Q227" s="660">
        <v>20</v>
      </c>
      <c r="R227" s="668">
        <f>'INSUMOS VARIOS'!B3</f>
        <v>3500</v>
      </c>
      <c r="S227" s="669">
        <f>R227*Q227/P227</f>
        <v>1166.6666666666667</v>
      </c>
      <c r="T227" s="1" t="s">
        <v>3023</v>
      </c>
      <c r="V227" s="652"/>
      <c r="W227"/>
    </row>
    <row r="228" spans="1:23" ht="16.5" thickBot="1" x14ac:dyDescent="0.3">
      <c r="A228" s="1738" t="s">
        <v>126</v>
      </c>
      <c r="B228" s="1739"/>
      <c r="C228" s="1739"/>
      <c r="D228" s="1739"/>
      <c r="E228" s="1740"/>
      <c r="N228" s="670" t="s">
        <v>525</v>
      </c>
      <c r="O228" s="671"/>
      <c r="P228" s="671"/>
      <c r="Q228" s="671"/>
      <c r="R228" s="672"/>
      <c r="S228" s="673">
        <f>SUM(S218:S227)</f>
        <v>14648.55238095238</v>
      </c>
      <c r="T228" s="698">
        <f>(S228+U229+U230)</f>
        <v>17926.55238095238</v>
      </c>
      <c r="U228" s="658" t="s">
        <v>2028</v>
      </c>
      <c r="V228" s="674" t="s">
        <v>2029</v>
      </c>
      <c r="W228"/>
    </row>
    <row r="229" spans="1:23" ht="16.5" thickBot="1" x14ac:dyDescent="0.25">
      <c r="A229" s="654" t="s">
        <v>916</v>
      </c>
      <c r="B229" s="655" t="s">
        <v>743</v>
      </c>
      <c r="C229" s="655" t="s">
        <v>1566</v>
      </c>
      <c r="D229" s="656" t="s">
        <v>1035</v>
      </c>
      <c r="E229" s="657" t="s">
        <v>1549</v>
      </c>
      <c r="F229" s="658"/>
      <c r="N229" s="675" t="s">
        <v>544</v>
      </c>
      <c r="O229" s="676"/>
      <c r="P229" s="676"/>
      <c r="Q229" s="676"/>
      <c r="R229" s="677"/>
      <c r="S229" s="678">
        <f>S228*2</f>
        <v>29297.10476190476</v>
      </c>
      <c r="T229" s="679">
        <f>S229+S229*70%</f>
        <v>49805.078095238088</v>
      </c>
      <c r="U229" s="680">
        <f>PACKAGING!I3</f>
        <v>2433</v>
      </c>
      <c r="V229" s="702">
        <f>T229+U229+U230</f>
        <v>53083.078095238088</v>
      </c>
      <c r="W229" s="1099">
        <v>38000</v>
      </c>
    </row>
    <row r="230" spans="1:23" ht="15.75" thickBot="1" x14ac:dyDescent="0.25">
      <c r="A230" s="659" t="s">
        <v>2016</v>
      </c>
      <c r="B230" s="660">
        <v>0.20499999999999999</v>
      </c>
      <c r="C230" s="660">
        <v>0.35</v>
      </c>
      <c r="D230" s="661">
        <f>VIDRIOS!D31</f>
        <v>1430</v>
      </c>
      <c r="E230" s="662">
        <f>D230*C230/B230</f>
        <v>2441.4634146341464</v>
      </c>
      <c r="F230" s="658"/>
      <c r="N230" s="684" t="s">
        <v>1559</v>
      </c>
      <c r="O230" s="685"/>
      <c r="P230" s="685"/>
      <c r="Q230" s="685"/>
      <c r="R230" s="686"/>
      <c r="S230" s="687"/>
      <c r="T230" s="688"/>
      <c r="U230" s="701">
        <f>PACKAGING!I5</f>
        <v>845</v>
      </c>
      <c r="V230" s="1168"/>
    </row>
    <row r="231" spans="1:23" ht="15.75" thickBot="1" x14ac:dyDescent="0.25">
      <c r="A231" s="1736" t="s">
        <v>1572</v>
      </c>
      <c r="B231" s="660" t="s">
        <v>1556</v>
      </c>
      <c r="C231" s="660">
        <v>2</v>
      </c>
      <c r="D231" s="661">
        <f>FORNITURAS!D4</f>
        <v>48.7</v>
      </c>
      <c r="E231" s="662">
        <f>C231*D231</f>
        <v>97.4</v>
      </c>
      <c r="F231" s="658"/>
    </row>
    <row r="232" spans="1:23" ht="15.75" thickBot="1" x14ac:dyDescent="0.25">
      <c r="A232" s="1737"/>
      <c r="B232" s="660" t="s">
        <v>1573</v>
      </c>
      <c r="C232" s="660">
        <v>1</v>
      </c>
      <c r="D232" s="661">
        <f>FORNITURAS!D7</f>
        <v>52</v>
      </c>
      <c r="E232" s="662">
        <f>C232*D232</f>
        <v>52</v>
      </c>
      <c r="F232" s="658"/>
      <c r="N232" s="1738" t="s">
        <v>119</v>
      </c>
      <c r="O232" s="1739"/>
      <c r="P232" s="1739"/>
      <c r="Q232" s="1739"/>
      <c r="R232" s="1739"/>
      <c r="S232" s="1740"/>
    </row>
    <row r="233" spans="1:23" x14ac:dyDescent="0.2">
      <c r="A233" s="665" t="s">
        <v>1605</v>
      </c>
      <c r="B233" s="660" t="s">
        <v>846</v>
      </c>
      <c r="C233" s="660">
        <v>2</v>
      </c>
      <c r="D233" s="661">
        <f>FORNITURAS!I6</f>
        <v>155.52941176470588</v>
      </c>
      <c r="E233" s="662">
        <f>C233*D233</f>
        <v>311.05882352941177</v>
      </c>
      <c r="F233" s="658"/>
      <c r="N233" s="654" t="s">
        <v>916</v>
      </c>
      <c r="O233" s="655" t="s">
        <v>743</v>
      </c>
      <c r="P233" s="655" t="s">
        <v>1089</v>
      </c>
      <c r="Q233" s="655" t="s">
        <v>1566</v>
      </c>
      <c r="R233" s="656" t="s">
        <v>1035</v>
      </c>
      <c r="S233" s="657" t="s">
        <v>1549</v>
      </c>
      <c r="T233" s="658"/>
    </row>
    <row r="234" spans="1:23" x14ac:dyDescent="0.2">
      <c r="A234" s="666" t="s">
        <v>1012</v>
      </c>
      <c r="B234" s="660"/>
      <c r="C234" s="660">
        <v>2</v>
      </c>
      <c r="D234" s="661">
        <f>FORNITURAS!D17</f>
        <v>45.05</v>
      </c>
      <c r="E234" s="662">
        <f>C234*D234</f>
        <v>90.1</v>
      </c>
      <c r="F234" s="658"/>
      <c r="N234" s="659" t="s">
        <v>3619</v>
      </c>
      <c r="O234" s="660">
        <v>0.35</v>
      </c>
      <c r="P234" s="660"/>
      <c r="Q234" s="660">
        <v>62</v>
      </c>
      <c r="R234" s="661">
        <f>'PERLAS 2'!H18</f>
        <v>167.2</v>
      </c>
      <c r="S234" s="662">
        <f>R234*Q234</f>
        <v>10366.4</v>
      </c>
      <c r="T234" s="658"/>
    </row>
    <row r="235" spans="1:23" x14ac:dyDescent="0.2">
      <c r="A235" s="666" t="s">
        <v>1608</v>
      </c>
      <c r="B235" s="660">
        <v>0.26</v>
      </c>
      <c r="C235" s="660">
        <v>0.1</v>
      </c>
      <c r="D235" s="661">
        <f>'AROS, CADENAS, DIJES, ETC'!T10</f>
        <v>1000</v>
      </c>
      <c r="E235" s="662">
        <f>D235*C235/B235</f>
        <v>384.61538461538458</v>
      </c>
      <c r="F235" s="658"/>
      <c r="N235" s="1736" t="s">
        <v>1572</v>
      </c>
      <c r="O235" s="660" t="s">
        <v>1556</v>
      </c>
      <c r="P235" s="660"/>
      <c r="Q235" s="660">
        <v>2</v>
      </c>
      <c r="R235" s="661">
        <f>FORNITURAS!D4</f>
        <v>48.7</v>
      </c>
      <c r="S235" s="662">
        <f>Q235*R235</f>
        <v>97.4</v>
      </c>
      <c r="T235" s="658"/>
    </row>
    <row r="236" spans="1:23" x14ac:dyDescent="0.2">
      <c r="A236" s="666" t="s">
        <v>1587</v>
      </c>
      <c r="B236" s="660"/>
      <c r="C236" s="660">
        <v>1</v>
      </c>
      <c r="D236" s="661">
        <f>FORNITURAS!D18</f>
        <v>363</v>
      </c>
      <c r="E236" s="662">
        <f>C236*D236</f>
        <v>363</v>
      </c>
      <c r="F236" s="658"/>
      <c r="N236" s="1737"/>
      <c r="O236" s="660" t="s">
        <v>1573</v>
      </c>
      <c r="P236" s="660"/>
      <c r="Q236" s="660">
        <v>1</v>
      </c>
      <c r="R236" s="661">
        <f>FORNITURAS!D7</f>
        <v>52</v>
      </c>
      <c r="S236" s="662">
        <f>Q236*R236</f>
        <v>52</v>
      </c>
      <c r="T236" s="658"/>
    </row>
    <row r="237" spans="1:23" x14ac:dyDescent="0.2">
      <c r="A237" s="666" t="s">
        <v>1557</v>
      </c>
      <c r="B237" s="660"/>
      <c r="C237" s="660"/>
      <c r="D237" s="661"/>
      <c r="E237" s="667">
        <f>PACKAGING!E4</f>
        <v>80</v>
      </c>
      <c r="G237" s="658"/>
      <c r="N237" s="665" t="s">
        <v>1554</v>
      </c>
      <c r="O237" s="660" t="s">
        <v>777</v>
      </c>
      <c r="P237" s="660"/>
      <c r="Q237" s="660">
        <v>2</v>
      </c>
      <c r="R237" s="661">
        <f>FORNITURAS!D26</f>
        <v>297.14285714285717</v>
      </c>
      <c r="S237" s="662">
        <f>Q237*R237</f>
        <v>594.28571428571433</v>
      </c>
      <c r="T237" s="658"/>
    </row>
    <row r="238" spans="1:23" x14ac:dyDescent="0.2">
      <c r="A238" s="666" t="s">
        <v>1634</v>
      </c>
      <c r="B238" s="660"/>
      <c r="C238" s="660"/>
      <c r="D238" s="661"/>
      <c r="E238" s="667">
        <f>PACKAGING!E7</f>
        <v>170</v>
      </c>
      <c r="G238" s="658"/>
      <c r="N238" s="666" t="s">
        <v>1012</v>
      </c>
      <c r="O238" s="660"/>
      <c r="P238" s="660"/>
      <c r="Q238" s="660">
        <v>2</v>
      </c>
      <c r="R238" s="661">
        <f>FORNITURAS!D17</f>
        <v>45.05</v>
      </c>
      <c r="S238" s="662">
        <f>Q238*R238</f>
        <v>90.1</v>
      </c>
      <c r="T238" s="658"/>
    </row>
    <row r="239" spans="1:23" x14ac:dyDescent="0.2">
      <c r="A239" s="666" t="s">
        <v>1670</v>
      </c>
      <c r="B239" s="660"/>
      <c r="C239" s="660"/>
      <c r="D239" s="661"/>
      <c r="E239" s="667">
        <f>PACKAGING!E9</f>
        <v>450</v>
      </c>
      <c r="G239" s="658"/>
      <c r="N239" s="666" t="s">
        <v>1608</v>
      </c>
      <c r="O239" s="660"/>
      <c r="P239" s="660"/>
      <c r="Q239" s="660">
        <v>0.1</v>
      </c>
      <c r="R239" s="661">
        <f>'AROS, CADENAS, DIJES, ETC'!I38</f>
        <v>3630</v>
      </c>
      <c r="S239" s="662">
        <f>R239*Q239</f>
        <v>363</v>
      </c>
      <c r="T239" s="658"/>
    </row>
    <row r="240" spans="1:23" x14ac:dyDescent="0.2">
      <c r="A240" s="683" t="s">
        <v>1618</v>
      </c>
      <c r="B240" s="660">
        <v>60</v>
      </c>
      <c r="C240" s="660">
        <v>15</v>
      </c>
      <c r="D240" s="668">
        <f>'INSUMOS VARIOS'!B3</f>
        <v>3500</v>
      </c>
      <c r="E240" s="669">
        <f>D240*C240/B240</f>
        <v>875</v>
      </c>
      <c r="G240" s="658"/>
      <c r="N240" s="666" t="s">
        <v>1587</v>
      </c>
      <c r="O240" s="660"/>
      <c r="P240" s="660"/>
      <c r="Q240" s="660">
        <v>1</v>
      </c>
      <c r="R240" s="661">
        <f>FORNITURAS!D18</f>
        <v>363</v>
      </c>
      <c r="S240" s="662">
        <f>Q240*R240</f>
        <v>363</v>
      </c>
      <c r="T240" s="658"/>
    </row>
    <row r="241" spans="1:23" ht="15.75" thickBot="1" x14ac:dyDescent="0.25">
      <c r="A241" s="670" t="s">
        <v>525</v>
      </c>
      <c r="B241" s="671"/>
      <c r="C241" s="671"/>
      <c r="D241" s="672"/>
      <c r="E241" s="673">
        <f>SUM(E230:E240)</f>
        <v>5314.6376227789424</v>
      </c>
      <c r="F241" s="658"/>
      <c r="N241" s="666" t="s">
        <v>1557</v>
      </c>
      <c r="O241" s="660"/>
      <c r="P241" s="660"/>
      <c r="Q241" s="660"/>
      <c r="R241" s="661"/>
      <c r="S241" s="667">
        <f>PACKAGING!E3</f>
        <v>150</v>
      </c>
      <c r="U241" s="658"/>
    </row>
    <row r="242" spans="1:23" ht="15.75" x14ac:dyDescent="0.2">
      <c r="A242" s="675" t="s">
        <v>544</v>
      </c>
      <c r="B242" s="676"/>
      <c r="C242" s="676"/>
      <c r="D242" s="677"/>
      <c r="E242" s="692">
        <f>E241*2</f>
        <v>10629.275245557885</v>
      </c>
      <c r="F242" s="693">
        <f>E242+E242*30%</f>
        <v>13818.057819225251</v>
      </c>
      <c r="G242" s="770">
        <v>4400</v>
      </c>
      <c r="N242" s="666" t="s">
        <v>1634</v>
      </c>
      <c r="O242" s="660"/>
      <c r="P242" s="660"/>
      <c r="Q242" s="660"/>
      <c r="R242" s="661"/>
      <c r="S242" s="667">
        <f>PACKAGING!E7</f>
        <v>170</v>
      </c>
      <c r="U242" s="658"/>
    </row>
    <row r="243" spans="1:23" ht="16.5" thickBot="1" x14ac:dyDescent="0.25">
      <c r="A243" s="684" t="s">
        <v>1559</v>
      </c>
      <c r="B243" s="685"/>
      <c r="C243" s="685"/>
      <c r="D243" s="686"/>
      <c r="E243" s="686"/>
      <c r="F243" s="694"/>
      <c r="G243" s="772">
        <f>G242*2</f>
        <v>8800</v>
      </c>
      <c r="N243" s="666" t="s">
        <v>3279</v>
      </c>
      <c r="O243" s="660"/>
      <c r="P243" s="660"/>
      <c r="Q243" s="660">
        <v>7</v>
      </c>
      <c r="R243" s="661">
        <f>'PALAIS DU BIJOU'!M59</f>
        <v>300</v>
      </c>
      <c r="S243" s="667">
        <f>R243*Q243</f>
        <v>2100</v>
      </c>
      <c r="U243" s="658"/>
    </row>
    <row r="244" spans="1:23" ht="16.5" thickBot="1" x14ac:dyDescent="0.25">
      <c r="N244" s="663" t="s">
        <v>1618</v>
      </c>
      <c r="O244" s="660">
        <v>60</v>
      </c>
      <c r="P244" s="660"/>
      <c r="Q244" s="660">
        <v>20</v>
      </c>
      <c r="R244" s="668">
        <f>'INSUMOS VARIOS'!B3</f>
        <v>3500</v>
      </c>
      <c r="S244" s="669">
        <f>R244*Q244/O244</f>
        <v>1166.6666666666667</v>
      </c>
      <c r="T244" s="1" t="s">
        <v>3023</v>
      </c>
      <c r="U244" s="658"/>
    </row>
    <row r="245" spans="1:23" ht="15.75" thickBot="1" x14ac:dyDescent="0.25">
      <c r="A245" s="1738" t="s">
        <v>373</v>
      </c>
      <c r="B245" s="1739"/>
      <c r="C245" s="1739"/>
      <c r="D245" s="1739"/>
      <c r="E245" s="1739"/>
      <c r="F245" s="1739"/>
      <c r="G245" s="1740"/>
      <c r="N245" s="670" t="s">
        <v>525</v>
      </c>
      <c r="O245" s="671"/>
      <c r="P245" s="671"/>
      <c r="Q245" s="671"/>
      <c r="R245" s="672"/>
      <c r="S245" s="673">
        <f>SUM(S234:S244)</f>
        <v>15512.852380952379</v>
      </c>
      <c r="T245" s="698">
        <f>S245+U246+U247</f>
        <v>18790.852380952379</v>
      </c>
      <c r="U245" s="653" t="s">
        <v>2296</v>
      </c>
    </row>
    <row r="246" spans="1:23" ht="16.5" thickBot="1" x14ac:dyDescent="0.25">
      <c r="A246" s="774" t="s">
        <v>916</v>
      </c>
      <c r="B246" s="775" t="s">
        <v>743</v>
      </c>
      <c r="C246" s="775" t="s">
        <v>1716</v>
      </c>
      <c r="D246" s="775" t="s">
        <v>1607</v>
      </c>
      <c r="E246" s="775" t="s">
        <v>1566</v>
      </c>
      <c r="F246" s="776" t="s">
        <v>1035</v>
      </c>
      <c r="G246" s="777" t="s">
        <v>1549</v>
      </c>
      <c r="N246" s="675" t="s">
        <v>544</v>
      </c>
      <c r="O246" s="676"/>
      <c r="P246" s="676"/>
      <c r="Q246" s="676"/>
      <c r="R246" s="677"/>
      <c r="S246" s="678">
        <f>S245*2</f>
        <v>31025.704761904759</v>
      </c>
      <c r="T246" s="679">
        <f>S246+S246*60%</f>
        <v>49641.127619047613</v>
      </c>
      <c r="U246" s="680">
        <f>PACKAGING!I3</f>
        <v>2433</v>
      </c>
      <c r="V246" s="1157">
        <f>U246+T246+U247</f>
        <v>52919.127619047613</v>
      </c>
      <c r="W246" s="1103">
        <v>50000</v>
      </c>
    </row>
    <row r="247" spans="1:23" ht="15.75" thickBot="1" x14ac:dyDescent="0.25">
      <c r="A247" s="1736" t="s">
        <v>2018</v>
      </c>
      <c r="B247" s="660"/>
      <c r="C247" s="660">
        <v>0.39</v>
      </c>
      <c r="D247" s="660">
        <v>0.1</v>
      </c>
      <c r="E247" s="660">
        <v>1</v>
      </c>
      <c r="F247" s="661">
        <f>PIEDRAS!E62</f>
        <v>1320</v>
      </c>
      <c r="G247" s="662">
        <f>F247*E247*D247/C247</f>
        <v>338.46153846153845</v>
      </c>
      <c r="N247" s="684" t="s">
        <v>1559</v>
      </c>
      <c r="O247" s="685"/>
      <c r="P247" s="685"/>
      <c r="Q247" s="685"/>
      <c r="R247" s="686"/>
      <c r="S247" s="687"/>
      <c r="T247" s="688"/>
      <c r="U247" s="1156">
        <f>PACKAGING!I5</f>
        <v>845</v>
      </c>
      <c r="V247" s="1251"/>
      <c r="W247" s="1250"/>
    </row>
    <row r="248" spans="1:23" x14ac:dyDescent="0.2">
      <c r="A248" s="1737"/>
      <c r="B248" s="660"/>
      <c r="C248" s="660">
        <v>0.39</v>
      </c>
      <c r="D248" s="660">
        <v>0.23499999999999999</v>
      </c>
      <c r="E248" s="660">
        <v>1</v>
      </c>
      <c r="F248" s="661">
        <f>F247</f>
        <v>1320</v>
      </c>
      <c r="G248" s="662">
        <f>F248*E248*D248/C248</f>
        <v>795.38461538461536</v>
      </c>
    </row>
    <row r="249" spans="1:23" x14ac:dyDescent="0.2">
      <c r="A249" s="1736" t="s">
        <v>1555</v>
      </c>
      <c r="B249" s="660" t="s">
        <v>1556</v>
      </c>
      <c r="C249" s="660"/>
      <c r="D249" s="660"/>
      <c r="E249" s="660">
        <v>2</v>
      </c>
      <c r="F249" s="661">
        <f>FORNITURAS!D4</f>
        <v>48.7</v>
      </c>
      <c r="G249" s="662">
        <f t="shared" ref="G249:G254" si="18">F249*E249</f>
        <v>97.4</v>
      </c>
      <c r="H249" s="658"/>
    </row>
    <row r="250" spans="1:23" x14ac:dyDescent="0.2">
      <c r="A250" s="1737"/>
      <c r="B250" s="660" t="s">
        <v>1573</v>
      </c>
      <c r="C250" s="660"/>
      <c r="D250" s="660"/>
      <c r="E250" s="660">
        <v>1</v>
      </c>
      <c r="F250" s="661">
        <f>FORNITURAS!D7</f>
        <v>52</v>
      </c>
      <c r="G250" s="662">
        <f t="shared" si="18"/>
        <v>52</v>
      </c>
      <c r="H250" s="658"/>
    </row>
    <row r="251" spans="1:23" x14ac:dyDescent="0.2">
      <c r="A251" s="666" t="s">
        <v>1742</v>
      </c>
      <c r="B251" s="660"/>
      <c r="C251" s="660"/>
      <c r="D251" s="660"/>
      <c r="E251" s="660">
        <v>1</v>
      </c>
      <c r="F251" s="661">
        <f>PERLAS!O9</f>
        <v>1558.2608695652175</v>
      </c>
      <c r="G251" s="662">
        <f t="shared" si="18"/>
        <v>1558.2608695652175</v>
      </c>
      <c r="H251" s="658"/>
    </row>
    <row r="252" spans="1:23" x14ac:dyDescent="0.2">
      <c r="A252" s="665" t="s">
        <v>1587</v>
      </c>
      <c r="B252" s="660"/>
      <c r="C252" s="660"/>
      <c r="D252" s="660"/>
      <c r="E252" s="660">
        <v>1</v>
      </c>
      <c r="F252" s="661">
        <f>FORNITURAS!D18</f>
        <v>363</v>
      </c>
      <c r="G252" s="662">
        <f t="shared" si="18"/>
        <v>363</v>
      </c>
      <c r="H252" s="658"/>
    </row>
    <row r="253" spans="1:23" x14ac:dyDescent="0.2">
      <c r="A253" s="768" t="s">
        <v>1554</v>
      </c>
      <c r="B253" s="660" t="s">
        <v>777</v>
      </c>
      <c r="C253" s="660"/>
      <c r="D253" s="660"/>
      <c r="E253" s="660">
        <v>4</v>
      </c>
      <c r="F253" s="661">
        <f>FORNITURAS!D26</f>
        <v>297.14285714285717</v>
      </c>
      <c r="G253" s="662">
        <f t="shared" si="18"/>
        <v>1188.5714285714287</v>
      </c>
      <c r="H253" s="658"/>
    </row>
    <row r="254" spans="1:23" x14ac:dyDescent="0.2">
      <c r="A254" s="663" t="s">
        <v>1012</v>
      </c>
      <c r="B254" s="660"/>
      <c r="C254" s="660"/>
      <c r="D254" s="660"/>
      <c r="E254" s="660">
        <v>2</v>
      </c>
      <c r="F254" s="661">
        <f>FORNITURAS!D17</f>
        <v>45.05</v>
      </c>
      <c r="G254" s="662">
        <f t="shared" si="18"/>
        <v>90.1</v>
      </c>
      <c r="H254" s="658"/>
    </row>
    <row r="255" spans="1:23" x14ac:dyDescent="0.2">
      <c r="A255" s="663" t="s">
        <v>1424</v>
      </c>
      <c r="B255" s="660"/>
      <c r="C255" s="660">
        <v>1</v>
      </c>
      <c r="D255" s="660">
        <v>0.46</v>
      </c>
      <c r="E255" s="660">
        <v>1</v>
      </c>
      <c r="F255" s="661">
        <f>'HILOS-CORDONES-TANZA-CUERO'!L9</f>
        <v>30</v>
      </c>
      <c r="G255" s="662">
        <f>(F255*D255/C255)*E255</f>
        <v>13.8</v>
      </c>
      <c r="H255" s="658"/>
    </row>
    <row r="256" spans="1:23" x14ac:dyDescent="0.2">
      <c r="A256" s="663" t="s">
        <v>1608</v>
      </c>
      <c r="B256" s="660"/>
      <c r="C256" s="660"/>
      <c r="D256" s="660">
        <v>0.1</v>
      </c>
      <c r="E256" s="660">
        <v>1</v>
      </c>
      <c r="F256" s="661">
        <f>'AROS, CADENAS, DIJES, ETC'!I38</f>
        <v>3630</v>
      </c>
      <c r="G256" s="662">
        <f>F256*D256*E256</f>
        <v>363</v>
      </c>
      <c r="H256" s="658"/>
    </row>
    <row r="257" spans="1:9" x14ac:dyDescent="0.2">
      <c r="A257" s="665" t="s">
        <v>1588</v>
      </c>
      <c r="B257" s="660"/>
      <c r="C257" s="660"/>
      <c r="D257" s="660"/>
      <c r="E257" s="660"/>
      <c r="F257" s="769"/>
      <c r="G257" s="662">
        <f>PACKAGING!E4</f>
        <v>80</v>
      </c>
      <c r="H257" s="658"/>
    </row>
    <row r="258" spans="1:9" x14ac:dyDescent="0.2">
      <c r="A258" s="666" t="s">
        <v>1634</v>
      </c>
      <c r="B258" s="660"/>
      <c r="C258" s="660"/>
      <c r="D258" s="660"/>
      <c r="E258" s="660"/>
      <c r="F258" s="769"/>
      <c r="G258" s="662">
        <f>PACKAGING!E7</f>
        <v>170</v>
      </c>
      <c r="H258" s="658"/>
    </row>
    <row r="259" spans="1:9" x14ac:dyDescent="0.2">
      <c r="A259" s="666" t="s">
        <v>1538</v>
      </c>
      <c r="B259" s="660"/>
      <c r="C259" s="660"/>
      <c r="D259" s="660"/>
      <c r="E259" s="660"/>
      <c r="F259" s="769"/>
      <c r="G259" s="662">
        <f>PACKAGING!E9</f>
        <v>450</v>
      </c>
      <c r="H259" s="658"/>
    </row>
    <row r="260" spans="1:9" x14ac:dyDescent="0.2">
      <c r="A260" s="1736" t="s">
        <v>1558</v>
      </c>
      <c r="B260" s="660" t="s">
        <v>1590</v>
      </c>
      <c r="C260" s="660">
        <v>60</v>
      </c>
      <c r="D260" s="660"/>
      <c r="E260" s="660">
        <v>10</v>
      </c>
      <c r="F260" s="661">
        <f>'INSUMOS VARIOS'!B3</f>
        <v>3500</v>
      </c>
      <c r="G260" s="662">
        <f>F260*E260/C260</f>
        <v>583.33333333333337</v>
      </c>
      <c r="H260" s="658"/>
    </row>
    <row r="261" spans="1:9" x14ac:dyDescent="0.2">
      <c r="A261" s="1737"/>
      <c r="B261" s="660" t="s">
        <v>908</v>
      </c>
      <c r="C261" s="660">
        <v>60</v>
      </c>
      <c r="D261" s="660"/>
      <c r="E261" s="660">
        <v>5</v>
      </c>
      <c r="F261" s="661">
        <f>F260</f>
        <v>3500</v>
      </c>
      <c r="G261" s="662">
        <f>F261*E261/C261</f>
        <v>291.66666666666669</v>
      </c>
      <c r="H261" s="658"/>
    </row>
    <row r="262" spans="1:9" ht="15.75" thickBot="1" x14ac:dyDescent="0.25">
      <c r="A262" s="789" t="s">
        <v>525</v>
      </c>
      <c r="B262" s="790"/>
      <c r="C262" s="790"/>
      <c r="D262" s="790"/>
      <c r="E262" s="790"/>
      <c r="F262" s="791"/>
      <c r="G262" s="792">
        <f>SUM(G247:G261)</f>
        <v>6434.9784519828008</v>
      </c>
      <c r="H262" s="658"/>
    </row>
    <row r="263" spans="1:9" ht="15.75" x14ac:dyDescent="0.2">
      <c r="A263" s="793" t="s">
        <v>544</v>
      </c>
      <c r="B263" s="794"/>
      <c r="C263" s="794"/>
      <c r="D263" s="794"/>
      <c r="E263" s="794"/>
      <c r="F263" s="795"/>
      <c r="G263" s="796">
        <f>G262*2</f>
        <v>12869.956903965602</v>
      </c>
      <c r="H263" s="693">
        <f>G263+G263*30%</f>
        <v>16730.943975155282</v>
      </c>
      <c r="I263" s="770">
        <v>4400</v>
      </c>
    </row>
    <row r="264" spans="1:9" ht="16.5" thickBot="1" x14ac:dyDescent="0.25">
      <c r="A264" s="684" t="s">
        <v>1559</v>
      </c>
      <c r="B264" s="685"/>
      <c r="C264" s="685"/>
      <c r="D264" s="685"/>
      <c r="E264" s="685"/>
      <c r="F264" s="686"/>
      <c r="G264" s="686"/>
      <c r="H264" s="694"/>
      <c r="I264" s="772">
        <f>I263*2</f>
        <v>8800</v>
      </c>
    </row>
    <row r="265" spans="1:9" ht="15.75" thickBot="1" x14ac:dyDescent="0.25"/>
    <row r="266" spans="1:9" ht="15.75" thickBot="1" x14ac:dyDescent="0.25">
      <c r="A266" s="1738" t="s">
        <v>167</v>
      </c>
      <c r="B266" s="1739"/>
      <c r="C266" s="1739"/>
      <c r="D266" s="1739"/>
      <c r="E266" s="1739"/>
      <c r="F266" s="1740"/>
    </row>
    <row r="267" spans="1:9" x14ac:dyDescent="0.2">
      <c r="A267" s="654" t="s">
        <v>916</v>
      </c>
      <c r="B267" s="655" t="s">
        <v>743</v>
      </c>
      <c r="C267" s="655" t="s">
        <v>1089</v>
      </c>
      <c r="D267" s="655" t="s">
        <v>1566</v>
      </c>
      <c r="E267" s="656" t="s">
        <v>1035</v>
      </c>
      <c r="F267" s="657" t="s">
        <v>1549</v>
      </c>
      <c r="G267" s="658"/>
    </row>
    <row r="268" spans="1:9" x14ac:dyDescent="0.2">
      <c r="A268" s="1741" t="s">
        <v>1782</v>
      </c>
      <c r="B268" s="660">
        <v>0.20499999999999999</v>
      </c>
      <c r="C268" s="660">
        <v>6.5000000000000002E-2</v>
      </c>
      <c r="D268" s="660">
        <v>2</v>
      </c>
      <c r="E268" s="661">
        <f>VIDRIOS!D28</f>
        <v>850</v>
      </c>
      <c r="F268" s="662">
        <f>E268*D268*C268/B268</f>
        <v>539.02439024390242</v>
      </c>
      <c r="G268" s="658"/>
    </row>
    <row r="269" spans="1:9" x14ac:dyDescent="0.2">
      <c r="A269" s="1742"/>
      <c r="B269" s="660">
        <v>0.20499999999999999</v>
      </c>
      <c r="C269" s="660">
        <v>5.5E-2</v>
      </c>
      <c r="D269" s="660">
        <v>4</v>
      </c>
      <c r="E269" s="661">
        <f>E268</f>
        <v>850</v>
      </c>
      <c r="F269" s="662">
        <f>E269*D269*C269/B269</f>
        <v>912.19512195121956</v>
      </c>
      <c r="G269" s="658"/>
    </row>
    <row r="270" spans="1:9" x14ac:dyDescent="0.2">
      <c r="A270" s="1736" t="s">
        <v>1572</v>
      </c>
      <c r="B270" s="660" t="s">
        <v>1556</v>
      </c>
      <c r="C270" s="660"/>
      <c r="D270" s="660">
        <v>2</v>
      </c>
      <c r="E270" s="661">
        <f>FORNITURAS!D4</f>
        <v>48.7</v>
      </c>
      <c r="F270" s="662">
        <f>D270*E270</f>
        <v>97.4</v>
      </c>
      <c r="G270" s="658"/>
    </row>
    <row r="271" spans="1:9" x14ac:dyDescent="0.2">
      <c r="A271" s="1737"/>
      <c r="B271" s="660" t="s">
        <v>1573</v>
      </c>
      <c r="C271" s="660"/>
      <c r="D271" s="660">
        <v>1</v>
      </c>
      <c r="E271" s="661">
        <f>FORNITURAS!D7</f>
        <v>52</v>
      </c>
      <c r="F271" s="662">
        <f>D271*E271</f>
        <v>52</v>
      </c>
      <c r="G271" s="658"/>
    </row>
    <row r="272" spans="1:9" x14ac:dyDescent="0.2">
      <c r="A272" s="665" t="s">
        <v>1605</v>
      </c>
      <c r="B272" s="660" t="s">
        <v>846</v>
      </c>
      <c r="C272" s="660"/>
      <c r="D272" s="660">
        <v>7</v>
      </c>
      <c r="E272" s="661">
        <f>FORNITURAS!I4</f>
        <v>66.099999999999994</v>
      </c>
      <c r="F272" s="662">
        <f>D272*E272</f>
        <v>462.69999999999993</v>
      </c>
      <c r="G272" s="658"/>
    </row>
    <row r="273" spans="1:8" x14ac:dyDescent="0.2">
      <c r="A273" s="666" t="s">
        <v>1012</v>
      </c>
      <c r="B273" s="660"/>
      <c r="C273" s="660"/>
      <c r="D273" s="660">
        <v>2</v>
      </c>
      <c r="E273" s="661">
        <f>FORNITURAS!D17</f>
        <v>45.05</v>
      </c>
      <c r="F273" s="662">
        <f>D273*E273</f>
        <v>90.1</v>
      </c>
      <c r="G273" s="658"/>
    </row>
    <row r="274" spans="1:8" x14ac:dyDescent="0.2">
      <c r="A274" s="666" t="s">
        <v>1608</v>
      </c>
      <c r="B274" s="660"/>
      <c r="C274" s="660"/>
      <c r="D274" s="660">
        <v>0.1</v>
      </c>
      <c r="E274" s="661">
        <f>'AROS, CADENAS, DIJES, ETC'!I38</f>
        <v>3630</v>
      </c>
      <c r="F274" s="662">
        <f>E274*D274</f>
        <v>363</v>
      </c>
      <c r="G274" s="658"/>
    </row>
    <row r="275" spans="1:8" x14ac:dyDescent="0.2">
      <c r="A275" s="666" t="s">
        <v>1587</v>
      </c>
      <c r="B275" s="660"/>
      <c r="C275" s="660"/>
      <c r="D275" s="660">
        <v>1</v>
      </c>
      <c r="E275" s="661">
        <f>FORNITURAS!D18</f>
        <v>363</v>
      </c>
      <c r="F275" s="662">
        <f>D275*E275</f>
        <v>363</v>
      </c>
      <c r="G275" s="658"/>
    </row>
    <row r="276" spans="1:8" x14ac:dyDescent="0.2">
      <c r="A276" s="666" t="s">
        <v>1557</v>
      </c>
      <c r="B276" s="660"/>
      <c r="C276" s="660"/>
      <c r="D276" s="660"/>
      <c r="E276" s="661"/>
      <c r="F276" s="667">
        <f>PACKAGING!E4</f>
        <v>80</v>
      </c>
      <c r="H276" s="658"/>
    </row>
    <row r="277" spans="1:8" x14ac:dyDescent="0.2">
      <c r="A277" s="666" t="s">
        <v>1634</v>
      </c>
      <c r="B277" s="660"/>
      <c r="C277" s="660"/>
      <c r="D277" s="660"/>
      <c r="E277" s="661"/>
      <c r="F277" s="667">
        <f>PACKAGING!E7</f>
        <v>170</v>
      </c>
      <c r="H277" s="658"/>
    </row>
    <row r="278" spans="1:8" x14ac:dyDescent="0.2">
      <c r="A278" s="666" t="s">
        <v>1670</v>
      </c>
      <c r="B278" s="660"/>
      <c r="C278" s="660"/>
      <c r="D278" s="660"/>
      <c r="E278" s="661"/>
      <c r="F278" s="667">
        <f>PACKAGING!E8</f>
        <v>420</v>
      </c>
      <c r="H278" s="658"/>
    </row>
    <row r="279" spans="1:8" x14ac:dyDescent="0.2">
      <c r="A279" s="683" t="s">
        <v>1618</v>
      </c>
      <c r="B279" s="660">
        <v>60</v>
      </c>
      <c r="C279" s="660"/>
      <c r="D279" s="660">
        <v>20</v>
      </c>
      <c r="E279" s="668">
        <f>'INSUMOS VARIOS'!B3</f>
        <v>3500</v>
      </c>
      <c r="F279" s="669">
        <f>E279*D279/B279</f>
        <v>1166.6666666666667</v>
      </c>
      <c r="H279" s="658"/>
    </row>
    <row r="280" spans="1:8" ht="15.75" thickBot="1" x14ac:dyDescent="0.25">
      <c r="A280" s="670" t="s">
        <v>525</v>
      </c>
      <c r="B280" s="671"/>
      <c r="C280" s="671"/>
      <c r="D280" s="671"/>
      <c r="E280" s="672"/>
      <c r="F280" s="673">
        <f>SUM(F268:F279)</f>
        <v>4716.0861788617885</v>
      </c>
      <c r="G280" s="658"/>
    </row>
    <row r="281" spans="1:8" ht="15.75" x14ac:dyDescent="0.2">
      <c r="A281" s="675" t="s">
        <v>544</v>
      </c>
      <c r="B281" s="676"/>
      <c r="C281" s="676"/>
      <c r="D281" s="676"/>
      <c r="E281" s="677"/>
      <c r="F281" s="692">
        <f>F280*2</f>
        <v>9432.1723577235771</v>
      </c>
      <c r="G281" s="693">
        <f>F281+F281*50%</f>
        <v>14148.258536585367</v>
      </c>
      <c r="H281" s="770">
        <v>11500</v>
      </c>
    </row>
    <row r="282" spans="1:8" ht="16.5" thickBot="1" x14ac:dyDescent="0.25">
      <c r="A282" s="684" t="s">
        <v>1559</v>
      </c>
      <c r="B282" s="685"/>
      <c r="C282" s="685"/>
      <c r="D282" s="685"/>
      <c r="E282" s="686"/>
      <c r="F282" s="686"/>
      <c r="G282" s="694"/>
      <c r="H282" s="772">
        <f>H281*2</f>
        <v>23000</v>
      </c>
    </row>
    <row r="283" spans="1:8" ht="15.75" thickBot="1" x14ac:dyDescent="0.25"/>
    <row r="284" spans="1:8" x14ac:dyDescent="0.2">
      <c r="A284" s="1746" t="s">
        <v>374</v>
      </c>
      <c r="B284" s="1747"/>
      <c r="C284" s="1747"/>
      <c r="D284" s="1747"/>
      <c r="E284" s="1748"/>
    </row>
    <row r="285" spans="1:8" x14ac:dyDescent="0.2">
      <c r="A285" s="654" t="s">
        <v>916</v>
      </c>
      <c r="B285" s="655" t="s">
        <v>743</v>
      </c>
      <c r="C285" s="655" t="s">
        <v>1566</v>
      </c>
      <c r="D285" s="656" t="s">
        <v>1035</v>
      </c>
      <c r="E285" s="657" t="s">
        <v>1549</v>
      </c>
      <c r="F285" s="658"/>
    </row>
    <row r="286" spans="1:8" x14ac:dyDescent="0.2">
      <c r="A286" s="659" t="s">
        <v>2019</v>
      </c>
      <c r="B286" s="660"/>
      <c r="C286" s="660">
        <v>4</v>
      </c>
      <c r="D286" s="661">
        <f>PIEDRAS!F25</f>
        <v>102.05882352941177</v>
      </c>
      <c r="E286" s="662">
        <f t="shared" ref="E286:E294" si="19">D286*C286</f>
        <v>408.23529411764707</v>
      </c>
      <c r="F286" s="658"/>
    </row>
    <row r="287" spans="1:8" x14ac:dyDescent="0.2">
      <c r="A287" s="659" t="s">
        <v>2020</v>
      </c>
      <c r="B287" s="660"/>
      <c r="C287" s="660">
        <v>3</v>
      </c>
      <c r="D287" s="661">
        <f>VIDRIOS!E26</f>
        <v>62.173913043478258</v>
      </c>
      <c r="E287" s="662">
        <f t="shared" si="19"/>
        <v>186.52173913043478</v>
      </c>
      <c r="F287" s="658"/>
    </row>
    <row r="288" spans="1:8" x14ac:dyDescent="0.2">
      <c r="A288" s="659" t="s">
        <v>2021</v>
      </c>
      <c r="B288" s="660"/>
      <c r="C288" s="660">
        <v>12</v>
      </c>
      <c r="D288" s="661">
        <f>PIEDRAS!F115</f>
        <v>8.5714285714285712</v>
      </c>
      <c r="E288" s="662">
        <f t="shared" si="19"/>
        <v>102.85714285714286</v>
      </c>
      <c r="F288" s="658"/>
    </row>
    <row r="289" spans="1:8" x14ac:dyDescent="0.2">
      <c r="A289" s="659" t="s">
        <v>2022</v>
      </c>
      <c r="B289" s="660"/>
      <c r="C289" s="660">
        <v>4</v>
      </c>
      <c r="D289" s="661">
        <f>PIEDRAS!F52</f>
        <v>232.22222222222223</v>
      </c>
      <c r="E289" s="662">
        <f t="shared" si="19"/>
        <v>928.88888888888891</v>
      </c>
      <c r="F289" s="658"/>
    </row>
    <row r="290" spans="1:8" x14ac:dyDescent="0.2">
      <c r="A290" s="663" t="s">
        <v>2023</v>
      </c>
      <c r="B290" s="660"/>
      <c r="C290" s="660">
        <v>3</v>
      </c>
      <c r="D290" s="661">
        <f>PIEDRAS!F54</f>
        <v>45.454545454545453</v>
      </c>
      <c r="E290" s="662">
        <f t="shared" si="19"/>
        <v>136.36363636363637</v>
      </c>
      <c r="F290" s="658"/>
    </row>
    <row r="291" spans="1:8" x14ac:dyDescent="0.2">
      <c r="A291" s="659" t="s">
        <v>2024</v>
      </c>
      <c r="B291" s="660"/>
      <c r="C291" s="660">
        <v>5</v>
      </c>
      <c r="D291" s="661">
        <f>PIEDRAS!F43</f>
        <v>85.714285714285708</v>
      </c>
      <c r="E291" s="662">
        <f t="shared" si="19"/>
        <v>428.57142857142856</v>
      </c>
      <c r="F291" s="658"/>
    </row>
    <row r="292" spans="1:8" x14ac:dyDescent="0.2">
      <c r="A292" s="659" t="s">
        <v>2025</v>
      </c>
      <c r="B292" s="660"/>
      <c r="C292" s="660">
        <v>2</v>
      </c>
      <c r="D292" s="661">
        <f>PIEDRAS!F55</f>
        <v>95.294117647058826</v>
      </c>
      <c r="E292" s="662">
        <f t="shared" si="19"/>
        <v>190.58823529411765</v>
      </c>
      <c r="F292" s="658"/>
    </row>
    <row r="293" spans="1:8" x14ac:dyDescent="0.2">
      <c r="A293" s="659" t="s">
        <v>2026</v>
      </c>
      <c r="B293" s="660"/>
      <c r="C293" s="660">
        <v>2</v>
      </c>
      <c r="D293" s="661">
        <f>PIEDRAS!F57</f>
        <v>80.9375</v>
      </c>
      <c r="E293" s="662">
        <f t="shared" si="19"/>
        <v>161.875</v>
      </c>
      <c r="F293" s="658"/>
    </row>
    <row r="294" spans="1:8" x14ac:dyDescent="0.2">
      <c r="A294" s="659" t="s">
        <v>1984</v>
      </c>
      <c r="B294" s="660"/>
      <c r="C294" s="660">
        <v>1</v>
      </c>
      <c r="D294" s="661">
        <f>FORNITURAS!D21</f>
        <v>1500</v>
      </c>
      <c r="E294" s="662">
        <f t="shared" si="19"/>
        <v>1500</v>
      </c>
      <c r="F294" s="658"/>
    </row>
    <row r="295" spans="1:8" x14ac:dyDescent="0.2">
      <c r="A295" s="659" t="s">
        <v>2027</v>
      </c>
      <c r="B295" s="660">
        <v>0.5</v>
      </c>
      <c r="C295" s="660">
        <v>0.1</v>
      </c>
      <c r="D295" s="661">
        <f>'AROS, CADENAS, DIJES, ETC'!I56</f>
        <v>2614</v>
      </c>
      <c r="E295" s="662">
        <f>D295*C295/B295</f>
        <v>522.80000000000007</v>
      </c>
      <c r="F295" s="658"/>
    </row>
    <row r="296" spans="1:8" x14ac:dyDescent="0.2">
      <c r="A296" s="659" t="s">
        <v>1944</v>
      </c>
      <c r="B296" s="660" t="s">
        <v>846</v>
      </c>
      <c r="C296" s="660">
        <v>2</v>
      </c>
      <c r="D296" s="661">
        <f>FORNITURAS!I6</f>
        <v>155.52941176470588</v>
      </c>
      <c r="E296" s="662">
        <f>D296*C296</f>
        <v>311.05882352941177</v>
      </c>
      <c r="F296" s="658"/>
    </row>
    <row r="297" spans="1:8" x14ac:dyDescent="0.2">
      <c r="A297" s="663" t="s">
        <v>1012</v>
      </c>
      <c r="B297" s="660"/>
      <c r="C297" s="660">
        <v>2</v>
      </c>
      <c r="D297" s="661">
        <f>FORNITURAS!D17</f>
        <v>45.05</v>
      </c>
      <c r="E297" s="662">
        <f>D297*C297</f>
        <v>90.1</v>
      </c>
      <c r="F297" s="658"/>
    </row>
    <row r="298" spans="1:8" x14ac:dyDescent="0.2">
      <c r="A298" s="663" t="s">
        <v>1555</v>
      </c>
      <c r="B298" s="660" t="s">
        <v>1573</v>
      </c>
      <c r="C298" s="660">
        <v>2</v>
      </c>
      <c r="D298" s="661">
        <f>FORNITURAS!D7</f>
        <v>52</v>
      </c>
      <c r="E298" s="662">
        <f>D298*C298</f>
        <v>104</v>
      </c>
      <c r="F298" s="658"/>
    </row>
    <row r="299" spans="1:8" x14ac:dyDescent="0.2">
      <c r="A299" s="663" t="s">
        <v>1028</v>
      </c>
      <c r="B299" s="660"/>
      <c r="C299" s="660">
        <v>2</v>
      </c>
      <c r="D299" s="661">
        <f>FORNITURAS!D37</f>
        <v>299.5</v>
      </c>
      <c r="E299" s="662">
        <f>D299*C299</f>
        <v>599</v>
      </c>
      <c r="F299" s="658"/>
    </row>
    <row r="300" spans="1:8" x14ac:dyDescent="0.2">
      <c r="A300" s="665" t="s">
        <v>1743</v>
      </c>
      <c r="B300" s="660" t="s">
        <v>846</v>
      </c>
      <c r="C300" s="660">
        <v>1</v>
      </c>
      <c r="D300" s="661">
        <f>FORNITURAS!D15</f>
        <v>142</v>
      </c>
      <c r="E300" s="662">
        <f>D300*C300</f>
        <v>142</v>
      </c>
      <c r="F300" s="658"/>
    </row>
    <row r="301" spans="1:8" x14ac:dyDescent="0.2">
      <c r="A301" s="666" t="s">
        <v>1557</v>
      </c>
      <c r="B301" s="660"/>
      <c r="C301" s="660"/>
      <c r="D301" s="661"/>
      <c r="E301" s="662">
        <f>PACKAGING!E4</f>
        <v>80</v>
      </c>
      <c r="F301" s="658"/>
    </row>
    <row r="302" spans="1:8" x14ac:dyDescent="0.2">
      <c r="A302" s="666" t="s">
        <v>1537</v>
      </c>
      <c r="B302" s="660"/>
      <c r="C302" s="660"/>
      <c r="D302" s="661"/>
      <c r="E302" s="662">
        <f>PACKAGING!E7</f>
        <v>170</v>
      </c>
      <c r="F302" s="658"/>
    </row>
    <row r="303" spans="1:8" x14ac:dyDescent="0.2">
      <c r="A303" s="663" t="s">
        <v>1618</v>
      </c>
      <c r="B303" s="660">
        <v>60</v>
      </c>
      <c r="C303" s="660">
        <v>20</v>
      </c>
      <c r="D303" s="668">
        <f>'INSUMOS VARIOS'!B3</f>
        <v>3500</v>
      </c>
      <c r="E303" s="669">
        <f>D303*C303/B303</f>
        <v>1166.6666666666667</v>
      </c>
      <c r="F303" s="658" t="s">
        <v>3023</v>
      </c>
    </row>
    <row r="304" spans="1:8" ht="15.75" thickBot="1" x14ac:dyDescent="0.25">
      <c r="A304" s="670" t="s">
        <v>525</v>
      </c>
      <c r="B304" s="671"/>
      <c r="C304" s="671"/>
      <c r="D304" s="672"/>
      <c r="E304" s="673">
        <f>SUM(E286:E303)</f>
        <v>7229.5268554193754</v>
      </c>
      <c r="F304" s="698">
        <f>E304+G305+G306</f>
        <v>10932.526855419375</v>
      </c>
      <c r="G304" s="658" t="s">
        <v>2028</v>
      </c>
      <c r="H304" s="658" t="s">
        <v>2029</v>
      </c>
    </row>
    <row r="305" spans="1:9" ht="15.75" x14ac:dyDescent="0.2">
      <c r="A305" s="675" t="s">
        <v>544</v>
      </c>
      <c r="B305" s="676"/>
      <c r="C305" s="676"/>
      <c r="D305" s="677"/>
      <c r="E305" s="678">
        <f>E304*2</f>
        <v>14459.053710838751</v>
      </c>
      <c r="F305" s="679">
        <f>E305+E305*50%</f>
        <v>21688.580566258126</v>
      </c>
      <c r="G305" s="680">
        <f>PACKAGING!I4</f>
        <v>2633</v>
      </c>
      <c r="H305" s="681">
        <f>G305+F305+G306</f>
        <v>25391.580566258126</v>
      </c>
      <c r="I305" s="682">
        <v>8900</v>
      </c>
    </row>
    <row r="306" spans="1:9" ht="16.5" thickBot="1" x14ac:dyDescent="0.25">
      <c r="A306" s="684" t="s">
        <v>1559</v>
      </c>
      <c r="B306" s="685"/>
      <c r="C306" s="685"/>
      <c r="D306" s="686"/>
      <c r="E306" s="687"/>
      <c r="F306" s="688"/>
      <c r="G306" s="689">
        <f>PACKAGING!I6</f>
        <v>1070</v>
      </c>
      <c r="H306" s="690"/>
      <c r="I306" s="691">
        <f>I305*2</f>
        <v>17800</v>
      </c>
    </row>
    <row r="307" spans="1:9" ht="15.75" thickBot="1" x14ac:dyDescent="0.25"/>
    <row r="308" spans="1:9" ht="15.75" thickBot="1" x14ac:dyDescent="0.25">
      <c r="A308" s="1738" t="s">
        <v>3082</v>
      </c>
      <c r="B308" s="1739"/>
      <c r="C308" s="1739"/>
      <c r="D308" s="1739"/>
      <c r="E308" s="1740"/>
    </row>
    <row r="309" spans="1:9" x14ac:dyDescent="0.2">
      <c r="A309" s="654" t="s">
        <v>916</v>
      </c>
      <c r="B309" s="655" t="s">
        <v>743</v>
      </c>
      <c r="C309" s="655" t="s">
        <v>1566</v>
      </c>
      <c r="D309" s="656" t="s">
        <v>1035</v>
      </c>
      <c r="E309" s="657" t="s">
        <v>1549</v>
      </c>
      <c r="F309" s="658"/>
    </row>
    <row r="310" spans="1:9" x14ac:dyDescent="0.2">
      <c r="A310" s="659" t="s">
        <v>2016</v>
      </c>
      <c r="B310" s="660">
        <v>0.35</v>
      </c>
      <c r="C310" s="660">
        <v>0.35</v>
      </c>
      <c r="D310" s="661">
        <f>PIEDRAS!E13</f>
        <v>4275</v>
      </c>
      <c r="E310" s="662">
        <f>D310*C310/B310</f>
        <v>4275</v>
      </c>
      <c r="F310" s="658"/>
    </row>
    <row r="311" spans="1:9" x14ac:dyDescent="0.2">
      <c r="A311" s="1736" t="s">
        <v>1572</v>
      </c>
      <c r="B311" s="660" t="s">
        <v>1556</v>
      </c>
      <c r="C311" s="660">
        <v>2</v>
      </c>
      <c r="D311" s="661">
        <f>FORNITURAS!D4</f>
        <v>48.7</v>
      </c>
      <c r="E311" s="662">
        <f t="shared" ref="E311:E316" si="20">C311*D311</f>
        <v>97.4</v>
      </c>
      <c r="F311" s="658"/>
    </row>
    <row r="312" spans="1:9" x14ac:dyDescent="0.2">
      <c r="A312" s="1737"/>
      <c r="B312" s="660" t="s">
        <v>1573</v>
      </c>
      <c r="C312" s="660">
        <v>1</v>
      </c>
      <c r="D312" s="661">
        <f>FORNITURAS!D7</f>
        <v>52</v>
      </c>
      <c r="E312" s="662">
        <f t="shared" si="20"/>
        <v>52</v>
      </c>
      <c r="F312" s="658"/>
    </row>
    <row r="313" spans="1:9" x14ac:dyDescent="0.2">
      <c r="A313" s="665" t="s">
        <v>1554</v>
      </c>
      <c r="B313" s="660" t="s">
        <v>777</v>
      </c>
      <c r="C313" s="660">
        <v>2</v>
      </c>
      <c r="D313" s="661">
        <f>FORNITURAS!D26</f>
        <v>297.14285714285717</v>
      </c>
      <c r="E313" s="662">
        <f t="shared" si="20"/>
        <v>594.28571428571433</v>
      </c>
      <c r="F313" s="658"/>
    </row>
    <row r="314" spans="1:9" x14ac:dyDescent="0.2">
      <c r="A314" s="666" t="s">
        <v>1012</v>
      </c>
      <c r="B314" s="660"/>
      <c r="C314" s="660">
        <v>2</v>
      </c>
      <c r="D314" s="661">
        <f>FORNITURAS!D17</f>
        <v>45.05</v>
      </c>
      <c r="E314" s="662">
        <f t="shared" si="20"/>
        <v>90.1</v>
      </c>
      <c r="F314" s="658"/>
    </row>
    <row r="315" spans="1:9" x14ac:dyDescent="0.2">
      <c r="A315" s="666" t="s">
        <v>1608</v>
      </c>
      <c r="B315" s="660"/>
      <c r="C315" s="660">
        <v>0.1</v>
      </c>
      <c r="D315" s="661">
        <f>'AROS, CADENAS, DIJES, ETC'!I38</f>
        <v>3630</v>
      </c>
      <c r="E315" s="662">
        <f t="shared" si="20"/>
        <v>363</v>
      </c>
      <c r="F315" s="658"/>
    </row>
    <row r="316" spans="1:9" x14ac:dyDescent="0.2">
      <c r="A316" s="666" t="s">
        <v>1587</v>
      </c>
      <c r="B316" s="660"/>
      <c r="C316" s="660">
        <v>1</v>
      </c>
      <c r="D316" s="661">
        <f>FORNITURAS!D18</f>
        <v>363</v>
      </c>
      <c r="E316" s="662">
        <f t="shared" si="20"/>
        <v>363</v>
      </c>
      <c r="F316" s="658"/>
    </row>
    <row r="317" spans="1:9" x14ac:dyDescent="0.2">
      <c r="A317" s="666" t="s">
        <v>1557</v>
      </c>
      <c r="B317" s="660"/>
      <c r="C317" s="660"/>
      <c r="D317" s="661"/>
      <c r="E317" s="667">
        <f>PACKAGING!E3</f>
        <v>150</v>
      </c>
      <c r="G317" s="658"/>
    </row>
    <row r="318" spans="1:9" x14ac:dyDescent="0.2">
      <c r="A318" s="666" t="s">
        <v>1634</v>
      </c>
      <c r="B318" s="660"/>
      <c r="C318" s="660"/>
      <c r="D318" s="661"/>
      <c r="E318" s="667">
        <f>PACKAGING!E7</f>
        <v>170</v>
      </c>
      <c r="G318" s="658"/>
    </row>
    <row r="319" spans="1:9" x14ac:dyDescent="0.2">
      <c r="A319" s="666" t="s">
        <v>1670</v>
      </c>
      <c r="B319" s="660"/>
      <c r="C319" s="660"/>
      <c r="D319" s="661"/>
      <c r="E319" s="667">
        <f>PACKAGING!E9</f>
        <v>450</v>
      </c>
      <c r="G319" s="658"/>
    </row>
    <row r="320" spans="1:9" x14ac:dyDescent="0.2">
      <c r="A320" s="683" t="s">
        <v>1618</v>
      </c>
      <c r="B320" s="660">
        <v>60</v>
      </c>
      <c r="C320" s="660">
        <v>15</v>
      </c>
      <c r="D320" s="668">
        <f>'INSUMOS VARIOS'!B3</f>
        <v>3500</v>
      </c>
      <c r="E320" s="669">
        <f>D320*C320/B320</f>
        <v>875</v>
      </c>
      <c r="G320" s="658"/>
    </row>
    <row r="321" spans="1:9" ht="15.75" thickBot="1" x14ac:dyDescent="0.25">
      <c r="A321" s="670" t="s">
        <v>525</v>
      </c>
      <c r="B321" s="671"/>
      <c r="C321" s="671"/>
      <c r="D321" s="672"/>
      <c r="E321" s="673">
        <f>SUM(E310:E320)</f>
        <v>7479.7857142857147</v>
      </c>
      <c r="F321" s="658"/>
    </row>
    <row r="322" spans="1:9" ht="16.5" thickBot="1" x14ac:dyDescent="0.25">
      <c r="A322" s="675" t="s">
        <v>544</v>
      </c>
      <c r="B322" s="676"/>
      <c r="C322" s="676"/>
      <c r="D322" s="677"/>
      <c r="E322" s="692">
        <f>E321*2</f>
        <v>14959.571428571429</v>
      </c>
      <c r="F322" s="957">
        <f>E322+E322*70%</f>
        <v>25431.271428571432</v>
      </c>
      <c r="G322" s="681">
        <v>26000</v>
      </c>
    </row>
    <row r="323" spans="1:9" ht="16.5" thickBot="1" x14ac:dyDescent="0.25">
      <c r="A323" s="684" t="s">
        <v>1559</v>
      </c>
      <c r="B323" s="685"/>
      <c r="C323" s="685"/>
      <c r="D323" s="686"/>
      <c r="E323" s="686"/>
      <c r="F323" s="816"/>
      <c r="G323" s="702"/>
    </row>
    <row r="325" spans="1:9" ht="15.75" x14ac:dyDescent="0.25">
      <c r="A325" s="1602" t="s">
        <v>3084</v>
      </c>
      <c r="B325" s="1600"/>
      <c r="C325" s="1600"/>
      <c r="D325" s="1600"/>
      <c r="E325" s="1600"/>
      <c r="F325" s="171"/>
      <c r="G325" s="171"/>
    </row>
    <row r="326" spans="1:9" ht="15.75" x14ac:dyDescent="0.2">
      <c r="A326" s="183" t="s">
        <v>916</v>
      </c>
      <c r="B326" s="97" t="s">
        <v>743</v>
      </c>
      <c r="C326" s="76" t="s">
        <v>1547</v>
      </c>
      <c r="D326" s="108" t="s">
        <v>747</v>
      </c>
      <c r="E326" s="77" t="s">
        <v>1549</v>
      </c>
      <c r="F326" s="1"/>
      <c r="G326" s="1"/>
    </row>
    <row r="327" spans="1:9" ht="15.75" x14ac:dyDescent="0.2">
      <c r="A327" s="3" t="s">
        <v>3037</v>
      </c>
      <c r="B327" s="98"/>
      <c r="C327" s="2">
        <v>1</v>
      </c>
      <c r="D327" s="66">
        <v>15000</v>
      </c>
      <c r="E327" s="39">
        <f>D327</f>
        <v>15000</v>
      </c>
      <c r="F327" s="1"/>
      <c r="G327" s="1"/>
    </row>
    <row r="328" spans="1:9" ht="15.75" x14ac:dyDescent="0.2">
      <c r="A328" s="20" t="s">
        <v>1557</v>
      </c>
      <c r="B328" s="98" t="s">
        <v>1535</v>
      </c>
      <c r="C328" s="2"/>
      <c r="D328" s="6"/>
      <c r="E328" s="39">
        <f>PACKAGING!E4</f>
        <v>80</v>
      </c>
      <c r="F328" s="658" t="s">
        <v>3023</v>
      </c>
    </row>
    <row r="329" spans="1:9" ht="16.5" thickBot="1" x14ac:dyDescent="0.25">
      <c r="A329" s="79" t="s">
        <v>525</v>
      </c>
      <c r="B329" s="99"/>
      <c r="C329" s="70"/>
      <c r="D329" s="85"/>
      <c r="E329" s="51">
        <f>SUM(E327:E328)</f>
        <v>15080</v>
      </c>
      <c r="F329" s="698">
        <f>E329+G330+G331</f>
        <v>18783</v>
      </c>
      <c r="G329" s="658" t="s">
        <v>2028</v>
      </c>
      <c r="H329" s="658" t="s">
        <v>2029</v>
      </c>
    </row>
    <row r="330" spans="1:9" ht="15.75" x14ac:dyDescent="0.2">
      <c r="A330" s="80" t="s">
        <v>544</v>
      </c>
      <c r="B330" s="100"/>
      <c r="C330" s="71"/>
      <c r="D330" s="71"/>
      <c r="E330" s="72">
        <f>E329*2</f>
        <v>30160</v>
      </c>
      <c r="F330" s="679">
        <f>E330+E330*50%</f>
        <v>45240</v>
      </c>
      <c r="G330" s="680">
        <f>PACKAGING!I4</f>
        <v>2633</v>
      </c>
      <c r="H330" s="681">
        <f>G330+F330+G331</f>
        <v>48943</v>
      </c>
      <c r="I330" s="682">
        <v>48000</v>
      </c>
    </row>
    <row r="331" spans="1:9" ht="16.5" thickBot="1" x14ac:dyDescent="0.25">
      <c r="A331" s="81" t="s">
        <v>1559</v>
      </c>
      <c r="B331" s="101"/>
      <c r="C331" s="73"/>
      <c r="D331" s="73"/>
      <c r="E331" s="73"/>
      <c r="F331" s="688"/>
      <c r="G331" s="689">
        <f>PACKAGING!I6</f>
        <v>1070</v>
      </c>
      <c r="H331" s="690"/>
      <c r="I331" s="691"/>
    </row>
    <row r="333" spans="1:9" x14ac:dyDescent="0.2">
      <c r="A333" s="1753" t="s">
        <v>3159</v>
      </c>
      <c r="B333" s="1754"/>
      <c r="C333" s="1754"/>
      <c r="D333" s="1754"/>
      <c r="E333" s="1754"/>
      <c r="F333" s="1754"/>
    </row>
    <row r="334" spans="1:9" x14ac:dyDescent="0.2">
      <c r="A334" s="654" t="s">
        <v>916</v>
      </c>
      <c r="B334" s="655" t="s">
        <v>743</v>
      </c>
      <c r="C334" s="655" t="s">
        <v>1089</v>
      </c>
      <c r="D334" s="655" t="s">
        <v>1566</v>
      </c>
      <c r="E334" s="656" t="s">
        <v>1035</v>
      </c>
      <c r="F334" s="657" t="s">
        <v>1549</v>
      </c>
      <c r="G334" s="658"/>
    </row>
    <row r="335" spans="1:9" x14ac:dyDescent="0.2">
      <c r="A335" s="663" t="s">
        <v>3097</v>
      </c>
      <c r="B335" s="660"/>
      <c r="C335" s="660">
        <v>1</v>
      </c>
      <c r="D335" s="660">
        <v>28</v>
      </c>
      <c r="E335" s="661">
        <v>2</v>
      </c>
      <c r="F335" s="662">
        <f>E335*D335</f>
        <v>56</v>
      </c>
      <c r="G335" s="658"/>
    </row>
    <row r="336" spans="1:9" x14ac:dyDescent="0.2">
      <c r="A336" s="663" t="s">
        <v>3160</v>
      </c>
      <c r="B336" s="660"/>
      <c r="C336" s="660">
        <v>0.20499999999999999</v>
      </c>
      <c r="D336" s="660">
        <v>29</v>
      </c>
      <c r="E336" s="661">
        <f>VIDRIOS!E21</f>
        <v>65</v>
      </c>
      <c r="F336" s="664">
        <f>E336*D336</f>
        <v>1885</v>
      </c>
      <c r="G336" s="658"/>
    </row>
    <row r="337" spans="1:8" x14ac:dyDescent="0.2">
      <c r="A337" s="663" t="s">
        <v>3098</v>
      </c>
      <c r="B337" s="660"/>
      <c r="C337" s="660"/>
      <c r="D337" s="660">
        <v>2</v>
      </c>
      <c r="E337" s="661">
        <f>FORNITURAS!D17</f>
        <v>45.05</v>
      </c>
      <c r="F337" s="664">
        <f>E337*2</f>
        <v>90.1</v>
      </c>
      <c r="G337" s="658"/>
    </row>
    <row r="338" spans="1:8" x14ac:dyDescent="0.2">
      <c r="A338" s="663" t="s">
        <v>1554</v>
      </c>
      <c r="B338" s="660"/>
      <c r="C338" s="660"/>
      <c r="D338" s="660">
        <v>2</v>
      </c>
      <c r="E338" s="661">
        <f>FORNITURAS!D26</f>
        <v>297.14285714285717</v>
      </c>
      <c r="F338" s="664">
        <f>E338*2</f>
        <v>594.28571428571433</v>
      </c>
      <c r="G338" s="658"/>
    </row>
    <row r="339" spans="1:8" x14ac:dyDescent="0.2">
      <c r="A339" s="663" t="s">
        <v>3096</v>
      </c>
      <c r="B339" s="660"/>
      <c r="C339" s="660"/>
      <c r="D339" s="660">
        <v>1</v>
      </c>
      <c r="E339" s="661">
        <f>FORNITURAS!D18</f>
        <v>363</v>
      </c>
      <c r="F339" s="662">
        <f>E339*D339</f>
        <v>363</v>
      </c>
      <c r="G339" s="658"/>
    </row>
    <row r="340" spans="1:8" x14ac:dyDescent="0.2">
      <c r="A340" s="663" t="s">
        <v>908</v>
      </c>
      <c r="B340" s="660"/>
      <c r="C340" s="660">
        <v>0.5</v>
      </c>
      <c r="D340" s="660">
        <v>0.06</v>
      </c>
      <c r="E340" s="661">
        <f>'AROS, CADENAS, DIJES, ETC'!I56</f>
        <v>2614</v>
      </c>
      <c r="F340" s="662">
        <f>E340*D340/C340</f>
        <v>313.68</v>
      </c>
      <c r="G340" s="658"/>
    </row>
    <row r="341" spans="1:8" x14ac:dyDescent="0.2">
      <c r="A341" s="1736" t="s">
        <v>1555</v>
      </c>
      <c r="B341" s="660" t="s">
        <v>1573</v>
      </c>
      <c r="C341" s="660"/>
      <c r="D341" s="660">
        <v>1</v>
      </c>
      <c r="E341" s="661">
        <f>FORNITURAS!D7</f>
        <v>52</v>
      </c>
      <c r="F341" s="662">
        <f>E341*D341</f>
        <v>52</v>
      </c>
      <c r="G341" s="658"/>
    </row>
    <row r="342" spans="1:8" x14ac:dyDescent="0.2">
      <c r="A342" s="1737"/>
      <c r="B342" s="660" t="s">
        <v>1573</v>
      </c>
      <c r="C342" s="660"/>
      <c r="D342" s="660">
        <v>2</v>
      </c>
      <c r="E342" s="661">
        <f>FORNITURAS!D7</f>
        <v>52</v>
      </c>
      <c r="F342" s="662">
        <f>E342*D342</f>
        <v>104</v>
      </c>
      <c r="G342" s="658"/>
    </row>
    <row r="343" spans="1:8" x14ac:dyDescent="0.2">
      <c r="A343" s="666" t="s">
        <v>1557</v>
      </c>
      <c r="B343" s="660"/>
      <c r="C343" s="660"/>
      <c r="D343" s="660"/>
      <c r="E343" s="661"/>
      <c r="F343" s="667">
        <f>PACKAGING!E4</f>
        <v>80</v>
      </c>
      <c r="G343" s="658"/>
    </row>
    <row r="344" spans="1:8" x14ac:dyDescent="0.2">
      <c r="A344" s="666" t="s">
        <v>1634</v>
      </c>
      <c r="B344" s="660"/>
      <c r="C344" s="660"/>
      <c r="D344" s="660"/>
      <c r="E344" s="661"/>
      <c r="F344" s="667">
        <f>PACKAGING!E7</f>
        <v>170</v>
      </c>
      <c r="G344" s="658"/>
    </row>
    <row r="345" spans="1:8" x14ac:dyDescent="0.2">
      <c r="A345" s="666" t="s">
        <v>1670</v>
      </c>
      <c r="B345" s="660"/>
      <c r="C345" s="660"/>
      <c r="D345" s="660"/>
      <c r="E345" s="661"/>
      <c r="F345" s="667">
        <f>PACKAGING!E9</f>
        <v>450</v>
      </c>
      <c r="G345" s="658"/>
    </row>
    <row r="346" spans="1:8" x14ac:dyDescent="0.2">
      <c r="A346" s="683" t="s">
        <v>1618</v>
      </c>
      <c r="B346" s="660"/>
      <c r="C346" s="660">
        <v>60</v>
      </c>
      <c r="D346" s="660">
        <v>25</v>
      </c>
      <c r="E346" s="668">
        <f>'INSUMOS VARIOS'!B3</f>
        <v>3500</v>
      </c>
      <c r="F346" s="669">
        <f>E346*D346/C346</f>
        <v>1458.3333333333333</v>
      </c>
      <c r="G346" s="658"/>
    </row>
    <row r="347" spans="1:8" ht="15.75" thickBot="1" x14ac:dyDescent="0.25">
      <c r="A347" s="670" t="s">
        <v>525</v>
      </c>
      <c r="B347" s="671"/>
      <c r="C347" s="671"/>
      <c r="D347" s="671"/>
      <c r="E347" s="672"/>
      <c r="F347" s="673">
        <f>SUM(F335:F346)</f>
        <v>5616.3990476190475</v>
      </c>
      <c r="G347" s="658"/>
    </row>
    <row r="348" spans="1:8" ht="15.75" x14ac:dyDescent="0.2">
      <c r="A348" s="675" t="s">
        <v>544</v>
      </c>
      <c r="B348" s="676"/>
      <c r="C348" s="676"/>
      <c r="D348" s="676"/>
      <c r="E348" s="677"/>
      <c r="F348" s="786">
        <f>F347*2</f>
        <v>11232.798095238095</v>
      </c>
      <c r="G348" s="693">
        <f>F348+F348*50%</f>
        <v>16849.197142857141</v>
      </c>
      <c r="H348" s="682">
        <v>12000</v>
      </c>
    </row>
    <row r="349" spans="1:8" ht="16.5" thickBot="1" x14ac:dyDescent="0.25">
      <c r="A349" s="684" t="s">
        <v>1559</v>
      </c>
      <c r="B349" s="685"/>
      <c r="C349" s="685"/>
      <c r="D349" s="685"/>
      <c r="E349" s="686"/>
      <c r="F349" s="771"/>
      <c r="G349" s="694"/>
      <c r="H349" s="691">
        <f>H348*2</f>
        <v>24000</v>
      </c>
    </row>
    <row r="350" spans="1:8" x14ac:dyDescent="0.2">
      <c r="A350" s="1090"/>
      <c r="B350" s="1090"/>
      <c r="C350" s="1090"/>
      <c r="D350" s="1090"/>
      <c r="E350" s="1090"/>
      <c r="F350" s="1090"/>
      <c r="G350" s="1090"/>
    </row>
    <row r="351" spans="1:8" x14ac:dyDescent="0.2">
      <c r="A351" s="1753" t="s">
        <v>3240</v>
      </c>
      <c r="B351" s="1754"/>
      <c r="C351" s="1754"/>
      <c r="D351" s="1754"/>
      <c r="E351" s="1754"/>
      <c r="F351" s="1754"/>
    </row>
    <row r="352" spans="1:8" x14ac:dyDescent="0.2">
      <c r="A352" s="654" t="s">
        <v>916</v>
      </c>
      <c r="B352" s="655" t="s">
        <v>743</v>
      </c>
      <c r="C352" s="655" t="s">
        <v>1089</v>
      </c>
      <c r="D352" s="655" t="s">
        <v>1566</v>
      </c>
      <c r="E352" s="656" t="s">
        <v>1035</v>
      </c>
      <c r="F352" s="657" t="s">
        <v>1549</v>
      </c>
      <c r="G352" s="658"/>
    </row>
    <row r="353" spans="1:10" x14ac:dyDescent="0.2">
      <c r="A353" s="659" t="s">
        <v>3095</v>
      </c>
      <c r="B353" s="660"/>
      <c r="C353" s="660">
        <v>1</v>
      </c>
      <c r="D353" s="660">
        <v>28</v>
      </c>
      <c r="E353" s="661">
        <f>PERLAS!F35</f>
        <v>76.428571428571431</v>
      </c>
      <c r="F353" s="662">
        <f>E353*D353</f>
        <v>2140</v>
      </c>
      <c r="G353" s="658"/>
    </row>
    <row r="354" spans="1:10" x14ac:dyDescent="0.2">
      <c r="A354" s="769" t="s">
        <v>3048</v>
      </c>
      <c r="B354" s="660"/>
      <c r="C354" s="660"/>
      <c r="D354" s="660">
        <v>30</v>
      </c>
      <c r="E354" s="661">
        <f>VIDRIOS!L54</f>
        <v>60.655737704918032</v>
      </c>
      <c r="F354" s="664">
        <f>E354*D354</f>
        <v>1819.672131147541</v>
      </c>
      <c r="G354" s="658"/>
    </row>
    <row r="355" spans="1:10" x14ac:dyDescent="0.2">
      <c r="A355" s="768" t="s">
        <v>3098</v>
      </c>
      <c r="B355" s="660"/>
      <c r="C355" s="660"/>
      <c r="D355" s="660">
        <v>2</v>
      </c>
      <c r="E355" s="661">
        <f>FORNITURAS!D17</f>
        <v>45.05</v>
      </c>
      <c r="F355" s="664">
        <f>E355*2</f>
        <v>90.1</v>
      </c>
      <c r="G355" s="658"/>
    </row>
    <row r="356" spans="1:10" x14ac:dyDescent="0.2">
      <c r="A356" s="663" t="s">
        <v>1554</v>
      </c>
      <c r="B356" s="660"/>
      <c r="C356" s="660"/>
      <c r="D356" s="660">
        <v>2</v>
      </c>
      <c r="E356" s="661">
        <f>FORNITURAS!D26</f>
        <v>297.14285714285717</v>
      </c>
      <c r="F356" s="664">
        <f>E356*2</f>
        <v>594.28571428571433</v>
      </c>
      <c r="G356" s="658"/>
    </row>
    <row r="357" spans="1:10" x14ac:dyDescent="0.2">
      <c r="A357" s="663" t="s">
        <v>3096</v>
      </c>
      <c r="B357" s="660"/>
      <c r="C357" s="660"/>
      <c r="D357" s="660">
        <v>1</v>
      </c>
      <c r="E357" s="661">
        <f>FORNITURAS!D18</f>
        <v>363</v>
      </c>
      <c r="F357" s="662">
        <f>E357*D357</f>
        <v>363</v>
      </c>
      <c r="G357" s="658"/>
    </row>
    <row r="358" spans="1:10" x14ac:dyDescent="0.2">
      <c r="A358" s="663" t="s">
        <v>908</v>
      </c>
      <c r="B358" s="660"/>
      <c r="C358" s="660">
        <v>0.5</v>
      </c>
      <c r="D358" s="660">
        <v>0.06</v>
      </c>
      <c r="E358" s="661">
        <f>'AROS, CADENAS, DIJES, ETC'!I38</f>
        <v>3630</v>
      </c>
      <c r="F358" s="662">
        <f>E358*D358/C358</f>
        <v>435.59999999999997</v>
      </c>
      <c r="G358" s="658"/>
    </row>
    <row r="359" spans="1:10" x14ac:dyDescent="0.2">
      <c r="A359" s="1736" t="s">
        <v>1555</v>
      </c>
      <c r="B359" s="660" t="s">
        <v>1556</v>
      </c>
      <c r="C359" s="660"/>
      <c r="D359" s="660">
        <v>1</v>
      </c>
      <c r="E359" s="661">
        <f>FORNITURAS!D4</f>
        <v>48.7</v>
      </c>
      <c r="F359" s="662">
        <f>E359*D359</f>
        <v>48.7</v>
      </c>
      <c r="G359" s="658"/>
    </row>
    <row r="360" spans="1:10" x14ac:dyDescent="0.2">
      <c r="A360" s="1737"/>
      <c r="B360" s="660" t="s">
        <v>1573</v>
      </c>
      <c r="C360" s="660"/>
      <c r="D360" s="660">
        <v>2</v>
      </c>
      <c r="E360" s="661">
        <f>FORNITURAS!D7</f>
        <v>52</v>
      </c>
      <c r="F360" s="662">
        <f>E360*D360</f>
        <v>104</v>
      </c>
      <c r="G360" s="658"/>
    </row>
    <row r="361" spans="1:10" x14ac:dyDescent="0.2">
      <c r="A361" s="666" t="s">
        <v>1557</v>
      </c>
      <c r="B361" s="660"/>
      <c r="C361" s="660"/>
      <c r="D361" s="660"/>
      <c r="E361" s="661"/>
      <c r="F361" s="667">
        <f>PACKAGING!E4</f>
        <v>80</v>
      </c>
      <c r="G361" s="658"/>
    </row>
    <row r="362" spans="1:10" x14ac:dyDescent="0.2">
      <c r="A362" s="666" t="s">
        <v>1634</v>
      </c>
      <c r="B362" s="660"/>
      <c r="C362" s="660"/>
      <c r="D362" s="660"/>
      <c r="E362" s="661"/>
      <c r="F362" s="667">
        <f>PACKAGING!E7</f>
        <v>170</v>
      </c>
      <c r="G362" s="658"/>
    </row>
    <row r="363" spans="1:10" x14ac:dyDescent="0.2">
      <c r="A363" s="666" t="s">
        <v>1670</v>
      </c>
      <c r="B363" s="660"/>
      <c r="C363" s="660"/>
      <c r="D363" s="660"/>
      <c r="E363" s="661"/>
      <c r="F363" s="667">
        <f>PACKAGING!E9</f>
        <v>450</v>
      </c>
      <c r="G363" s="658"/>
    </row>
    <row r="364" spans="1:10" x14ac:dyDescent="0.2">
      <c r="A364" s="683" t="s">
        <v>1618</v>
      </c>
      <c r="B364" s="660"/>
      <c r="C364" s="660">
        <v>60</v>
      </c>
      <c r="D364" s="660">
        <v>25</v>
      </c>
      <c r="E364" s="668">
        <f>'INSUMOS VARIOS'!B3</f>
        <v>3500</v>
      </c>
      <c r="F364" s="669">
        <f>E364*D364/C364</f>
        <v>1458.3333333333333</v>
      </c>
      <c r="G364" s="658" t="s">
        <v>3023</v>
      </c>
    </row>
    <row r="365" spans="1:10" ht="15.75" thickBot="1" x14ac:dyDescent="0.25">
      <c r="A365" s="670" t="s">
        <v>525</v>
      </c>
      <c r="B365" s="671"/>
      <c r="C365" s="671"/>
      <c r="D365" s="671"/>
      <c r="E365" s="672"/>
      <c r="F365" s="673">
        <f>SUM(F353:F364)</f>
        <v>7753.6911787665886</v>
      </c>
      <c r="G365" s="698">
        <f>F365+I366</f>
        <v>34961.241186572988</v>
      </c>
      <c r="H365" s="1112" t="s">
        <v>2028</v>
      </c>
      <c r="I365" s="1112" t="s">
        <v>2029</v>
      </c>
    </row>
    <row r="366" spans="1:10" ht="16.5" thickBot="1" x14ac:dyDescent="0.25">
      <c r="A366" s="675" t="s">
        <v>544</v>
      </c>
      <c r="B366" s="676"/>
      <c r="C366" s="676"/>
      <c r="D366" s="676"/>
      <c r="E366" s="677"/>
      <c r="F366" s="786">
        <f>F365*2</f>
        <v>15507.382357533177</v>
      </c>
      <c r="G366" s="693">
        <f>F366+F366*70%</f>
        <v>26362.5500078064</v>
      </c>
      <c r="H366" s="1113">
        <f>PACKAGING!I3</f>
        <v>2433</v>
      </c>
      <c r="I366" s="1114">
        <f>G366+H367+H368</f>
        <v>27207.5500078064</v>
      </c>
      <c r="J366" s="1117">
        <v>28000</v>
      </c>
    </row>
    <row r="367" spans="1:10" ht="15.75" thickBot="1" x14ac:dyDescent="0.25">
      <c r="A367" s="684" t="s">
        <v>1559</v>
      </c>
      <c r="B367" s="685"/>
      <c r="C367" s="685"/>
      <c r="D367" s="685"/>
      <c r="E367" s="686"/>
      <c r="F367" s="771"/>
      <c r="G367" s="694"/>
      <c r="H367" s="1115">
        <f>PACKAGING!I5</f>
        <v>845</v>
      </c>
      <c r="I367" s="1116"/>
    </row>
    <row r="368" spans="1:10" ht="15.75" thickBot="1" x14ac:dyDescent="0.25"/>
    <row r="369" spans="1:10" ht="15.75" x14ac:dyDescent="0.25">
      <c r="A369" s="1746" t="s">
        <v>3165</v>
      </c>
      <c r="B369" s="1747"/>
      <c r="C369" s="1747"/>
      <c r="D369" s="1747"/>
      <c r="E369" s="1747"/>
      <c r="F369" s="1748"/>
      <c r="I369" s="652"/>
      <c r="J369"/>
    </row>
    <row r="370" spans="1:10" ht="15.75" x14ac:dyDescent="0.25">
      <c r="A370" s="654" t="s">
        <v>916</v>
      </c>
      <c r="B370" s="655" t="s">
        <v>743</v>
      </c>
      <c r="C370" s="655" t="s">
        <v>1089</v>
      </c>
      <c r="D370" s="655" t="s">
        <v>1566</v>
      </c>
      <c r="E370" s="656" t="s">
        <v>1035</v>
      </c>
      <c r="F370" s="657" t="s">
        <v>1549</v>
      </c>
      <c r="G370" s="658"/>
      <c r="I370" s="652"/>
      <c r="J370"/>
    </row>
    <row r="371" spans="1:10" ht="15.75" x14ac:dyDescent="0.25">
      <c r="A371" s="659" t="s">
        <v>3103</v>
      </c>
      <c r="B371" s="660" t="s">
        <v>969</v>
      </c>
      <c r="C371" s="660"/>
      <c r="D371" s="660">
        <v>1.1000000000000001</v>
      </c>
      <c r="E371" s="661">
        <f>'HILOS-CORDONES-TANZA-CUERO'!E11</f>
        <v>210.25</v>
      </c>
      <c r="F371" s="662">
        <f>E371*D371</f>
        <v>231.27500000000001</v>
      </c>
      <c r="G371" s="658"/>
      <c r="I371" s="652"/>
      <c r="J371"/>
    </row>
    <row r="372" spans="1:10" ht="15.75" x14ac:dyDescent="0.25">
      <c r="A372" s="663" t="s">
        <v>3049</v>
      </c>
      <c r="B372" s="660"/>
      <c r="C372" s="660"/>
      <c r="D372" s="660">
        <v>1</v>
      </c>
      <c r="E372" s="661">
        <f>VIDRIOS!J59</f>
        <v>800</v>
      </c>
      <c r="F372" s="664">
        <f>E372*D372</f>
        <v>800</v>
      </c>
      <c r="G372" s="658"/>
      <c r="I372" s="652"/>
      <c r="J372"/>
    </row>
    <row r="373" spans="1:10" ht="15.75" x14ac:dyDescent="0.25">
      <c r="A373" s="769" t="s">
        <v>2255</v>
      </c>
      <c r="B373" s="660"/>
      <c r="C373" s="660"/>
      <c r="D373" s="660">
        <v>2</v>
      </c>
      <c r="E373" s="661">
        <f>FORNITURAS!I11</f>
        <v>155.42857142857142</v>
      </c>
      <c r="F373" s="662">
        <f>D373*E373</f>
        <v>310.85714285714283</v>
      </c>
      <c r="G373" s="658"/>
      <c r="I373" s="652"/>
      <c r="J373"/>
    </row>
    <row r="374" spans="1:10" ht="15.75" x14ac:dyDescent="0.25">
      <c r="A374" s="820" t="s">
        <v>3118</v>
      </c>
      <c r="B374" s="660">
        <v>0.41</v>
      </c>
      <c r="C374" s="660"/>
      <c r="D374" s="660">
        <v>1</v>
      </c>
      <c r="E374" s="661">
        <f>PERLAS!F34</f>
        <v>132.0754716981132</v>
      </c>
      <c r="F374" s="662">
        <f>E374</f>
        <v>132.0754716981132</v>
      </c>
      <c r="G374" s="658"/>
      <c r="I374" s="652"/>
      <c r="J374"/>
    </row>
    <row r="375" spans="1:10" ht="15.75" x14ac:dyDescent="0.25">
      <c r="A375" s="820" t="s">
        <v>3117</v>
      </c>
      <c r="B375" s="660" t="s">
        <v>1744</v>
      </c>
      <c r="C375" s="660"/>
      <c r="D375" s="660"/>
      <c r="E375" s="661">
        <f>FORNITURAS!D15</f>
        <v>142</v>
      </c>
      <c r="F375" s="662">
        <f>E375</f>
        <v>142</v>
      </c>
      <c r="G375" s="658"/>
      <c r="I375" s="652"/>
      <c r="J375"/>
    </row>
    <row r="376" spans="1:10" ht="15.75" x14ac:dyDescent="0.25">
      <c r="A376" s="820" t="s">
        <v>2001</v>
      </c>
      <c r="B376" s="660"/>
      <c r="C376" s="660">
        <v>0.5</v>
      </c>
      <c r="D376" s="660">
        <v>0.1</v>
      </c>
      <c r="E376" s="661">
        <f>'AROS, CADENAS, DIJES, ETC'!I56</f>
        <v>2614</v>
      </c>
      <c r="F376" s="662">
        <f>D376*E376/C376</f>
        <v>522.80000000000007</v>
      </c>
      <c r="G376" s="658"/>
      <c r="I376" s="652"/>
      <c r="J376"/>
    </row>
    <row r="377" spans="1:10" ht="15.75" x14ac:dyDescent="0.25">
      <c r="A377" s="820" t="s">
        <v>1587</v>
      </c>
      <c r="B377" s="660"/>
      <c r="C377" s="660"/>
      <c r="D377" s="660">
        <v>1</v>
      </c>
      <c r="E377" s="661">
        <f>FORNITURAS!D18</f>
        <v>363</v>
      </c>
      <c r="F377" s="662">
        <f>E377*D377</f>
        <v>363</v>
      </c>
      <c r="G377" s="658"/>
      <c r="I377" s="652"/>
      <c r="J377"/>
    </row>
    <row r="378" spans="1:10" ht="15.75" x14ac:dyDescent="0.25">
      <c r="A378" s="820" t="s">
        <v>3109</v>
      </c>
      <c r="B378" s="660"/>
      <c r="C378" s="660"/>
      <c r="D378" s="660">
        <v>2</v>
      </c>
      <c r="E378" s="661">
        <f>FORNITURAS!D4</f>
        <v>48.7</v>
      </c>
      <c r="F378" s="662">
        <f>E378*D378</f>
        <v>97.4</v>
      </c>
      <c r="G378" s="658"/>
      <c r="I378" s="652"/>
      <c r="J378"/>
    </row>
    <row r="379" spans="1:10" ht="15.75" x14ac:dyDescent="0.25">
      <c r="A379" s="820" t="s">
        <v>1537</v>
      </c>
      <c r="B379" s="660"/>
      <c r="C379" s="660"/>
      <c r="D379" s="660"/>
      <c r="E379" s="661"/>
      <c r="F379" s="662">
        <f>PACKAGING!E7</f>
        <v>170</v>
      </c>
      <c r="G379" s="658"/>
      <c r="I379" s="652"/>
      <c r="J379"/>
    </row>
    <row r="380" spans="1:10" ht="15.75" x14ac:dyDescent="0.25">
      <c r="A380" s="666" t="s">
        <v>1746</v>
      </c>
      <c r="B380" s="660"/>
      <c r="C380" s="660"/>
      <c r="D380" s="660"/>
      <c r="E380" s="661"/>
      <c r="F380" s="662">
        <v>20</v>
      </c>
      <c r="G380" s="658"/>
      <c r="I380" s="652"/>
      <c r="J380"/>
    </row>
    <row r="381" spans="1:10" ht="15.75" x14ac:dyDescent="0.25">
      <c r="A381" s="666" t="s">
        <v>1557</v>
      </c>
      <c r="B381" s="660"/>
      <c r="C381" s="660"/>
      <c r="D381" s="660"/>
      <c r="E381" s="661"/>
      <c r="F381" s="662">
        <f>PACKAGING!E4</f>
        <v>80</v>
      </c>
      <c r="G381" s="658"/>
      <c r="I381" s="652"/>
      <c r="J381"/>
    </row>
    <row r="382" spans="1:10" ht="15.75" x14ac:dyDescent="0.25">
      <c r="A382" s="663" t="s">
        <v>1618</v>
      </c>
      <c r="B382" s="660"/>
      <c r="C382" s="660">
        <v>60</v>
      </c>
      <c r="D382" s="660">
        <v>30</v>
      </c>
      <c r="E382" s="668">
        <f>'INSUMOS VARIOS'!B3</f>
        <v>3500</v>
      </c>
      <c r="F382" s="669">
        <f>E382*D382/C382</f>
        <v>1750</v>
      </c>
      <c r="G382" s="1" t="s">
        <v>3023</v>
      </c>
      <c r="I382" s="652"/>
      <c r="J382"/>
    </row>
    <row r="383" spans="1:10" ht="16.5" thickBot="1" x14ac:dyDescent="0.3">
      <c r="A383" s="670" t="s">
        <v>525</v>
      </c>
      <c r="B383" s="671"/>
      <c r="C383" s="671"/>
      <c r="D383" s="671"/>
      <c r="E383" s="672"/>
      <c r="F383" s="673">
        <f>SUM(F371:F382)</f>
        <v>4619.4076145552563</v>
      </c>
      <c r="G383" s="698">
        <f>(F383+H384+H385)</f>
        <v>7897.4076145552563</v>
      </c>
      <c r="H383" s="658" t="s">
        <v>2028</v>
      </c>
      <c r="I383" s="674" t="s">
        <v>2029</v>
      </c>
      <c r="J383"/>
    </row>
    <row r="384" spans="1:10" ht="16.5" thickBot="1" x14ac:dyDescent="0.25">
      <c r="A384" s="675" t="s">
        <v>544</v>
      </c>
      <c r="B384" s="676"/>
      <c r="C384" s="676"/>
      <c r="D384" s="676"/>
      <c r="E384" s="677"/>
      <c r="F384" s="678">
        <f>F383*2</f>
        <v>9238.8152291105125</v>
      </c>
      <c r="G384" s="679">
        <f>F384+F384*50%</f>
        <v>13858.222843665768</v>
      </c>
      <c r="H384" s="680">
        <f>PACKAGING!I3</f>
        <v>2433</v>
      </c>
      <c r="I384" s="681">
        <f>G384+H384+H385</f>
        <v>17136.222843665768</v>
      </c>
      <c r="J384" s="956">
        <v>11500</v>
      </c>
    </row>
    <row r="385" spans="1:10" ht="16.5" thickBot="1" x14ac:dyDescent="0.3">
      <c r="A385" s="684" t="s">
        <v>1559</v>
      </c>
      <c r="B385" s="685"/>
      <c r="C385" s="685"/>
      <c r="D385" s="685"/>
      <c r="E385" s="686"/>
      <c r="F385" s="687"/>
      <c r="G385" s="688"/>
      <c r="H385" s="680">
        <f>PACKAGING!I5</f>
        <v>845</v>
      </c>
      <c r="I385"/>
      <c r="J385" s="956">
        <f>J384*2</f>
        <v>23000</v>
      </c>
    </row>
    <row r="387" spans="1:10" ht="15.75" thickBot="1" x14ac:dyDescent="0.25"/>
    <row r="388" spans="1:10" ht="15.75" thickBot="1" x14ac:dyDescent="0.25">
      <c r="A388" s="1738" t="s">
        <v>162</v>
      </c>
      <c r="B388" s="1739"/>
      <c r="C388" s="1739"/>
      <c r="D388" s="1739"/>
      <c r="E388" s="1740"/>
    </row>
    <row r="389" spans="1:10" x14ac:dyDescent="0.2">
      <c r="A389" s="654" t="s">
        <v>916</v>
      </c>
      <c r="B389" s="655" t="s">
        <v>743</v>
      </c>
      <c r="C389" s="655" t="s">
        <v>1566</v>
      </c>
      <c r="D389" s="656" t="s">
        <v>1035</v>
      </c>
      <c r="E389" s="657" t="s">
        <v>1549</v>
      </c>
      <c r="F389" s="658"/>
    </row>
    <row r="390" spans="1:10" x14ac:dyDescent="0.2">
      <c r="A390" s="659" t="s">
        <v>2082</v>
      </c>
      <c r="B390" s="660">
        <v>0.38</v>
      </c>
      <c r="C390" s="660">
        <v>0.35</v>
      </c>
      <c r="D390" s="661">
        <f>'PALAIS DU BIJOU'!E33</f>
        <v>3200</v>
      </c>
      <c r="E390" s="662">
        <f>D390*C390/B390</f>
        <v>2947.3684210526317</v>
      </c>
      <c r="F390" s="658"/>
    </row>
    <row r="391" spans="1:10" x14ac:dyDescent="0.2">
      <c r="A391" s="1736" t="s">
        <v>1572</v>
      </c>
      <c r="B391" s="660" t="s">
        <v>1556</v>
      </c>
      <c r="C391" s="660">
        <v>2</v>
      </c>
      <c r="D391" s="661">
        <f>FORNITURAS!D4</f>
        <v>48.7</v>
      </c>
      <c r="E391" s="662">
        <f t="shared" ref="E391:E396" si="21">C391*D391</f>
        <v>97.4</v>
      </c>
      <c r="F391" s="658"/>
    </row>
    <row r="392" spans="1:10" x14ac:dyDescent="0.2">
      <c r="A392" s="1737"/>
      <c r="B392" s="660" t="s">
        <v>1573</v>
      </c>
      <c r="C392" s="660">
        <v>1</v>
      </c>
      <c r="D392" s="661">
        <f>FORNITURAS!D7</f>
        <v>52</v>
      </c>
      <c r="E392" s="662">
        <f t="shared" si="21"/>
        <v>52</v>
      </c>
      <c r="F392" s="658"/>
    </row>
    <row r="393" spans="1:10" x14ac:dyDescent="0.2">
      <c r="A393" s="665" t="s">
        <v>1554</v>
      </c>
      <c r="B393" s="660" t="s">
        <v>777</v>
      </c>
      <c r="C393" s="660">
        <v>2</v>
      </c>
      <c r="D393" s="661">
        <f>FORNITURAS!D24</f>
        <v>34.666666666666664</v>
      </c>
      <c r="E393" s="662">
        <f t="shared" si="21"/>
        <v>69.333333333333329</v>
      </c>
      <c r="F393" s="658"/>
    </row>
    <row r="394" spans="1:10" x14ac:dyDescent="0.2">
      <c r="A394" s="666" t="s">
        <v>1012</v>
      </c>
      <c r="B394" s="660"/>
      <c r="C394" s="660">
        <v>2</v>
      </c>
      <c r="D394" s="661">
        <f>FORNITURAS!D17</f>
        <v>45.05</v>
      </c>
      <c r="E394" s="662">
        <f t="shared" si="21"/>
        <v>90.1</v>
      </c>
      <c r="F394" s="658"/>
    </row>
    <row r="395" spans="1:10" x14ac:dyDescent="0.2">
      <c r="A395" s="666" t="s">
        <v>1608</v>
      </c>
      <c r="B395" s="660"/>
      <c r="C395" s="660">
        <v>0.1</v>
      </c>
      <c r="D395" s="661">
        <f>'AROS, CADENAS, DIJES, ETC'!I38</f>
        <v>3630</v>
      </c>
      <c r="E395" s="662">
        <f t="shared" si="21"/>
        <v>363</v>
      </c>
      <c r="F395" s="658"/>
    </row>
    <row r="396" spans="1:10" x14ac:dyDescent="0.2">
      <c r="A396" s="666" t="s">
        <v>1587</v>
      </c>
      <c r="B396" s="660"/>
      <c r="C396" s="660">
        <v>1</v>
      </c>
      <c r="D396" s="661">
        <f>FORNITURAS!D18</f>
        <v>363</v>
      </c>
      <c r="E396" s="662">
        <f t="shared" si="21"/>
        <v>363</v>
      </c>
      <c r="F396" s="658"/>
    </row>
    <row r="397" spans="1:10" x14ac:dyDescent="0.2">
      <c r="A397" s="666" t="s">
        <v>1557</v>
      </c>
      <c r="B397" s="660"/>
      <c r="C397" s="660"/>
      <c r="D397" s="661"/>
      <c r="E397" s="667">
        <f>PACKAGING!E3</f>
        <v>150</v>
      </c>
      <c r="G397" s="658"/>
    </row>
    <row r="398" spans="1:10" x14ac:dyDescent="0.2">
      <c r="A398" s="666" t="s">
        <v>1634</v>
      </c>
      <c r="B398" s="660"/>
      <c r="C398" s="660"/>
      <c r="D398" s="661"/>
      <c r="E398" s="667">
        <f>PACKAGING!E7</f>
        <v>170</v>
      </c>
      <c r="G398" s="658"/>
    </row>
    <row r="399" spans="1:10" x14ac:dyDescent="0.2">
      <c r="A399" s="666" t="s">
        <v>1670</v>
      </c>
      <c r="B399" s="660"/>
      <c r="C399" s="660"/>
      <c r="D399" s="661"/>
      <c r="E399" s="667">
        <f>PACKAGING!E9</f>
        <v>450</v>
      </c>
      <c r="G399" s="658"/>
    </row>
    <row r="400" spans="1:10" x14ac:dyDescent="0.2">
      <c r="A400" s="683" t="s">
        <v>1618</v>
      </c>
      <c r="B400" s="660">
        <v>60</v>
      </c>
      <c r="C400" s="660">
        <v>20</v>
      </c>
      <c r="D400" s="668">
        <f>'INSUMOS VARIOS'!B3</f>
        <v>3500</v>
      </c>
      <c r="E400" s="669">
        <f>D400*C400/B400</f>
        <v>1166.6666666666667</v>
      </c>
      <c r="G400" s="658"/>
    </row>
    <row r="401" spans="1:8" ht="15.75" thickBot="1" x14ac:dyDescent="0.25">
      <c r="A401" s="670" t="s">
        <v>525</v>
      </c>
      <c r="B401" s="671"/>
      <c r="C401" s="671"/>
      <c r="D401" s="672"/>
      <c r="E401" s="673">
        <f>SUM(E390:E400)</f>
        <v>5918.8684210526326</v>
      </c>
      <c r="F401" s="658"/>
    </row>
    <row r="402" spans="1:8" ht="16.5" thickBot="1" x14ac:dyDescent="0.25">
      <c r="A402" s="675" t="s">
        <v>544</v>
      </c>
      <c r="B402" s="676"/>
      <c r="C402" s="676"/>
      <c r="D402" s="677"/>
      <c r="E402" s="692">
        <f>E401*2</f>
        <v>11837.736842105265</v>
      </c>
      <c r="F402" s="693">
        <f>E402+E402*70%</f>
        <v>20124.152631578952</v>
      </c>
      <c r="G402" s="770">
        <v>24000</v>
      </c>
    </row>
    <row r="403" spans="1:8" ht="16.5" thickBot="1" x14ac:dyDescent="0.25">
      <c r="A403" s="684" t="s">
        <v>1559</v>
      </c>
      <c r="B403" s="685"/>
      <c r="C403" s="685"/>
      <c r="D403" s="686"/>
      <c r="E403" s="686"/>
      <c r="F403" s="694"/>
      <c r="G403" s="770"/>
    </row>
    <row r="404" spans="1:8" ht="15.75" thickBot="1" x14ac:dyDescent="0.25"/>
    <row r="405" spans="1:8" ht="16.5" thickBot="1" x14ac:dyDescent="0.3">
      <c r="A405" s="1565" t="s">
        <v>359</v>
      </c>
      <c r="B405" s="1566"/>
      <c r="C405" s="1566"/>
      <c r="D405" s="1566"/>
      <c r="E405" s="1566"/>
      <c r="F405" s="1567"/>
      <c r="G405" s="171"/>
      <c r="H405" s="171"/>
    </row>
    <row r="406" spans="1:8" ht="15.75" x14ac:dyDescent="0.25">
      <c r="A406" s="183" t="s">
        <v>916</v>
      </c>
      <c r="B406" s="97" t="s">
        <v>743</v>
      </c>
      <c r="C406" s="97" t="s">
        <v>1607</v>
      </c>
      <c r="D406" s="97" t="s">
        <v>1566</v>
      </c>
      <c r="E406" s="76" t="s">
        <v>1035</v>
      </c>
      <c r="F406" s="77" t="s">
        <v>1549</v>
      </c>
      <c r="G406" s="171"/>
      <c r="H406" s="171"/>
    </row>
    <row r="407" spans="1:8" ht="15.75" x14ac:dyDescent="0.25">
      <c r="A407" s="184" t="s">
        <v>1992</v>
      </c>
      <c r="B407" s="98"/>
      <c r="C407" s="98">
        <v>0.21</v>
      </c>
      <c r="D407" s="98">
        <v>0.28499999999999998</v>
      </c>
      <c r="E407" s="102">
        <f>VIDRIOS!D12</f>
        <v>1430</v>
      </c>
      <c r="F407" s="39">
        <f>E407*D407/C407</f>
        <v>1940.7142857142856</v>
      </c>
      <c r="G407" s="1"/>
      <c r="H407" s="171"/>
    </row>
    <row r="408" spans="1:8" ht="15.75" x14ac:dyDescent="0.25">
      <c r="A408" s="184" t="s">
        <v>1458</v>
      </c>
      <c r="B408" s="98"/>
      <c r="C408" s="98"/>
      <c r="D408" s="98">
        <v>8</v>
      </c>
      <c r="E408" s="102">
        <f>VIDRIOS!E8</f>
        <v>8.9473684210526319</v>
      </c>
      <c r="F408" s="39">
        <f>E408*D408</f>
        <v>71.578947368421055</v>
      </c>
      <c r="G408" s="1"/>
      <c r="H408" s="171"/>
    </row>
    <row r="409" spans="1:8" ht="15.75" x14ac:dyDescent="0.25">
      <c r="A409" s="1613" t="s">
        <v>1555</v>
      </c>
      <c r="B409" s="98" t="s">
        <v>1556</v>
      </c>
      <c r="C409" s="98"/>
      <c r="D409" s="98">
        <v>2</v>
      </c>
      <c r="E409" s="102">
        <f>FORNITURAS!D4</f>
        <v>48.7</v>
      </c>
      <c r="F409" s="39">
        <f>E409*D409</f>
        <v>97.4</v>
      </c>
      <c r="G409" s="1"/>
      <c r="H409" s="171"/>
    </row>
    <row r="410" spans="1:8" ht="15.75" x14ac:dyDescent="0.25">
      <c r="A410" s="1615"/>
      <c r="B410" s="98" t="s">
        <v>1573</v>
      </c>
      <c r="C410" s="98"/>
      <c r="D410" s="98">
        <v>1</v>
      </c>
      <c r="E410" s="102">
        <f>FORNITURAS!D7</f>
        <v>52</v>
      </c>
      <c r="F410" s="39">
        <f>E410*D410</f>
        <v>52</v>
      </c>
      <c r="G410" s="1"/>
      <c r="H410" s="171"/>
    </row>
    <row r="411" spans="1:8" ht="15.75" x14ac:dyDescent="0.25">
      <c r="A411" s="184" t="s">
        <v>1554</v>
      </c>
      <c r="B411" s="98" t="s">
        <v>777</v>
      </c>
      <c r="C411" s="98"/>
      <c r="D411" s="98">
        <v>2</v>
      </c>
      <c r="E411" s="102">
        <f>FORNITURAS!D26</f>
        <v>297.14285714285717</v>
      </c>
      <c r="F411" s="39">
        <v>21.2</v>
      </c>
      <c r="G411" s="1"/>
      <c r="H411" s="171"/>
    </row>
    <row r="412" spans="1:8" ht="15.75" x14ac:dyDescent="0.25">
      <c r="A412" s="184" t="s">
        <v>1587</v>
      </c>
      <c r="B412" s="98"/>
      <c r="C412" s="98"/>
      <c r="D412" s="98">
        <v>1</v>
      </c>
      <c r="E412" s="102">
        <f>FORNITURAS!D18</f>
        <v>363</v>
      </c>
      <c r="F412" s="39">
        <f>E412*D412</f>
        <v>363</v>
      </c>
      <c r="G412" s="1"/>
      <c r="H412" s="171"/>
    </row>
    <row r="413" spans="1:8" ht="15.75" x14ac:dyDescent="0.25">
      <c r="A413" s="184" t="s">
        <v>1012</v>
      </c>
      <c r="B413" s="98"/>
      <c r="C413" s="98"/>
      <c r="D413" s="98">
        <v>2</v>
      </c>
      <c r="E413" s="102">
        <f>FORNITURAS!D17</f>
        <v>45.05</v>
      </c>
      <c r="F413" s="39">
        <f>E413*D413</f>
        <v>90.1</v>
      </c>
      <c r="G413" s="1"/>
      <c r="H413" s="171"/>
    </row>
    <row r="414" spans="1:8" ht="15.75" x14ac:dyDescent="0.25">
      <c r="A414" s="184" t="s">
        <v>1424</v>
      </c>
      <c r="B414" s="98"/>
      <c r="C414" s="98">
        <v>0.47</v>
      </c>
      <c r="D414" s="98">
        <v>1</v>
      </c>
      <c r="E414" s="102">
        <f>'HILOS-CORDONES-TANZA-CUERO'!L9</f>
        <v>30</v>
      </c>
      <c r="F414" s="39">
        <v>6.02</v>
      </c>
      <c r="G414" s="1"/>
      <c r="H414" s="171"/>
    </row>
    <row r="415" spans="1:8" ht="15.75" x14ac:dyDescent="0.25">
      <c r="A415" s="184" t="s">
        <v>1608</v>
      </c>
      <c r="B415" s="98"/>
      <c r="C415" s="98">
        <v>0.1</v>
      </c>
      <c r="D415" s="98">
        <v>1</v>
      </c>
      <c r="E415" s="102">
        <f>'AROS, CADENAS, DIJES, ETC'!I38</f>
        <v>3630</v>
      </c>
      <c r="F415" s="39">
        <f>E415*C415*D415</f>
        <v>363</v>
      </c>
      <c r="G415" s="1"/>
      <c r="H415" s="171"/>
    </row>
    <row r="416" spans="1:8" ht="15.75" x14ac:dyDescent="0.25">
      <c r="A416" s="3" t="s">
        <v>1557</v>
      </c>
      <c r="B416" s="98"/>
      <c r="C416" s="98"/>
      <c r="D416" s="98"/>
      <c r="E416" s="2"/>
      <c r="F416" s="39">
        <f>PACKAGING!E4</f>
        <v>80</v>
      </c>
      <c r="G416" s="1"/>
      <c r="H416" s="171"/>
    </row>
    <row r="417" spans="1:10" ht="15.75" x14ac:dyDescent="0.25">
      <c r="A417" s="104" t="s">
        <v>1634</v>
      </c>
      <c r="B417" s="98"/>
      <c r="C417" s="98"/>
      <c r="D417" s="98"/>
      <c r="E417" s="2"/>
      <c r="F417" s="39">
        <f>PACKAGING!E7</f>
        <v>170</v>
      </c>
      <c r="G417" s="1"/>
      <c r="H417" s="171"/>
    </row>
    <row r="418" spans="1:10" ht="15.75" x14ac:dyDescent="0.25">
      <c r="A418" s="104" t="s">
        <v>1538</v>
      </c>
      <c r="B418" s="98"/>
      <c r="C418" s="98"/>
      <c r="D418" s="98"/>
      <c r="E418" s="2"/>
      <c r="F418" s="39">
        <f>PACKAGING!E9</f>
        <v>450</v>
      </c>
      <c r="G418" s="1"/>
      <c r="H418" s="171"/>
    </row>
    <row r="419" spans="1:10" ht="15.75" x14ac:dyDescent="0.25">
      <c r="A419" s="104" t="s">
        <v>1558</v>
      </c>
      <c r="B419" s="98">
        <v>60</v>
      </c>
      <c r="C419" s="98"/>
      <c r="D419" s="98">
        <v>20</v>
      </c>
      <c r="E419" s="102">
        <f>'INSUMOS VARIOS'!B3</f>
        <v>3500</v>
      </c>
      <c r="F419" s="39">
        <f>E419*D419/B419</f>
        <v>1166.6666666666667</v>
      </c>
      <c r="G419" s="1"/>
      <c r="H419" s="171"/>
    </row>
    <row r="420" spans="1:10" ht="16.5" thickBot="1" x14ac:dyDescent="0.3">
      <c r="A420" s="79" t="s">
        <v>525</v>
      </c>
      <c r="B420" s="99"/>
      <c r="C420" s="99"/>
      <c r="D420" s="99"/>
      <c r="E420" s="70"/>
      <c r="F420" s="51">
        <f>SUM(F407:F419)</f>
        <v>4871.6798997493734</v>
      </c>
      <c r="G420" s="1"/>
      <c r="H420" s="171"/>
    </row>
    <row r="421" spans="1:10" ht="15.75" x14ac:dyDescent="0.2">
      <c r="A421" s="80" t="s">
        <v>544</v>
      </c>
      <c r="B421" s="100"/>
      <c r="C421" s="100"/>
      <c r="D421" s="100"/>
      <c r="E421" s="71"/>
      <c r="F421" s="221">
        <f>F420*2</f>
        <v>9743.3597994987467</v>
      </c>
      <c r="G421" s="512">
        <f>F421+F421*50%</f>
        <v>14615.03969924812</v>
      </c>
      <c r="H421" s="203">
        <v>10000</v>
      </c>
    </row>
    <row r="422" spans="1:10" ht="16.5" thickBot="1" x14ac:dyDescent="0.25">
      <c r="A422" s="211" t="s">
        <v>1559</v>
      </c>
      <c r="B422" s="214"/>
      <c r="C422" s="214"/>
      <c r="D422" s="214"/>
      <c r="E422" s="212"/>
      <c r="F422" s="372"/>
      <c r="G422" s="522"/>
      <c r="H422" s="495">
        <f>H421*2</f>
        <v>20000</v>
      </c>
    </row>
    <row r="423" spans="1:10" ht="15.75" thickBot="1" x14ac:dyDescent="0.25"/>
    <row r="424" spans="1:10" ht="15.75" x14ac:dyDescent="0.25">
      <c r="A424" s="1746" t="s">
        <v>3223</v>
      </c>
      <c r="B424" s="1747"/>
      <c r="C424" s="1747"/>
      <c r="D424" s="1747"/>
      <c r="E424" s="1747"/>
      <c r="F424" s="1748"/>
      <c r="I424" s="652"/>
      <c r="J424"/>
    </row>
    <row r="425" spans="1:10" ht="15.75" x14ac:dyDescent="0.25">
      <c r="A425" s="654" t="s">
        <v>916</v>
      </c>
      <c r="B425" s="655" t="s">
        <v>743</v>
      </c>
      <c r="C425" s="655" t="s">
        <v>1089</v>
      </c>
      <c r="D425" s="655" t="s">
        <v>1566</v>
      </c>
      <c r="E425" s="656" t="s">
        <v>1035</v>
      </c>
      <c r="F425" s="657" t="s">
        <v>1549</v>
      </c>
      <c r="G425" s="658"/>
      <c r="I425" s="652"/>
      <c r="J425"/>
    </row>
    <row r="426" spans="1:10" ht="15.75" x14ac:dyDescent="0.25">
      <c r="A426" s="659" t="s">
        <v>3171</v>
      </c>
      <c r="B426" s="660"/>
      <c r="C426" s="660"/>
      <c r="D426" s="660">
        <v>0.8</v>
      </c>
      <c r="E426" s="661">
        <f>'HILOS-CORDONES-TANZA-CUERO'!E36</f>
        <v>329</v>
      </c>
      <c r="F426" s="662">
        <f>E426*D426</f>
        <v>263.2</v>
      </c>
      <c r="G426" s="658"/>
      <c r="I426" s="652"/>
      <c r="J426"/>
    </row>
    <row r="427" spans="1:10" ht="15.75" x14ac:dyDescent="0.25">
      <c r="A427" s="769" t="s">
        <v>3172</v>
      </c>
      <c r="B427" s="660" t="s">
        <v>1474</v>
      </c>
      <c r="C427" s="660"/>
      <c r="D427" s="660">
        <v>21</v>
      </c>
      <c r="E427" s="661">
        <f>PIEDRAS!F134</f>
        <v>280.43478260869563</v>
      </c>
      <c r="F427" s="664">
        <f>E427*D427</f>
        <v>5889.1304347826081</v>
      </c>
      <c r="G427" s="658"/>
      <c r="I427" s="652"/>
      <c r="J427"/>
    </row>
    <row r="428" spans="1:10" ht="15.75" x14ac:dyDescent="0.25">
      <c r="A428" s="820" t="s">
        <v>2001</v>
      </c>
      <c r="B428" s="660"/>
      <c r="C428" s="660">
        <v>0.5</v>
      </c>
      <c r="D428" s="660">
        <v>0.1</v>
      </c>
      <c r="E428" s="661">
        <f>'AROS, CADENAS, DIJES, ETC'!I56</f>
        <v>2614</v>
      </c>
      <c r="F428" s="662">
        <f>E428*D428/C428</f>
        <v>522.80000000000007</v>
      </c>
      <c r="G428" s="658"/>
      <c r="I428" s="652"/>
      <c r="J428"/>
    </row>
    <row r="429" spans="1:10" ht="15.75" x14ac:dyDescent="0.25">
      <c r="A429" s="820" t="s">
        <v>1587</v>
      </c>
      <c r="B429" s="660"/>
      <c r="C429" s="660"/>
      <c r="D429" s="660">
        <v>1</v>
      </c>
      <c r="E429" s="661">
        <f>FORNITURAS!D21</f>
        <v>1500</v>
      </c>
      <c r="F429" s="662">
        <f>E429*D429</f>
        <v>1500</v>
      </c>
      <c r="G429" s="658"/>
      <c r="I429" s="652"/>
      <c r="J429"/>
    </row>
    <row r="430" spans="1:10" ht="15.75" x14ac:dyDescent="0.25">
      <c r="A430" s="820" t="s">
        <v>3173</v>
      </c>
      <c r="B430" s="660"/>
      <c r="C430" s="660"/>
      <c r="D430" s="660">
        <v>2</v>
      </c>
      <c r="E430" s="661">
        <f>FORNITURAS!D37</f>
        <v>299.5</v>
      </c>
      <c r="F430" s="662">
        <f>E430*D430</f>
        <v>599</v>
      </c>
      <c r="G430" s="658"/>
      <c r="I430" s="652"/>
      <c r="J430"/>
    </row>
    <row r="431" spans="1:10" ht="15.75" x14ac:dyDescent="0.25">
      <c r="A431" s="820" t="s">
        <v>3109</v>
      </c>
      <c r="B431" s="660"/>
      <c r="C431" s="660"/>
      <c r="D431" s="660">
        <v>1</v>
      </c>
      <c r="E431" s="661">
        <f>FORNITURAS!D8</f>
        <v>192.77777777777777</v>
      </c>
      <c r="F431" s="662">
        <f>E431*D431</f>
        <v>192.77777777777777</v>
      </c>
      <c r="G431" s="658"/>
      <c r="I431" s="652"/>
      <c r="J431"/>
    </row>
    <row r="432" spans="1:10" ht="15.75" x14ac:dyDescent="0.25">
      <c r="A432" s="820" t="s">
        <v>1537</v>
      </c>
      <c r="B432" s="660"/>
      <c r="C432" s="660"/>
      <c r="D432" s="660"/>
      <c r="E432" s="661"/>
      <c r="F432" s="662">
        <f>PACKAGING!E7</f>
        <v>170</v>
      </c>
      <c r="G432" s="658"/>
      <c r="I432" s="652"/>
      <c r="J432"/>
    </row>
    <row r="433" spans="1:10" ht="15.75" x14ac:dyDescent="0.25">
      <c r="A433" s="666" t="s">
        <v>1557</v>
      </c>
      <c r="B433" s="660"/>
      <c r="C433" s="660"/>
      <c r="D433" s="660"/>
      <c r="E433" s="661"/>
      <c r="F433" s="662">
        <f>PACKAGING!E4</f>
        <v>80</v>
      </c>
      <c r="G433" s="658"/>
      <c r="I433" s="652"/>
      <c r="J433"/>
    </row>
    <row r="434" spans="1:10" ht="15.75" x14ac:dyDescent="0.25">
      <c r="A434" s="663" t="s">
        <v>1618</v>
      </c>
      <c r="B434" s="660"/>
      <c r="C434" s="660">
        <v>60</v>
      </c>
      <c r="D434" s="660">
        <v>30</v>
      </c>
      <c r="E434" s="668">
        <f>'INSUMOS VARIOS'!B3</f>
        <v>3500</v>
      </c>
      <c r="F434" s="669">
        <f>E434*D434/C434</f>
        <v>1750</v>
      </c>
      <c r="G434" s="1" t="s">
        <v>3023</v>
      </c>
      <c r="I434" s="652"/>
      <c r="J434"/>
    </row>
    <row r="435" spans="1:10" ht="16.5" thickBot="1" x14ac:dyDescent="0.3">
      <c r="A435" s="670" t="s">
        <v>525</v>
      </c>
      <c r="B435" s="671"/>
      <c r="C435" s="671"/>
      <c r="D435" s="671"/>
      <c r="E435" s="672"/>
      <c r="F435" s="673">
        <f>SUM(F426:F434)</f>
        <v>10966.908212560385</v>
      </c>
      <c r="G435" s="698">
        <f>(F435+H436+H437)</f>
        <v>14669.908212560385</v>
      </c>
      <c r="H435" s="658" t="s">
        <v>2028</v>
      </c>
      <c r="I435" s="674" t="s">
        <v>2029</v>
      </c>
      <c r="J435"/>
    </row>
    <row r="436" spans="1:10" ht="16.5" thickBot="1" x14ac:dyDescent="0.25">
      <c r="A436" s="675" t="s">
        <v>544</v>
      </c>
      <c r="B436" s="676"/>
      <c r="C436" s="676"/>
      <c r="D436" s="676"/>
      <c r="E436" s="677"/>
      <c r="F436" s="678">
        <f>F435*2</f>
        <v>21933.816425120771</v>
      </c>
      <c r="G436" s="679">
        <f>F436+F436*70%</f>
        <v>37287.48792270531</v>
      </c>
      <c r="H436" s="680">
        <f>PACKAGING!I4</f>
        <v>2633</v>
      </c>
      <c r="I436" s="681">
        <f>G436+H436+H437</f>
        <v>40990.48792270531</v>
      </c>
      <c r="J436" s="956">
        <v>35000</v>
      </c>
    </row>
    <row r="437" spans="1:10" ht="16.5" thickBot="1" x14ac:dyDescent="0.3">
      <c r="A437" s="684" t="s">
        <v>1559</v>
      </c>
      <c r="B437" s="685"/>
      <c r="C437" s="685"/>
      <c r="D437" s="685"/>
      <c r="E437" s="686"/>
      <c r="F437" s="687"/>
      <c r="G437" s="688"/>
      <c r="H437" s="680">
        <f>PACKAGING!I6</f>
        <v>1070</v>
      </c>
      <c r="I437"/>
    </row>
    <row r="438" spans="1:10" ht="15.75" thickBot="1" x14ac:dyDescent="0.25"/>
    <row r="439" spans="1:10" ht="15.75" x14ac:dyDescent="0.25">
      <c r="A439" s="1746" t="s">
        <v>381</v>
      </c>
      <c r="B439" s="1747"/>
      <c r="C439" s="1747"/>
      <c r="D439" s="1747"/>
      <c r="E439" s="1747"/>
      <c r="F439" s="1748"/>
      <c r="I439" s="652"/>
      <c r="J439"/>
    </row>
    <row r="440" spans="1:10" ht="15.75" x14ac:dyDescent="0.25">
      <c r="A440" s="654" t="s">
        <v>916</v>
      </c>
      <c r="B440" s="655" t="s">
        <v>743</v>
      </c>
      <c r="C440" s="655" t="s">
        <v>1089</v>
      </c>
      <c r="D440" s="655" t="s">
        <v>1566</v>
      </c>
      <c r="E440" s="656" t="s">
        <v>1035</v>
      </c>
      <c r="F440" s="657" t="s">
        <v>1549</v>
      </c>
      <c r="G440" s="658"/>
      <c r="I440" s="652"/>
      <c r="J440"/>
    </row>
    <row r="441" spans="1:10" ht="15.75" x14ac:dyDescent="0.25">
      <c r="A441" s="659" t="s">
        <v>3174</v>
      </c>
      <c r="B441" s="660"/>
      <c r="C441" s="660"/>
      <c r="D441" s="660">
        <v>0.8</v>
      </c>
      <c r="E441" s="661">
        <f>'HILOS-CORDONES-TANZA-CUERO'!E23</f>
        <v>81.599999999999994</v>
      </c>
      <c r="F441" s="662">
        <f>E441*D441</f>
        <v>65.28</v>
      </c>
      <c r="G441" s="658"/>
      <c r="I441" s="652"/>
      <c r="J441"/>
    </row>
    <row r="442" spans="1:10" ht="15.75" x14ac:dyDescent="0.25">
      <c r="A442" s="769" t="s">
        <v>3175</v>
      </c>
      <c r="B442" s="660"/>
      <c r="C442" s="660"/>
      <c r="D442" s="660">
        <v>23</v>
      </c>
      <c r="E442" s="661">
        <f>'INSUMOS VARIOS'!D32</f>
        <v>20</v>
      </c>
      <c r="F442" s="664">
        <f>E442*D442</f>
        <v>460</v>
      </c>
      <c r="G442" s="658"/>
      <c r="I442" s="652"/>
      <c r="J442"/>
    </row>
    <row r="443" spans="1:10" ht="15.75" x14ac:dyDescent="0.25">
      <c r="A443" s="820" t="s">
        <v>2001</v>
      </c>
      <c r="B443" s="660"/>
      <c r="C443" s="660">
        <v>0.5</v>
      </c>
      <c r="D443" s="660">
        <v>0.1</v>
      </c>
      <c r="E443" s="661">
        <f>'AROS, CADENAS, DIJES, ETC'!I56</f>
        <v>2614</v>
      </c>
      <c r="F443" s="662">
        <f>E443*D443/C443</f>
        <v>522.80000000000007</v>
      </c>
      <c r="G443" s="658"/>
      <c r="I443" s="652"/>
      <c r="J443"/>
    </row>
    <row r="444" spans="1:10" ht="15.75" x14ac:dyDescent="0.25">
      <c r="A444" s="820" t="s">
        <v>1587</v>
      </c>
      <c r="B444" s="660"/>
      <c r="C444" s="660"/>
      <c r="D444" s="660">
        <v>1</v>
      </c>
      <c r="E444" s="661">
        <f>FORNITURAS!D21</f>
        <v>1500</v>
      </c>
      <c r="F444" s="662">
        <f>E444*D444</f>
        <v>1500</v>
      </c>
      <c r="G444" s="658"/>
      <c r="I444" s="652"/>
      <c r="J444"/>
    </row>
    <row r="445" spans="1:10" ht="15.75" x14ac:dyDescent="0.25">
      <c r="A445" s="820" t="s">
        <v>3173</v>
      </c>
      <c r="B445" s="660"/>
      <c r="C445" s="660"/>
      <c r="D445" s="660">
        <v>2</v>
      </c>
      <c r="E445" s="661">
        <f>FORNITURAS!D37</f>
        <v>299.5</v>
      </c>
      <c r="F445" s="662">
        <f>E445*D445</f>
        <v>599</v>
      </c>
      <c r="G445" s="658"/>
      <c r="I445" s="652"/>
      <c r="J445"/>
    </row>
    <row r="446" spans="1:10" ht="15.75" x14ac:dyDescent="0.25">
      <c r="A446" s="820" t="s">
        <v>3109</v>
      </c>
      <c r="B446" s="660"/>
      <c r="C446" s="660"/>
      <c r="D446" s="660">
        <v>1</v>
      </c>
      <c r="E446" s="661">
        <f>FORNITURAS!D8</f>
        <v>192.77777777777777</v>
      </c>
      <c r="F446" s="662">
        <f>E446*D446</f>
        <v>192.77777777777777</v>
      </c>
      <c r="G446" s="658"/>
      <c r="I446" s="652"/>
      <c r="J446"/>
    </row>
    <row r="447" spans="1:10" ht="15.75" x14ac:dyDescent="0.25">
      <c r="A447" s="820" t="s">
        <v>1537</v>
      </c>
      <c r="B447" s="660"/>
      <c r="C447" s="660"/>
      <c r="D447" s="660"/>
      <c r="E447" s="661"/>
      <c r="F447" s="662">
        <f>PACKAGING!E7</f>
        <v>170</v>
      </c>
      <c r="G447" s="658"/>
      <c r="I447" s="652"/>
      <c r="J447"/>
    </row>
    <row r="448" spans="1:10" ht="15.75" x14ac:dyDescent="0.25">
      <c r="A448" s="666" t="s">
        <v>1557</v>
      </c>
      <c r="B448" s="660"/>
      <c r="C448" s="660"/>
      <c r="D448" s="660"/>
      <c r="E448" s="661"/>
      <c r="F448" s="662">
        <f>PACKAGING!E4</f>
        <v>80</v>
      </c>
      <c r="G448" s="658"/>
      <c r="I448" s="652"/>
      <c r="J448"/>
    </row>
    <row r="449" spans="1:10" ht="15.75" x14ac:dyDescent="0.25">
      <c r="A449" s="663" t="s">
        <v>1618</v>
      </c>
      <c r="B449" s="660"/>
      <c r="C449" s="660">
        <v>60</v>
      </c>
      <c r="D449" s="660">
        <v>20</v>
      </c>
      <c r="E449" s="668">
        <f>'INSUMOS VARIOS'!B3</f>
        <v>3500</v>
      </c>
      <c r="F449" s="669">
        <f>E449*D449/C449</f>
        <v>1166.6666666666667</v>
      </c>
      <c r="G449" s="1" t="s">
        <v>3023</v>
      </c>
      <c r="I449" s="652"/>
      <c r="J449"/>
    </row>
    <row r="450" spans="1:10" ht="16.5" thickBot="1" x14ac:dyDescent="0.3">
      <c r="A450" s="670" t="s">
        <v>525</v>
      </c>
      <c r="B450" s="671"/>
      <c r="C450" s="671"/>
      <c r="D450" s="671"/>
      <c r="E450" s="672"/>
      <c r="F450" s="673">
        <f>SUM(F441:F449)</f>
        <v>4756.5244444444443</v>
      </c>
      <c r="G450" s="698">
        <f>(F450+H451+H452)</f>
        <v>8459.5244444444434</v>
      </c>
      <c r="H450" s="658" t="s">
        <v>2028</v>
      </c>
      <c r="I450" s="674" t="s">
        <v>2029</v>
      </c>
      <c r="J450"/>
    </row>
    <row r="451" spans="1:10" ht="16.5" thickBot="1" x14ac:dyDescent="0.25">
      <c r="A451" s="675" t="s">
        <v>544</v>
      </c>
      <c r="B451" s="676"/>
      <c r="C451" s="676"/>
      <c r="D451" s="676"/>
      <c r="E451" s="677"/>
      <c r="F451" s="678">
        <f>F450*2</f>
        <v>9513.0488888888885</v>
      </c>
      <c r="G451" s="679">
        <f>F451+F451*50%</f>
        <v>14269.573333333334</v>
      </c>
      <c r="H451" s="680">
        <f>PACKAGING!I4</f>
        <v>2633</v>
      </c>
      <c r="I451" s="681">
        <f>G451+H451+H452</f>
        <v>17972.573333333334</v>
      </c>
      <c r="J451" s="956">
        <v>12000</v>
      </c>
    </row>
    <row r="452" spans="1:10" ht="16.5" thickBot="1" x14ac:dyDescent="0.3">
      <c r="A452" s="684" t="s">
        <v>1559</v>
      </c>
      <c r="B452" s="685"/>
      <c r="C452" s="685"/>
      <c r="D452" s="685"/>
      <c r="E452" s="686"/>
      <c r="F452" s="687"/>
      <c r="G452" s="688"/>
      <c r="H452" s="680">
        <f>PACKAGING!I6</f>
        <v>1070</v>
      </c>
      <c r="I452"/>
      <c r="J452" s="956">
        <f>J451*2</f>
        <v>24000</v>
      </c>
    </row>
    <row r="453" spans="1:10" ht="15.75" thickBot="1" x14ac:dyDescent="0.25"/>
    <row r="454" spans="1:10" ht="15.75" thickBot="1" x14ac:dyDescent="0.25">
      <c r="A454" s="1738" t="s">
        <v>462</v>
      </c>
      <c r="B454" s="1739"/>
      <c r="C454" s="1739"/>
      <c r="D454" s="1739"/>
      <c r="E454" s="1740"/>
    </row>
    <row r="455" spans="1:10" x14ac:dyDescent="0.2">
      <c r="A455" s="654" t="s">
        <v>916</v>
      </c>
      <c r="B455" s="655" t="s">
        <v>743</v>
      </c>
      <c r="C455" s="655" t="s">
        <v>1566</v>
      </c>
      <c r="D455" s="656" t="s">
        <v>1035</v>
      </c>
      <c r="E455" s="657" t="s">
        <v>1549</v>
      </c>
      <c r="F455" s="658"/>
    </row>
    <row r="456" spans="1:10" x14ac:dyDescent="0.2">
      <c r="A456" s="659" t="s">
        <v>3176</v>
      </c>
      <c r="B456" s="660">
        <v>0.4</v>
      </c>
      <c r="C456" s="660">
        <v>0.375</v>
      </c>
      <c r="D456" s="661">
        <f>PIEDRAS!E59</f>
        <v>3300</v>
      </c>
      <c r="E456" s="662">
        <f>D456*C456/B456</f>
        <v>3093.75</v>
      </c>
      <c r="F456" s="658"/>
    </row>
    <row r="457" spans="1:10" x14ac:dyDescent="0.2">
      <c r="A457" s="1736" t="s">
        <v>1572</v>
      </c>
      <c r="B457" s="660" t="s">
        <v>1556</v>
      </c>
      <c r="C457" s="660">
        <v>2</v>
      </c>
      <c r="D457" s="661">
        <f>FORNITURAS!D4</f>
        <v>48.7</v>
      </c>
      <c r="E457" s="662">
        <f>C457*D457</f>
        <v>97.4</v>
      </c>
      <c r="F457" s="658"/>
    </row>
    <row r="458" spans="1:10" x14ac:dyDescent="0.2">
      <c r="A458" s="1737"/>
      <c r="B458" s="660" t="s">
        <v>1658</v>
      </c>
      <c r="C458" s="660">
        <v>1</v>
      </c>
      <c r="D458" s="661">
        <f>FORNITURAS!D8</f>
        <v>192.77777777777777</v>
      </c>
      <c r="E458" s="662">
        <f>C458*D458</f>
        <v>192.77777777777777</v>
      </c>
      <c r="F458" s="658"/>
    </row>
    <row r="459" spans="1:10" x14ac:dyDescent="0.2">
      <c r="A459" s="666" t="s">
        <v>3177</v>
      </c>
      <c r="B459" s="660"/>
      <c r="C459" s="660">
        <v>1</v>
      </c>
      <c r="D459" s="661">
        <f>'AROS, CADENAS, DIJES, ETC'!O20</f>
        <v>780</v>
      </c>
      <c r="E459" s="662">
        <f>D459</f>
        <v>780</v>
      </c>
      <c r="F459" s="658"/>
    </row>
    <row r="460" spans="1:10" x14ac:dyDescent="0.2">
      <c r="A460" s="665" t="s">
        <v>1554</v>
      </c>
      <c r="B460" s="660" t="s">
        <v>777</v>
      </c>
      <c r="C460" s="660">
        <v>2</v>
      </c>
      <c r="D460" s="661">
        <f>FORNITURAS!D26</f>
        <v>297.14285714285717</v>
      </c>
      <c r="E460" s="662">
        <f>C460*D460</f>
        <v>594.28571428571433</v>
      </c>
      <c r="F460" s="658"/>
    </row>
    <row r="461" spans="1:10" x14ac:dyDescent="0.2">
      <c r="A461" s="666" t="s">
        <v>1012</v>
      </c>
      <c r="B461" s="660"/>
      <c r="C461" s="660">
        <v>2</v>
      </c>
      <c r="D461" s="661">
        <f>FORNITURAS!D17</f>
        <v>45.05</v>
      </c>
      <c r="E461" s="662">
        <f>C461*D461</f>
        <v>90.1</v>
      </c>
      <c r="F461" s="658"/>
    </row>
    <row r="462" spans="1:10" x14ac:dyDescent="0.2">
      <c r="A462" s="666" t="s">
        <v>1608</v>
      </c>
      <c r="B462" s="660"/>
      <c r="C462" s="660">
        <v>0.1</v>
      </c>
      <c r="D462" s="661">
        <f>'AROS, CADENAS, DIJES, ETC'!I38</f>
        <v>3630</v>
      </c>
      <c r="E462" s="662">
        <f>C462*D462</f>
        <v>363</v>
      </c>
      <c r="F462" s="658"/>
    </row>
    <row r="463" spans="1:10" x14ac:dyDescent="0.2">
      <c r="A463" s="666" t="s">
        <v>1587</v>
      </c>
      <c r="B463" s="660"/>
      <c r="C463" s="660">
        <v>1</v>
      </c>
      <c r="D463" s="661">
        <f>FORNITURAS!D18</f>
        <v>363</v>
      </c>
      <c r="E463" s="662">
        <f>C463*D463</f>
        <v>363</v>
      </c>
      <c r="G463" s="658"/>
    </row>
    <row r="464" spans="1:10" x14ac:dyDescent="0.2">
      <c r="A464" s="666" t="s">
        <v>1557</v>
      </c>
      <c r="B464" s="660"/>
      <c r="C464" s="660"/>
      <c r="D464" s="661"/>
      <c r="E464" s="667">
        <f>PACKAGING!E4</f>
        <v>80</v>
      </c>
      <c r="G464" s="658"/>
    </row>
    <row r="465" spans="1:7" x14ac:dyDescent="0.2">
      <c r="A465" s="666" t="s">
        <v>1634</v>
      </c>
      <c r="B465" s="660"/>
      <c r="C465" s="660"/>
      <c r="D465" s="661"/>
      <c r="E465" s="667">
        <f>PACKAGING!E7</f>
        <v>170</v>
      </c>
      <c r="G465" s="658"/>
    </row>
    <row r="466" spans="1:7" x14ac:dyDescent="0.2">
      <c r="A466" s="666" t="s">
        <v>1670</v>
      </c>
      <c r="B466" s="660"/>
      <c r="C466" s="660"/>
      <c r="D466" s="661"/>
      <c r="E466" s="667">
        <f>PACKAGING!E8</f>
        <v>420</v>
      </c>
      <c r="G466" s="658"/>
    </row>
    <row r="467" spans="1:7" x14ac:dyDescent="0.2">
      <c r="A467" s="683" t="s">
        <v>1618</v>
      </c>
      <c r="B467" s="660">
        <v>60</v>
      </c>
      <c r="C467" s="660">
        <v>15</v>
      </c>
      <c r="D467" s="668">
        <f>'INSUMOS VARIOS'!B3</f>
        <v>3500</v>
      </c>
      <c r="E467" s="669">
        <f>D467*C467/B467</f>
        <v>875</v>
      </c>
      <c r="F467" s="658"/>
    </row>
    <row r="468" spans="1:7" ht="15.75" thickBot="1" x14ac:dyDescent="0.25">
      <c r="A468" s="670" t="s">
        <v>525</v>
      </c>
      <c r="B468" s="671"/>
      <c r="C468" s="671"/>
      <c r="D468" s="672"/>
      <c r="E468" s="673">
        <f>SUM(E456:E467)</f>
        <v>7119.313492063493</v>
      </c>
    </row>
    <row r="469" spans="1:7" ht="16.5" thickBot="1" x14ac:dyDescent="0.25">
      <c r="A469" s="675" t="s">
        <v>544</v>
      </c>
      <c r="B469" s="676"/>
      <c r="C469" s="676"/>
      <c r="D469" s="677"/>
      <c r="E469" s="692">
        <f>E468*2</f>
        <v>14238.626984126986</v>
      </c>
      <c r="F469" s="693">
        <f>E469+E469*50%</f>
        <v>21357.940476190481</v>
      </c>
      <c r="G469" s="770">
        <v>15000</v>
      </c>
    </row>
    <row r="470" spans="1:7" ht="16.5" thickBot="1" x14ac:dyDescent="0.25">
      <c r="A470" s="684" t="s">
        <v>1559</v>
      </c>
      <c r="B470" s="685"/>
      <c r="C470" s="685"/>
      <c r="D470" s="686"/>
      <c r="E470" s="686"/>
      <c r="F470" s="694"/>
      <c r="G470" s="770">
        <f>G469*2</f>
        <v>30000</v>
      </c>
    </row>
    <row r="471" spans="1:7" ht="15.75" thickBot="1" x14ac:dyDescent="0.25"/>
    <row r="472" spans="1:7" x14ac:dyDescent="0.2">
      <c r="A472" s="1746" t="s">
        <v>3214</v>
      </c>
      <c r="B472" s="1747"/>
      <c r="C472" s="1747"/>
      <c r="D472" s="1747"/>
      <c r="E472" s="1748"/>
    </row>
    <row r="473" spans="1:7" x14ac:dyDescent="0.2">
      <c r="A473" s="654" t="s">
        <v>916</v>
      </c>
      <c r="B473" s="655" t="s">
        <v>743</v>
      </c>
      <c r="C473" s="655" t="s">
        <v>1566</v>
      </c>
      <c r="D473" s="656" t="s">
        <v>1035</v>
      </c>
      <c r="E473" s="657" t="s">
        <v>1549</v>
      </c>
      <c r="F473" s="658"/>
    </row>
    <row r="474" spans="1:7" x14ac:dyDescent="0.2">
      <c r="A474" s="659" t="s">
        <v>3217</v>
      </c>
      <c r="B474" s="660"/>
      <c r="C474" s="660">
        <v>2</v>
      </c>
      <c r="D474" s="661">
        <f>PERLAS!F31</f>
        <v>127.61904761904762</v>
      </c>
      <c r="E474" s="662">
        <f t="shared" ref="E474:E480" si="22">D474*C474</f>
        <v>255.23809523809524</v>
      </c>
      <c r="F474" s="658"/>
    </row>
    <row r="475" spans="1:7" x14ac:dyDescent="0.2">
      <c r="A475" s="659" t="s">
        <v>3218</v>
      </c>
      <c r="B475" s="660"/>
      <c r="C475" s="660">
        <v>2</v>
      </c>
      <c r="D475" s="661">
        <f>FORNITURAS!I14</f>
        <v>145.375</v>
      </c>
      <c r="E475" s="662">
        <f t="shared" si="22"/>
        <v>290.75</v>
      </c>
      <c r="F475" s="658"/>
    </row>
    <row r="476" spans="1:7" x14ac:dyDescent="0.2">
      <c r="A476" s="659" t="s">
        <v>2021</v>
      </c>
      <c r="B476" s="660"/>
      <c r="C476" s="660">
        <v>7</v>
      </c>
      <c r="D476" s="661">
        <f>PIEDRAS!F50</f>
        <v>118.33333333333333</v>
      </c>
      <c r="E476" s="662">
        <f t="shared" si="22"/>
        <v>828.33333333333326</v>
      </c>
      <c r="F476" s="658"/>
    </row>
    <row r="477" spans="1:7" x14ac:dyDescent="0.2">
      <c r="A477" s="659" t="s">
        <v>2082</v>
      </c>
      <c r="B477" s="660"/>
      <c r="C477" s="660">
        <v>7</v>
      </c>
      <c r="D477" s="661">
        <f>PIEDRAS!F42</f>
        <v>171.42857142857142</v>
      </c>
      <c r="E477" s="662">
        <f t="shared" si="22"/>
        <v>1200</v>
      </c>
      <c r="F477" s="658"/>
    </row>
    <row r="478" spans="1:7" x14ac:dyDescent="0.2">
      <c r="A478" s="663" t="s">
        <v>3216</v>
      </c>
      <c r="B478" s="660"/>
      <c r="C478" s="660">
        <v>5</v>
      </c>
      <c r="D478" s="661">
        <f>PIEDRAS!F54</f>
        <v>45.454545454545453</v>
      </c>
      <c r="E478" s="662">
        <f t="shared" si="22"/>
        <v>227.27272727272725</v>
      </c>
      <c r="F478" s="658"/>
    </row>
    <row r="479" spans="1:7" x14ac:dyDescent="0.2">
      <c r="A479" s="659" t="s">
        <v>3215</v>
      </c>
      <c r="B479" s="660"/>
      <c r="C479" s="660">
        <v>5</v>
      </c>
      <c r="D479" s="661">
        <f>PIEDRAS!F134</f>
        <v>280.43478260869563</v>
      </c>
      <c r="E479" s="662">
        <f t="shared" si="22"/>
        <v>1402.173913043478</v>
      </c>
      <c r="F479" s="658"/>
    </row>
    <row r="480" spans="1:7" x14ac:dyDescent="0.2">
      <c r="A480" s="659" t="s">
        <v>3219</v>
      </c>
      <c r="B480" s="660"/>
      <c r="C480" s="660">
        <v>1</v>
      </c>
      <c r="D480" s="661">
        <f>FORNITURAS!D20</f>
        <v>1066</v>
      </c>
      <c r="E480" s="662">
        <f t="shared" si="22"/>
        <v>1066</v>
      </c>
      <c r="F480" s="658"/>
    </row>
    <row r="481" spans="1:10" x14ac:dyDescent="0.2">
      <c r="A481" s="659" t="s">
        <v>2027</v>
      </c>
      <c r="B481" s="660">
        <v>0.5</v>
      </c>
      <c r="C481" s="660">
        <v>0.1</v>
      </c>
      <c r="D481" s="661">
        <f>'AROS, CADENAS, DIJES, ETC'!I56</f>
        <v>2614</v>
      </c>
      <c r="E481" s="662">
        <f>D481*C481/B481</f>
        <v>522.80000000000007</v>
      </c>
      <c r="F481" s="658"/>
    </row>
    <row r="482" spans="1:10" x14ac:dyDescent="0.2">
      <c r="A482" s="659" t="s">
        <v>1748</v>
      </c>
      <c r="B482" s="660"/>
      <c r="C482" s="660">
        <v>1</v>
      </c>
      <c r="D482" s="661">
        <f>PERLAS!F34</f>
        <v>132.0754716981132</v>
      </c>
      <c r="E482" s="662">
        <f>D482</f>
        <v>132.0754716981132</v>
      </c>
      <c r="F482" s="658"/>
    </row>
    <row r="483" spans="1:10" x14ac:dyDescent="0.2">
      <c r="A483" s="659" t="s">
        <v>1944</v>
      </c>
      <c r="B483" s="660" t="s">
        <v>846</v>
      </c>
      <c r="C483" s="660">
        <v>2</v>
      </c>
      <c r="D483" s="661">
        <f>FORNITURAS!I11</f>
        <v>155.42857142857142</v>
      </c>
      <c r="E483" s="662">
        <f>D483*C483</f>
        <v>310.85714285714283</v>
      </c>
      <c r="F483" s="658"/>
    </row>
    <row r="484" spans="1:10" x14ac:dyDescent="0.2">
      <c r="A484" s="663" t="s">
        <v>1012</v>
      </c>
      <c r="B484" s="660"/>
      <c r="C484" s="660">
        <v>2</v>
      </c>
      <c r="D484" s="661">
        <f>FORNITURAS!D17</f>
        <v>45.05</v>
      </c>
      <c r="E484" s="662">
        <f>D484*C484</f>
        <v>90.1</v>
      </c>
      <c r="F484" s="658"/>
    </row>
    <row r="485" spans="1:10" x14ac:dyDescent="0.2">
      <c r="A485" s="1755" t="s">
        <v>1555</v>
      </c>
      <c r="B485" s="660" t="s">
        <v>1556</v>
      </c>
      <c r="C485" s="660">
        <v>2</v>
      </c>
      <c r="D485" s="661">
        <f>FORNITURAS!D7</f>
        <v>52</v>
      </c>
      <c r="E485" s="662">
        <f>D485*C485</f>
        <v>104</v>
      </c>
      <c r="F485" s="658"/>
    </row>
    <row r="486" spans="1:10" x14ac:dyDescent="0.2">
      <c r="A486" s="1756"/>
      <c r="B486" s="660" t="s">
        <v>1573</v>
      </c>
      <c r="C486" s="660">
        <v>1</v>
      </c>
      <c r="D486" s="661">
        <f>FORNITURAS!D7</f>
        <v>52</v>
      </c>
      <c r="E486" s="662">
        <f>D486</f>
        <v>52</v>
      </c>
      <c r="F486" s="658"/>
    </row>
    <row r="487" spans="1:10" x14ac:dyDescent="0.2">
      <c r="A487" s="663" t="s">
        <v>1028</v>
      </c>
      <c r="B487" s="660"/>
      <c r="C487" s="660">
        <v>2</v>
      </c>
      <c r="D487" s="661">
        <f>FORNITURAS!D37</f>
        <v>299.5</v>
      </c>
      <c r="E487" s="662">
        <f>D487*C487</f>
        <v>599</v>
      </c>
      <c r="F487" s="658"/>
    </row>
    <row r="488" spans="1:10" x14ac:dyDescent="0.2">
      <c r="A488" s="665" t="s">
        <v>1743</v>
      </c>
      <c r="B488" s="660" t="s">
        <v>846</v>
      </c>
      <c r="C488" s="660">
        <v>1</v>
      </c>
      <c r="D488" s="661">
        <f>FORNITURAS!D15</f>
        <v>142</v>
      </c>
      <c r="E488" s="662">
        <f>D488*C488</f>
        <v>142</v>
      </c>
      <c r="F488" s="658"/>
    </row>
    <row r="489" spans="1:10" x14ac:dyDescent="0.2">
      <c r="A489" s="666" t="s">
        <v>1634</v>
      </c>
      <c r="B489" s="660"/>
      <c r="C489" s="660"/>
      <c r="D489" s="661"/>
      <c r="E489" s="662">
        <f>PACKAGING!E7</f>
        <v>170</v>
      </c>
      <c r="F489" s="658"/>
    </row>
    <row r="490" spans="1:10" x14ac:dyDescent="0.2">
      <c r="A490" s="666" t="s">
        <v>1557</v>
      </c>
      <c r="B490" s="660"/>
      <c r="C490" s="660"/>
      <c r="D490" s="661"/>
      <c r="E490" s="662">
        <f>PACKAGING!E4</f>
        <v>80</v>
      </c>
      <c r="F490" s="658"/>
    </row>
    <row r="491" spans="1:10" x14ac:dyDescent="0.2">
      <c r="A491" s="663" t="s">
        <v>1618</v>
      </c>
      <c r="B491" s="660">
        <v>60</v>
      </c>
      <c r="C491" s="660">
        <v>20</v>
      </c>
      <c r="D491" s="668">
        <f>'INSUMOS VARIOS'!B3</f>
        <v>3500</v>
      </c>
      <c r="E491" s="669">
        <f>D491*C491/B491</f>
        <v>1166.6666666666667</v>
      </c>
      <c r="F491" s="658" t="s">
        <v>3023</v>
      </c>
    </row>
    <row r="492" spans="1:10" ht="15.75" thickBot="1" x14ac:dyDescent="0.25">
      <c r="A492" s="670" t="s">
        <v>525</v>
      </c>
      <c r="B492" s="671"/>
      <c r="C492" s="671"/>
      <c r="D492" s="672"/>
      <c r="E492" s="673">
        <f>SUM(E474:E491)</f>
        <v>8639.267350109556</v>
      </c>
      <c r="F492" s="698">
        <f>E492+G493+G494</f>
        <v>12342.267350109556</v>
      </c>
      <c r="G492" s="658" t="s">
        <v>2028</v>
      </c>
      <c r="H492" s="658" t="s">
        <v>2029</v>
      </c>
    </row>
    <row r="493" spans="1:10" ht="15.75" x14ac:dyDescent="0.2">
      <c r="A493" s="675" t="s">
        <v>544</v>
      </c>
      <c r="B493" s="676"/>
      <c r="C493" s="676"/>
      <c r="D493" s="677"/>
      <c r="E493" s="678">
        <f>E492*2</f>
        <v>17278.534700219112</v>
      </c>
      <c r="F493" s="679">
        <f>E493+E493*50%</f>
        <v>25917.802050328668</v>
      </c>
      <c r="G493" s="680">
        <f>PACKAGING!I4</f>
        <v>2633</v>
      </c>
      <c r="H493" s="681">
        <f>G493+F493+G494</f>
        <v>29620.802050328668</v>
      </c>
      <c r="I493" s="682">
        <v>19000</v>
      </c>
    </row>
    <row r="494" spans="1:10" ht="16.5" thickBot="1" x14ac:dyDescent="0.25">
      <c r="A494" s="684" t="s">
        <v>1559</v>
      </c>
      <c r="B494" s="685"/>
      <c r="C494" s="685"/>
      <c r="D494" s="686"/>
      <c r="E494" s="687"/>
      <c r="F494" s="688"/>
      <c r="G494" s="689">
        <f>PACKAGING!I6</f>
        <v>1070</v>
      </c>
      <c r="H494" s="690"/>
      <c r="I494" s="691">
        <f>I493*2</f>
        <v>38000</v>
      </c>
    </row>
    <row r="495" spans="1:10" ht="15.75" thickBot="1" x14ac:dyDescent="0.25"/>
    <row r="496" spans="1:10" ht="15.75" x14ac:dyDescent="0.25">
      <c r="A496" s="1746" t="s">
        <v>3222</v>
      </c>
      <c r="B496" s="1747"/>
      <c r="C496" s="1747"/>
      <c r="D496" s="1747"/>
      <c r="E496" s="1747"/>
      <c r="F496" s="1748"/>
      <c r="I496" s="652"/>
      <c r="J496"/>
    </row>
    <row r="497" spans="1:10" ht="15.75" x14ac:dyDescent="0.25">
      <c r="A497" s="654" t="s">
        <v>916</v>
      </c>
      <c r="B497" s="655" t="s">
        <v>743</v>
      </c>
      <c r="C497" s="655" t="s">
        <v>1089</v>
      </c>
      <c r="D497" s="655" t="s">
        <v>1566</v>
      </c>
      <c r="E497" s="656" t="s">
        <v>1035</v>
      </c>
      <c r="F497" s="657" t="s">
        <v>1549</v>
      </c>
      <c r="G497" s="658"/>
      <c r="I497" s="652"/>
      <c r="J497"/>
    </row>
    <row r="498" spans="1:10" ht="15.75" x14ac:dyDescent="0.25">
      <c r="A498" s="659" t="s">
        <v>1742</v>
      </c>
      <c r="B498" s="660"/>
      <c r="C498" s="660"/>
      <c r="D498" s="660">
        <v>10</v>
      </c>
      <c r="E498" s="661">
        <f>PERLAS!O24</f>
        <v>1044.7761194029852</v>
      </c>
      <c r="F498" s="662">
        <f>E498*D498</f>
        <v>10447.761194029852</v>
      </c>
      <c r="G498" s="658"/>
      <c r="I498" s="652"/>
      <c r="J498"/>
    </row>
    <row r="499" spans="1:10" ht="15.75" x14ac:dyDescent="0.25">
      <c r="A499" s="769" t="s">
        <v>3221</v>
      </c>
      <c r="B499" s="660"/>
      <c r="C499" s="660"/>
      <c r="D499" s="660">
        <v>86</v>
      </c>
      <c r="E499" s="661">
        <f>'INSUMOS VARIOS'!E38</f>
        <v>11.818181818181818</v>
      </c>
      <c r="F499" s="664">
        <f>E499*D499</f>
        <v>1016.3636363636364</v>
      </c>
      <c r="G499" s="658"/>
      <c r="I499" s="652"/>
      <c r="J499"/>
    </row>
    <row r="500" spans="1:10" ht="15.75" x14ac:dyDescent="0.25">
      <c r="A500" s="820" t="s">
        <v>2001</v>
      </c>
      <c r="B500" s="660"/>
      <c r="C500" s="660">
        <v>0.5</v>
      </c>
      <c r="D500" s="660">
        <v>0.1</v>
      </c>
      <c r="E500" s="661">
        <f>COLLARES!Q61</f>
        <v>2</v>
      </c>
      <c r="F500" s="662">
        <f>E500*D500/C500</f>
        <v>0.4</v>
      </c>
      <c r="G500" s="658"/>
      <c r="I500" s="652"/>
      <c r="J500"/>
    </row>
    <row r="501" spans="1:10" ht="15.75" x14ac:dyDescent="0.25">
      <c r="A501" s="820" t="s">
        <v>1587</v>
      </c>
      <c r="B501" s="660"/>
      <c r="C501" s="660"/>
      <c r="D501" s="660">
        <v>1</v>
      </c>
      <c r="E501" s="661">
        <f>FORNITURAS!D20</f>
        <v>1066</v>
      </c>
      <c r="F501" s="662">
        <f>E501*D501</f>
        <v>1066</v>
      </c>
      <c r="G501" s="658"/>
      <c r="I501" s="652"/>
      <c r="J501"/>
    </row>
    <row r="502" spans="1:10" ht="15.75" x14ac:dyDescent="0.25">
      <c r="A502" s="1734" t="s">
        <v>3109</v>
      </c>
      <c r="B502" s="660" t="s">
        <v>1556</v>
      </c>
      <c r="C502" s="660"/>
      <c r="D502" s="660">
        <v>2</v>
      </c>
      <c r="E502" s="661">
        <f>FORNITURAS!D4</f>
        <v>48.7</v>
      </c>
      <c r="F502" s="662">
        <f>E502*D502</f>
        <v>97.4</v>
      </c>
      <c r="G502" s="658"/>
      <c r="I502" s="652"/>
      <c r="J502"/>
    </row>
    <row r="503" spans="1:10" ht="15.75" x14ac:dyDescent="0.25">
      <c r="A503" s="1735"/>
      <c r="B503" s="660" t="s">
        <v>1573</v>
      </c>
      <c r="C503" s="660"/>
      <c r="D503" s="660">
        <v>1</v>
      </c>
      <c r="E503" s="661">
        <f>FORNITURAS!D7</f>
        <v>52</v>
      </c>
      <c r="F503" s="662">
        <f>E503</f>
        <v>52</v>
      </c>
      <c r="G503" s="658"/>
      <c r="I503" s="652"/>
      <c r="J503"/>
    </row>
    <row r="504" spans="1:10" ht="15.75" x14ac:dyDescent="0.25">
      <c r="A504" s="820" t="s">
        <v>1537</v>
      </c>
      <c r="B504" s="660"/>
      <c r="C504" s="660"/>
      <c r="D504" s="660"/>
      <c r="E504" s="661"/>
      <c r="F504" s="662">
        <f>PACKAGING!E7</f>
        <v>170</v>
      </c>
      <c r="G504" s="658"/>
      <c r="I504" s="652"/>
      <c r="J504"/>
    </row>
    <row r="505" spans="1:10" x14ac:dyDescent="0.2">
      <c r="A505" s="666" t="s">
        <v>1557</v>
      </c>
      <c r="B505" s="660"/>
      <c r="C505" s="660"/>
      <c r="D505" s="660"/>
      <c r="E505" s="661"/>
      <c r="F505" s="662">
        <f>PACKAGING!E4</f>
        <v>80</v>
      </c>
    </row>
    <row r="506" spans="1:10" ht="15.75" x14ac:dyDescent="0.25">
      <c r="A506" s="663" t="s">
        <v>1618</v>
      </c>
      <c r="B506" s="660"/>
      <c r="C506" s="660">
        <v>60</v>
      </c>
      <c r="D506" s="660">
        <v>20</v>
      </c>
      <c r="E506" s="668">
        <f>'INSUMOS VARIOS'!B3</f>
        <v>3500</v>
      </c>
      <c r="F506" s="669">
        <f>E506*D506/C506</f>
        <v>1166.6666666666667</v>
      </c>
      <c r="G506" s="1" t="s">
        <v>3023</v>
      </c>
      <c r="I506" s="652"/>
      <c r="J506"/>
    </row>
    <row r="507" spans="1:10" ht="16.5" thickBot="1" x14ac:dyDescent="0.3">
      <c r="A507" s="670" t="s">
        <v>525</v>
      </c>
      <c r="B507" s="671"/>
      <c r="C507" s="671"/>
      <c r="D507" s="671"/>
      <c r="E507" s="672"/>
      <c r="F507" s="673">
        <f>SUM(F498:F506)</f>
        <v>14096.591497060153</v>
      </c>
      <c r="G507" s="698">
        <f>(F507+H508+H509)</f>
        <v>17799.591497060152</v>
      </c>
      <c r="H507" s="658" t="s">
        <v>2028</v>
      </c>
      <c r="I507" s="674" t="s">
        <v>2029</v>
      </c>
      <c r="J507"/>
    </row>
    <row r="508" spans="1:10" ht="16.5" thickBot="1" x14ac:dyDescent="0.25">
      <c r="A508" s="675" t="s">
        <v>544</v>
      </c>
      <c r="B508" s="676"/>
      <c r="C508" s="676"/>
      <c r="D508" s="676"/>
      <c r="E508" s="677"/>
      <c r="F508" s="678">
        <f>F507*2</f>
        <v>28193.182994120307</v>
      </c>
      <c r="G508" s="679">
        <f>F508+F508*70%</f>
        <v>47928.41109000452</v>
      </c>
      <c r="H508" s="680">
        <f>PACKAGING!I4</f>
        <v>2633</v>
      </c>
      <c r="I508" s="681">
        <f>G508+H508+H509</f>
        <v>51631.41109000452</v>
      </c>
      <c r="J508" s="1099">
        <v>14000</v>
      </c>
    </row>
    <row r="509" spans="1:10" ht="16.5" thickBot="1" x14ac:dyDescent="0.3">
      <c r="A509" s="684" t="s">
        <v>1559</v>
      </c>
      <c r="B509" s="685"/>
      <c r="C509" s="685"/>
      <c r="D509" s="685"/>
      <c r="E509" s="686"/>
      <c r="F509" s="687"/>
      <c r="G509" s="688"/>
      <c r="H509" s="699">
        <f>PACKAGING!I6</f>
        <v>1070</v>
      </c>
      <c r="I509"/>
      <c r="J509" s="956">
        <f>J508*2</f>
        <v>28000</v>
      </c>
    </row>
    <row r="511" spans="1:10" x14ac:dyDescent="0.2">
      <c r="A511" s="1753" t="s">
        <v>3243</v>
      </c>
      <c r="B511" s="1754"/>
      <c r="C511" s="1754"/>
      <c r="D511" s="1754"/>
      <c r="E511" s="1754"/>
      <c r="F511" s="1754"/>
    </row>
    <row r="512" spans="1:10" x14ac:dyDescent="0.2">
      <c r="A512" s="654" t="s">
        <v>916</v>
      </c>
      <c r="B512" s="655" t="s">
        <v>743</v>
      </c>
      <c r="C512" s="655" t="s">
        <v>1089</v>
      </c>
      <c r="D512" s="655" t="s">
        <v>1566</v>
      </c>
      <c r="E512" s="656" t="s">
        <v>1035</v>
      </c>
      <c r="F512" s="657" t="s">
        <v>1549</v>
      </c>
      <c r="G512" s="658"/>
    </row>
    <row r="513" spans="1:10" x14ac:dyDescent="0.2">
      <c r="A513" s="659" t="s">
        <v>3095</v>
      </c>
      <c r="B513" s="660"/>
      <c r="C513" s="660">
        <v>1</v>
      </c>
      <c r="D513" s="660">
        <v>32</v>
      </c>
      <c r="E513" s="661">
        <f>PERLAS!F35</f>
        <v>76.428571428571431</v>
      </c>
      <c r="F513" s="662">
        <f>E513*D513</f>
        <v>2445.7142857142858</v>
      </c>
      <c r="G513" s="658"/>
    </row>
    <row r="514" spans="1:10" x14ac:dyDescent="0.2">
      <c r="A514" s="769" t="s">
        <v>3125</v>
      </c>
      <c r="B514" s="660"/>
      <c r="C514" s="660"/>
      <c r="D514" s="660">
        <v>31</v>
      </c>
      <c r="E514" s="661">
        <f>VIDRIOS!L54</f>
        <v>60.655737704918032</v>
      </c>
      <c r="F514" s="664">
        <f>E514*D514</f>
        <v>1880.327868852459</v>
      </c>
      <c r="G514" s="658"/>
    </row>
    <row r="515" spans="1:10" x14ac:dyDescent="0.2">
      <c r="A515" s="768" t="s">
        <v>3098</v>
      </c>
      <c r="B515" s="660"/>
      <c r="C515" s="660"/>
      <c r="D515" s="660">
        <v>2</v>
      </c>
      <c r="E515" s="661">
        <f>FORNITURAS!D17</f>
        <v>45.05</v>
      </c>
      <c r="F515" s="664">
        <f>E515*2</f>
        <v>90.1</v>
      </c>
      <c r="G515" s="658"/>
    </row>
    <row r="516" spans="1:10" x14ac:dyDescent="0.2">
      <c r="A516" s="663" t="s">
        <v>1554</v>
      </c>
      <c r="B516" s="660"/>
      <c r="C516" s="660"/>
      <c r="D516" s="660">
        <v>2</v>
      </c>
      <c r="E516" s="661">
        <f>FORNITURAS!D26</f>
        <v>297.14285714285717</v>
      </c>
      <c r="F516" s="664">
        <f>E516*2</f>
        <v>594.28571428571433</v>
      </c>
      <c r="G516" s="658"/>
    </row>
    <row r="517" spans="1:10" x14ac:dyDescent="0.2">
      <c r="A517" s="663" t="s">
        <v>3096</v>
      </c>
      <c r="B517" s="660"/>
      <c r="C517" s="660"/>
      <c r="D517" s="660">
        <v>1</v>
      </c>
      <c r="E517" s="661">
        <f>FORNITURAS!D18</f>
        <v>363</v>
      </c>
      <c r="F517" s="662">
        <f>E517*D517</f>
        <v>363</v>
      </c>
      <c r="G517" s="658"/>
    </row>
    <row r="518" spans="1:10" x14ac:dyDescent="0.2">
      <c r="A518" s="663" t="s">
        <v>908</v>
      </c>
      <c r="B518" s="660"/>
      <c r="C518" s="660">
        <v>0.5</v>
      </c>
      <c r="D518" s="660">
        <v>0.06</v>
      </c>
      <c r="E518" s="661">
        <f>'AROS, CADENAS, DIJES, ETC'!I38</f>
        <v>3630</v>
      </c>
      <c r="F518" s="662">
        <f>E518*D518/C518</f>
        <v>435.59999999999997</v>
      </c>
      <c r="G518" s="658"/>
    </row>
    <row r="519" spans="1:10" x14ac:dyDescent="0.2">
      <c r="A519" s="1736" t="s">
        <v>1555</v>
      </c>
      <c r="B519" s="660" t="s">
        <v>1556</v>
      </c>
      <c r="C519" s="660"/>
      <c r="D519" s="660">
        <v>1</v>
      </c>
      <c r="E519" s="661">
        <f>FORNITURAS!D4</f>
        <v>48.7</v>
      </c>
      <c r="F519" s="662">
        <f>E519*D519</f>
        <v>48.7</v>
      </c>
      <c r="G519" s="658"/>
    </row>
    <row r="520" spans="1:10" x14ac:dyDescent="0.2">
      <c r="A520" s="1737"/>
      <c r="B520" s="660" t="s">
        <v>1573</v>
      </c>
      <c r="C520" s="660"/>
      <c r="D520" s="660">
        <v>2</v>
      </c>
      <c r="E520" s="661">
        <f>FORNITURAS!D7</f>
        <v>52</v>
      </c>
      <c r="F520" s="662">
        <f>E520*D520</f>
        <v>104</v>
      </c>
      <c r="G520" s="658"/>
    </row>
    <row r="521" spans="1:10" x14ac:dyDescent="0.2">
      <c r="A521" s="666" t="s">
        <v>1557</v>
      </c>
      <c r="B521" s="660"/>
      <c r="C521" s="660"/>
      <c r="D521" s="660"/>
      <c r="E521" s="661"/>
      <c r="F521" s="667">
        <f>PACKAGING!E4</f>
        <v>80</v>
      </c>
      <c r="G521" s="658"/>
    </row>
    <row r="522" spans="1:10" x14ac:dyDescent="0.2">
      <c r="A522" s="666" t="s">
        <v>1634</v>
      </c>
      <c r="B522" s="660"/>
      <c r="C522" s="660"/>
      <c r="D522" s="660"/>
      <c r="E522" s="661"/>
      <c r="F522" s="667">
        <f>PACKAGING!E7</f>
        <v>170</v>
      </c>
      <c r="G522" s="658"/>
    </row>
    <row r="523" spans="1:10" x14ac:dyDescent="0.2">
      <c r="A523" s="683" t="s">
        <v>1618</v>
      </c>
      <c r="B523" s="660"/>
      <c r="C523" s="660">
        <v>60</v>
      </c>
      <c r="D523" s="660">
        <v>25</v>
      </c>
      <c r="E523" s="668">
        <f>'INSUMOS VARIOS'!B3</f>
        <v>3500</v>
      </c>
      <c r="F523" s="669">
        <f>E523*D523/C523</f>
        <v>1458.3333333333333</v>
      </c>
      <c r="G523" s="658" t="s">
        <v>3023</v>
      </c>
    </row>
    <row r="524" spans="1:10" ht="15.75" thickBot="1" x14ac:dyDescent="0.25">
      <c r="A524" s="670" t="s">
        <v>525</v>
      </c>
      <c r="B524" s="671"/>
      <c r="C524" s="671"/>
      <c r="D524" s="671"/>
      <c r="E524" s="672"/>
      <c r="F524" s="673">
        <f>SUM(F513:F523)</f>
        <v>7670.0612021857933</v>
      </c>
      <c r="G524" s="698">
        <f>F524+I525</f>
        <v>34593.269289617492</v>
      </c>
      <c r="H524" s="1112" t="s">
        <v>2028</v>
      </c>
      <c r="I524" s="1112" t="s">
        <v>2029</v>
      </c>
    </row>
    <row r="525" spans="1:10" ht="16.5" thickBot="1" x14ac:dyDescent="0.25">
      <c r="A525" s="675" t="s">
        <v>544</v>
      </c>
      <c r="B525" s="676"/>
      <c r="C525" s="676"/>
      <c r="D525" s="676"/>
      <c r="E525" s="677"/>
      <c r="F525" s="786">
        <f>F524*2</f>
        <v>15340.122404371587</v>
      </c>
      <c r="G525" s="693">
        <f>F525+F525*70%</f>
        <v>26078.208087431696</v>
      </c>
      <c r="H525" s="1113">
        <f>PACKAGING!I3</f>
        <v>2433</v>
      </c>
      <c r="I525" s="1114">
        <f>G525+H526+H528</f>
        <v>26923.208087431696</v>
      </c>
      <c r="J525" s="1136">
        <v>28000</v>
      </c>
    </row>
    <row r="526" spans="1:10" ht="15.75" thickBot="1" x14ac:dyDescent="0.25">
      <c r="A526" s="684" t="s">
        <v>1559</v>
      </c>
      <c r="B526" s="685"/>
      <c r="C526" s="685"/>
      <c r="D526" s="685"/>
      <c r="E526" s="686"/>
      <c r="F526" s="771"/>
      <c r="G526" s="694"/>
      <c r="H526" s="1115">
        <f>PACKAGING!I5</f>
        <v>845</v>
      </c>
      <c r="I526" s="1116"/>
    </row>
    <row r="527" spans="1:10" ht="15.75" thickBot="1" x14ac:dyDescent="0.25"/>
    <row r="528" spans="1:10" ht="16.5" thickBot="1" x14ac:dyDescent="0.3">
      <c r="A528" s="1565" t="s">
        <v>2074</v>
      </c>
      <c r="B528" s="1566"/>
      <c r="C528" s="1566"/>
      <c r="D528" s="1566"/>
      <c r="E528" s="1567"/>
      <c r="F528"/>
      <c r="G528"/>
    </row>
    <row r="529" spans="1:7" ht="15.75" x14ac:dyDescent="0.25">
      <c r="A529" s="183" t="s">
        <v>916</v>
      </c>
      <c r="B529" s="97" t="s">
        <v>743</v>
      </c>
      <c r="C529" s="97" t="s">
        <v>1566</v>
      </c>
      <c r="D529" s="76" t="s">
        <v>1035</v>
      </c>
      <c r="E529" s="77" t="s">
        <v>1549</v>
      </c>
      <c r="F529" s="1"/>
      <c r="G529"/>
    </row>
    <row r="530" spans="1:7" ht="15.75" x14ac:dyDescent="0.25">
      <c r="A530" s="185" t="s">
        <v>1153</v>
      </c>
      <c r="B530" s="98"/>
      <c r="C530" s="98">
        <v>14</v>
      </c>
      <c r="D530" s="102">
        <f>'INSUMOS VARIOS'!E65</f>
        <v>44.2</v>
      </c>
      <c r="E530" s="39">
        <f>D530*C530</f>
        <v>618.80000000000007</v>
      </c>
      <c r="F530" s="1"/>
      <c r="G530"/>
    </row>
    <row r="531" spans="1:7" ht="15.75" x14ac:dyDescent="0.25">
      <c r="A531" s="184" t="s">
        <v>2076</v>
      </c>
      <c r="B531" s="98"/>
      <c r="C531" s="98">
        <v>1</v>
      </c>
      <c r="D531" s="102">
        <f>'AROS, CADENAS, DIJES, ETC'!R179</f>
        <v>300</v>
      </c>
      <c r="E531" s="39">
        <f>C531*D531</f>
        <v>300</v>
      </c>
      <c r="F531" s="1"/>
      <c r="G531"/>
    </row>
    <row r="532" spans="1:7" ht="15.75" x14ac:dyDescent="0.25">
      <c r="A532" s="1613" t="s">
        <v>1224</v>
      </c>
      <c r="B532" s="98">
        <v>1</v>
      </c>
      <c r="C532" s="98">
        <v>2</v>
      </c>
      <c r="D532" s="102">
        <f>'HILOS-CORDONES-TANZA-CUERO'!E5</f>
        <v>50.35</v>
      </c>
      <c r="E532" s="39">
        <f>D532*C532*B532</f>
        <v>100.7</v>
      </c>
      <c r="F532" s="1"/>
      <c r="G532"/>
    </row>
    <row r="533" spans="1:7" ht="15.75" x14ac:dyDescent="0.25">
      <c r="A533" s="1615"/>
      <c r="B533" s="98">
        <v>0.12</v>
      </c>
      <c r="C533" s="98">
        <v>1</v>
      </c>
      <c r="D533" s="102">
        <f>'HILOS-CORDONES-TANZA-CUERO'!E5</f>
        <v>50.35</v>
      </c>
      <c r="E533" s="39">
        <f>D533*C533*B533</f>
        <v>6.0419999999999998</v>
      </c>
      <c r="F533" s="1"/>
      <c r="G533"/>
    </row>
    <row r="534" spans="1:7" ht="15.75" x14ac:dyDescent="0.25">
      <c r="A534" s="2" t="s">
        <v>2255</v>
      </c>
      <c r="B534" s="98"/>
      <c r="C534" s="98">
        <v>3</v>
      </c>
      <c r="D534" s="102">
        <f>FORNITURAS!I11</f>
        <v>155.42857142857142</v>
      </c>
      <c r="E534" s="39">
        <f>D534*C534</f>
        <v>466.28571428571422</v>
      </c>
      <c r="F534" s="1"/>
      <c r="G534"/>
    </row>
    <row r="535" spans="1:7" ht="15.75" x14ac:dyDescent="0.25">
      <c r="A535" s="104" t="s">
        <v>1557</v>
      </c>
      <c r="B535" s="98"/>
      <c r="C535" s="98"/>
      <c r="D535" s="2"/>
      <c r="E535" s="39">
        <f>PACKAGING!E4</f>
        <v>80</v>
      </c>
      <c r="F535" s="1"/>
      <c r="G535"/>
    </row>
    <row r="536" spans="1:7" ht="15.75" x14ac:dyDescent="0.25">
      <c r="A536" s="104" t="s">
        <v>1590</v>
      </c>
      <c r="B536" s="98">
        <v>60</v>
      </c>
      <c r="C536" s="98">
        <v>45</v>
      </c>
      <c r="D536" s="102">
        <f>'INSUMOS VARIOS'!B3</f>
        <v>3500</v>
      </c>
      <c r="E536" s="39">
        <f>D536*C536/B536</f>
        <v>2625</v>
      </c>
      <c r="F536" s="1"/>
      <c r="G536"/>
    </row>
    <row r="537" spans="1:7" ht="16.5" thickBot="1" x14ac:dyDescent="0.25">
      <c r="A537" s="79" t="s">
        <v>525</v>
      </c>
      <c r="B537" s="99"/>
      <c r="C537" s="99"/>
      <c r="D537" s="70"/>
      <c r="E537" s="51">
        <f>SUM(E530:E536)</f>
        <v>4196.8277142857141</v>
      </c>
    </row>
    <row r="538" spans="1:7" ht="18.75" x14ac:dyDescent="0.2">
      <c r="A538" s="80" t="s">
        <v>544</v>
      </c>
      <c r="B538" s="100"/>
      <c r="C538" s="100"/>
      <c r="D538" s="71"/>
      <c r="E538" s="72">
        <f>E537*2</f>
        <v>8393.6554285714283</v>
      </c>
      <c r="F538" s="492">
        <f>E538+E538*50%</f>
        <v>12590.483142857142</v>
      </c>
      <c r="G538" s="75">
        <v>10000</v>
      </c>
    </row>
    <row r="539" spans="1:7" ht="19.5" thickBot="1" x14ac:dyDescent="0.25">
      <c r="A539" s="81" t="s">
        <v>1559</v>
      </c>
      <c r="B539" s="101"/>
      <c r="C539" s="101"/>
      <c r="D539" s="73"/>
      <c r="E539" s="73"/>
      <c r="F539" s="493"/>
      <c r="G539" s="74">
        <f>G538*2</f>
        <v>20000</v>
      </c>
    </row>
    <row r="540" spans="1:7" ht="15.75" thickBot="1" x14ac:dyDescent="0.25"/>
    <row r="541" spans="1:7" ht="15.75" thickBot="1" x14ac:dyDescent="0.25">
      <c r="A541" s="1738" t="s">
        <v>149</v>
      </c>
      <c r="B541" s="1739"/>
      <c r="C541" s="1739"/>
      <c r="D541" s="1739"/>
      <c r="E541" s="1740"/>
    </row>
    <row r="542" spans="1:7" x14ac:dyDescent="0.2">
      <c r="A542" s="654" t="s">
        <v>916</v>
      </c>
      <c r="B542" s="655" t="s">
        <v>743</v>
      </c>
      <c r="C542" s="655" t="s">
        <v>1566</v>
      </c>
      <c r="D542" s="656" t="s">
        <v>1035</v>
      </c>
      <c r="E542" s="657" t="s">
        <v>1549</v>
      </c>
      <c r="F542" s="658"/>
    </row>
    <row r="543" spans="1:7" x14ac:dyDescent="0.2">
      <c r="A543" s="659" t="s">
        <v>2016</v>
      </c>
      <c r="B543" s="660">
        <v>0.35</v>
      </c>
      <c r="C543" s="660">
        <v>0.37</v>
      </c>
      <c r="D543" s="661">
        <f>PIEDRAS!E15</f>
        <v>4275</v>
      </c>
      <c r="E543" s="662">
        <f>D543*C543/B543</f>
        <v>4519.2857142857147</v>
      </c>
      <c r="F543" s="658"/>
    </row>
    <row r="544" spans="1:7" x14ac:dyDescent="0.2">
      <c r="A544" s="1736" t="s">
        <v>1572</v>
      </c>
      <c r="B544" s="660" t="s">
        <v>1556</v>
      </c>
      <c r="C544" s="660">
        <v>2</v>
      </c>
      <c r="D544" s="661">
        <f>FORNITURAS!D4</f>
        <v>48.7</v>
      </c>
      <c r="E544" s="662">
        <f t="shared" ref="E544:E549" si="23">C544*D544</f>
        <v>97.4</v>
      </c>
      <c r="F544" s="658"/>
    </row>
    <row r="545" spans="1:7" x14ac:dyDescent="0.2">
      <c r="A545" s="1737"/>
      <c r="B545" s="660" t="s">
        <v>1573</v>
      </c>
      <c r="C545" s="660">
        <v>1</v>
      </c>
      <c r="D545" s="661">
        <f>FORNITURAS!D7</f>
        <v>52</v>
      </c>
      <c r="E545" s="662">
        <f t="shared" si="23"/>
        <v>52</v>
      </c>
      <c r="F545" s="658"/>
    </row>
    <row r="546" spans="1:7" x14ac:dyDescent="0.2">
      <c r="A546" s="665" t="s">
        <v>1554</v>
      </c>
      <c r="B546" s="660" t="s">
        <v>777</v>
      </c>
      <c r="C546" s="660">
        <v>2</v>
      </c>
      <c r="D546" s="661">
        <f>FORNITURAS!D26</f>
        <v>297.14285714285717</v>
      </c>
      <c r="E546" s="662">
        <f t="shared" si="23"/>
        <v>594.28571428571433</v>
      </c>
      <c r="F546" s="658"/>
    </row>
    <row r="547" spans="1:7" x14ac:dyDescent="0.2">
      <c r="A547" s="666" t="s">
        <v>1012</v>
      </c>
      <c r="B547" s="660"/>
      <c r="C547" s="660">
        <v>2</v>
      </c>
      <c r="D547" s="661">
        <f>FORNITURAS!D17</f>
        <v>45.05</v>
      </c>
      <c r="E547" s="662">
        <f t="shared" si="23"/>
        <v>90.1</v>
      </c>
      <c r="F547" s="658"/>
    </row>
    <row r="548" spans="1:7" x14ac:dyDescent="0.2">
      <c r="A548" s="666" t="s">
        <v>1608</v>
      </c>
      <c r="B548" s="660"/>
      <c r="C548" s="660">
        <v>0.1</v>
      </c>
      <c r="D548" s="661">
        <f>'AROS, CADENAS, DIJES, ETC'!I38</f>
        <v>3630</v>
      </c>
      <c r="E548" s="662">
        <f t="shared" si="23"/>
        <v>363</v>
      </c>
      <c r="F548" s="658"/>
    </row>
    <row r="549" spans="1:7" x14ac:dyDescent="0.2">
      <c r="A549" s="666" t="s">
        <v>1587</v>
      </c>
      <c r="B549" s="660"/>
      <c r="C549" s="660">
        <v>1</v>
      </c>
      <c r="D549" s="661">
        <f>FORNITURAS!D18</f>
        <v>363</v>
      </c>
      <c r="E549" s="662">
        <f t="shared" si="23"/>
        <v>363</v>
      </c>
      <c r="F549" s="658"/>
    </row>
    <row r="550" spans="1:7" x14ac:dyDescent="0.2">
      <c r="A550" s="666" t="s">
        <v>1557</v>
      </c>
      <c r="B550" s="660"/>
      <c r="C550" s="660"/>
      <c r="D550" s="661"/>
      <c r="E550" s="667">
        <f>PACKAGING!E4</f>
        <v>80</v>
      </c>
      <c r="G550" s="658"/>
    </row>
    <row r="551" spans="1:7" x14ac:dyDescent="0.2">
      <c r="A551" s="666" t="s">
        <v>1634</v>
      </c>
      <c r="B551" s="660"/>
      <c r="C551" s="660"/>
      <c r="D551" s="661"/>
      <c r="E551" s="667">
        <f>PACKAGING!E7</f>
        <v>170</v>
      </c>
      <c r="G551" s="658"/>
    </row>
    <row r="552" spans="1:7" x14ac:dyDescent="0.2">
      <c r="A552" s="666" t="s">
        <v>1670</v>
      </c>
      <c r="B552" s="660"/>
      <c r="C552" s="660"/>
      <c r="D552" s="661"/>
      <c r="E552" s="667">
        <f>PACKAGING!E9</f>
        <v>450</v>
      </c>
      <c r="G552" s="658"/>
    </row>
    <row r="553" spans="1:7" x14ac:dyDescent="0.2">
      <c r="A553" s="683" t="s">
        <v>1618</v>
      </c>
      <c r="B553" s="660">
        <v>60</v>
      </c>
      <c r="C553" s="660">
        <v>15</v>
      </c>
      <c r="D553" s="668">
        <f>'INSUMOS VARIOS'!B3</f>
        <v>3500</v>
      </c>
      <c r="E553" s="669">
        <f>D553*C553/B553</f>
        <v>875</v>
      </c>
      <c r="G553" s="658"/>
    </row>
    <row r="554" spans="1:7" ht="15.75" thickBot="1" x14ac:dyDescent="0.25">
      <c r="A554" s="670" t="s">
        <v>525</v>
      </c>
      <c r="B554" s="671"/>
      <c r="C554" s="671"/>
      <c r="D554" s="672"/>
      <c r="E554" s="673">
        <f>SUM(E543:E553)</f>
        <v>7654.0714285714294</v>
      </c>
      <c r="F554" s="658"/>
    </row>
    <row r="555" spans="1:7" ht="16.5" thickBot="1" x14ac:dyDescent="0.25">
      <c r="A555" s="675" t="s">
        <v>544</v>
      </c>
      <c r="B555" s="676"/>
      <c r="C555" s="676"/>
      <c r="D555" s="677"/>
      <c r="E555" s="692">
        <f>E554*2</f>
        <v>15308.142857142859</v>
      </c>
      <c r="F555" s="957">
        <f>E555+E555*70%</f>
        <v>26023.842857142859</v>
      </c>
      <c r="G555" s="681">
        <v>26000</v>
      </c>
    </row>
    <row r="556" spans="1:7" ht="16.5" thickBot="1" x14ac:dyDescent="0.25">
      <c r="A556" s="684" t="s">
        <v>1559</v>
      </c>
      <c r="B556" s="685"/>
      <c r="C556" s="685"/>
      <c r="D556" s="686"/>
      <c r="E556" s="686"/>
      <c r="F556" s="816"/>
      <c r="G556" s="702"/>
    </row>
    <row r="557" spans="1:7" ht="15.75" thickBot="1" x14ac:dyDescent="0.25"/>
    <row r="558" spans="1:7" ht="15.75" thickBot="1" x14ac:dyDescent="0.25">
      <c r="A558" s="1738" t="s">
        <v>3299</v>
      </c>
      <c r="B558" s="1739"/>
      <c r="C558" s="1739"/>
      <c r="D558" s="1739"/>
      <c r="E558" s="1740"/>
    </row>
    <row r="559" spans="1:7" x14ac:dyDescent="0.2">
      <c r="A559" s="654" t="s">
        <v>916</v>
      </c>
      <c r="B559" s="655" t="s">
        <v>743</v>
      </c>
      <c r="C559" s="655" t="s">
        <v>1566</v>
      </c>
      <c r="D559" s="656" t="s">
        <v>1035</v>
      </c>
      <c r="E559" s="657" t="s">
        <v>1549</v>
      </c>
      <c r="F559" s="658"/>
    </row>
    <row r="560" spans="1:7" x14ac:dyDescent="0.2">
      <c r="A560" s="659" t="s">
        <v>3264</v>
      </c>
      <c r="B560" s="660">
        <v>0.20499999999999999</v>
      </c>
      <c r="C560" s="660">
        <v>0.37</v>
      </c>
      <c r="D560" s="661">
        <f>VIDRIOS!D32</f>
        <v>1430</v>
      </c>
      <c r="E560" s="662">
        <f>D560*C560/B560</f>
        <v>2580.975609756098</v>
      </c>
      <c r="F560" s="658"/>
    </row>
    <row r="561" spans="1:10" x14ac:dyDescent="0.2">
      <c r="A561" s="1736" t="s">
        <v>1572</v>
      </c>
      <c r="B561" s="660" t="s">
        <v>1556</v>
      </c>
      <c r="C561" s="660">
        <v>2</v>
      </c>
      <c r="D561" s="661">
        <f>FORNITURAS!D4</f>
        <v>48.7</v>
      </c>
      <c r="E561" s="662">
        <f>C561*D561</f>
        <v>97.4</v>
      </c>
      <c r="F561" s="658"/>
    </row>
    <row r="562" spans="1:10" x14ac:dyDescent="0.2">
      <c r="A562" s="1737"/>
      <c r="B562" s="660" t="s">
        <v>1573</v>
      </c>
      <c r="C562" s="660">
        <v>1</v>
      </c>
      <c r="D562" s="661">
        <f>FORNITURAS!D7</f>
        <v>52</v>
      </c>
      <c r="E562" s="662">
        <f>C562*D562</f>
        <v>52</v>
      </c>
      <c r="F562" s="658"/>
    </row>
    <row r="563" spans="1:10" x14ac:dyDescent="0.2">
      <c r="A563" s="666" t="s">
        <v>1748</v>
      </c>
      <c r="B563" s="660"/>
      <c r="C563" s="660">
        <v>1</v>
      </c>
      <c r="D563" s="661">
        <f>PERLAS!F31</f>
        <v>127.61904761904762</v>
      </c>
      <c r="E563" s="662">
        <f>D563</f>
        <v>127.61904761904762</v>
      </c>
      <c r="F563" s="658"/>
    </row>
    <row r="564" spans="1:10" x14ac:dyDescent="0.2">
      <c r="A564" s="665" t="s">
        <v>1554</v>
      </c>
      <c r="B564" s="660" t="s">
        <v>777</v>
      </c>
      <c r="C564" s="660">
        <v>4</v>
      </c>
      <c r="D564" s="661">
        <f>FORNITURAS!D26</f>
        <v>297.14285714285717</v>
      </c>
      <c r="E564" s="662">
        <f>C564*D564</f>
        <v>1188.5714285714287</v>
      </c>
      <c r="F564" s="658"/>
    </row>
    <row r="565" spans="1:10" x14ac:dyDescent="0.2">
      <c r="A565" s="666" t="s">
        <v>1012</v>
      </c>
      <c r="B565" s="660"/>
      <c r="C565" s="660">
        <v>2</v>
      </c>
      <c r="D565" s="661">
        <f>FORNITURAS!D17</f>
        <v>45.05</v>
      </c>
      <c r="E565" s="662">
        <f>C565*D565</f>
        <v>90.1</v>
      </c>
      <c r="F565" s="658"/>
    </row>
    <row r="566" spans="1:10" x14ac:dyDescent="0.2">
      <c r="A566" s="666" t="s">
        <v>1608</v>
      </c>
      <c r="B566" s="660"/>
      <c r="C566" s="660">
        <v>0.1</v>
      </c>
      <c r="D566" s="661">
        <f>'AROS, CADENAS, DIJES, ETC'!I38</f>
        <v>3630</v>
      </c>
      <c r="E566" s="662">
        <f>C566*D566</f>
        <v>363</v>
      </c>
      <c r="F566" s="658"/>
    </row>
    <row r="567" spans="1:10" x14ac:dyDescent="0.2">
      <c r="A567" s="666" t="s">
        <v>1587</v>
      </c>
      <c r="B567" s="660"/>
      <c r="C567" s="660">
        <v>1</v>
      </c>
      <c r="D567" s="661">
        <f>FORNITURAS!D18</f>
        <v>363</v>
      </c>
      <c r="E567" s="662">
        <f>C567*D567</f>
        <v>363</v>
      </c>
      <c r="G567" s="658"/>
    </row>
    <row r="568" spans="1:10" x14ac:dyDescent="0.2">
      <c r="A568" s="666" t="s">
        <v>1557</v>
      </c>
      <c r="B568" s="660"/>
      <c r="C568" s="660"/>
      <c r="D568" s="661"/>
      <c r="E568" s="667">
        <f>PACKAGING!E4</f>
        <v>80</v>
      </c>
      <c r="G568" s="658"/>
    </row>
    <row r="569" spans="1:10" x14ac:dyDescent="0.2">
      <c r="A569" s="666" t="s">
        <v>1634</v>
      </c>
      <c r="B569" s="660"/>
      <c r="C569" s="660"/>
      <c r="D569" s="661"/>
      <c r="E569" s="667">
        <f>PACKAGING!E7</f>
        <v>170</v>
      </c>
      <c r="G569" s="658"/>
    </row>
    <row r="570" spans="1:10" x14ac:dyDescent="0.2">
      <c r="A570" s="666" t="s">
        <v>1670</v>
      </c>
      <c r="B570" s="660"/>
      <c r="C570" s="660"/>
      <c r="D570" s="661"/>
      <c r="E570" s="667">
        <f>PACKAGING!E9</f>
        <v>450</v>
      </c>
      <c r="G570" s="658"/>
    </row>
    <row r="571" spans="1:10" x14ac:dyDescent="0.2">
      <c r="A571" s="683" t="s">
        <v>1618</v>
      </c>
      <c r="B571" s="660">
        <v>60</v>
      </c>
      <c r="C571" s="660">
        <v>20</v>
      </c>
      <c r="D571" s="668">
        <f>'INSUMOS VARIOS'!B3</f>
        <v>3500</v>
      </c>
      <c r="E571" s="669">
        <f>D571*C571/B571</f>
        <v>1166.6666666666667</v>
      </c>
      <c r="F571" s="658"/>
    </row>
    <row r="572" spans="1:10" ht="15.75" thickBot="1" x14ac:dyDescent="0.25">
      <c r="A572" s="670" t="s">
        <v>525</v>
      </c>
      <c r="B572" s="671"/>
      <c r="C572" s="671"/>
      <c r="D572" s="672"/>
      <c r="E572" s="673">
        <f>SUM(E560:E571)</f>
        <v>6729.3327526132416</v>
      </c>
    </row>
    <row r="573" spans="1:10" ht="16.5" thickBot="1" x14ac:dyDescent="0.25">
      <c r="A573" s="675" t="s">
        <v>544</v>
      </c>
      <c r="B573" s="676"/>
      <c r="C573" s="676"/>
      <c r="D573" s="677"/>
      <c r="E573" s="692">
        <f>E572*2</f>
        <v>13458.665505226483</v>
      </c>
      <c r="F573" s="693">
        <f>E573+E573*50%</f>
        <v>20187.998257839725</v>
      </c>
      <c r="G573" s="770">
        <v>11500</v>
      </c>
    </row>
    <row r="574" spans="1:10" ht="16.5" thickBot="1" x14ac:dyDescent="0.25">
      <c r="A574" s="684" t="s">
        <v>1559</v>
      </c>
      <c r="B574" s="685"/>
      <c r="C574" s="685"/>
      <c r="D574" s="686"/>
      <c r="E574" s="686"/>
      <c r="F574" s="694"/>
      <c r="G574" s="770">
        <f>G573*2</f>
        <v>23000</v>
      </c>
    </row>
    <row r="575" spans="1:10" ht="15.75" thickBot="1" x14ac:dyDescent="0.25"/>
    <row r="576" spans="1:10" ht="15.75" x14ac:dyDescent="0.25">
      <c r="A576" s="1746" t="s">
        <v>3302</v>
      </c>
      <c r="B576" s="1747"/>
      <c r="C576" s="1747"/>
      <c r="D576" s="1747"/>
      <c r="E576" s="1747"/>
      <c r="F576" s="1748"/>
      <c r="I576" s="652"/>
      <c r="J576"/>
    </row>
    <row r="577" spans="1:10" ht="15.75" x14ac:dyDescent="0.25">
      <c r="A577" s="654" t="s">
        <v>916</v>
      </c>
      <c r="B577" s="655" t="s">
        <v>743</v>
      </c>
      <c r="C577" s="655" t="s">
        <v>1089</v>
      </c>
      <c r="D577" s="655" t="s">
        <v>1566</v>
      </c>
      <c r="E577" s="656" t="s">
        <v>1035</v>
      </c>
      <c r="F577" s="657" t="s">
        <v>1549</v>
      </c>
      <c r="G577" s="658"/>
      <c r="I577" s="652"/>
      <c r="J577"/>
    </row>
    <row r="578" spans="1:10" ht="15.75" x14ac:dyDescent="0.25">
      <c r="A578" s="659" t="s">
        <v>3175</v>
      </c>
      <c r="B578" s="660"/>
      <c r="C578" s="660"/>
      <c r="D578" s="660">
        <v>7</v>
      </c>
      <c r="E578" s="661">
        <f>'INSUMOS VARIOS'!D32</f>
        <v>20</v>
      </c>
      <c r="F578" s="662">
        <f>E578*D578</f>
        <v>140</v>
      </c>
      <c r="G578" s="658"/>
      <c r="I578" s="652"/>
      <c r="J578"/>
    </row>
    <row r="579" spans="1:10" ht="15.75" x14ac:dyDescent="0.25">
      <c r="A579" s="769" t="s">
        <v>3265</v>
      </c>
      <c r="B579" s="660"/>
      <c r="C579" s="660"/>
      <c r="D579" s="660">
        <v>6</v>
      </c>
      <c r="E579" s="661">
        <f>'INSUMOS VARIOS'!E25</f>
        <v>52</v>
      </c>
      <c r="F579" s="664">
        <f>E579*D579</f>
        <v>312</v>
      </c>
      <c r="G579" s="658"/>
      <c r="I579" s="652"/>
      <c r="J579"/>
    </row>
    <row r="580" spans="1:10" ht="15.75" x14ac:dyDescent="0.25">
      <c r="A580" s="820" t="s">
        <v>3266</v>
      </c>
      <c r="B580" s="660"/>
      <c r="C580" s="660"/>
      <c r="D580" s="660">
        <v>7</v>
      </c>
      <c r="E580" s="661">
        <f>'INSUMOS VARIOS'!E24</f>
        <v>59.090909090909093</v>
      </c>
      <c r="F580" s="664">
        <f>E580*D580</f>
        <v>413.63636363636363</v>
      </c>
      <c r="G580" s="658"/>
      <c r="I580" s="652"/>
      <c r="J580"/>
    </row>
    <row r="581" spans="1:10" ht="15.75" x14ac:dyDescent="0.25">
      <c r="A581" s="820" t="s">
        <v>3267</v>
      </c>
      <c r="B581" s="660"/>
      <c r="C581" s="660"/>
      <c r="D581" s="660">
        <v>3</v>
      </c>
      <c r="E581" s="661">
        <f>'INSUMOS VARIOS'!E27</f>
        <v>86.666666666666671</v>
      </c>
      <c r="F581" s="664">
        <f>E581*D581</f>
        <v>260</v>
      </c>
      <c r="G581" s="658"/>
      <c r="I581" s="652"/>
      <c r="J581"/>
    </row>
    <row r="582" spans="1:10" ht="15.75" x14ac:dyDescent="0.25">
      <c r="A582" s="820" t="s">
        <v>1697</v>
      </c>
      <c r="B582" s="660"/>
      <c r="C582" s="660"/>
      <c r="D582" s="660">
        <v>2</v>
      </c>
      <c r="E582" s="661">
        <f>FORNITURAS!D24</f>
        <v>34.666666666666664</v>
      </c>
      <c r="F582" s="664">
        <f>E582*D582</f>
        <v>69.333333333333329</v>
      </c>
      <c r="G582" s="658"/>
      <c r="I582" s="652"/>
      <c r="J582"/>
    </row>
    <row r="583" spans="1:10" ht="15.75" x14ac:dyDescent="0.25">
      <c r="A583" s="820" t="s">
        <v>2001</v>
      </c>
      <c r="B583" s="660"/>
      <c r="C583" s="660">
        <v>0.5</v>
      </c>
      <c r="D583" s="660">
        <v>0.1</v>
      </c>
      <c r="E583" s="661">
        <f>'AROS, CADENAS, DIJES, ETC'!I56</f>
        <v>2614</v>
      </c>
      <c r="F583" s="662">
        <f>E583*D583/C583</f>
        <v>522.80000000000007</v>
      </c>
      <c r="G583" s="658"/>
      <c r="I583" s="652"/>
      <c r="J583"/>
    </row>
    <row r="584" spans="1:10" ht="15.75" x14ac:dyDescent="0.25">
      <c r="A584" s="820" t="s">
        <v>1587</v>
      </c>
      <c r="B584" s="660"/>
      <c r="C584" s="660"/>
      <c r="D584" s="660">
        <v>1</v>
      </c>
      <c r="E584" s="661">
        <f>FORNITURAS!D20</f>
        <v>1066</v>
      </c>
      <c r="F584" s="662">
        <f>E584*D584</f>
        <v>1066</v>
      </c>
      <c r="G584" s="658"/>
      <c r="I584" s="652"/>
      <c r="J584"/>
    </row>
    <row r="585" spans="1:10" ht="15.75" x14ac:dyDescent="0.25">
      <c r="A585" s="1734" t="s">
        <v>3109</v>
      </c>
      <c r="B585" s="660" t="s">
        <v>1556</v>
      </c>
      <c r="C585" s="660"/>
      <c r="D585" s="660">
        <v>2</v>
      </c>
      <c r="E585" s="661">
        <f>FORNITURAS!D4</f>
        <v>48.7</v>
      </c>
      <c r="F585" s="662">
        <f>E585*D585</f>
        <v>97.4</v>
      </c>
      <c r="G585" s="658"/>
      <c r="I585" s="652"/>
      <c r="J585"/>
    </row>
    <row r="586" spans="1:10" ht="15.75" x14ac:dyDescent="0.25">
      <c r="A586" s="1735"/>
      <c r="B586" s="660" t="s">
        <v>1573</v>
      </c>
      <c r="C586" s="660"/>
      <c r="D586" s="660">
        <v>1</v>
      </c>
      <c r="E586" s="661">
        <f>FORNITURAS!D7</f>
        <v>52</v>
      </c>
      <c r="F586" s="662">
        <f>E586</f>
        <v>52</v>
      </c>
      <c r="G586" s="658"/>
      <c r="I586" s="652"/>
      <c r="J586"/>
    </row>
    <row r="587" spans="1:10" ht="15.75" x14ac:dyDescent="0.25">
      <c r="A587" s="820" t="s">
        <v>1537</v>
      </c>
      <c r="B587" s="660"/>
      <c r="C587" s="660"/>
      <c r="D587" s="660"/>
      <c r="E587" s="661"/>
      <c r="F587" s="662">
        <f>PACKAGING!E7</f>
        <v>170</v>
      </c>
      <c r="G587" s="658"/>
      <c r="I587" s="652"/>
      <c r="J587"/>
    </row>
    <row r="588" spans="1:10" x14ac:dyDescent="0.2">
      <c r="A588" s="666" t="s">
        <v>1557</v>
      </c>
      <c r="B588" s="660"/>
      <c r="C588" s="660"/>
      <c r="D588" s="660"/>
      <c r="E588" s="661"/>
      <c r="F588" s="662">
        <f>PACKAGING!E4</f>
        <v>80</v>
      </c>
    </row>
    <row r="589" spans="1:10" ht="15.75" x14ac:dyDescent="0.25">
      <c r="A589" s="663" t="s">
        <v>1618</v>
      </c>
      <c r="B589" s="660"/>
      <c r="C589" s="660">
        <v>60</v>
      </c>
      <c r="D589" s="660">
        <v>20</v>
      </c>
      <c r="E589" s="668">
        <f>'INSUMOS VARIOS'!B3</f>
        <v>3500</v>
      </c>
      <c r="F589" s="669">
        <f>E589*D589/C589</f>
        <v>1166.6666666666667</v>
      </c>
      <c r="G589" s="1" t="s">
        <v>3023</v>
      </c>
      <c r="I589" s="652"/>
      <c r="J589"/>
    </row>
    <row r="590" spans="1:10" ht="16.5" thickBot="1" x14ac:dyDescent="0.3">
      <c r="A590" s="670" t="s">
        <v>525</v>
      </c>
      <c r="B590" s="671"/>
      <c r="C590" s="671"/>
      <c r="D590" s="671"/>
      <c r="E590" s="672"/>
      <c r="F590" s="673">
        <f>SUM(F578:F589)</f>
        <v>4349.8363636363638</v>
      </c>
      <c r="G590" s="698">
        <f>(F590+H591+H592)</f>
        <v>8052.8363636363638</v>
      </c>
      <c r="H590" s="658" t="s">
        <v>2028</v>
      </c>
      <c r="I590" s="674" t="s">
        <v>2029</v>
      </c>
      <c r="J590"/>
    </row>
    <row r="591" spans="1:10" ht="16.5" thickBot="1" x14ac:dyDescent="0.25">
      <c r="A591" s="675" t="s">
        <v>544</v>
      </c>
      <c r="B591" s="676"/>
      <c r="C591" s="676"/>
      <c r="D591" s="676"/>
      <c r="E591" s="677"/>
      <c r="F591" s="678">
        <f>F590*2</f>
        <v>8699.6727272727276</v>
      </c>
      <c r="G591" s="679">
        <f>F591+F591*50%</f>
        <v>13049.50909090909</v>
      </c>
      <c r="H591" s="680">
        <f>PACKAGING!I4</f>
        <v>2633</v>
      </c>
      <c r="I591" s="681">
        <f>G591+H591+H592</f>
        <v>16752.50909090909</v>
      </c>
      <c r="J591" s="1099">
        <v>15000</v>
      </c>
    </row>
    <row r="592" spans="1:10" ht="16.5" thickBot="1" x14ac:dyDescent="0.3">
      <c r="A592" s="684" t="s">
        <v>1559</v>
      </c>
      <c r="B592" s="685"/>
      <c r="C592" s="685"/>
      <c r="D592" s="685"/>
      <c r="E592" s="686"/>
      <c r="F592" s="687"/>
      <c r="G592" s="688"/>
      <c r="H592" s="699">
        <f>PACKAGING!I6</f>
        <v>1070</v>
      </c>
      <c r="I592"/>
      <c r="J592" s="956">
        <f>J591*2</f>
        <v>30000</v>
      </c>
    </row>
    <row r="593" spans="1:7" ht="15.75" thickBot="1" x14ac:dyDescent="0.25"/>
    <row r="594" spans="1:7" ht="15.75" thickBot="1" x14ac:dyDescent="0.25">
      <c r="A594" s="1738" t="s">
        <v>3272</v>
      </c>
      <c r="B594" s="1739"/>
      <c r="C594" s="1739"/>
      <c r="D594" s="1739"/>
      <c r="E594" s="1739"/>
      <c r="F594" s="1740"/>
    </row>
    <row r="595" spans="1:7" x14ac:dyDescent="0.2">
      <c r="A595" s="654" t="s">
        <v>916</v>
      </c>
      <c r="B595" s="655" t="s">
        <v>743</v>
      </c>
      <c r="C595" s="655" t="s">
        <v>1716</v>
      </c>
      <c r="D595" s="655" t="s">
        <v>1566</v>
      </c>
      <c r="E595" s="656" t="s">
        <v>1035</v>
      </c>
      <c r="F595" s="657" t="s">
        <v>1549</v>
      </c>
      <c r="G595" s="658"/>
    </row>
    <row r="596" spans="1:7" x14ac:dyDescent="0.2">
      <c r="A596" s="1736" t="s">
        <v>2065</v>
      </c>
      <c r="B596" s="660">
        <v>0.4</v>
      </c>
      <c r="C596" s="660">
        <v>0.1</v>
      </c>
      <c r="D596" s="660">
        <v>2</v>
      </c>
      <c r="E596" s="661">
        <f>PIEDRAS!E4</f>
        <v>4000</v>
      </c>
      <c r="F596" s="662">
        <f>E596*D596*C596/B596</f>
        <v>2000</v>
      </c>
      <c r="G596" s="658"/>
    </row>
    <row r="597" spans="1:7" x14ac:dyDescent="0.2">
      <c r="A597" s="1737"/>
      <c r="B597" s="660">
        <v>0.4</v>
      </c>
      <c r="C597" s="660">
        <v>3.5000000000000003E-2</v>
      </c>
      <c r="D597" s="660">
        <v>4</v>
      </c>
      <c r="E597" s="661">
        <f>E596</f>
        <v>4000</v>
      </c>
      <c r="F597" s="662">
        <f>E597*D597*C597/B597</f>
        <v>1400</v>
      </c>
      <c r="G597" s="658"/>
    </row>
    <row r="598" spans="1:7" x14ac:dyDescent="0.2">
      <c r="A598" s="665" t="s">
        <v>1944</v>
      </c>
      <c r="B598" s="660"/>
      <c r="C598" s="660"/>
      <c r="D598" s="660">
        <v>2</v>
      </c>
      <c r="E598" s="661">
        <f>FORNITURAS!I4</f>
        <v>66.099999999999994</v>
      </c>
      <c r="F598" s="662">
        <f t="shared" ref="F598:F605" si="24">E598*D598</f>
        <v>132.19999999999999</v>
      </c>
      <c r="G598" s="658"/>
    </row>
    <row r="599" spans="1:7" x14ac:dyDescent="0.2">
      <c r="A599" s="768" t="s">
        <v>2010</v>
      </c>
      <c r="B599" s="660"/>
      <c r="C599" s="660"/>
      <c r="D599" s="660">
        <v>2</v>
      </c>
      <c r="E599" s="661">
        <f>FORNITURAS!D32</f>
        <v>422</v>
      </c>
      <c r="F599" s="662">
        <f t="shared" si="24"/>
        <v>844</v>
      </c>
      <c r="G599" s="658"/>
    </row>
    <row r="600" spans="1:7" x14ac:dyDescent="0.2">
      <c r="A600" s="663" t="s">
        <v>1608</v>
      </c>
      <c r="B600" s="660"/>
      <c r="C600" s="660"/>
      <c r="D600" s="660">
        <v>0.1</v>
      </c>
      <c r="E600" s="661">
        <f>'AROS, CADENAS, DIJES, ETC'!I38</f>
        <v>3630</v>
      </c>
      <c r="F600" s="662">
        <f t="shared" si="24"/>
        <v>363</v>
      </c>
      <c r="G600" s="658"/>
    </row>
    <row r="601" spans="1:7" x14ac:dyDescent="0.2">
      <c r="A601" s="659" t="s">
        <v>3256</v>
      </c>
      <c r="B601" s="660"/>
      <c r="C601" s="660"/>
      <c r="D601" s="660">
        <v>0.47</v>
      </c>
      <c r="E601" s="661">
        <f>'HILOS-CORDONES-TANZA-CUERO'!L3</f>
        <v>6.8</v>
      </c>
      <c r="F601" s="662">
        <f t="shared" si="24"/>
        <v>3.1959999999999997</v>
      </c>
      <c r="G601" s="658"/>
    </row>
    <row r="602" spans="1:7" x14ac:dyDescent="0.2">
      <c r="A602" s="659" t="s">
        <v>1012</v>
      </c>
      <c r="B602" s="660"/>
      <c r="C602" s="660"/>
      <c r="D602" s="660">
        <v>2</v>
      </c>
      <c r="E602" s="661">
        <f>FORNITURAS!D26</f>
        <v>297.14285714285717</v>
      </c>
      <c r="F602" s="662">
        <f t="shared" si="24"/>
        <v>594.28571428571433</v>
      </c>
      <c r="G602" s="658"/>
    </row>
    <row r="603" spans="1:7" x14ac:dyDescent="0.2">
      <c r="A603" s="659" t="s">
        <v>1587</v>
      </c>
      <c r="B603" s="660"/>
      <c r="C603" s="660"/>
      <c r="D603" s="660">
        <v>1</v>
      </c>
      <c r="E603" s="661">
        <f>FORNITURAS!D18</f>
        <v>363</v>
      </c>
      <c r="F603" s="662">
        <f t="shared" si="24"/>
        <v>363</v>
      </c>
      <c r="G603" s="658"/>
    </row>
    <row r="604" spans="1:7" x14ac:dyDescent="0.2">
      <c r="A604" s="1741" t="s">
        <v>1572</v>
      </c>
      <c r="B604" s="660" t="s">
        <v>1556</v>
      </c>
      <c r="C604" s="660"/>
      <c r="D604" s="660">
        <v>2</v>
      </c>
      <c r="E604" s="661">
        <f>FORNITURAS!D4</f>
        <v>48.7</v>
      </c>
      <c r="F604" s="662">
        <f t="shared" si="24"/>
        <v>97.4</v>
      </c>
      <c r="G604" s="658"/>
    </row>
    <row r="605" spans="1:7" x14ac:dyDescent="0.2">
      <c r="A605" s="1742"/>
      <c r="B605" s="660" t="s">
        <v>1573</v>
      </c>
      <c r="C605" s="660"/>
      <c r="D605" s="660">
        <v>1</v>
      </c>
      <c r="E605" s="661">
        <f>FORNITURAS!D7</f>
        <v>52</v>
      </c>
      <c r="F605" s="662">
        <f t="shared" si="24"/>
        <v>52</v>
      </c>
      <c r="G605" s="658"/>
    </row>
    <row r="606" spans="1:7" x14ac:dyDescent="0.2">
      <c r="A606" s="665" t="s">
        <v>1588</v>
      </c>
      <c r="B606" s="660"/>
      <c r="C606" s="660"/>
      <c r="D606" s="660"/>
      <c r="E606" s="769"/>
      <c r="F606" s="662">
        <f>PACKAGING!E4</f>
        <v>80</v>
      </c>
      <c r="G606" s="658"/>
    </row>
    <row r="607" spans="1:7" x14ac:dyDescent="0.2">
      <c r="A607" s="666" t="s">
        <v>1537</v>
      </c>
      <c r="B607" s="660"/>
      <c r="C607" s="660"/>
      <c r="D607" s="660"/>
      <c r="E607" s="769"/>
      <c r="F607" s="662">
        <f>PACKAGING!E7</f>
        <v>170</v>
      </c>
      <c r="G607" s="658"/>
    </row>
    <row r="608" spans="1:7" x14ac:dyDescent="0.2">
      <c r="A608" s="666" t="s">
        <v>1670</v>
      </c>
      <c r="B608" s="660"/>
      <c r="C608" s="660"/>
      <c r="D608" s="660"/>
      <c r="E608" s="769"/>
      <c r="F608" s="662">
        <f>PACKAGING!E9</f>
        <v>450</v>
      </c>
      <c r="G608" s="658"/>
    </row>
    <row r="609" spans="1:8" x14ac:dyDescent="0.2">
      <c r="A609" s="665" t="s">
        <v>1590</v>
      </c>
      <c r="B609" s="660" t="s">
        <v>1590</v>
      </c>
      <c r="C609" s="660">
        <v>60</v>
      </c>
      <c r="D609" s="660">
        <v>10</v>
      </c>
      <c r="E609" s="661">
        <f>'INSUMOS VARIOS'!B3</f>
        <v>3500</v>
      </c>
      <c r="F609" s="662">
        <f>E609*D609/C609</f>
        <v>583.33333333333337</v>
      </c>
      <c r="G609" s="658"/>
    </row>
    <row r="610" spans="1:8" x14ac:dyDescent="0.2">
      <c r="A610" s="665" t="s">
        <v>908</v>
      </c>
      <c r="B610" s="660" t="s">
        <v>908</v>
      </c>
      <c r="C610" s="660">
        <v>60</v>
      </c>
      <c r="D610" s="660">
        <v>5</v>
      </c>
      <c r="E610" s="661">
        <f>E609</f>
        <v>3500</v>
      </c>
      <c r="F610" s="662">
        <f>E610*D610/C610</f>
        <v>291.66666666666669</v>
      </c>
      <c r="G610" s="658"/>
    </row>
    <row r="611" spans="1:8" ht="15.75" thickBot="1" x14ac:dyDescent="0.25">
      <c r="A611" s="670" t="s">
        <v>525</v>
      </c>
      <c r="B611" s="671"/>
      <c r="C611" s="671"/>
      <c r="D611" s="671"/>
      <c r="E611" s="672"/>
      <c r="F611" s="673">
        <f>SUM(F596:F610)</f>
        <v>7424.081714285714</v>
      </c>
      <c r="G611" s="658"/>
    </row>
    <row r="612" spans="1:8" ht="16.5" thickBot="1" x14ac:dyDescent="0.25">
      <c r="A612" s="704" t="s">
        <v>1559</v>
      </c>
      <c r="B612" s="705"/>
      <c r="C612" s="705"/>
      <c r="D612" s="705"/>
      <c r="E612" s="706"/>
      <c r="F612" s="788">
        <f>F611*2</f>
        <v>14848.163428571428</v>
      </c>
      <c r="G612" s="785">
        <f>F612+F612*70%</f>
        <v>25241.877828571429</v>
      </c>
      <c r="H612" s="785">
        <v>30000</v>
      </c>
    </row>
    <row r="613" spans="1:8" ht="16.5" thickBot="1" x14ac:dyDescent="0.25">
      <c r="H613" s="702">
        <f>H612*60%</f>
        <v>18000</v>
      </c>
    </row>
    <row r="614" spans="1:8" ht="15.75" thickBot="1" x14ac:dyDescent="0.25">
      <c r="A614" s="1738" t="s">
        <v>3301</v>
      </c>
      <c r="B614" s="1739"/>
      <c r="C614" s="1739"/>
      <c r="D614" s="1739"/>
      <c r="E614" s="1740"/>
    </row>
    <row r="615" spans="1:8" x14ac:dyDescent="0.2">
      <c r="A615" s="654" t="s">
        <v>916</v>
      </c>
      <c r="B615" s="655" t="s">
        <v>743</v>
      </c>
      <c r="C615" s="655" t="s">
        <v>1566</v>
      </c>
      <c r="D615" s="656" t="s">
        <v>1035</v>
      </c>
      <c r="E615" s="657" t="s">
        <v>1549</v>
      </c>
      <c r="F615" s="658"/>
    </row>
    <row r="616" spans="1:8" x14ac:dyDescent="0.2">
      <c r="A616" s="659" t="s">
        <v>2197</v>
      </c>
      <c r="B616" s="660"/>
      <c r="C616" s="660">
        <v>40</v>
      </c>
      <c r="D616" s="661">
        <f>PIEDRAS!F119</f>
        <v>95.238095238095241</v>
      </c>
      <c r="E616" s="662">
        <f>D616*C616</f>
        <v>3809.5238095238096</v>
      </c>
      <c r="F616" s="658"/>
    </row>
    <row r="617" spans="1:8" x14ac:dyDescent="0.2">
      <c r="A617" s="1736" t="s">
        <v>1572</v>
      </c>
      <c r="B617" s="660" t="s">
        <v>1556</v>
      </c>
      <c r="C617" s="660">
        <v>2</v>
      </c>
      <c r="D617" s="661">
        <f>FORNITURAS!D4</f>
        <v>48.7</v>
      </c>
      <c r="E617" s="662">
        <f>C617*D617</f>
        <v>97.4</v>
      </c>
      <c r="F617" s="658"/>
    </row>
    <row r="618" spans="1:8" x14ac:dyDescent="0.2">
      <c r="A618" s="1737"/>
      <c r="B618" s="660" t="s">
        <v>1573</v>
      </c>
      <c r="C618" s="660">
        <v>1</v>
      </c>
      <c r="D618" s="661">
        <f>FORNITURAS!D7</f>
        <v>52</v>
      </c>
      <c r="E618" s="662">
        <f>C618*D618</f>
        <v>52</v>
      </c>
      <c r="F618" s="658"/>
    </row>
    <row r="619" spans="1:8" x14ac:dyDescent="0.2">
      <c r="A619" s="665" t="s">
        <v>1554</v>
      </c>
      <c r="B619" s="660" t="s">
        <v>777</v>
      </c>
      <c r="C619" s="660">
        <v>2</v>
      </c>
      <c r="D619" s="661">
        <f>FORNITURAS!D26</f>
        <v>297.14285714285717</v>
      </c>
      <c r="E619" s="662">
        <f>C619*D619</f>
        <v>594.28571428571433</v>
      </c>
      <c r="F619" s="658"/>
    </row>
    <row r="620" spans="1:8" x14ac:dyDescent="0.2">
      <c r="A620" s="666" t="s">
        <v>1894</v>
      </c>
      <c r="B620" s="660"/>
      <c r="C620" s="660">
        <v>1</v>
      </c>
      <c r="D620" s="661">
        <f>FORNITURAS!I9</f>
        <v>60.526315789473685</v>
      </c>
      <c r="E620" s="662">
        <f>D620*C620</f>
        <v>60.526315789473685</v>
      </c>
      <c r="F620" s="658"/>
    </row>
    <row r="621" spans="1:8" x14ac:dyDescent="0.2">
      <c r="A621" s="666" t="s">
        <v>1012</v>
      </c>
      <c r="B621" s="660"/>
      <c r="C621" s="660">
        <v>2</v>
      </c>
      <c r="D621" s="661">
        <f>FORNITURAS!D17</f>
        <v>45.05</v>
      </c>
      <c r="E621" s="662">
        <f>C621*D621</f>
        <v>90.1</v>
      </c>
      <c r="F621" s="658"/>
    </row>
    <row r="622" spans="1:8" x14ac:dyDescent="0.2">
      <c r="A622" s="666" t="s">
        <v>3292</v>
      </c>
      <c r="B622" s="660"/>
      <c r="C622" s="660">
        <v>0.1</v>
      </c>
      <c r="D622" s="661">
        <f>'AROS, CADENAS, DIJES, ETC'!I55</f>
        <v>690</v>
      </c>
      <c r="E622" s="662">
        <f>C622*D622</f>
        <v>69</v>
      </c>
      <c r="F622" s="658"/>
    </row>
    <row r="623" spans="1:8" x14ac:dyDescent="0.2">
      <c r="A623" s="666" t="s">
        <v>1587</v>
      </c>
      <c r="B623" s="660"/>
      <c r="C623" s="660">
        <v>1</v>
      </c>
      <c r="D623" s="661">
        <f>FORNITURAS!D18</f>
        <v>363</v>
      </c>
      <c r="E623" s="662">
        <f>C623*D623</f>
        <v>363</v>
      </c>
      <c r="F623" s="658"/>
    </row>
    <row r="624" spans="1:8" x14ac:dyDescent="0.2">
      <c r="A624" s="666" t="s">
        <v>1557</v>
      </c>
      <c r="B624" s="660"/>
      <c r="C624" s="660"/>
      <c r="D624" s="661"/>
      <c r="E624" s="667">
        <f>PACKAGING!E3</f>
        <v>150</v>
      </c>
      <c r="G624" s="658"/>
    </row>
    <row r="625" spans="1:8" x14ac:dyDescent="0.2">
      <c r="A625" s="666" t="s">
        <v>1634</v>
      </c>
      <c r="B625" s="660"/>
      <c r="C625" s="660"/>
      <c r="D625" s="661"/>
      <c r="E625" s="667">
        <f>PACKAGING!E7</f>
        <v>170</v>
      </c>
      <c r="G625" s="658"/>
    </row>
    <row r="626" spans="1:8" x14ac:dyDescent="0.2">
      <c r="A626" s="666" t="s">
        <v>1670</v>
      </c>
      <c r="B626" s="660"/>
      <c r="C626" s="660"/>
      <c r="D626" s="661"/>
      <c r="E626" s="667">
        <f>PACKAGING!E9</f>
        <v>450</v>
      </c>
      <c r="G626" s="658"/>
    </row>
    <row r="627" spans="1:8" x14ac:dyDescent="0.2">
      <c r="A627" s="683" t="s">
        <v>1618</v>
      </c>
      <c r="B627" s="660">
        <v>60</v>
      </c>
      <c r="C627" s="660">
        <v>15</v>
      </c>
      <c r="D627" s="668">
        <f>'INSUMOS VARIOS'!B3</f>
        <v>3500</v>
      </c>
      <c r="E627" s="669">
        <f>D627*C627/B627</f>
        <v>875</v>
      </c>
      <c r="G627" s="658"/>
    </row>
    <row r="628" spans="1:8" ht="15.75" thickBot="1" x14ac:dyDescent="0.25">
      <c r="A628" s="670" t="s">
        <v>525</v>
      </c>
      <c r="B628" s="671"/>
      <c r="C628" s="671"/>
      <c r="D628" s="672"/>
      <c r="E628" s="673">
        <f>SUM(E616:E627)</f>
        <v>6780.8358395989981</v>
      </c>
      <c r="F628" s="658"/>
    </row>
    <row r="629" spans="1:8" ht="16.5" thickBot="1" x14ac:dyDescent="0.25">
      <c r="A629" s="675" t="s">
        <v>544</v>
      </c>
      <c r="B629" s="676"/>
      <c r="C629" s="676"/>
      <c r="D629" s="677"/>
      <c r="E629" s="692">
        <f>E628*2</f>
        <v>13561.671679197996</v>
      </c>
      <c r="F629" s="957">
        <f>E629+E629*70%</f>
        <v>23054.841854636594</v>
      </c>
      <c r="G629" s="681">
        <v>26000</v>
      </c>
    </row>
    <row r="630" spans="1:8" ht="16.5" thickBot="1" x14ac:dyDescent="0.25">
      <c r="A630" s="684" t="s">
        <v>1559</v>
      </c>
      <c r="B630" s="685"/>
      <c r="C630" s="685"/>
      <c r="D630" s="686"/>
      <c r="E630" s="686"/>
      <c r="F630" s="816"/>
      <c r="G630" s="702"/>
    </row>
    <row r="632" spans="1:8" ht="15.75" thickBot="1" x14ac:dyDescent="0.25"/>
    <row r="633" spans="1:8" ht="16.5" thickBot="1" x14ac:dyDescent="0.3">
      <c r="A633" s="1565" t="s">
        <v>2101</v>
      </c>
      <c r="B633" s="1566"/>
      <c r="C633" s="1566"/>
      <c r="D633" s="1566"/>
      <c r="E633" s="1566"/>
      <c r="F633" s="1567"/>
      <c r="G633"/>
      <c r="H633" s="1"/>
    </row>
    <row r="634" spans="1:8" ht="15.75" x14ac:dyDescent="0.2">
      <c r="A634" s="183" t="s">
        <v>916</v>
      </c>
      <c r="B634" s="97" t="s">
        <v>743</v>
      </c>
      <c r="C634" s="97" t="s">
        <v>1716</v>
      </c>
      <c r="D634" s="97" t="s">
        <v>1566</v>
      </c>
      <c r="E634" s="76" t="s">
        <v>1035</v>
      </c>
      <c r="F634" s="77" t="s">
        <v>1549</v>
      </c>
      <c r="G634" s="1"/>
      <c r="H634" s="1"/>
    </row>
    <row r="635" spans="1:8" ht="15.75" x14ac:dyDescent="0.2">
      <c r="A635" s="1613" t="s">
        <v>1585</v>
      </c>
      <c r="B635" s="98"/>
      <c r="C635" s="98">
        <v>0.5</v>
      </c>
      <c r="D635" s="98">
        <v>0.12</v>
      </c>
      <c r="E635" s="102">
        <f>'PALAIS DU BIJOU'!N17</f>
        <v>1100</v>
      </c>
      <c r="F635" s="39">
        <f>E635*D635/C635</f>
        <v>264</v>
      </c>
      <c r="G635" s="1"/>
      <c r="H635" s="1"/>
    </row>
    <row r="636" spans="1:8" ht="15.75" x14ac:dyDescent="0.2">
      <c r="A636" s="1614"/>
      <c r="B636" s="98"/>
      <c r="C636" s="98">
        <v>0.5</v>
      </c>
      <c r="D636" s="98">
        <v>6.5000000000000002E-2</v>
      </c>
      <c r="E636" s="102">
        <f>E635</f>
        <v>1100</v>
      </c>
      <c r="F636" s="39">
        <f>E636*D636/C636</f>
        <v>143</v>
      </c>
      <c r="G636" s="1"/>
      <c r="H636" s="1"/>
    </row>
    <row r="637" spans="1:8" ht="15.75" x14ac:dyDescent="0.2">
      <c r="A637" s="1615"/>
      <c r="B637" s="98"/>
      <c r="C637" s="98">
        <v>0.5</v>
      </c>
      <c r="D637" s="98">
        <v>0.14000000000000001</v>
      </c>
      <c r="E637" s="102">
        <f>E636</f>
        <v>1100</v>
      </c>
      <c r="F637" s="39">
        <f>E637*D637/C637</f>
        <v>308.00000000000006</v>
      </c>
      <c r="G637" s="1"/>
      <c r="H637" s="1"/>
    </row>
    <row r="638" spans="1:8" ht="15.75" x14ac:dyDescent="0.2">
      <c r="A638" s="1613" t="s">
        <v>1597</v>
      </c>
      <c r="B638" s="98" t="s">
        <v>2058</v>
      </c>
      <c r="C638" s="98"/>
      <c r="D638" s="98">
        <v>4</v>
      </c>
      <c r="E638" s="102">
        <f>PERLAS!F25</f>
        <v>106.45161290322581</v>
      </c>
      <c r="F638" s="39">
        <f>D638*E638</f>
        <v>425.80645161290323</v>
      </c>
      <c r="G638" s="1"/>
      <c r="H638" s="1"/>
    </row>
    <row r="639" spans="1:8" ht="15.75" x14ac:dyDescent="0.2">
      <c r="A639" s="1615"/>
      <c r="B639" s="98" t="s">
        <v>1273</v>
      </c>
      <c r="C639" s="98"/>
      <c r="D639" s="98">
        <v>2</v>
      </c>
      <c r="E639" s="102">
        <f>PERLAS!F7</f>
        <v>90.857142857142861</v>
      </c>
      <c r="F639" s="39">
        <f>D639*E639</f>
        <v>181.71428571428572</v>
      </c>
      <c r="G639" s="1"/>
      <c r="H639" s="1"/>
    </row>
    <row r="640" spans="1:8" ht="15.75" x14ac:dyDescent="0.2">
      <c r="A640" s="184" t="s">
        <v>1608</v>
      </c>
      <c r="B640" s="98"/>
      <c r="C640" s="98">
        <v>1</v>
      </c>
      <c r="D640" s="98">
        <v>0.1</v>
      </c>
      <c r="E640" s="102">
        <f>'AROS, CADENAS, DIJES, ETC'!I38</f>
        <v>3630</v>
      </c>
      <c r="F640" s="39">
        <f>E640*D640/C640</f>
        <v>363</v>
      </c>
      <c r="G640" s="1"/>
      <c r="H640" s="1"/>
    </row>
    <row r="641" spans="1:8" ht="15.75" x14ac:dyDescent="0.2">
      <c r="A641" s="184" t="s">
        <v>1424</v>
      </c>
      <c r="B641" s="98"/>
      <c r="C641" s="98">
        <v>1</v>
      </c>
      <c r="D641" s="98">
        <v>0.48</v>
      </c>
      <c r="E641" s="102">
        <f>'HILOS-CORDONES-TANZA-CUERO'!L9</f>
        <v>30</v>
      </c>
      <c r="F641" s="39">
        <f>E641*D641/C641</f>
        <v>14.399999999999999</v>
      </c>
      <c r="G641" s="1"/>
      <c r="H641" s="1"/>
    </row>
    <row r="642" spans="1:8" ht="15.75" x14ac:dyDescent="0.2">
      <c r="A642" s="184" t="s">
        <v>1012</v>
      </c>
      <c r="B642" s="98"/>
      <c r="C642" s="98"/>
      <c r="D642" s="98">
        <v>2</v>
      </c>
      <c r="E642" s="102">
        <f>FORNITURAS!D17</f>
        <v>45.05</v>
      </c>
      <c r="F642" s="39">
        <f>E642*D642</f>
        <v>90.1</v>
      </c>
      <c r="G642" s="1"/>
      <c r="H642" s="1"/>
    </row>
    <row r="643" spans="1:8" ht="15.75" x14ac:dyDescent="0.2">
      <c r="A643" s="185" t="s">
        <v>1554</v>
      </c>
      <c r="B643" s="98"/>
      <c r="C643" s="98"/>
      <c r="D643" s="98">
        <v>4</v>
      </c>
      <c r="E643" s="102">
        <f>FORNITURAS!D26</f>
        <v>297.14285714285717</v>
      </c>
      <c r="F643" s="39">
        <f>E643*D643</f>
        <v>1188.5714285714287</v>
      </c>
      <c r="G643" s="1"/>
      <c r="H643" s="1"/>
    </row>
    <row r="644" spans="1:8" ht="15.75" x14ac:dyDescent="0.2">
      <c r="A644" s="185" t="s">
        <v>1587</v>
      </c>
      <c r="B644" s="98"/>
      <c r="C644" s="98"/>
      <c r="D644" s="98">
        <v>1</v>
      </c>
      <c r="E644" s="102">
        <f>FORNITURAS!D18</f>
        <v>363</v>
      </c>
      <c r="F644" s="39">
        <f>E644*D644</f>
        <v>363</v>
      </c>
      <c r="G644" s="1"/>
      <c r="H644" s="1"/>
    </row>
    <row r="645" spans="1:8" ht="15.75" x14ac:dyDescent="0.2">
      <c r="A645" s="1701" t="s">
        <v>1572</v>
      </c>
      <c r="B645" s="98" t="s">
        <v>1556</v>
      </c>
      <c r="C645" s="98"/>
      <c r="D645" s="98">
        <v>2</v>
      </c>
      <c r="E645" s="102">
        <f>FORNITURAS!D4</f>
        <v>48.7</v>
      </c>
      <c r="F645" s="39">
        <f>E645*D645</f>
        <v>97.4</v>
      </c>
      <c r="G645" s="1"/>
      <c r="H645" s="1"/>
    </row>
    <row r="646" spans="1:8" ht="15.75" x14ac:dyDescent="0.2">
      <c r="A646" s="1711"/>
      <c r="B646" s="24" t="s">
        <v>1573</v>
      </c>
      <c r="C646" s="24"/>
      <c r="D646" s="24">
        <v>1</v>
      </c>
      <c r="E646" s="102">
        <f>FORNITURAS!D7</f>
        <v>52</v>
      </c>
      <c r="F646" s="523">
        <f>E646*D646</f>
        <v>52</v>
      </c>
      <c r="G646" s="1"/>
      <c r="H646" s="1"/>
    </row>
    <row r="647" spans="1:8" ht="15.75" x14ac:dyDescent="0.2">
      <c r="A647" s="3" t="s">
        <v>1588</v>
      </c>
      <c r="B647" s="2"/>
      <c r="C647" s="2"/>
      <c r="D647" s="2"/>
      <c r="E647" s="2"/>
      <c r="F647" s="39">
        <f>PACKAGING!E4</f>
        <v>80</v>
      </c>
      <c r="G647" s="1"/>
      <c r="H647" s="1"/>
    </row>
    <row r="648" spans="1:8" ht="15.75" x14ac:dyDescent="0.2">
      <c r="A648" s="104" t="s">
        <v>1537</v>
      </c>
      <c r="B648" s="148"/>
      <c r="C648" s="148"/>
      <c r="D648" s="148"/>
      <c r="E648" s="190"/>
      <c r="F648" s="39">
        <f>PACKAGING!E7</f>
        <v>170</v>
      </c>
      <c r="G648" s="1"/>
      <c r="H648" s="1"/>
    </row>
    <row r="649" spans="1:8" ht="15.75" x14ac:dyDescent="0.2">
      <c r="A649" s="104" t="s">
        <v>1670</v>
      </c>
      <c r="B649" s="148"/>
      <c r="C649" s="148"/>
      <c r="D649" s="148"/>
      <c r="E649" s="190"/>
      <c r="F649" s="39">
        <f>PACKAGING!E8</f>
        <v>420</v>
      </c>
      <c r="G649" s="1"/>
      <c r="H649" s="1"/>
    </row>
    <row r="650" spans="1:8" ht="15.75" x14ac:dyDescent="0.2">
      <c r="A650" s="3" t="s">
        <v>1590</v>
      </c>
      <c r="B650" s="98" t="s">
        <v>1590</v>
      </c>
      <c r="C650" s="98">
        <v>60</v>
      </c>
      <c r="D650" s="98">
        <v>10</v>
      </c>
      <c r="E650" s="102">
        <f>'INSUMOS VARIOS'!B3</f>
        <v>3500</v>
      </c>
      <c r="F650" s="39">
        <f>E650*D650/C650</f>
        <v>583.33333333333337</v>
      </c>
      <c r="G650" s="1"/>
      <c r="H650" s="1"/>
    </row>
    <row r="651" spans="1:8" ht="15.75" x14ac:dyDescent="0.2">
      <c r="A651" s="3" t="s">
        <v>908</v>
      </c>
      <c r="B651" s="98" t="s">
        <v>908</v>
      </c>
      <c r="C651" s="98">
        <v>60</v>
      </c>
      <c r="D651" s="98">
        <v>5</v>
      </c>
      <c r="E651" s="102">
        <f>E650</f>
        <v>3500</v>
      </c>
      <c r="F651" s="39">
        <f>E651*D651/C651</f>
        <v>291.66666666666669</v>
      </c>
      <c r="G651" s="1"/>
      <c r="H651" s="1"/>
    </row>
    <row r="652" spans="1:8" ht="16.5" thickBot="1" x14ac:dyDescent="0.3">
      <c r="A652" s="79" t="s">
        <v>525</v>
      </c>
      <c r="B652" s="99"/>
      <c r="C652" s="99"/>
      <c r="D652" s="99"/>
      <c r="E652" s="70"/>
      <c r="F652" s="51">
        <f>SUM(F635:F651)</f>
        <v>5035.9921658986177</v>
      </c>
      <c r="G652" s="1"/>
      <c r="H652"/>
    </row>
    <row r="653" spans="1:8" ht="18.75" x14ac:dyDescent="0.2">
      <c r="A653" s="80" t="s">
        <v>544</v>
      </c>
      <c r="B653" s="100"/>
      <c r="C653" s="100"/>
      <c r="D653" s="100"/>
      <c r="E653" s="71"/>
      <c r="F653" s="221">
        <f>F652*2</f>
        <v>10071.984331797235</v>
      </c>
      <c r="G653" s="512">
        <f>F653+F653*50%</f>
        <v>15107.976497695854</v>
      </c>
      <c r="H653" s="75">
        <v>8000</v>
      </c>
    </row>
    <row r="654" spans="1:8" ht="19.5" thickBot="1" x14ac:dyDescent="0.25">
      <c r="A654" s="211" t="s">
        <v>1559</v>
      </c>
      <c r="B654" s="214"/>
      <c r="C654" s="214"/>
      <c r="D654" s="214"/>
      <c r="E654" s="212"/>
      <c r="F654" s="372"/>
      <c r="G654" s="522"/>
      <c r="H654" s="371">
        <f>H653*2</f>
        <v>16000</v>
      </c>
    </row>
    <row r="655" spans="1:8" ht="15.75" thickBot="1" x14ac:dyDescent="0.25"/>
    <row r="656" spans="1:8" ht="16.5" thickBot="1" x14ac:dyDescent="0.3">
      <c r="A656" s="1565" t="s">
        <v>2102</v>
      </c>
      <c r="B656" s="1566"/>
      <c r="C656" s="1566"/>
      <c r="D656" s="1566"/>
      <c r="E656" s="1566"/>
      <c r="F656" s="1567"/>
      <c r="G656"/>
      <c r="H656" s="1"/>
    </row>
    <row r="657" spans="1:8" ht="15.75" x14ac:dyDescent="0.2">
      <c r="A657" s="183" t="s">
        <v>916</v>
      </c>
      <c r="B657" s="97" t="s">
        <v>743</v>
      </c>
      <c r="C657" s="97" t="s">
        <v>1716</v>
      </c>
      <c r="D657" s="97" t="s">
        <v>1566</v>
      </c>
      <c r="E657" s="76" t="s">
        <v>1035</v>
      </c>
      <c r="F657" s="77" t="s">
        <v>1549</v>
      </c>
      <c r="G657" s="1"/>
      <c r="H657" s="1"/>
    </row>
    <row r="658" spans="1:8" ht="15.75" x14ac:dyDescent="0.2">
      <c r="A658" s="184" t="s">
        <v>1585</v>
      </c>
      <c r="B658" s="98">
        <v>0.5</v>
      </c>
      <c r="C658" s="98">
        <v>0.17499999999999999</v>
      </c>
      <c r="D658" s="98">
        <v>2</v>
      </c>
      <c r="E658" s="102">
        <f>'PALAIS DU BIJOU'!N17</f>
        <v>1100</v>
      </c>
      <c r="F658" s="39">
        <f>E658*D658*C658/B658</f>
        <v>770</v>
      </c>
      <c r="G658" s="1"/>
      <c r="H658" s="1"/>
    </row>
    <row r="659" spans="1:8" ht="15.75" x14ac:dyDescent="0.2">
      <c r="A659" s="184" t="s">
        <v>1742</v>
      </c>
      <c r="B659" s="98"/>
      <c r="C659" s="98"/>
      <c r="D659" s="98">
        <v>1</v>
      </c>
      <c r="E659" s="102">
        <f>PERLAS!O7</f>
        <v>1745.8823529411766</v>
      </c>
      <c r="F659" s="39">
        <f>D659*E659</f>
        <v>1745.8823529411766</v>
      </c>
      <c r="G659" s="1"/>
      <c r="H659" s="1"/>
    </row>
    <row r="660" spans="1:8" ht="15.75" x14ac:dyDescent="0.2">
      <c r="A660" s="184" t="s">
        <v>1608</v>
      </c>
      <c r="B660" s="98"/>
      <c r="C660" s="98">
        <v>1</v>
      </c>
      <c r="D660" s="98">
        <v>0.1</v>
      </c>
      <c r="E660" s="102">
        <f>'AROS, CADENAS, DIJES, ETC'!I38</f>
        <v>3630</v>
      </c>
      <c r="F660" s="39">
        <f>E660*D660/C660</f>
        <v>363</v>
      </c>
      <c r="G660" s="1"/>
      <c r="H660" s="1"/>
    </row>
    <row r="661" spans="1:8" ht="15.75" x14ac:dyDescent="0.2">
      <c r="A661" s="184" t="s">
        <v>1424</v>
      </c>
      <c r="B661" s="98"/>
      <c r="C661" s="98">
        <v>1</v>
      </c>
      <c r="D661" s="98">
        <v>0.48</v>
      </c>
      <c r="E661" s="102">
        <f>'HILOS-CORDONES-TANZA-CUERO'!L9</f>
        <v>30</v>
      </c>
      <c r="F661" s="39">
        <f>E661*D661/C661</f>
        <v>14.399999999999999</v>
      </c>
      <c r="G661" s="1"/>
      <c r="H661" s="1"/>
    </row>
    <row r="662" spans="1:8" ht="15.75" x14ac:dyDescent="0.2">
      <c r="A662" s="184" t="s">
        <v>1012</v>
      </c>
      <c r="B662" s="98"/>
      <c r="C662" s="98"/>
      <c r="D662" s="98">
        <v>2</v>
      </c>
      <c r="E662" s="102">
        <f>FORNITURAS!D17</f>
        <v>45.05</v>
      </c>
      <c r="F662" s="39">
        <f>E662*D662</f>
        <v>90.1</v>
      </c>
      <c r="G662" s="1"/>
      <c r="H662" s="1"/>
    </row>
    <row r="663" spans="1:8" ht="15.75" x14ac:dyDescent="0.2">
      <c r="A663" s="185" t="s">
        <v>1554</v>
      </c>
      <c r="B663" s="98"/>
      <c r="C663" s="98"/>
      <c r="D663" s="98">
        <v>4</v>
      </c>
      <c r="E663" s="102">
        <f>FORNITURAS!D26</f>
        <v>297.14285714285717</v>
      </c>
      <c r="F663" s="39">
        <f>E663*D663</f>
        <v>1188.5714285714287</v>
      </c>
      <c r="G663" s="1"/>
      <c r="H663" s="1"/>
    </row>
    <row r="664" spans="1:8" ht="15.75" x14ac:dyDescent="0.2">
      <c r="A664" s="185" t="s">
        <v>1587</v>
      </c>
      <c r="B664" s="98"/>
      <c r="C664" s="98"/>
      <c r="D664" s="98">
        <v>1</v>
      </c>
      <c r="E664" s="102">
        <f>FORNITURAS!D18</f>
        <v>363</v>
      </c>
      <c r="F664" s="39">
        <f>E664*D664</f>
        <v>363</v>
      </c>
      <c r="G664" s="1"/>
      <c r="H664" s="1"/>
    </row>
    <row r="665" spans="1:8" ht="15.75" x14ac:dyDescent="0.2">
      <c r="A665" s="1701" t="s">
        <v>1572</v>
      </c>
      <c r="B665" s="98" t="s">
        <v>1556</v>
      </c>
      <c r="C665" s="98"/>
      <c r="D665" s="98">
        <v>2</v>
      </c>
      <c r="E665" s="102">
        <f>FORNITURAS!D4</f>
        <v>48.7</v>
      </c>
      <c r="F665" s="39">
        <f>E665*D665</f>
        <v>97.4</v>
      </c>
      <c r="G665" s="1"/>
      <c r="H665" s="1"/>
    </row>
    <row r="666" spans="1:8" ht="15.75" x14ac:dyDescent="0.2">
      <c r="A666" s="1711"/>
      <c r="B666" s="24" t="s">
        <v>1573</v>
      </c>
      <c r="C666" s="24"/>
      <c r="D666" s="24">
        <v>1</v>
      </c>
      <c r="E666" s="102">
        <f>FORNITURAS!D5</f>
        <v>46.8</v>
      </c>
      <c r="F666" s="523">
        <f>E666*D666</f>
        <v>46.8</v>
      </c>
      <c r="G666" s="1"/>
      <c r="H666" s="1"/>
    </row>
    <row r="667" spans="1:8" ht="15.75" x14ac:dyDescent="0.2">
      <c r="A667" s="3" t="s">
        <v>1588</v>
      </c>
      <c r="B667" s="2"/>
      <c r="C667" s="2"/>
      <c r="D667" s="2"/>
      <c r="E667" s="2"/>
      <c r="F667" s="39">
        <f>PACKAGING!E4</f>
        <v>80</v>
      </c>
      <c r="G667" s="1"/>
      <c r="H667" s="1"/>
    </row>
    <row r="668" spans="1:8" ht="15.75" x14ac:dyDescent="0.2">
      <c r="A668" s="104" t="s">
        <v>1537</v>
      </c>
      <c r="B668" s="148"/>
      <c r="C668" s="148"/>
      <c r="D668" s="148"/>
      <c r="E668" s="190"/>
      <c r="F668" s="39">
        <f>PACKAGING!E7</f>
        <v>170</v>
      </c>
      <c r="G668" s="1"/>
      <c r="H668" s="1"/>
    </row>
    <row r="669" spans="1:8" ht="15.75" x14ac:dyDescent="0.2">
      <c r="A669" s="104" t="s">
        <v>1670</v>
      </c>
      <c r="B669" s="148"/>
      <c r="C669" s="148"/>
      <c r="D669" s="148"/>
      <c r="E669" s="190"/>
      <c r="F669" s="39">
        <f>PACKAGING!E8</f>
        <v>420</v>
      </c>
      <c r="G669" s="1"/>
      <c r="H669" s="1"/>
    </row>
    <row r="670" spans="1:8" ht="15.75" x14ac:dyDescent="0.2">
      <c r="A670" s="3" t="s">
        <v>1590</v>
      </c>
      <c r="B670" s="98" t="s">
        <v>1590</v>
      </c>
      <c r="C670" s="98">
        <v>60</v>
      </c>
      <c r="D670" s="98">
        <v>10</v>
      </c>
      <c r="E670" s="102">
        <f>'INSUMOS VARIOS'!B3</f>
        <v>3500</v>
      </c>
      <c r="F670" s="39">
        <f>E670*D670/C670</f>
        <v>583.33333333333337</v>
      </c>
      <c r="G670" s="1"/>
      <c r="H670" s="1"/>
    </row>
    <row r="671" spans="1:8" ht="15.75" x14ac:dyDescent="0.2">
      <c r="A671" s="3" t="s">
        <v>908</v>
      </c>
      <c r="B671" s="98" t="s">
        <v>908</v>
      </c>
      <c r="C671" s="98">
        <v>60</v>
      </c>
      <c r="D671" s="98">
        <v>5</v>
      </c>
      <c r="E671" s="102">
        <f>E670</f>
        <v>3500</v>
      </c>
      <c r="F671" s="39">
        <f>E671*D671/C671</f>
        <v>291.66666666666669</v>
      </c>
      <c r="G671" s="1"/>
      <c r="H671" s="1"/>
    </row>
    <row r="672" spans="1:8" ht="16.5" thickBot="1" x14ac:dyDescent="0.3">
      <c r="A672" s="79" t="s">
        <v>525</v>
      </c>
      <c r="B672" s="99"/>
      <c r="C672" s="99"/>
      <c r="D672" s="99"/>
      <c r="E672" s="70"/>
      <c r="F672" s="51">
        <f>SUM(F658:F671)</f>
        <v>6224.1537815126048</v>
      </c>
      <c r="G672" s="1"/>
      <c r="H672"/>
    </row>
    <row r="673" spans="1:8" ht="18.75" x14ac:dyDescent="0.2">
      <c r="A673" s="80" t="s">
        <v>544</v>
      </c>
      <c r="B673" s="100"/>
      <c r="C673" s="100"/>
      <c r="D673" s="100"/>
      <c r="E673" s="71"/>
      <c r="F673" s="221">
        <f>F672*2</f>
        <v>12448.30756302521</v>
      </c>
      <c r="G673" s="512">
        <f>F673+F673*50%</f>
        <v>18672.461344537813</v>
      </c>
      <c r="H673" s="75">
        <v>7500</v>
      </c>
    </row>
    <row r="674" spans="1:8" ht="19.5" thickBot="1" x14ac:dyDescent="0.25">
      <c r="A674" s="211" t="s">
        <v>1559</v>
      </c>
      <c r="B674" s="214"/>
      <c r="C674" s="214"/>
      <c r="D674" s="214"/>
      <c r="E674" s="212"/>
      <c r="F674" s="372"/>
      <c r="G674" s="522"/>
      <c r="H674" s="371">
        <f>H673*2</f>
        <v>15000</v>
      </c>
    </row>
    <row r="675" spans="1:8" ht="15.75" thickBot="1" x14ac:dyDescent="0.25"/>
    <row r="676" spans="1:8" ht="16.5" thickBot="1" x14ac:dyDescent="0.3">
      <c r="A676" s="1565" t="s">
        <v>3282</v>
      </c>
      <c r="B676" s="1566"/>
      <c r="C676" s="1566"/>
      <c r="D676" s="1566"/>
      <c r="E676" s="1566"/>
      <c r="F676" s="1567"/>
      <c r="G676"/>
      <c r="H676" s="1"/>
    </row>
    <row r="677" spans="1:8" ht="15.75" x14ac:dyDescent="0.2">
      <c r="A677" s="183" t="s">
        <v>916</v>
      </c>
      <c r="B677" s="97" t="s">
        <v>743</v>
      </c>
      <c r="C677" s="97" t="s">
        <v>1716</v>
      </c>
      <c r="D677" s="97" t="s">
        <v>1566</v>
      </c>
      <c r="E677" s="76" t="s">
        <v>1035</v>
      </c>
      <c r="F677" s="77" t="s">
        <v>1549</v>
      </c>
      <c r="G677" s="1"/>
      <c r="H677" s="1"/>
    </row>
    <row r="678" spans="1:8" ht="15.75" x14ac:dyDescent="0.2">
      <c r="A678" s="1613" t="s">
        <v>1585</v>
      </c>
      <c r="B678" s="98"/>
      <c r="C678" s="98">
        <v>0.5</v>
      </c>
      <c r="D678" s="98">
        <v>8.5000000000000006E-2</v>
      </c>
      <c r="E678" s="102">
        <f>'PALAIS DU BIJOU'!N17</f>
        <v>1100</v>
      </c>
      <c r="F678" s="39">
        <f>E678*D678/C678</f>
        <v>187</v>
      </c>
      <c r="G678" s="1"/>
      <c r="H678" s="1"/>
    </row>
    <row r="679" spans="1:8" ht="15.75" x14ac:dyDescent="0.2">
      <c r="A679" s="1614"/>
      <c r="B679" s="98"/>
      <c r="C679" s="98">
        <v>0.5</v>
      </c>
      <c r="D679" s="98">
        <v>6.5000000000000002E-2</v>
      </c>
      <c r="E679" s="102">
        <f>E678</f>
        <v>1100</v>
      </c>
      <c r="F679" s="39">
        <f>E679*D679/C679</f>
        <v>143</v>
      </c>
      <c r="G679" s="1"/>
      <c r="H679" s="1"/>
    </row>
    <row r="680" spans="1:8" ht="15.75" x14ac:dyDescent="0.2">
      <c r="A680" s="1614"/>
      <c r="B680" s="98"/>
      <c r="C680" s="98">
        <v>0.5</v>
      </c>
      <c r="D680" s="98">
        <v>0.08</v>
      </c>
      <c r="E680" s="102">
        <f>E679</f>
        <v>1100</v>
      </c>
      <c r="F680" s="39">
        <f>E680*D680/C680</f>
        <v>176</v>
      </c>
      <c r="G680" s="1"/>
      <c r="H680" s="1"/>
    </row>
    <row r="681" spans="1:8" ht="15.75" x14ac:dyDescent="0.2">
      <c r="A681" s="1614"/>
      <c r="B681" s="98"/>
      <c r="C681" s="98">
        <v>0.5</v>
      </c>
      <c r="D681" s="98">
        <v>0.35</v>
      </c>
      <c r="E681" s="102">
        <f>E679</f>
        <v>1100</v>
      </c>
      <c r="F681" s="39">
        <f>E681*D681/C681</f>
        <v>770</v>
      </c>
      <c r="G681" s="1"/>
      <c r="H681" s="1"/>
    </row>
    <row r="682" spans="1:8" ht="15.75" x14ac:dyDescent="0.2">
      <c r="A682" s="1615"/>
      <c r="B682" s="98"/>
      <c r="C682" s="98">
        <v>0.5</v>
      </c>
      <c r="D682" s="98">
        <v>0.08</v>
      </c>
      <c r="E682" s="102">
        <f>E679</f>
        <v>1100</v>
      </c>
      <c r="F682" s="39">
        <f>E682*D682/C682</f>
        <v>176</v>
      </c>
      <c r="G682" s="1"/>
      <c r="H682" s="1"/>
    </row>
    <row r="683" spans="1:8" ht="15.75" x14ac:dyDescent="0.2">
      <c r="A683" s="184" t="s">
        <v>1597</v>
      </c>
      <c r="B683" s="98"/>
      <c r="C683" s="98"/>
      <c r="D683" s="98">
        <v>8</v>
      </c>
      <c r="E683" s="102">
        <f>PERLAS!F25</f>
        <v>106.45161290322581</v>
      </c>
      <c r="F683" s="39">
        <f>D683*E683</f>
        <v>851.61290322580646</v>
      </c>
      <c r="G683" s="1"/>
      <c r="H683" s="1"/>
    </row>
    <row r="684" spans="1:8" ht="15.75" x14ac:dyDescent="0.2">
      <c r="A684" s="184" t="s">
        <v>1608</v>
      </c>
      <c r="B684" s="98"/>
      <c r="C684" s="98">
        <v>1</v>
      </c>
      <c r="D684" s="98">
        <v>0.1</v>
      </c>
      <c r="E684" s="102">
        <f>'AROS, CADENAS, DIJES, ETC'!I38</f>
        <v>3630</v>
      </c>
      <c r="F684" s="39">
        <f>E684*D684/C684</f>
        <v>363</v>
      </c>
      <c r="G684" s="1"/>
      <c r="H684" s="1"/>
    </row>
    <row r="685" spans="1:8" ht="15.75" x14ac:dyDescent="0.2">
      <c r="A685" s="184" t="s">
        <v>1424</v>
      </c>
      <c r="B685" s="98"/>
      <c r="C685" s="98">
        <v>1</v>
      </c>
      <c r="D685" s="98">
        <v>0.48</v>
      </c>
      <c r="E685" s="102">
        <f>'HILOS-CORDONES-TANZA-CUERO'!L9</f>
        <v>30</v>
      </c>
      <c r="F685" s="39">
        <f>E685*D685/C685</f>
        <v>14.399999999999999</v>
      </c>
      <c r="G685" s="1"/>
      <c r="H685" s="1"/>
    </row>
    <row r="686" spans="1:8" ht="15.75" x14ac:dyDescent="0.2">
      <c r="A686" s="184" t="s">
        <v>1012</v>
      </c>
      <c r="B686" s="98"/>
      <c r="C686" s="98"/>
      <c r="D686" s="98">
        <v>2</v>
      </c>
      <c r="E686" s="102">
        <f>FORNITURAS!D17</f>
        <v>45.05</v>
      </c>
      <c r="F686" s="39">
        <f>E686*D686</f>
        <v>90.1</v>
      </c>
      <c r="G686" s="1"/>
      <c r="H686" s="1"/>
    </row>
    <row r="687" spans="1:8" ht="15.75" x14ac:dyDescent="0.2">
      <c r="A687" s="185" t="s">
        <v>1554</v>
      </c>
      <c r="B687" s="98"/>
      <c r="C687" s="98"/>
      <c r="D687" s="98">
        <v>4</v>
      </c>
      <c r="E687" s="102">
        <f>FORNITURAS!D26</f>
        <v>297.14285714285717</v>
      </c>
      <c r="F687" s="39">
        <f>E687*D687</f>
        <v>1188.5714285714287</v>
      </c>
      <c r="G687" s="1"/>
      <c r="H687" s="1"/>
    </row>
    <row r="688" spans="1:8" ht="15.75" x14ac:dyDescent="0.2">
      <c r="A688" s="185" t="s">
        <v>1587</v>
      </c>
      <c r="B688" s="98"/>
      <c r="C688" s="98"/>
      <c r="D688" s="98">
        <v>1</v>
      </c>
      <c r="E688" s="102">
        <f>FORNITURAS!D18</f>
        <v>363</v>
      </c>
      <c r="F688" s="39">
        <f>E688*D688</f>
        <v>363</v>
      </c>
      <c r="G688" s="1"/>
      <c r="H688" s="1"/>
    </row>
    <row r="689" spans="1:8" ht="15.75" x14ac:dyDescent="0.2">
      <c r="A689" s="1701" t="s">
        <v>1572</v>
      </c>
      <c r="B689" s="98" t="s">
        <v>1556</v>
      </c>
      <c r="C689" s="98"/>
      <c r="D689" s="98">
        <v>2</v>
      </c>
      <c r="E689" s="102">
        <f>FORNITURAS!D4</f>
        <v>48.7</v>
      </c>
      <c r="F689" s="39">
        <f>E689*D689</f>
        <v>97.4</v>
      </c>
      <c r="G689" s="1"/>
      <c r="H689" s="1"/>
    </row>
    <row r="690" spans="1:8" ht="15.75" x14ac:dyDescent="0.2">
      <c r="A690" s="1711"/>
      <c r="B690" s="24" t="s">
        <v>1573</v>
      </c>
      <c r="C690" s="24"/>
      <c r="D690" s="24">
        <v>1</v>
      </c>
      <c r="E690" s="102">
        <f>FORNITURAS!D7</f>
        <v>52</v>
      </c>
      <c r="F690" s="523">
        <f>E690*D690</f>
        <v>52</v>
      </c>
      <c r="G690" s="1"/>
      <c r="H690" s="1"/>
    </row>
    <row r="691" spans="1:8" ht="15.75" x14ac:dyDescent="0.2">
      <c r="A691" s="3" t="s">
        <v>1588</v>
      </c>
      <c r="B691" s="2"/>
      <c r="C691" s="2"/>
      <c r="D691" s="2"/>
      <c r="E691" s="2"/>
      <c r="F691" s="39">
        <f>PACKAGING!E4</f>
        <v>80</v>
      </c>
      <c r="G691" s="1"/>
      <c r="H691" s="1"/>
    </row>
    <row r="692" spans="1:8" ht="15.75" x14ac:dyDescent="0.2">
      <c r="A692" s="104" t="s">
        <v>1537</v>
      </c>
      <c r="B692" s="148"/>
      <c r="C692" s="148"/>
      <c r="D692" s="148"/>
      <c r="E692" s="190"/>
      <c r="F692" s="39">
        <f>PACKAGING!E7</f>
        <v>170</v>
      </c>
      <c r="G692" s="1"/>
      <c r="H692" s="1"/>
    </row>
    <row r="693" spans="1:8" ht="15.75" x14ac:dyDescent="0.2">
      <c r="A693" s="104" t="s">
        <v>1670</v>
      </c>
      <c r="B693" s="148"/>
      <c r="C693" s="148"/>
      <c r="D693" s="148"/>
      <c r="E693" s="190"/>
      <c r="F693" s="39">
        <f>PACKAGING!E9</f>
        <v>450</v>
      </c>
      <c r="G693" s="1"/>
      <c r="H693" s="1"/>
    </row>
    <row r="694" spans="1:8" ht="15.75" x14ac:dyDescent="0.2">
      <c r="A694" s="3" t="s">
        <v>1590</v>
      </c>
      <c r="B694" s="98" t="s">
        <v>1590</v>
      </c>
      <c r="C694" s="98">
        <v>60</v>
      </c>
      <c r="D694" s="98">
        <v>10</v>
      </c>
      <c r="E694" s="102">
        <f>'INSUMOS VARIOS'!B3</f>
        <v>3500</v>
      </c>
      <c r="F694" s="39">
        <f>E694*D694/C694</f>
        <v>583.33333333333337</v>
      </c>
      <c r="G694" s="1"/>
      <c r="H694" s="1"/>
    </row>
    <row r="695" spans="1:8" ht="15.75" x14ac:dyDescent="0.2">
      <c r="A695" s="3" t="s">
        <v>908</v>
      </c>
      <c r="B695" s="98" t="s">
        <v>908</v>
      </c>
      <c r="C695" s="98">
        <v>60</v>
      </c>
      <c r="D695" s="98">
        <v>5</v>
      </c>
      <c r="E695" s="102">
        <f>E694</f>
        <v>3500</v>
      </c>
      <c r="F695" s="39">
        <f>E695*D695/C695</f>
        <v>291.66666666666669</v>
      </c>
      <c r="G695" s="1"/>
      <c r="H695" s="1"/>
    </row>
    <row r="696" spans="1:8" ht="16.5" thickBot="1" x14ac:dyDescent="0.3">
      <c r="A696" s="79" t="s">
        <v>525</v>
      </c>
      <c r="B696" s="99"/>
      <c r="C696" s="99"/>
      <c r="D696" s="99"/>
      <c r="E696" s="70"/>
      <c r="F696" s="51">
        <f>SUM(F678:F695)</f>
        <v>6047.0843317972349</v>
      </c>
      <c r="G696" s="1"/>
      <c r="H696"/>
    </row>
    <row r="697" spans="1:8" ht="18.75" x14ac:dyDescent="0.2">
      <c r="A697" s="80" t="s">
        <v>544</v>
      </c>
      <c r="B697" s="100"/>
      <c r="C697" s="100"/>
      <c r="D697" s="100"/>
      <c r="E697" s="71"/>
      <c r="F697" s="221">
        <f>F696*2</f>
        <v>12094.16866359447</v>
      </c>
      <c r="G697" s="512">
        <f>F697+F697*50%</f>
        <v>18141.252995391704</v>
      </c>
      <c r="H697" s="75">
        <v>10000</v>
      </c>
    </row>
    <row r="698" spans="1:8" ht="19.5" thickBot="1" x14ac:dyDescent="0.25">
      <c r="A698" s="211" t="s">
        <v>1559</v>
      </c>
      <c r="B698" s="214"/>
      <c r="C698" s="214"/>
      <c r="D698" s="214"/>
      <c r="E698" s="212"/>
      <c r="F698" s="372"/>
      <c r="G698" s="522"/>
      <c r="H698" s="371">
        <f>H697*2</f>
        <v>20000</v>
      </c>
    </row>
    <row r="699" spans="1:8" ht="15.75" thickBot="1" x14ac:dyDescent="0.25"/>
    <row r="700" spans="1:8" ht="15.75" thickBot="1" x14ac:dyDescent="0.25">
      <c r="A700" s="1738" t="s">
        <v>3366</v>
      </c>
      <c r="B700" s="1739"/>
      <c r="C700" s="1739"/>
      <c r="D700" s="1739"/>
      <c r="E700" s="1740"/>
    </row>
    <row r="701" spans="1:8" x14ac:dyDescent="0.2">
      <c r="A701" s="654" t="s">
        <v>916</v>
      </c>
      <c r="B701" s="655" t="s">
        <v>743</v>
      </c>
      <c r="C701" s="655" t="s">
        <v>1566</v>
      </c>
      <c r="D701" s="656" t="s">
        <v>1035</v>
      </c>
      <c r="E701" s="657" t="s">
        <v>1549</v>
      </c>
      <c r="F701" s="658"/>
    </row>
    <row r="702" spans="1:8" x14ac:dyDescent="0.2">
      <c r="A702" s="659" t="s">
        <v>3367</v>
      </c>
      <c r="B702" s="660">
        <v>0.36</v>
      </c>
      <c r="C702" s="660">
        <v>0.36</v>
      </c>
      <c r="D702" s="661">
        <f>'PALAIS DU BIJOU'!E31</f>
        <v>3105</v>
      </c>
      <c r="E702" s="662">
        <f>D702*C702/B702</f>
        <v>3105</v>
      </c>
      <c r="F702" s="658"/>
    </row>
    <row r="703" spans="1:8" x14ac:dyDescent="0.2">
      <c r="A703" s="1736" t="s">
        <v>1572</v>
      </c>
      <c r="B703" s="660" t="s">
        <v>1556</v>
      </c>
      <c r="C703" s="660">
        <v>2</v>
      </c>
      <c r="D703" s="661">
        <f>FORNITURAS!D4</f>
        <v>48.7</v>
      </c>
      <c r="E703" s="662">
        <f t="shared" ref="E703:E708" si="25">C703*D703</f>
        <v>97.4</v>
      </c>
      <c r="F703" s="658"/>
    </row>
    <row r="704" spans="1:8" x14ac:dyDescent="0.2">
      <c r="A704" s="1737"/>
      <c r="B704" s="660" t="s">
        <v>1573</v>
      </c>
      <c r="C704" s="660">
        <v>1</v>
      </c>
      <c r="D704" s="661">
        <f>FORNITURAS!D7</f>
        <v>52</v>
      </c>
      <c r="E704" s="662">
        <f t="shared" si="25"/>
        <v>52</v>
      </c>
      <c r="F704" s="658"/>
    </row>
    <row r="705" spans="1:7" x14ac:dyDescent="0.2">
      <c r="A705" s="665" t="s">
        <v>1554</v>
      </c>
      <c r="B705" s="660" t="s">
        <v>777</v>
      </c>
      <c r="C705" s="660">
        <v>2</v>
      </c>
      <c r="D705" s="661">
        <f>FORNITURAS!D24</f>
        <v>34.666666666666664</v>
      </c>
      <c r="E705" s="662">
        <f t="shared" si="25"/>
        <v>69.333333333333329</v>
      </c>
      <c r="F705" s="658"/>
    </row>
    <row r="706" spans="1:7" x14ac:dyDescent="0.2">
      <c r="A706" s="666" t="s">
        <v>1012</v>
      </c>
      <c r="B706" s="660"/>
      <c r="C706" s="660">
        <v>2</v>
      </c>
      <c r="D706" s="661">
        <f>FORNITURAS!D17</f>
        <v>45.05</v>
      </c>
      <c r="E706" s="662">
        <f t="shared" si="25"/>
        <v>90.1</v>
      </c>
      <c r="F706" s="658"/>
    </row>
    <row r="707" spans="1:7" x14ac:dyDescent="0.2">
      <c r="A707" s="666" t="s">
        <v>1608</v>
      </c>
      <c r="B707" s="660"/>
      <c r="C707" s="660">
        <v>0.1</v>
      </c>
      <c r="D707" s="661">
        <f>'AROS, CADENAS, DIJES, ETC'!I38</f>
        <v>3630</v>
      </c>
      <c r="E707" s="662">
        <f t="shared" si="25"/>
        <v>363</v>
      </c>
      <c r="F707" s="658"/>
    </row>
    <row r="708" spans="1:7" x14ac:dyDescent="0.2">
      <c r="A708" s="666" t="s">
        <v>1587</v>
      </c>
      <c r="B708" s="660"/>
      <c r="C708" s="660">
        <v>1</v>
      </c>
      <c r="D708" s="661">
        <f>FORNITURAS!D18</f>
        <v>363</v>
      </c>
      <c r="E708" s="662">
        <f t="shared" si="25"/>
        <v>363</v>
      </c>
      <c r="F708" s="658"/>
    </row>
    <row r="709" spans="1:7" x14ac:dyDescent="0.2">
      <c r="A709" s="666" t="s">
        <v>1557</v>
      </c>
      <c r="B709" s="660"/>
      <c r="C709" s="660"/>
      <c r="D709" s="661"/>
      <c r="E709" s="667">
        <f>PACKAGING!E4</f>
        <v>80</v>
      </c>
      <c r="G709" s="658"/>
    </row>
    <row r="710" spans="1:7" x14ac:dyDescent="0.2">
      <c r="A710" s="666" t="s">
        <v>3362</v>
      </c>
      <c r="B710" s="660"/>
      <c r="C710" s="660"/>
      <c r="D710" s="661"/>
      <c r="E710" s="667">
        <f>PACKAGING!E17</f>
        <v>7.5</v>
      </c>
      <c r="G710" s="658"/>
    </row>
    <row r="711" spans="1:7" x14ac:dyDescent="0.2">
      <c r="A711" s="666" t="s">
        <v>1634</v>
      </c>
      <c r="B711" s="660"/>
      <c r="C711" s="660"/>
      <c r="D711" s="661"/>
      <c r="E711" s="667">
        <f>PACKAGING!E7</f>
        <v>170</v>
      </c>
      <c r="G711" s="658"/>
    </row>
    <row r="712" spans="1:7" x14ac:dyDescent="0.2">
      <c r="A712" s="666" t="s">
        <v>1670</v>
      </c>
      <c r="B712" s="660"/>
      <c r="C712" s="660"/>
      <c r="D712" s="661"/>
      <c r="E712" s="667">
        <f>PACKAGING!E9</f>
        <v>450</v>
      </c>
      <c r="G712" s="658"/>
    </row>
    <row r="713" spans="1:7" x14ac:dyDescent="0.2">
      <c r="A713" s="683" t="s">
        <v>1618</v>
      </c>
      <c r="B713" s="660">
        <v>60</v>
      </c>
      <c r="C713" s="660">
        <v>15</v>
      </c>
      <c r="D713" s="668">
        <f>'INSUMOS VARIOS'!B3</f>
        <v>3500</v>
      </c>
      <c r="E713" s="669">
        <f>D713*C713/B713</f>
        <v>875</v>
      </c>
      <c r="G713" s="658"/>
    </row>
    <row r="714" spans="1:7" ht="15.75" thickBot="1" x14ac:dyDescent="0.25">
      <c r="A714" s="670" t="s">
        <v>525</v>
      </c>
      <c r="B714" s="671"/>
      <c r="C714" s="671"/>
      <c r="D714" s="672"/>
      <c r="E714" s="673">
        <f>SUM(E702:E713)</f>
        <v>5722.3333333333339</v>
      </c>
      <c r="F714" s="658"/>
    </row>
    <row r="715" spans="1:7" ht="16.5" thickBot="1" x14ac:dyDescent="0.25">
      <c r="A715" s="675" t="s">
        <v>544</v>
      </c>
      <c r="B715" s="676"/>
      <c r="C715" s="676"/>
      <c r="D715" s="677"/>
      <c r="E715" s="692">
        <f>E714*2</f>
        <v>11444.666666666668</v>
      </c>
      <c r="F715" s="957">
        <f>E715+E715*70%</f>
        <v>19455.933333333334</v>
      </c>
      <c r="G715" s="681">
        <v>26000</v>
      </c>
    </row>
    <row r="716" spans="1:7" ht="16.5" thickBot="1" x14ac:dyDescent="0.25">
      <c r="A716" s="684" t="s">
        <v>1559</v>
      </c>
      <c r="B716" s="685"/>
      <c r="C716" s="685"/>
      <c r="D716" s="686"/>
      <c r="E716" s="686"/>
      <c r="F716" s="816"/>
      <c r="G716" s="702"/>
    </row>
    <row r="717" spans="1:7" ht="15.75" thickBot="1" x14ac:dyDescent="0.25"/>
    <row r="718" spans="1:7" ht="15.75" thickBot="1" x14ac:dyDescent="0.25">
      <c r="A718" s="1738" t="s">
        <v>3655</v>
      </c>
      <c r="B718" s="1739"/>
      <c r="C718" s="1739"/>
      <c r="D718" s="1739"/>
      <c r="E718" s="1740"/>
    </row>
    <row r="719" spans="1:7" x14ac:dyDescent="0.2">
      <c r="A719" s="654" t="s">
        <v>916</v>
      </c>
      <c r="B719" s="655" t="s">
        <v>743</v>
      </c>
      <c r="C719" s="655" t="s">
        <v>1566</v>
      </c>
      <c r="D719" s="656" t="s">
        <v>1035</v>
      </c>
      <c r="E719" s="657" t="s">
        <v>1549</v>
      </c>
      <c r="F719" s="658"/>
    </row>
    <row r="720" spans="1:7" x14ac:dyDescent="0.2">
      <c r="A720" s="659" t="s">
        <v>3431</v>
      </c>
      <c r="B720" s="660"/>
      <c r="C720" s="660">
        <v>34</v>
      </c>
      <c r="D720" s="661">
        <f>PIEDRAS!F73</f>
        <v>152.85714285714286</v>
      </c>
      <c r="E720" s="662">
        <f>D720*C720</f>
        <v>5197.1428571428569</v>
      </c>
      <c r="F720" s="658"/>
    </row>
    <row r="721" spans="1:10" x14ac:dyDescent="0.2">
      <c r="A721" s="1736" t="s">
        <v>1572</v>
      </c>
      <c r="B721" s="660" t="s">
        <v>1573</v>
      </c>
      <c r="C721" s="660">
        <v>1</v>
      </c>
      <c r="D721" s="661">
        <f>FORNITURAS!D7</f>
        <v>52</v>
      </c>
      <c r="E721" s="662">
        <f>D721*C721</f>
        <v>52</v>
      </c>
      <c r="F721" s="658"/>
    </row>
    <row r="722" spans="1:10" x14ac:dyDescent="0.2">
      <c r="A722" s="1737"/>
      <c r="B722" s="660" t="s">
        <v>1658</v>
      </c>
      <c r="C722" s="660">
        <v>2</v>
      </c>
      <c r="D722" s="661">
        <f>FORNITURAS!D8</f>
        <v>192.77777777777777</v>
      </c>
      <c r="E722" s="662">
        <f>D722*C722</f>
        <v>385.55555555555554</v>
      </c>
      <c r="F722" s="658"/>
    </row>
    <row r="723" spans="1:10" x14ac:dyDescent="0.2">
      <c r="A723" s="666" t="s">
        <v>1224</v>
      </c>
      <c r="B723" s="660"/>
      <c r="C723" s="660">
        <v>1</v>
      </c>
      <c r="D723" s="661">
        <f>'HILOS-CORDONES-TANZA-CUERO'!E5</f>
        <v>50.35</v>
      </c>
      <c r="E723" s="662">
        <f>D723*C723</f>
        <v>50.35</v>
      </c>
      <c r="F723" s="658"/>
    </row>
    <row r="724" spans="1:10" x14ac:dyDescent="0.2">
      <c r="A724" s="666" t="s">
        <v>3292</v>
      </c>
      <c r="B724" s="660"/>
      <c r="C724" s="660">
        <v>0.1</v>
      </c>
      <c r="D724" s="661">
        <f>'AROS, CADENAS, DIJES, ETC'!I56</f>
        <v>2614</v>
      </c>
      <c r="E724" s="662">
        <f>C724*D724</f>
        <v>261.40000000000003</v>
      </c>
      <c r="F724" s="658"/>
    </row>
    <row r="725" spans="1:10" x14ac:dyDescent="0.2">
      <c r="A725" s="666" t="s">
        <v>1587</v>
      </c>
      <c r="B725" s="660"/>
      <c r="C725" s="660">
        <v>1</v>
      </c>
      <c r="D725" s="661">
        <f>FORNITURAS!D20</f>
        <v>1066</v>
      </c>
      <c r="E725" s="662">
        <f>C725*D725</f>
        <v>1066</v>
      </c>
      <c r="F725" s="658"/>
    </row>
    <row r="726" spans="1:10" x14ac:dyDescent="0.2">
      <c r="A726" s="666" t="s">
        <v>1557</v>
      </c>
      <c r="B726" s="660"/>
      <c r="C726" s="660"/>
      <c r="D726" s="661"/>
      <c r="E726" s="667">
        <f>PACKAGING!E4</f>
        <v>80</v>
      </c>
      <c r="G726" s="658"/>
    </row>
    <row r="727" spans="1:10" x14ac:dyDescent="0.2">
      <c r="A727" s="666" t="s">
        <v>3362</v>
      </c>
      <c r="B727" s="660"/>
      <c r="C727" s="660">
        <v>1</v>
      </c>
      <c r="D727" s="661">
        <f>PACKAGING!E17</f>
        <v>7.5</v>
      </c>
      <c r="E727" s="667">
        <f>D727*C727</f>
        <v>7.5</v>
      </c>
      <c r="G727" s="658"/>
    </row>
    <row r="728" spans="1:10" x14ac:dyDescent="0.2">
      <c r="A728" s="666" t="s">
        <v>1634</v>
      </c>
      <c r="B728" s="660"/>
      <c r="C728" s="660"/>
      <c r="D728" s="661"/>
      <c r="E728" s="667">
        <f>PACKAGING!E7</f>
        <v>170</v>
      </c>
      <c r="G728" s="658"/>
    </row>
    <row r="729" spans="1:10" x14ac:dyDescent="0.2">
      <c r="A729" s="666" t="s">
        <v>3484</v>
      </c>
      <c r="B729" s="660"/>
      <c r="C729" s="660"/>
      <c r="D729" s="661"/>
      <c r="E729" s="667">
        <f>PACKAGING!I5</f>
        <v>845</v>
      </c>
      <c r="G729" s="658"/>
    </row>
    <row r="730" spans="1:10" x14ac:dyDescent="0.2">
      <c r="A730" s="683" t="s">
        <v>1618</v>
      </c>
      <c r="B730" s="660">
        <v>60</v>
      </c>
      <c r="C730" s="660">
        <v>40</v>
      </c>
      <c r="D730" s="668">
        <f>'INSUMOS VARIOS'!B3</f>
        <v>3500</v>
      </c>
      <c r="E730" s="669">
        <f>D730*C730/B730</f>
        <v>2333.3333333333335</v>
      </c>
      <c r="G730" s="658"/>
    </row>
    <row r="731" spans="1:10" ht="15.75" thickBot="1" x14ac:dyDescent="0.25">
      <c r="A731" s="670" t="s">
        <v>525</v>
      </c>
      <c r="B731" s="671"/>
      <c r="C731" s="671"/>
      <c r="D731" s="672"/>
      <c r="E731" s="673">
        <f>SUM(E720:E730)</f>
        <v>10448.281746031746</v>
      </c>
      <c r="F731" s="658"/>
    </row>
    <row r="732" spans="1:10" ht="16.5" thickBot="1" x14ac:dyDescent="0.25">
      <c r="A732" s="675" t="s">
        <v>544</v>
      </c>
      <c r="B732" s="676"/>
      <c r="C732" s="676"/>
      <c r="D732" s="677"/>
      <c r="E732" s="692">
        <f>E731*2</f>
        <v>20896.563492063491</v>
      </c>
      <c r="F732" s="957">
        <f>E732+E732*70%</f>
        <v>35524.157936507938</v>
      </c>
      <c r="G732" s="681">
        <v>36000</v>
      </c>
    </row>
    <row r="733" spans="1:10" ht="16.5" thickBot="1" x14ac:dyDescent="0.25">
      <c r="A733" s="684" t="s">
        <v>1559</v>
      </c>
      <c r="B733" s="685"/>
      <c r="C733" s="685"/>
      <c r="D733" s="686"/>
      <c r="E733" s="686"/>
      <c r="F733" s="816"/>
      <c r="G733" s="1275">
        <f>G732*60%</f>
        <v>21600</v>
      </c>
      <c r="H733" s="1276" t="s">
        <v>3687</v>
      </c>
    </row>
    <row r="734" spans="1:10" ht="15.75" thickBot="1" x14ac:dyDescent="0.25"/>
    <row r="735" spans="1:10" ht="15.75" x14ac:dyDescent="0.25">
      <c r="A735" s="1746" t="s">
        <v>128</v>
      </c>
      <c r="B735" s="1747"/>
      <c r="C735" s="1747"/>
      <c r="D735" s="1747"/>
      <c r="E735" s="1747"/>
      <c r="F735" s="1748"/>
      <c r="I735" s="652"/>
      <c r="J735"/>
    </row>
    <row r="736" spans="1:10" ht="15.75" x14ac:dyDescent="0.25">
      <c r="A736" s="654" t="s">
        <v>916</v>
      </c>
      <c r="B736" s="655" t="s">
        <v>743</v>
      </c>
      <c r="C736" s="655" t="s">
        <v>1089</v>
      </c>
      <c r="D736" s="655" t="s">
        <v>1566</v>
      </c>
      <c r="E736" s="656" t="s">
        <v>1035</v>
      </c>
      <c r="F736" s="657" t="s">
        <v>1549</v>
      </c>
      <c r="G736" s="658"/>
      <c r="I736" s="652"/>
      <c r="J736"/>
    </row>
    <row r="737" spans="1:10" ht="15.75" x14ac:dyDescent="0.25">
      <c r="A737" s="1749" t="s">
        <v>1691</v>
      </c>
      <c r="B737" s="660" t="s">
        <v>3544</v>
      </c>
      <c r="C737" s="660"/>
      <c r="D737" s="660">
        <v>29</v>
      </c>
      <c r="E737" s="661">
        <f>'PERLAS 2'!O5</f>
        <v>108.25</v>
      </c>
      <c r="F737" s="662">
        <f>E737*D737</f>
        <v>3139.25</v>
      </c>
      <c r="G737" s="658"/>
      <c r="I737" s="652"/>
      <c r="J737"/>
    </row>
    <row r="738" spans="1:10" ht="15.75" x14ac:dyDescent="0.25">
      <c r="A738" s="1750"/>
      <c r="B738" s="660" t="s">
        <v>3538</v>
      </c>
      <c r="C738" s="660"/>
      <c r="D738" s="660">
        <v>4</v>
      </c>
      <c r="E738" s="661">
        <f>'PERLAS 2'!H19</f>
        <v>331.69230769230768</v>
      </c>
      <c r="F738" s="664">
        <f>E738*D738</f>
        <v>1326.7692307692307</v>
      </c>
      <c r="G738" s="658"/>
      <c r="I738" s="652"/>
      <c r="J738"/>
    </row>
    <row r="739" spans="1:10" ht="15.75" x14ac:dyDescent="0.25">
      <c r="A739" s="1750"/>
      <c r="B739" s="660" t="s">
        <v>1357</v>
      </c>
      <c r="C739" s="660"/>
      <c r="D739" s="660">
        <v>6</v>
      </c>
      <c r="E739" s="661">
        <f>'PERLAS 2'!H15</f>
        <v>680.16666666666663</v>
      </c>
      <c r="F739" s="664">
        <f>E739*D739</f>
        <v>4081</v>
      </c>
      <c r="G739" s="658"/>
      <c r="I739" s="652"/>
      <c r="J739"/>
    </row>
    <row r="740" spans="1:10" ht="15.75" x14ac:dyDescent="0.25">
      <c r="A740" s="1751"/>
      <c r="B740" s="660" t="s">
        <v>1345</v>
      </c>
      <c r="C740" s="660"/>
      <c r="D740" s="660">
        <v>4</v>
      </c>
      <c r="E740" s="661">
        <f>'PERLAS 2'!H14</f>
        <v>324.8</v>
      </c>
      <c r="F740" s="664">
        <f>E740*D740</f>
        <v>1299.2</v>
      </c>
      <c r="G740" s="658"/>
      <c r="I740" s="652"/>
      <c r="J740"/>
    </row>
    <row r="741" spans="1:10" ht="15.75" x14ac:dyDescent="0.25">
      <c r="A741" s="820" t="s">
        <v>1569</v>
      </c>
      <c r="B741" s="660">
        <v>0.9</v>
      </c>
      <c r="C741" s="660"/>
      <c r="D741" s="660">
        <v>0.23</v>
      </c>
      <c r="E741" s="661">
        <f>PIEDRAS!E147</f>
        <v>3600</v>
      </c>
      <c r="F741" s="664">
        <f>E741*D741/B741</f>
        <v>920</v>
      </c>
      <c r="G741" s="658"/>
      <c r="I741" s="652"/>
      <c r="J741"/>
    </row>
    <row r="742" spans="1:10" ht="15.75" x14ac:dyDescent="0.25">
      <c r="A742" s="769" t="s">
        <v>3426</v>
      </c>
      <c r="B742" s="660"/>
      <c r="C742" s="660"/>
      <c r="D742" s="660">
        <v>2</v>
      </c>
      <c r="E742" s="661">
        <f>FORNITURAS!I13</f>
        <v>274.44444444444446</v>
      </c>
      <c r="F742" s="662">
        <f>E742*D742</f>
        <v>548.88888888888891</v>
      </c>
      <c r="G742" s="658"/>
      <c r="I742" s="652"/>
      <c r="J742"/>
    </row>
    <row r="743" spans="1:10" ht="15.75" x14ac:dyDescent="0.25">
      <c r="A743" s="820" t="s">
        <v>1012</v>
      </c>
      <c r="B743" s="660"/>
      <c r="C743" s="660"/>
      <c r="D743" s="660">
        <v>2</v>
      </c>
      <c r="E743" s="661">
        <f>FORNITURAS!D17</f>
        <v>45.05</v>
      </c>
      <c r="F743" s="662">
        <f>E743*D743</f>
        <v>90.1</v>
      </c>
      <c r="G743" s="658"/>
      <c r="I743" s="652"/>
      <c r="J743"/>
    </row>
    <row r="744" spans="1:10" ht="15.75" x14ac:dyDescent="0.25">
      <c r="A744" s="820" t="s">
        <v>1969</v>
      </c>
      <c r="B744" s="660"/>
      <c r="C744" s="660"/>
      <c r="D744" s="660">
        <v>1</v>
      </c>
      <c r="E744" s="661">
        <f>'AROS, CADENAS, DIJES, ETC'!O55</f>
        <v>2665</v>
      </c>
      <c r="F744" s="662">
        <f>E744*D744</f>
        <v>2665</v>
      </c>
      <c r="G744" s="658"/>
      <c r="I744" s="652"/>
      <c r="J744"/>
    </row>
    <row r="745" spans="1:10" ht="15.75" x14ac:dyDescent="0.25">
      <c r="A745" s="1734" t="s">
        <v>1925</v>
      </c>
      <c r="B745" s="660"/>
      <c r="C745" s="660"/>
      <c r="D745" s="660">
        <v>2</v>
      </c>
      <c r="E745" s="661">
        <f>FORNITURAS!D6</f>
        <v>131.81818181818181</v>
      </c>
      <c r="F745" s="662">
        <f>E745*D745</f>
        <v>263.63636363636363</v>
      </c>
      <c r="G745" s="658"/>
      <c r="I745" s="652"/>
      <c r="J745"/>
    </row>
    <row r="746" spans="1:10" ht="15.75" x14ac:dyDescent="0.25">
      <c r="A746" s="1752"/>
      <c r="B746" s="660"/>
      <c r="C746" s="660"/>
      <c r="D746" s="660">
        <v>1</v>
      </c>
      <c r="E746" s="661">
        <f>FORNITURAS!D4</f>
        <v>48.7</v>
      </c>
      <c r="F746" s="662">
        <f>E746</f>
        <v>48.7</v>
      </c>
      <c r="G746" s="658"/>
      <c r="I746" s="652"/>
      <c r="J746"/>
    </row>
    <row r="747" spans="1:10" ht="15.75" x14ac:dyDescent="0.25">
      <c r="A747" s="1735"/>
      <c r="B747" s="660"/>
      <c r="C747" s="660"/>
      <c r="D747" s="660">
        <v>1</v>
      </c>
      <c r="E747" s="661">
        <f>FORNITURAS!D5</f>
        <v>46.8</v>
      </c>
      <c r="F747" s="662">
        <f>E747</f>
        <v>46.8</v>
      </c>
      <c r="G747" s="658"/>
      <c r="I747" s="652"/>
      <c r="J747"/>
    </row>
    <row r="748" spans="1:10" ht="15.75" x14ac:dyDescent="0.25">
      <c r="A748" s="820" t="s">
        <v>1537</v>
      </c>
      <c r="B748" s="660"/>
      <c r="C748" s="660"/>
      <c r="D748" s="660"/>
      <c r="E748" s="661"/>
      <c r="F748" s="662">
        <f>PACKAGING!E7</f>
        <v>170</v>
      </c>
      <c r="G748" s="658"/>
      <c r="I748" s="652"/>
      <c r="J748"/>
    </row>
    <row r="749" spans="1:10" x14ac:dyDescent="0.2">
      <c r="A749" s="666" t="s">
        <v>1557</v>
      </c>
      <c r="B749" s="660"/>
      <c r="C749" s="660"/>
      <c r="D749" s="660"/>
      <c r="E749" s="661"/>
      <c r="F749" s="662">
        <f>PACKAGING!E4</f>
        <v>80</v>
      </c>
    </row>
    <row r="750" spans="1:10" ht="15.75" x14ac:dyDescent="0.25">
      <c r="A750" s="663" t="s">
        <v>1618</v>
      </c>
      <c r="B750" s="660"/>
      <c r="C750" s="660">
        <v>60</v>
      </c>
      <c r="D750" s="660">
        <v>30</v>
      </c>
      <c r="E750" s="668">
        <f>'INSUMOS VARIOS'!B3</f>
        <v>3500</v>
      </c>
      <c r="F750" s="669">
        <f>E750*D750/C750</f>
        <v>1750</v>
      </c>
      <c r="G750" s="1" t="s">
        <v>3023</v>
      </c>
      <c r="I750" s="652"/>
      <c r="J750"/>
    </row>
    <row r="751" spans="1:10" ht="16.5" thickBot="1" x14ac:dyDescent="0.3">
      <c r="A751" s="670" t="s">
        <v>525</v>
      </c>
      <c r="B751" s="671"/>
      <c r="C751" s="671"/>
      <c r="D751" s="671"/>
      <c r="E751" s="672"/>
      <c r="F751" s="673">
        <f>SUM(F737:F750)</f>
        <v>16429.344483294484</v>
      </c>
      <c r="G751" s="698">
        <f>(F751+H752+H753)</f>
        <v>19907.344483294484</v>
      </c>
      <c r="H751" s="658" t="s">
        <v>2028</v>
      </c>
      <c r="I751" s="674" t="s">
        <v>2029</v>
      </c>
      <c r="J751"/>
    </row>
    <row r="752" spans="1:10" ht="16.5" thickBot="1" x14ac:dyDescent="0.25">
      <c r="A752" s="675" t="s">
        <v>544</v>
      </c>
      <c r="B752" s="676"/>
      <c r="C752" s="676"/>
      <c r="D752" s="676"/>
      <c r="E752" s="677"/>
      <c r="F752" s="678">
        <f>F751*2</f>
        <v>32858.688966588968</v>
      </c>
      <c r="G752" s="679">
        <f>F752+F752*70%</f>
        <v>55859.771243201249</v>
      </c>
      <c r="H752" s="680">
        <f>PACKAGING!I4</f>
        <v>2633</v>
      </c>
      <c r="I752" s="681">
        <f>G752+H752+H753</f>
        <v>59337.771243201249</v>
      </c>
      <c r="J752" s="1277">
        <v>54000</v>
      </c>
    </row>
    <row r="753" spans="1:11" ht="16.5" thickBot="1" x14ac:dyDescent="0.3">
      <c r="A753" s="684" t="s">
        <v>1559</v>
      </c>
      <c r="B753" s="685"/>
      <c r="C753" s="685"/>
      <c r="D753" s="685"/>
      <c r="E753" s="686"/>
      <c r="F753" s="687"/>
      <c r="G753" s="688"/>
      <c r="H753" s="699">
        <f>PACKAGING!I5</f>
        <v>845</v>
      </c>
      <c r="I753"/>
      <c r="J753" s="1279">
        <f>J752*60%</f>
        <v>32400</v>
      </c>
      <c r="K753" s="653" t="s">
        <v>3687</v>
      </c>
    </row>
    <row r="754" spans="1:11" ht="15.75" thickBot="1" x14ac:dyDescent="0.25"/>
    <row r="755" spans="1:11" ht="15.75" thickBot="1" x14ac:dyDescent="0.25">
      <c r="A755" s="1738" t="s">
        <v>3652</v>
      </c>
      <c r="B755" s="1739"/>
      <c r="C755" s="1739"/>
      <c r="D755" s="1739"/>
      <c r="E755" s="1740"/>
    </row>
    <row r="756" spans="1:11" x14ac:dyDescent="0.2">
      <c r="A756" s="654" t="s">
        <v>916</v>
      </c>
      <c r="B756" s="655" t="s">
        <v>743</v>
      </c>
      <c r="C756" s="655" t="s">
        <v>1566</v>
      </c>
      <c r="D756" s="656" t="s">
        <v>1035</v>
      </c>
      <c r="E756" s="657" t="s">
        <v>1549</v>
      </c>
      <c r="F756" s="658"/>
    </row>
    <row r="757" spans="1:11" x14ac:dyDescent="0.2">
      <c r="A757" s="659" t="s">
        <v>3495</v>
      </c>
      <c r="B757" s="660">
        <v>0.9</v>
      </c>
      <c r="C757" s="660">
        <v>0.12</v>
      </c>
      <c r="D757" s="661">
        <f>PIEDRAS!E147</f>
        <v>3600</v>
      </c>
      <c r="E757" s="662">
        <f>D757*C757/B757</f>
        <v>480</v>
      </c>
      <c r="F757" s="658"/>
    </row>
    <row r="758" spans="1:11" x14ac:dyDescent="0.2">
      <c r="A758" s="1736" t="s">
        <v>1572</v>
      </c>
      <c r="B758" s="660" t="s">
        <v>1573</v>
      </c>
      <c r="C758" s="660">
        <v>1</v>
      </c>
      <c r="D758" s="661">
        <f>FORNITURAS!D7</f>
        <v>52</v>
      </c>
      <c r="E758" s="662">
        <f>D758*C758</f>
        <v>52</v>
      </c>
      <c r="F758" s="658"/>
    </row>
    <row r="759" spans="1:11" x14ac:dyDescent="0.2">
      <c r="A759" s="1737"/>
      <c r="B759" s="660" t="s">
        <v>1556</v>
      </c>
      <c r="C759" s="660">
        <v>2</v>
      </c>
      <c r="D759" s="661">
        <f>FORNITURAS!D4</f>
        <v>48.7</v>
      </c>
      <c r="E759" s="662">
        <f>D759*C759</f>
        <v>97.4</v>
      </c>
      <c r="F759" s="658"/>
    </row>
    <row r="760" spans="1:11" x14ac:dyDescent="0.2">
      <c r="A760" s="666" t="s">
        <v>3497</v>
      </c>
      <c r="B760" s="660"/>
      <c r="C760" s="660">
        <v>38</v>
      </c>
      <c r="D760" s="661">
        <f>PIEDRAS!F38</f>
        <v>66.666666666666671</v>
      </c>
      <c r="E760" s="662">
        <f>D760*C760</f>
        <v>2533.3333333333335</v>
      </c>
      <c r="F760" s="658"/>
    </row>
    <row r="761" spans="1:11" x14ac:dyDescent="0.2">
      <c r="A761" s="666" t="s">
        <v>1424</v>
      </c>
      <c r="B761" s="660"/>
      <c r="C761" s="660">
        <v>0.4</v>
      </c>
      <c r="D761" s="661">
        <f>'HILOS-CORDONES-TANZA-CUERO'!L9</f>
        <v>30</v>
      </c>
      <c r="E761" s="662">
        <f>D761*C761</f>
        <v>12</v>
      </c>
      <c r="F761" s="658"/>
    </row>
    <row r="762" spans="1:11" x14ac:dyDescent="0.2">
      <c r="A762" s="666" t="s">
        <v>1608</v>
      </c>
      <c r="B762" s="660"/>
      <c r="C762" s="660">
        <v>0.1</v>
      </c>
      <c r="D762" s="661">
        <f>'AROS, CADENAS, DIJES, ETC'!I38</f>
        <v>3630</v>
      </c>
      <c r="E762" s="662">
        <f>C762*D762</f>
        <v>363</v>
      </c>
      <c r="F762" s="658"/>
    </row>
    <row r="763" spans="1:11" x14ac:dyDescent="0.2">
      <c r="A763" s="666" t="s">
        <v>1554</v>
      </c>
      <c r="B763" s="660"/>
      <c r="C763" s="660">
        <v>14</v>
      </c>
      <c r="D763" s="661">
        <f>FORNITURAS!D24</f>
        <v>34.666666666666664</v>
      </c>
      <c r="E763" s="662">
        <f>D763*C763</f>
        <v>485.33333333333331</v>
      </c>
      <c r="F763" s="658"/>
    </row>
    <row r="764" spans="1:11" x14ac:dyDescent="0.2">
      <c r="A764" s="666" t="s">
        <v>1012</v>
      </c>
      <c r="B764" s="660"/>
      <c r="C764" s="660">
        <v>2</v>
      </c>
      <c r="D764" s="661">
        <f>FORNITURAS!D17</f>
        <v>45.05</v>
      </c>
      <c r="E764" s="662">
        <f>D764*C764</f>
        <v>90.1</v>
      </c>
      <c r="F764" s="658"/>
    </row>
    <row r="765" spans="1:11" x14ac:dyDescent="0.2">
      <c r="A765" s="666" t="s">
        <v>1587</v>
      </c>
      <c r="B765" s="660"/>
      <c r="C765" s="660">
        <v>1</v>
      </c>
      <c r="D765" s="661">
        <f>FORNITURAS!D18</f>
        <v>363</v>
      </c>
      <c r="E765" s="662">
        <f>C765*D765</f>
        <v>363</v>
      </c>
      <c r="F765" s="658"/>
    </row>
    <row r="766" spans="1:11" x14ac:dyDescent="0.2">
      <c r="A766" s="666" t="s">
        <v>1557</v>
      </c>
      <c r="B766" s="660"/>
      <c r="C766" s="660"/>
      <c r="D766" s="661"/>
      <c r="E766" s="667">
        <f>PACKAGING!E4</f>
        <v>80</v>
      </c>
      <c r="G766" s="658"/>
    </row>
    <row r="767" spans="1:11" x14ac:dyDescent="0.2">
      <c r="A767" s="666" t="s">
        <v>3362</v>
      </c>
      <c r="B767" s="660"/>
      <c r="C767" s="660"/>
      <c r="D767" s="661"/>
      <c r="E767" s="667">
        <f>PACKAGING!E17</f>
        <v>7.5</v>
      </c>
      <c r="G767" s="658"/>
    </row>
    <row r="768" spans="1:11" x14ac:dyDescent="0.2">
      <c r="A768" s="666" t="s">
        <v>1634</v>
      </c>
      <c r="B768" s="660"/>
      <c r="C768" s="660"/>
      <c r="D768" s="661"/>
      <c r="E768" s="667">
        <f>PACKAGING!E7</f>
        <v>170</v>
      </c>
      <c r="G768" s="658"/>
    </row>
    <row r="769" spans="1:8" x14ac:dyDescent="0.2">
      <c r="A769" s="666" t="s">
        <v>3496</v>
      </c>
      <c r="B769" s="660"/>
      <c r="C769" s="660"/>
      <c r="D769" s="661"/>
      <c r="E769" s="667">
        <f>PACKAGING!E9</f>
        <v>450</v>
      </c>
      <c r="G769" s="658"/>
    </row>
    <row r="770" spans="1:8" x14ac:dyDescent="0.2">
      <c r="A770" s="683" t="s">
        <v>1618</v>
      </c>
      <c r="B770" s="660">
        <v>60</v>
      </c>
      <c r="C770" s="660">
        <v>20</v>
      </c>
      <c r="D770" s="668">
        <f>'INSUMOS VARIOS'!B3</f>
        <v>3500</v>
      </c>
      <c r="E770" s="669">
        <f>D770*C770/B770</f>
        <v>1166.6666666666667</v>
      </c>
      <c r="G770" s="658"/>
    </row>
    <row r="771" spans="1:8" ht="15.75" thickBot="1" x14ac:dyDescent="0.25">
      <c r="A771" s="670" t="s">
        <v>525</v>
      </c>
      <c r="B771" s="671"/>
      <c r="C771" s="671"/>
      <c r="D771" s="672"/>
      <c r="E771" s="673">
        <f>SUM(E757:E770)</f>
        <v>6350.3333333333339</v>
      </c>
      <c r="F771" s="658"/>
    </row>
    <row r="772" spans="1:8" ht="16.5" thickBot="1" x14ac:dyDescent="0.25">
      <c r="A772" s="675" t="s">
        <v>544</v>
      </c>
      <c r="B772" s="676"/>
      <c r="C772" s="676"/>
      <c r="D772" s="677"/>
      <c r="E772" s="692">
        <f>E771*2</f>
        <v>12700.666666666668</v>
      </c>
      <c r="F772" s="957">
        <f>E772+E772*70%</f>
        <v>21591.133333333335</v>
      </c>
      <c r="G772" s="681">
        <v>24000</v>
      </c>
    </row>
    <row r="773" spans="1:8" ht="16.5" thickBot="1" x14ac:dyDescent="0.25">
      <c r="A773" s="684" t="s">
        <v>1559</v>
      </c>
      <c r="B773" s="685"/>
      <c r="C773" s="685"/>
      <c r="D773" s="686"/>
      <c r="E773" s="686"/>
      <c r="F773" s="816"/>
      <c r="G773" s="1275">
        <f>G772*60%</f>
        <v>14400</v>
      </c>
      <c r="H773" s="1276" t="s">
        <v>3687</v>
      </c>
    </row>
    <row r="774" spans="1:8" ht="15.75" thickBot="1" x14ac:dyDescent="0.25"/>
    <row r="775" spans="1:8" ht="15.75" thickBot="1" x14ac:dyDescent="0.25">
      <c r="A775" s="1738" t="s">
        <v>442</v>
      </c>
      <c r="B775" s="1739"/>
      <c r="C775" s="1739"/>
      <c r="D775" s="1739"/>
      <c r="E775" s="1740"/>
    </row>
    <row r="776" spans="1:8" x14ac:dyDescent="0.2">
      <c r="A776" s="654" t="s">
        <v>916</v>
      </c>
      <c r="B776" s="655" t="s">
        <v>743</v>
      </c>
      <c r="C776" s="655" t="s">
        <v>1566</v>
      </c>
      <c r="D776" s="656" t="s">
        <v>1035</v>
      </c>
      <c r="E776" s="657" t="s">
        <v>1549</v>
      </c>
      <c r="F776" s="658"/>
    </row>
    <row r="777" spans="1:8" x14ac:dyDescent="0.2">
      <c r="A777" s="659" t="s">
        <v>3504</v>
      </c>
      <c r="B777" s="660"/>
      <c r="C777" s="660">
        <v>42</v>
      </c>
      <c r="D777" s="661">
        <f>PIEDRAS!F136</f>
        <v>56.333333333333336</v>
      </c>
      <c r="E777" s="662">
        <f>D777*C777</f>
        <v>2366</v>
      </c>
      <c r="F777" s="658" t="s">
        <v>3744</v>
      </c>
    </row>
    <row r="778" spans="1:8" x14ac:dyDescent="0.2">
      <c r="A778" s="769" t="s">
        <v>3505</v>
      </c>
      <c r="B778" s="660"/>
      <c r="C778" s="660">
        <v>10</v>
      </c>
      <c r="D778" s="661">
        <f>PIEDRAS!F141</f>
        <v>71.25</v>
      </c>
      <c r="E778" s="662">
        <f>D778*C778</f>
        <v>712.5</v>
      </c>
      <c r="F778" s="658" t="s">
        <v>3745</v>
      </c>
    </row>
    <row r="779" spans="1:8" x14ac:dyDescent="0.2">
      <c r="A779" s="1736" t="s">
        <v>1572</v>
      </c>
      <c r="B779" s="660" t="s">
        <v>1556</v>
      </c>
      <c r="C779" s="660">
        <v>2</v>
      </c>
      <c r="D779" s="661">
        <f>FORNITURAS!D4</f>
        <v>48.7</v>
      </c>
      <c r="E779" s="662">
        <f>D779*C779</f>
        <v>97.4</v>
      </c>
      <c r="F779" s="658" t="s">
        <v>3746</v>
      </c>
    </row>
    <row r="780" spans="1:8" x14ac:dyDescent="0.2">
      <c r="A780" s="1737"/>
      <c r="B780" s="660" t="s">
        <v>1573</v>
      </c>
      <c r="C780" s="660">
        <v>1</v>
      </c>
      <c r="D780" s="661">
        <f>FORNITURAS!D7</f>
        <v>52</v>
      </c>
      <c r="E780" s="662">
        <f>D780*C780</f>
        <v>52</v>
      </c>
      <c r="F780" s="658"/>
    </row>
    <row r="781" spans="1:8" x14ac:dyDescent="0.2">
      <c r="A781" s="666" t="s">
        <v>1424</v>
      </c>
      <c r="B781" s="660"/>
      <c r="C781" s="660">
        <v>0.4</v>
      </c>
      <c r="D781" s="661">
        <f>'HILOS-CORDONES-TANZA-CUERO'!L9</f>
        <v>30</v>
      </c>
      <c r="E781" s="662">
        <f>D781*C781</f>
        <v>12</v>
      </c>
      <c r="F781" s="658"/>
    </row>
    <row r="782" spans="1:8" x14ac:dyDescent="0.2">
      <c r="A782" s="666" t="s">
        <v>1608</v>
      </c>
      <c r="B782" s="660"/>
      <c r="C782" s="660">
        <v>0.1</v>
      </c>
      <c r="D782" s="661">
        <f>'AROS, CADENAS, DIJES, ETC'!I38</f>
        <v>3630</v>
      </c>
      <c r="E782" s="662">
        <f>C782*D782</f>
        <v>363</v>
      </c>
      <c r="F782" s="658"/>
    </row>
    <row r="783" spans="1:8" x14ac:dyDescent="0.2">
      <c r="A783" s="666" t="s">
        <v>1554</v>
      </c>
      <c r="B783" s="660"/>
      <c r="C783" s="660">
        <v>2</v>
      </c>
      <c r="D783" s="661">
        <f>FORNITURAS!D24</f>
        <v>34.666666666666664</v>
      </c>
      <c r="E783" s="662">
        <f>D783*C783</f>
        <v>69.333333333333329</v>
      </c>
      <c r="F783" s="658"/>
    </row>
    <row r="784" spans="1:8" x14ac:dyDescent="0.2">
      <c r="A784" s="666" t="s">
        <v>3507</v>
      </c>
      <c r="B784" s="660"/>
      <c r="C784" s="660">
        <v>9</v>
      </c>
      <c r="D784" s="661">
        <f>FORNITURAS!I13</f>
        <v>274.44444444444446</v>
      </c>
      <c r="E784" s="662">
        <f>D784*C784</f>
        <v>2470</v>
      </c>
      <c r="F784" s="658"/>
    </row>
    <row r="785" spans="1:10" x14ac:dyDescent="0.2">
      <c r="A785" s="666" t="s">
        <v>3506</v>
      </c>
      <c r="B785" s="660"/>
      <c r="C785" s="660">
        <v>42</v>
      </c>
      <c r="D785" s="661">
        <f>'PALAIS DU BIJOU'!O18</f>
        <v>2.625</v>
      </c>
      <c r="E785" s="662">
        <f>D785*C785</f>
        <v>110.25</v>
      </c>
      <c r="F785" s="658"/>
    </row>
    <row r="786" spans="1:10" x14ac:dyDescent="0.2">
      <c r="A786" s="666" t="s">
        <v>1012</v>
      </c>
      <c r="B786" s="660"/>
      <c r="C786" s="660">
        <v>2</v>
      </c>
      <c r="D786" s="661">
        <f>FORNITURAS!D17</f>
        <v>45.05</v>
      </c>
      <c r="E786" s="662">
        <f>D786*C786</f>
        <v>90.1</v>
      </c>
      <c r="F786" s="658"/>
    </row>
    <row r="787" spans="1:10" x14ac:dyDescent="0.2">
      <c r="A787" s="666" t="s">
        <v>1587</v>
      </c>
      <c r="B787" s="660"/>
      <c r="C787" s="660">
        <v>1</v>
      </c>
      <c r="D787" s="661">
        <f>FORNITURAS!D18</f>
        <v>363</v>
      </c>
      <c r="E787" s="662">
        <f>C787*D787</f>
        <v>363</v>
      </c>
      <c r="F787" s="658"/>
    </row>
    <row r="788" spans="1:10" x14ac:dyDescent="0.2">
      <c r="A788" s="666" t="s">
        <v>1557</v>
      </c>
      <c r="B788" s="660"/>
      <c r="C788" s="660"/>
      <c r="D788" s="661"/>
      <c r="E788" s="667">
        <f>PACKAGING!E4</f>
        <v>80</v>
      </c>
      <c r="G788" s="658"/>
    </row>
    <row r="789" spans="1:10" x14ac:dyDescent="0.2">
      <c r="A789" s="666" t="s">
        <v>3362</v>
      </c>
      <c r="B789" s="660"/>
      <c r="C789" s="660"/>
      <c r="D789" s="661"/>
      <c r="E789" s="667">
        <f>PACKAGING!E17</f>
        <v>7.5</v>
      </c>
      <c r="G789" s="658"/>
    </row>
    <row r="790" spans="1:10" x14ac:dyDescent="0.2">
      <c r="A790" s="666" t="s">
        <v>1634</v>
      </c>
      <c r="B790" s="660"/>
      <c r="C790" s="660"/>
      <c r="D790" s="661"/>
      <c r="E790" s="667">
        <f>PACKAGING!E7</f>
        <v>170</v>
      </c>
      <c r="G790" s="658"/>
    </row>
    <row r="791" spans="1:10" x14ac:dyDescent="0.2">
      <c r="A791" s="666" t="s">
        <v>3568</v>
      </c>
      <c r="B791" s="660"/>
      <c r="C791" s="660"/>
      <c r="D791" s="661"/>
      <c r="E791" s="667">
        <f>PACKAGING!I5</f>
        <v>845</v>
      </c>
      <c r="G791" s="658"/>
    </row>
    <row r="792" spans="1:10" x14ac:dyDescent="0.2">
      <c r="A792" s="683" t="s">
        <v>1618</v>
      </c>
      <c r="B792" s="660">
        <v>60</v>
      </c>
      <c r="C792" s="660">
        <v>20</v>
      </c>
      <c r="D792" s="668">
        <f>'INSUMOS VARIOS'!B3</f>
        <v>3500</v>
      </c>
      <c r="E792" s="669">
        <f>D792*C792/B792</f>
        <v>1166.6666666666667</v>
      </c>
      <c r="G792" s="658"/>
    </row>
    <row r="793" spans="1:10" ht="15.75" thickBot="1" x14ac:dyDescent="0.25">
      <c r="A793" s="670" t="s">
        <v>525</v>
      </c>
      <c r="B793" s="671"/>
      <c r="C793" s="671"/>
      <c r="D793" s="672"/>
      <c r="E793" s="673">
        <f>SUM(E777:E792)</f>
        <v>8974.75</v>
      </c>
      <c r="F793" s="658"/>
    </row>
    <row r="794" spans="1:10" ht="16.5" thickBot="1" x14ac:dyDescent="0.25">
      <c r="A794" s="675" t="s">
        <v>544</v>
      </c>
      <c r="B794" s="676"/>
      <c r="C794" s="676"/>
      <c r="D794" s="677"/>
      <c r="E794" s="692">
        <f>E793*2</f>
        <v>17949.5</v>
      </c>
      <c r="F794" s="957">
        <f>E794+E794*70%</f>
        <v>30514.15</v>
      </c>
      <c r="G794" s="681">
        <v>30000</v>
      </c>
    </row>
    <row r="795" spans="1:10" ht="16.5" thickBot="1" x14ac:dyDescent="0.25">
      <c r="A795" s="684" t="s">
        <v>1559</v>
      </c>
      <c r="B795" s="685"/>
      <c r="C795" s="685"/>
      <c r="D795" s="686"/>
      <c r="E795" s="686"/>
      <c r="F795" s="816"/>
      <c r="G795" s="1275">
        <f>G794*60%</f>
        <v>18000</v>
      </c>
      <c r="H795" s="1276" t="s">
        <v>3687</v>
      </c>
    </row>
    <row r="796" spans="1:10" ht="15.75" thickBot="1" x14ac:dyDescent="0.25"/>
    <row r="797" spans="1:10" ht="15.75" x14ac:dyDescent="0.25">
      <c r="A797" s="1746" t="s">
        <v>287</v>
      </c>
      <c r="B797" s="1747"/>
      <c r="C797" s="1747"/>
      <c r="D797" s="1747"/>
      <c r="E797" s="1747"/>
      <c r="F797" s="1748"/>
      <c r="I797" s="652"/>
      <c r="J797"/>
    </row>
    <row r="798" spans="1:10" ht="15.75" x14ac:dyDescent="0.25">
      <c r="A798" s="654" t="s">
        <v>916</v>
      </c>
      <c r="B798" s="655" t="s">
        <v>743</v>
      </c>
      <c r="C798" s="655" t="s">
        <v>1089</v>
      </c>
      <c r="D798" s="655" t="s">
        <v>1566</v>
      </c>
      <c r="E798" s="656" t="s">
        <v>1035</v>
      </c>
      <c r="F798" s="657" t="s">
        <v>1549</v>
      </c>
      <c r="G798" s="658"/>
      <c r="I798" s="652"/>
      <c r="J798"/>
    </row>
    <row r="799" spans="1:10" ht="15.75" x14ac:dyDescent="0.25">
      <c r="A799" s="1743" t="s">
        <v>1691</v>
      </c>
      <c r="B799" s="660" t="s">
        <v>1322</v>
      </c>
      <c r="C799" s="660"/>
      <c r="D799" s="660">
        <v>2</v>
      </c>
      <c r="E799" s="661">
        <f>'PERLAS 2'!H4</f>
        <v>1792</v>
      </c>
      <c r="F799" s="662">
        <f>E799*D799</f>
        <v>3584</v>
      </c>
      <c r="G799" s="658"/>
      <c r="I799" s="652"/>
      <c r="J799"/>
    </row>
    <row r="800" spans="1:10" ht="15.75" x14ac:dyDescent="0.25">
      <c r="A800" s="1744"/>
      <c r="B800" s="660" t="s">
        <v>1330</v>
      </c>
      <c r="C800" s="660"/>
      <c r="D800" s="660">
        <v>1</v>
      </c>
      <c r="E800" s="661">
        <f>'PERLAS 2'!H8</f>
        <v>1525.3333333333333</v>
      </c>
      <c r="F800" s="664">
        <f>E800*D800</f>
        <v>1525.3333333333333</v>
      </c>
      <c r="G800" s="658"/>
      <c r="I800" s="652"/>
      <c r="J800"/>
    </row>
    <row r="801" spans="1:10" ht="15.75" x14ac:dyDescent="0.25">
      <c r="A801" s="1745"/>
      <c r="B801" s="660" t="s">
        <v>3537</v>
      </c>
      <c r="C801" s="660"/>
      <c r="D801" s="660">
        <v>2</v>
      </c>
      <c r="E801" s="661">
        <f>'PERLAS 2'!H25</f>
        <v>770</v>
      </c>
      <c r="F801" s="664">
        <f>E801*D801</f>
        <v>1540</v>
      </c>
      <c r="G801" s="658"/>
      <c r="I801" s="652"/>
      <c r="J801"/>
    </row>
    <row r="802" spans="1:10" ht="15.75" x14ac:dyDescent="0.25">
      <c r="A802" s="820" t="s">
        <v>1569</v>
      </c>
      <c r="B802" s="660">
        <v>0.9</v>
      </c>
      <c r="C802" s="660"/>
      <c r="D802" s="660">
        <v>0.03</v>
      </c>
      <c r="E802" s="661">
        <f>PIEDRAS!E147</f>
        <v>3600</v>
      </c>
      <c r="F802" s="664">
        <f>E802*D802/B802</f>
        <v>120</v>
      </c>
      <c r="G802" s="658"/>
      <c r="I802" s="652"/>
      <c r="J802"/>
    </row>
    <row r="803" spans="1:10" ht="15.75" x14ac:dyDescent="0.25">
      <c r="A803" s="820" t="s">
        <v>3508</v>
      </c>
      <c r="B803" s="660" t="s">
        <v>805</v>
      </c>
      <c r="C803" s="660"/>
      <c r="D803" s="660">
        <v>4</v>
      </c>
      <c r="E803" s="661">
        <f>PIEDRAS!F73</f>
        <v>152.85714285714286</v>
      </c>
      <c r="F803" s="664">
        <f t="shared" ref="F803:F816" si="26">E803*D803</f>
        <v>611.42857142857144</v>
      </c>
      <c r="G803" s="658"/>
      <c r="I803" s="652"/>
      <c r="J803"/>
    </row>
    <row r="804" spans="1:10" ht="15.75" x14ac:dyDescent="0.25">
      <c r="A804" s="820" t="s">
        <v>3509</v>
      </c>
      <c r="B804" s="660" t="s">
        <v>3521</v>
      </c>
      <c r="C804" s="660"/>
      <c r="D804" s="660">
        <v>5</v>
      </c>
      <c r="E804" s="661">
        <f>PIEDRAS!F25</f>
        <v>102.05882352941177</v>
      </c>
      <c r="F804" s="664">
        <f t="shared" si="26"/>
        <v>510.29411764705884</v>
      </c>
      <c r="G804" s="658"/>
      <c r="I804" s="652"/>
      <c r="J804"/>
    </row>
    <row r="805" spans="1:10" ht="15.75" x14ac:dyDescent="0.25">
      <c r="A805" s="820" t="s">
        <v>3404</v>
      </c>
      <c r="B805" s="660" t="s">
        <v>805</v>
      </c>
      <c r="C805" s="660"/>
      <c r="D805" s="660">
        <v>3</v>
      </c>
      <c r="E805" s="661">
        <f>PIEDRAS!F78</f>
        <v>93.793103448275858</v>
      </c>
      <c r="F805" s="664">
        <f t="shared" si="26"/>
        <v>281.37931034482756</v>
      </c>
      <c r="G805" s="658"/>
      <c r="I805" s="652"/>
      <c r="J805"/>
    </row>
    <row r="806" spans="1:10" ht="15.75" x14ac:dyDescent="0.25">
      <c r="A806" s="1734" t="s">
        <v>3510</v>
      </c>
      <c r="B806" s="660" t="s">
        <v>937</v>
      </c>
      <c r="C806" s="660"/>
      <c r="D806" s="660">
        <v>2</v>
      </c>
      <c r="E806" s="661">
        <f>PIEDRAS!F133</f>
        <v>170</v>
      </c>
      <c r="F806" s="664">
        <f t="shared" si="26"/>
        <v>340</v>
      </c>
      <c r="G806" s="658"/>
      <c r="I806" s="652"/>
      <c r="J806"/>
    </row>
    <row r="807" spans="1:10" ht="15.75" x14ac:dyDescent="0.25">
      <c r="A807" s="1735"/>
      <c r="B807" s="660" t="s">
        <v>1474</v>
      </c>
      <c r="C807" s="660"/>
      <c r="D807" s="660">
        <v>1</v>
      </c>
      <c r="E807" s="661">
        <f>PIEDRAS!F134</f>
        <v>280.43478260869563</v>
      </c>
      <c r="F807" s="664">
        <f t="shared" si="26"/>
        <v>280.43478260869563</v>
      </c>
      <c r="G807" s="658"/>
      <c r="I807" s="652"/>
      <c r="J807"/>
    </row>
    <row r="808" spans="1:10" ht="15.75" x14ac:dyDescent="0.25">
      <c r="A808" s="820" t="s">
        <v>3511</v>
      </c>
      <c r="B808" s="660" t="s">
        <v>805</v>
      </c>
      <c r="C808" s="660"/>
      <c r="D808" s="660">
        <v>4</v>
      </c>
      <c r="E808" s="661">
        <f>PIEDRAS!F119</f>
        <v>95.238095238095241</v>
      </c>
      <c r="F808" s="664">
        <f t="shared" si="26"/>
        <v>380.95238095238096</v>
      </c>
      <c r="G808" s="658"/>
      <c r="I808" s="652"/>
      <c r="J808"/>
    </row>
    <row r="809" spans="1:10" ht="15.75" x14ac:dyDescent="0.25">
      <c r="A809" s="820" t="s">
        <v>3512</v>
      </c>
      <c r="B809" s="660" t="s">
        <v>805</v>
      </c>
      <c r="C809" s="660"/>
      <c r="D809" s="660">
        <v>5</v>
      </c>
      <c r="E809" s="661">
        <f>VIDRIOS!E21</f>
        <v>65</v>
      </c>
      <c r="F809" s="664">
        <f t="shared" si="26"/>
        <v>325</v>
      </c>
      <c r="G809" s="658"/>
      <c r="I809" s="652"/>
      <c r="J809"/>
    </row>
    <row r="810" spans="1:10" ht="15.75" x14ac:dyDescent="0.25">
      <c r="A810" s="820" t="s">
        <v>3513</v>
      </c>
      <c r="B810" s="660" t="s">
        <v>805</v>
      </c>
      <c r="C810" s="660"/>
      <c r="D810" s="660">
        <v>4</v>
      </c>
      <c r="E810" s="661">
        <f>PIEDRAS!F80</f>
        <v>162.12121212121212</v>
      </c>
      <c r="F810" s="664">
        <f t="shared" si="26"/>
        <v>648.4848484848485</v>
      </c>
      <c r="G810" s="658"/>
      <c r="I810" s="652"/>
      <c r="J810"/>
    </row>
    <row r="811" spans="1:10" ht="15.75" x14ac:dyDescent="0.25">
      <c r="A811" s="820" t="s">
        <v>3514</v>
      </c>
      <c r="B811" s="660"/>
      <c r="C811" s="660"/>
      <c r="D811" s="660">
        <v>4</v>
      </c>
      <c r="E811" s="661">
        <f>VIDRIOS!E37</f>
        <v>30.927835051546392</v>
      </c>
      <c r="F811" s="664">
        <f t="shared" si="26"/>
        <v>123.71134020618557</v>
      </c>
      <c r="G811" s="658"/>
      <c r="I811" s="652"/>
      <c r="J811"/>
    </row>
    <row r="812" spans="1:10" ht="15.75" x14ac:dyDescent="0.25">
      <c r="A812" s="820" t="s">
        <v>1944</v>
      </c>
      <c r="B812" s="660" t="s">
        <v>846</v>
      </c>
      <c r="C812" s="660"/>
      <c r="D812" s="660">
        <v>2</v>
      </c>
      <c r="E812" s="661">
        <f>FORNITURAS!I5</f>
        <v>188.85714285714286</v>
      </c>
      <c r="F812" s="662">
        <f t="shared" si="26"/>
        <v>377.71428571428572</v>
      </c>
      <c r="G812" s="658"/>
      <c r="I812" s="652"/>
      <c r="J812"/>
    </row>
    <row r="813" spans="1:10" ht="15.75" x14ac:dyDescent="0.25">
      <c r="A813" s="820" t="s">
        <v>1012</v>
      </c>
      <c r="B813" s="660"/>
      <c r="C813" s="660"/>
      <c r="D813" s="660">
        <v>2</v>
      </c>
      <c r="E813" s="661">
        <f>FORNITURAS!D17</f>
        <v>45.05</v>
      </c>
      <c r="F813" s="662">
        <f t="shared" si="26"/>
        <v>90.1</v>
      </c>
      <c r="G813" s="658"/>
      <c r="I813" s="652"/>
      <c r="J813"/>
    </row>
    <row r="814" spans="1:10" ht="15.75" x14ac:dyDescent="0.25">
      <c r="A814" s="820" t="s">
        <v>3520</v>
      </c>
      <c r="B814" s="660"/>
      <c r="C814" s="660"/>
      <c r="D814" s="660">
        <v>0.1</v>
      </c>
      <c r="E814" s="661">
        <f>'AROS, CADENAS, DIJES, ETC'!I56</f>
        <v>2614</v>
      </c>
      <c r="F814" s="662">
        <f t="shared" si="26"/>
        <v>261.40000000000003</v>
      </c>
      <c r="G814" s="658"/>
      <c r="I814" s="652"/>
      <c r="J814"/>
    </row>
    <row r="815" spans="1:10" ht="15.75" x14ac:dyDescent="0.25">
      <c r="A815" s="820" t="s">
        <v>1587</v>
      </c>
      <c r="B815" s="660" t="s">
        <v>930</v>
      </c>
      <c r="C815" s="660"/>
      <c r="D815" s="660">
        <v>1</v>
      </c>
      <c r="E815" s="661">
        <f>FORNITURAS!D20</f>
        <v>1066</v>
      </c>
      <c r="F815" s="662">
        <f t="shared" si="26"/>
        <v>1066</v>
      </c>
      <c r="G815" s="658"/>
      <c r="I815" s="652"/>
      <c r="J815"/>
    </row>
    <row r="816" spans="1:10" ht="15.75" x14ac:dyDescent="0.25">
      <c r="A816" s="1734" t="s">
        <v>1572</v>
      </c>
      <c r="B816" s="660" t="s">
        <v>1556</v>
      </c>
      <c r="C816" s="660"/>
      <c r="D816" s="660">
        <v>2</v>
      </c>
      <c r="E816" s="661">
        <f>FORNITURAS!D4</f>
        <v>48.7</v>
      </c>
      <c r="F816" s="662">
        <f t="shared" si="26"/>
        <v>97.4</v>
      </c>
      <c r="G816" s="658"/>
      <c r="I816" s="652"/>
      <c r="J816"/>
    </row>
    <row r="817" spans="1:11" ht="15.75" x14ac:dyDescent="0.25">
      <c r="A817" s="1735"/>
      <c r="B817" s="660" t="s">
        <v>1573</v>
      </c>
      <c r="C817" s="660"/>
      <c r="D817" s="660">
        <v>1</v>
      </c>
      <c r="E817" s="661">
        <f>FORNITURAS!D7</f>
        <v>52</v>
      </c>
      <c r="F817" s="662">
        <f>E817</f>
        <v>52</v>
      </c>
      <c r="G817" s="658"/>
      <c r="I817" s="652"/>
      <c r="J817"/>
    </row>
    <row r="818" spans="1:11" ht="15.75" x14ac:dyDescent="0.25">
      <c r="A818" s="820" t="s">
        <v>3173</v>
      </c>
      <c r="B818" s="660"/>
      <c r="C818" s="660"/>
      <c r="D818" s="660">
        <v>2</v>
      </c>
      <c r="E818" s="661">
        <f>FORNITURAS!D37</f>
        <v>299.5</v>
      </c>
      <c r="F818" s="662">
        <f>E818*2</f>
        <v>599</v>
      </c>
      <c r="G818" s="658"/>
      <c r="I818" s="652"/>
      <c r="J818"/>
    </row>
    <row r="819" spans="1:11" ht="15.75" x14ac:dyDescent="0.25">
      <c r="A819" s="820" t="s">
        <v>1537</v>
      </c>
      <c r="B819" s="660"/>
      <c r="C819" s="660"/>
      <c r="D819" s="660"/>
      <c r="E819" s="661"/>
      <c r="F819" s="662">
        <f>PACKAGING!E7</f>
        <v>170</v>
      </c>
      <c r="G819" s="658"/>
      <c r="I819" s="652"/>
      <c r="J819"/>
    </row>
    <row r="820" spans="1:11" x14ac:dyDescent="0.2">
      <c r="A820" s="666" t="s">
        <v>1557</v>
      </c>
      <c r="B820" s="660"/>
      <c r="C820" s="660"/>
      <c r="D820" s="660"/>
      <c r="E820" s="661"/>
      <c r="F820" s="662">
        <f>PACKAGING!E4</f>
        <v>80</v>
      </c>
    </row>
    <row r="821" spans="1:11" ht="15.75" x14ac:dyDescent="0.25">
      <c r="A821" s="663" t="s">
        <v>1618</v>
      </c>
      <c r="B821" s="660"/>
      <c r="C821" s="660">
        <v>60</v>
      </c>
      <c r="D821" s="660">
        <v>30</v>
      </c>
      <c r="E821" s="668">
        <f>'INSUMOS VARIOS'!B3</f>
        <v>3500</v>
      </c>
      <c r="F821" s="669">
        <f>E821*D821/C821</f>
        <v>1750</v>
      </c>
      <c r="G821" s="1" t="s">
        <v>3023</v>
      </c>
      <c r="I821" s="652"/>
      <c r="J821"/>
    </row>
    <row r="822" spans="1:11" ht="16.5" thickBot="1" x14ac:dyDescent="0.3">
      <c r="A822" s="670" t="s">
        <v>525</v>
      </c>
      <c r="B822" s="671"/>
      <c r="C822" s="671"/>
      <c r="D822" s="671"/>
      <c r="E822" s="672"/>
      <c r="F822" s="673">
        <f>SUM(F799:F821)</f>
        <v>14814.632970720188</v>
      </c>
      <c r="G822" s="698">
        <f>(F822+H823+H824)</f>
        <v>18517.632970720188</v>
      </c>
      <c r="H822" s="658" t="s">
        <v>2028</v>
      </c>
      <c r="I822" s="674" t="s">
        <v>2029</v>
      </c>
      <c r="J822"/>
    </row>
    <row r="823" spans="1:11" ht="16.5" thickBot="1" x14ac:dyDescent="0.25">
      <c r="A823" s="675" t="s">
        <v>544</v>
      </c>
      <c r="B823" s="676"/>
      <c r="C823" s="676"/>
      <c r="D823" s="676"/>
      <c r="E823" s="677"/>
      <c r="F823" s="678">
        <f>F822*2</f>
        <v>29629.265941440375</v>
      </c>
      <c r="G823" s="679">
        <f>F823+F823*70%</f>
        <v>50369.752100448633</v>
      </c>
      <c r="H823" s="680">
        <f>PACKAGING!I4</f>
        <v>2633</v>
      </c>
      <c r="I823" s="681">
        <f>G823+H823+H824</f>
        <v>54072.752100448633</v>
      </c>
      <c r="J823" s="1277">
        <v>50000</v>
      </c>
    </row>
    <row r="824" spans="1:11" ht="16.5" thickBot="1" x14ac:dyDescent="0.3">
      <c r="A824" s="684" t="s">
        <v>1559</v>
      </c>
      <c r="B824" s="685"/>
      <c r="C824" s="685"/>
      <c r="D824" s="685"/>
      <c r="E824" s="686"/>
      <c r="F824" s="687"/>
      <c r="G824" s="688"/>
      <c r="H824" s="699">
        <f>PACKAGING!I6</f>
        <v>1070</v>
      </c>
      <c r="I824"/>
      <c r="J824" s="1279">
        <f>J823*60%</f>
        <v>30000</v>
      </c>
      <c r="K824" s="653" t="s">
        <v>3687</v>
      </c>
    </row>
    <row r="825" spans="1:11" ht="15.75" thickBot="1" x14ac:dyDescent="0.25"/>
    <row r="826" spans="1:11" ht="15.75" thickBot="1" x14ac:dyDescent="0.25">
      <c r="A826" s="1738" t="s">
        <v>3653</v>
      </c>
      <c r="B826" s="1739"/>
      <c r="C826" s="1739"/>
      <c r="D826" s="1739"/>
      <c r="E826" s="1740"/>
    </row>
    <row r="827" spans="1:11" x14ac:dyDescent="0.2">
      <c r="A827" s="654" t="s">
        <v>916</v>
      </c>
      <c r="B827" s="655" t="s">
        <v>743</v>
      </c>
      <c r="C827" s="655" t="s">
        <v>1566</v>
      </c>
      <c r="D827" s="656" t="s">
        <v>1035</v>
      </c>
      <c r="E827" s="657" t="s">
        <v>1549</v>
      </c>
      <c r="F827" s="658"/>
    </row>
    <row r="828" spans="1:11" x14ac:dyDescent="0.2">
      <c r="A828" s="659" t="s">
        <v>3509</v>
      </c>
      <c r="B828" s="660">
        <v>0.37</v>
      </c>
      <c r="C828" s="660">
        <v>0.43</v>
      </c>
      <c r="D828" s="661">
        <f>PIEDRAS!E33</f>
        <v>4212</v>
      </c>
      <c r="E828" s="662">
        <f>D828*C828/B828</f>
        <v>4895.0270270270275</v>
      </c>
      <c r="F828" s="658"/>
    </row>
    <row r="829" spans="1:11" x14ac:dyDescent="0.2">
      <c r="A829" s="769" t="s">
        <v>3523</v>
      </c>
      <c r="B829" s="660"/>
      <c r="C829" s="660">
        <v>1</v>
      </c>
      <c r="D829" s="661">
        <f>'AROS, CADENAS, DIJES, ETC'!O54</f>
        <v>2920</v>
      </c>
      <c r="E829" s="662">
        <f>D829*C829</f>
        <v>2920</v>
      </c>
      <c r="F829" s="658"/>
    </row>
    <row r="830" spans="1:11" x14ac:dyDescent="0.2">
      <c r="A830" s="666" t="s">
        <v>3522</v>
      </c>
      <c r="B830" s="660"/>
      <c r="C830" s="660">
        <v>1.4</v>
      </c>
      <c r="D830" s="661">
        <f>'HILOS-CORDONES-TANZA-CUERO'!E27</f>
        <v>25</v>
      </c>
      <c r="E830" s="662">
        <f>D830*C830</f>
        <v>35</v>
      </c>
      <c r="F830" s="658"/>
    </row>
    <row r="831" spans="1:11" x14ac:dyDescent="0.2">
      <c r="A831" s="666" t="s">
        <v>3507</v>
      </c>
      <c r="B831" s="660"/>
      <c r="C831" s="660">
        <v>2</v>
      </c>
      <c r="D831" s="661">
        <f>FORNITURAS!I13</f>
        <v>274.44444444444446</v>
      </c>
      <c r="E831" s="662">
        <f>D831*C831</f>
        <v>548.88888888888891</v>
      </c>
      <c r="F831" s="658"/>
    </row>
    <row r="832" spans="1:11" x14ac:dyDescent="0.2">
      <c r="A832" s="666" t="s">
        <v>1554</v>
      </c>
      <c r="B832" s="660"/>
      <c r="C832" s="660">
        <v>2</v>
      </c>
      <c r="D832" s="661">
        <f>FORNITURAS!D24</f>
        <v>34.666666666666664</v>
      </c>
      <c r="E832" s="662">
        <f>D832*C832</f>
        <v>69.333333333333329</v>
      </c>
      <c r="F832" s="658"/>
    </row>
    <row r="833" spans="1:8" x14ac:dyDescent="0.2">
      <c r="A833" s="666" t="s">
        <v>1557</v>
      </c>
      <c r="B833" s="660"/>
      <c r="C833" s="660"/>
      <c r="D833" s="661"/>
      <c r="E833" s="667">
        <f>PACKAGING!E4</f>
        <v>80</v>
      </c>
      <c r="G833" s="658"/>
    </row>
    <row r="834" spans="1:8" x14ac:dyDescent="0.2">
      <c r="A834" s="666" t="s">
        <v>1555</v>
      </c>
      <c r="B834" s="660"/>
      <c r="C834" s="660">
        <v>1</v>
      </c>
      <c r="D834" s="661">
        <f>FORNITURAS!D7</f>
        <v>52</v>
      </c>
      <c r="E834" s="667">
        <f>D834*1</f>
        <v>52</v>
      </c>
      <c r="G834" s="658"/>
    </row>
    <row r="835" spans="1:8" x14ac:dyDescent="0.2">
      <c r="A835" s="666" t="s">
        <v>3362</v>
      </c>
      <c r="B835" s="660"/>
      <c r="C835" s="660"/>
      <c r="D835" s="661"/>
      <c r="E835" s="667">
        <f>PACKAGING!E17</f>
        <v>7.5</v>
      </c>
      <c r="G835" s="658"/>
    </row>
    <row r="836" spans="1:8" x14ac:dyDescent="0.2">
      <c r="A836" s="666" t="s">
        <v>1634</v>
      </c>
      <c r="B836" s="660"/>
      <c r="C836" s="660"/>
      <c r="D836" s="661"/>
      <c r="E836" s="667">
        <f>PACKAGING!E7</f>
        <v>170</v>
      </c>
      <c r="G836" s="658"/>
    </row>
    <row r="837" spans="1:8" x14ac:dyDescent="0.2">
      <c r="A837" s="666" t="s">
        <v>3568</v>
      </c>
      <c r="B837" s="660"/>
      <c r="C837" s="660"/>
      <c r="D837" s="661"/>
      <c r="E837" s="667">
        <f>PACKAGING!I5</f>
        <v>845</v>
      </c>
      <c r="G837" s="658"/>
    </row>
    <row r="838" spans="1:8" x14ac:dyDescent="0.2">
      <c r="A838" s="683" t="s">
        <v>1618</v>
      </c>
      <c r="B838" s="660">
        <v>60</v>
      </c>
      <c r="C838" s="660">
        <v>30</v>
      </c>
      <c r="D838" s="668">
        <f>'INSUMOS VARIOS'!B3</f>
        <v>3500</v>
      </c>
      <c r="E838" s="669">
        <f>D838*C838/B838</f>
        <v>1750</v>
      </c>
      <c r="G838" s="658"/>
    </row>
    <row r="839" spans="1:8" ht="15.75" thickBot="1" x14ac:dyDescent="0.25">
      <c r="A839" s="670" t="s">
        <v>525</v>
      </c>
      <c r="B839" s="671"/>
      <c r="C839" s="671"/>
      <c r="D839" s="672"/>
      <c r="E839" s="673">
        <f>SUM(E828:E838)</f>
        <v>11372.749249249251</v>
      </c>
      <c r="F839" s="658"/>
    </row>
    <row r="840" spans="1:8" ht="16.5" thickBot="1" x14ac:dyDescent="0.25">
      <c r="A840" s="675" t="s">
        <v>544</v>
      </c>
      <c r="B840" s="676"/>
      <c r="C840" s="676"/>
      <c r="D840" s="677"/>
      <c r="E840" s="692">
        <f>E839*2</f>
        <v>22745.498498498502</v>
      </c>
      <c r="F840" s="957">
        <f>E840+E840*70%</f>
        <v>38667.34744744745</v>
      </c>
      <c r="G840" s="681">
        <v>36000</v>
      </c>
    </row>
    <row r="841" spans="1:8" ht="16.5" thickBot="1" x14ac:dyDescent="0.25">
      <c r="A841" s="684" t="s">
        <v>1559</v>
      </c>
      <c r="B841" s="685"/>
      <c r="C841" s="685"/>
      <c r="D841" s="686"/>
      <c r="E841" s="686"/>
      <c r="F841" s="816"/>
      <c r="G841" s="1275">
        <f>G840*60%</f>
        <v>21600</v>
      </c>
      <c r="H841" s="1276" t="s">
        <v>3687</v>
      </c>
    </row>
    <row r="842" spans="1:8" ht="15.75" thickBot="1" x14ac:dyDescent="0.25"/>
    <row r="843" spans="1:8" ht="15.75" thickBot="1" x14ac:dyDescent="0.25">
      <c r="A843" s="1738" t="s">
        <v>3165</v>
      </c>
      <c r="B843" s="1739"/>
      <c r="C843" s="1739"/>
      <c r="D843" s="1739"/>
      <c r="E843" s="1740"/>
    </row>
    <row r="844" spans="1:8" x14ac:dyDescent="0.2">
      <c r="A844" s="654" t="s">
        <v>916</v>
      </c>
      <c r="B844" s="655" t="s">
        <v>743</v>
      </c>
      <c r="C844" s="655" t="s">
        <v>1566</v>
      </c>
      <c r="D844" s="656" t="s">
        <v>1035</v>
      </c>
      <c r="E844" s="657" t="s">
        <v>1549</v>
      </c>
      <c r="F844" s="658"/>
    </row>
    <row r="845" spans="1:8" x14ac:dyDescent="0.2">
      <c r="A845" s="659" t="s">
        <v>3525</v>
      </c>
      <c r="B845" s="660">
        <v>0.39</v>
      </c>
      <c r="C845" s="660">
        <v>0.39</v>
      </c>
      <c r="D845" s="661">
        <f>PIEDRAS!E36</f>
        <v>5000</v>
      </c>
      <c r="E845" s="662">
        <f>D845*C845/B845</f>
        <v>5000</v>
      </c>
      <c r="F845" s="658"/>
    </row>
    <row r="846" spans="1:8" x14ac:dyDescent="0.2">
      <c r="A846" s="769" t="s">
        <v>3138</v>
      </c>
      <c r="B846" s="660"/>
      <c r="C846" s="660">
        <v>1</v>
      </c>
      <c r="D846" s="661">
        <f>VIDRIOS!J58</f>
        <v>500</v>
      </c>
      <c r="E846" s="662">
        <f t="shared" ref="E846:E852" si="27">D846*C846</f>
        <v>500</v>
      </c>
      <c r="F846" s="658"/>
    </row>
    <row r="847" spans="1:8" x14ac:dyDescent="0.2">
      <c r="A847" s="666" t="s">
        <v>3524</v>
      </c>
      <c r="B847" s="660"/>
      <c r="C847" s="1226">
        <v>1.4</v>
      </c>
      <c r="D847" s="661">
        <f>'HILOS-CORDONES-TANZA-CUERO'!E26</f>
        <v>33.333333333333336</v>
      </c>
      <c r="E847" s="662">
        <f t="shared" si="27"/>
        <v>46.666666666666664</v>
      </c>
      <c r="F847" s="658"/>
    </row>
    <row r="848" spans="1:8" x14ac:dyDescent="0.2">
      <c r="A848" s="666" t="s">
        <v>1608</v>
      </c>
      <c r="B848" s="660"/>
      <c r="C848" s="660">
        <v>0.1</v>
      </c>
      <c r="D848" s="661">
        <f>'AROS, CADENAS, DIJES, ETC'!I38</f>
        <v>3630</v>
      </c>
      <c r="E848" s="662">
        <f t="shared" si="27"/>
        <v>363</v>
      </c>
      <c r="F848" s="658"/>
    </row>
    <row r="849" spans="1:8" x14ac:dyDescent="0.2">
      <c r="A849" s="666" t="s">
        <v>1587</v>
      </c>
      <c r="B849" s="660"/>
      <c r="C849" s="660">
        <v>1</v>
      </c>
      <c r="D849" s="661">
        <f>FORNITURAS!D18</f>
        <v>363</v>
      </c>
      <c r="E849" s="662">
        <f t="shared" si="27"/>
        <v>363</v>
      </c>
      <c r="F849" s="658"/>
    </row>
    <row r="850" spans="1:8" x14ac:dyDescent="0.2">
      <c r="A850" s="1736" t="s">
        <v>1572</v>
      </c>
      <c r="B850" s="660" t="s">
        <v>1556</v>
      </c>
      <c r="C850" s="660">
        <v>2</v>
      </c>
      <c r="D850" s="661">
        <f>FORNITURAS!D4</f>
        <v>48.7</v>
      </c>
      <c r="E850" s="662">
        <f t="shared" si="27"/>
        <v>97.4</v>
      </c>
      <c r="F850" s="658"/>
    </row>
    <row r="851" spans="1:8" x14ac:dyDescent="0.2">
      <c r="A851" s="1737"/>
      <c r="B851" s="660" t="s">
        <v>1573</v>
      </c>
      <c r="C851" s="660">
        <v>1</v>
      </c>
      <c r="D851" s="661">
        <f>FORNITURAS!D7</f>
        <v>52</v>
      </c>
      <c r="E851" s="662">
        <f t="shared" si="27"/>
        <v>52</v>
      </c>
      <c r="F851" s="658"/>
    </row>
    <row r="852" spans="1:8" x14ac:dyDescent="0.2">
      <c r="A852" s="666" t="s">
        <v>1554</v>
      </c>
      <c r="B852" s="660"/>
      <c r="C852" s="660">
        <v>2</v>
      </c>
      <c r="D852" s="661">
        <f>FORNITURAS!D24</f>
        <v>34.666666666666664</v>
      </c>
      <c r="E852" s="662">
        <f t="shared" si="27"/>
        <v>69.333333333333329</v>
      </c>
      <c r="F852" s="658"/>
    </row>
    <row r="853" spans="1:8" x14ac:dyDescent="0.2">
      <c r="A853" s="666" t="s">
        <v>1557</v>
      </c>
      <c r="B853" s="660"/>
      <c r="C853" s="660"/>
      <c r="D853" s="661"/>
      <c r="E853" s="667">
        <f>PACKAGING!E4</f>
        <v>80</v>
      </c>
      <c r="G853" s="658"/>
    </row>
    <row r="854" spans="1:8" x14ac:dyDescent="0.2">
      <c r="A854" s="666" t="s">
        <v>3362</v>
      </c>
      <c r="B854" s="660"/>
      <c r="C854" s="660"/>
      <c r="D854" s="661"/>
      <c r="E854" s="667">
        <f>PACKAGING!E17</f>
        <v>7.5</v>
      </c>
      <c r="G854" s="658"/>
    </row>
    <row r="855" spans="1:8" x14ac:dyDescent="0.2">
      <c r="A855" s="666" t="s">
        <v>1634</v>
      </c>
      <c r="B855" s="660"/>
      <c r="C855" s="660"/>
      <c r="D855" s="661"/>
      <c r="E855" s="667">
        <f>PACKAGING!E7</f>
        <v>170</v>
      </c>
      <c r="G855" s="658"/>
    </row>
    <row r="856" spans="1:8" x14ac:dyDescent="0.2">
      <c r="A856" s="666" t="s">
        <v>3568</v>
      </c>
      <c r="B856" s="660"/>
      <c r="C856" s="660"/>
      <c r="D856" s="661"/>
      <c r="E856" s="667">
        <f>PACKAGING!I5</f>
        <v>845</v>
      </c>
      <c r="G856" s="658"/>
    </row>
    <row r="857" spans="1:8" x14ac:dyDescent="0.2">
      <c r="A857" s="683" t="s">
        <v>1618</v>
      </c>
      <c r="B857" s="660">
        <v>60</v>
      </c>
      <c r="C857" s="660">
        <v>40</v>
      </c>
      <c r="D857" s="668">
        <f>'INSUMOS VARIOS'!B3</f>
        <v>3500</v>
      </c>
      <c r="E857" s="669">
        <f>D857*C857/B857</f>
        <v>2333.3333333333335</v>
      </c>
      <c r="G857" s="658"/>
    </row>
    <row r="858" spans="1:8" ht="15.75" thickBot="1" x14ac:dyDescent="0.25">
      <c r="A858" s="670" t="s">
        <v>525</v>
      </c>
      <c r="B858" s="671"/>
      <c r="C858" s="671"/>
      <c r="D858" s="672"/>
      <c r="E858" s="673">
        <f>SUM(E845:E857)</f>
        <v>9927.2333333333336</v>
      </c>
      <c r="F858" s="658"/>
    </row>
    <row r="859" spans="1:8" ht="16.5" thickBot="1" x14ac:dyDescent="0.25">
      <c r="A859" s="675" t="s">
        <v>544</v>
      </c>
      <c r="B859" s="676"/>
      <c r="C859" s="676"/>
      <c r="D859" s="677"/>
      <c r="E859" s="692">
        <f>E858*2</f>
        <v>19854.466666666667</v>
      </c>
      <c r="F859" s="957">
        <f>E859+E859*70%</f>
        <v>33752.593333333338</v>
      </c>
      <c r="G859" s="681">
        <v>26000</v>
      </c>
    </row>
    <row r="860" spans="1:8" ht="16.5" thickBot="1" x14ac:dyDescent="0.25">
      <c r="A860" s="684" t="s">
        <v>1559</v>
      </c>
      <c r="B860" s="685"/>
      <c r="C860" s="685"/>
      <c r="D860" s="686"/>
      <c r="E860" s="686"/>
      <c r="F860" s="816"/>
      <c r="G860" s="1275">
        <f>G859*60%</f>
        <v>15600</v>
      </c>
      <c r="H860" s="1276" t="s">
        <v>3687</v>
      </c>
    </row>
    <row r="861" spans="1:8" ht="15.75" thickBot="1" x14ac:dyDescent="0.25"/>
    <row r="862" spans="1:8" ht="15.75" thickBot="1" x14ac:dyDescent="0.25">
      <c r="A862" s="1738" t="s">
        <v>3656</v>
      </c>
      <c r="B862" s="1739"/>
      <c r="C862" s="1739"/>
      <c r="D862" s="1739"/>
      <c r="E862" s="1740"/>
    </row>
    <row r="863" spans="1:8" x14ac:dyDescent="0.2">
      <c r="A863" s="654" t="s">
        <v>916</v>
      </c>
      <c r="B863" s="655" t="s">
        <v>743</v>
      </c>
      <c r="C863" s="655" t="s">
        <v>1566</v>
      </c>
      <c r="D863" s="656" t="s">
        <v>1035</v>
      </c>
      <c r="E863" s="657" t="s">
        <v>1549</v>
      </c>
      <c r="F863" s="658"/>
    </row>
    <row r="864" spans="1:8" x14ac:dyDescent="0.2">
      <c r="A864" s="659" t="s">
        <v>3545</v>
      </c>
      <c r="B864" s="660"/>
      <c r="C864" s="660">
        <v>0.39</v>
      </c>
      <c r="D864" s="661">
        <f>VIDRIOS!C52</f>
        <v>2500</v>
      </c>
      <c r="E864" s="662">
        <f>D864</f>
        <v>2500</v>
      </c>
      <c r="F864" s="658"/>
    </row>
    <row r="865" spans="1:8" x14ac:dyDescent="0.2">
      <c r="A865" s="769" t="s">
        <v>3546</v>
      </c>
      <c r="B865" s="660"/>
      <c r="C865" s="660">
        <v>1</v>
      </c>
      <c r="D865" s="661">
        <f>PIEDRAS!K58</f>
        <v>895</v>
      </c>
      <c r="E865" s="662">
        <f>D865*C865</f>
        <v>895</v>
      </c>
      <c r="F865" s="658"/>
    </row>
    <row r="866" spans="1:8" ht="15.75" customHeight="1" x14ac:dyDescent="0.2">
      <c r="A866" s="1734" t="s">
        <v>3524</v>
      </c>
      <c r="B866" s="660">
        <v>0.12</v>
      </c>
      <c r="C866" s="660">
        <v>1</v>
      </c>
      <c r="D866" s="661">
        <f>'HILOS-CORDONES-TANZA-CUERO'!E26</f>
        <v>33.333333333333336</v>
      </c>
      <c r="E866" s="662">
        <f>D866*B866</f>
        <v>4</v>
      </c>
      <c r="F866" s="658"/>
    </row>
    <row r="867" spans="1:8" x14ac:dyDescent="0.2">
      <c r="A867" s="1735"/>
      <c r="B867" s="660">
        <v>0.35</v>
      </c>
      <c r="C867" s="1226">
        <v>2</v>
      </c>
      <c r="D867" s="661">
        <f>'HILOS-CORDONES-TANZA-CUERO'!E26</f>
        <v>33.333333333333336</v>
      </c>
      <c r="E867" s="662">
        <f>D867*B867*C867</f>
        <v>23.333333333333332</v>
      </c>
      <c r="F867" s="658"/>
    </row>
    <row r="868" spans="1:8" x14ac:dyDescent="0.2">
      <c r="A868" s="1736" t="s">
        <v>1572</v>
      </c>
      <c r="B868" s="660" t="s">
        <v>1556</v>
      </c>
      <c r="C868" s="660">
        <v>2</v>
      </c>
      <c r="D868" s="661">
        <f>FORNITURAS!D4</f>
        <v>48.7</v>
      </c>
      <c r="E868" s="662">
        <f>D868*C868</f>
        <v>97.4</v>
      </c>
      <c r="F868" s="658"/>
    </row>
    <row r="869" spans="1:8" x14ac:dyDescent="0.2">
      <c r="A869" s="1737"/>
      <c r="B869" s="660" t="s">
        <v>1573</v>
      </c>
      <c r="C869" s="660">
        <v>1</v>
      </c>
      <c r="D869" s="661">
        <f>FORNITURAS!D37</f>
        <v>299.5</v>
      </c>
      <c r="E869" s="662">
        <f>D869*C869</f>
        <v>299.5</v>
      </c>
      <c r="F869" s="658"/>
    </row>
    <row r="870" spans="1:8" x14ac:dyDescent="0.2">
      <c r="A870" s="666" t="s">
        <v>1554</v>
      </c>
      <c r="B870" s="660"/>
      <c r="C870" s="660">
        <v>4</v>
      </c>
      <c r="D870" s="661">
        <f>FORNITURAS!D24</f>
        <v>34.666666666666664</v>
      </c>
      <c r="E870" s="662">
        <f>D870*C870</f>
        <v>138.66666666666666</v>
      </c>
      <c r="F870" s="658"/>
    </row>
    <row r="871" spans="1:8" x14ac:dyDescent="0.2">
      <c r="A871" s="666" t="s">
        <v>1424</v>
      </c>
      <c r="B871" s="660"/>
      <c r="C871" s="660">
        <v>0.4</v>
      </c>
      <c r="D871" s="661">
        <f>'HILOS-CORDONES-TANZA-CUERO'!L9</f>
        <v>30</v>
      </c>
      <c r="E871" s="662">
        <f>D871*C871</f>
        <v>12</v>
      </c>
      <c r="F871" s="658"/>
    </row>
    <row r="872" spans="1:8" x14ac:dyDescent="0.2">
      <c r="A872" s="666" t="s">
        <v>1012</v>
      </c>
      <c r="B872" s="660"/>
      <c r="C872" s="660">
        <v>2</v>
      </c>
      <c r="D872" s="661">
        <f>FORNITURAS!D17</f>
        <v>45.05</v>
      </c>
      <c r="E872" s="667">
        <f>D872*C872</f>
        <v>90.1</v>
      </c>
      <c r="F872" s="658"/>
    </row>
    <row r="873" spans="1:8" x14ac:dyDescent="0.2">
      <c r="A873" s="666" t="s">
        <v>1557</v>
      </c>
      <c r="B873" s="660"/>
      <c r="C873" s="660"/>
      <c r="D873" s="661"/>
      <c r="E873" s="667">
        <f>PACKAGING!E4</f>
        <v>80</v>
      </c>
      <c r="G873" s="658"/>
    </row>
    <row r="874" spans="1:8" x14ac:dyDescent="0.2">
      <c r="A874" s="666" t="s">
        <v>3362</v>
      </c>
      <c r="B874" s="660"/>
      <c r="C874" s="660"/>
      <c r="D874" s="661"/>
      <c r="E874" s="667">
        <f>PACKAGING!E17</f>
        <v>7.5</v>
      </c>
      <c r="G874" s="658"/>
    </row>
    <row r="875" spans="1:8" x14ac:dyDescent="0.2">
      <c r="A875" s="666" t="s">
        <v>1634</v>
      </c>
      <c r="B875" s="660"/>
      <c r="C875" s="660"/>
      <c r="D875" s="661"/>
      <c r="E875" s="667">
        <f>PACKAGING!E7</f>
        <v>170</v>
      </c>
      <c r="G875" s="658"/>
    </row>
    <row r="876" spans="1:8" x14ac:dyDescent="0.2">
      <c r="A876" s="666" t="s">
        <v>3568</v>
      </c>
      <c r="B876" s="660"/>
      <c r="C876" s="660"/>
      <c r="D876" s="661"/>
      <c r="E876" s="667">
        <f>PACKAGING!I5</f>
        <v>845</v>
      </c>
      <c r="G876" s="658"/>
    </row>
    <row r="877" spans="1:8" x14ac:dyDescent="0.2">
      <c r="A877" s="683" t="s">
        <v>1618</v>
      </c>
      <c r="B877" s="660">
        <v>60</v>
      </c>
      <c r="C877" s="660">
        <v>30</v>
      </c>
      <c r="D877" s="668">
        <f>'INSUMOS VARIOS'!B3</f>
        <v>3500</v>
      </c>
      <c r="E877" s="669">
        <f>D877*C877/B877</f>
        <v>1750</v>
      </c>
      <c r="G877" s="658"/>
    </row>
    <row r="878" spans="1:8" ht="15.75" thickBot="1" x14ac:dyDescent="0.25">
      <c r="A878" s="670" t="s">
        <v>525</v>
      </c>
      <c r="B878" s="671"/>
      <c r="C878" s="671"/>
      <c r="D878" s="672"/>
      <c r="E878" s="673">
        <f>SUM(E864:E877)</f>
        <v>6912.5</v>
      </c>
      <c r="F878" s="658"/>
    </row>
    <row r="879" spans="1:8" ht="16.5" thickBot="1" x14ac:dyDescent="0.25">
      <c r="A879" s="675" t="s">
        <v>544</v>
      </c>
      <c r="B879" s="676"/>
      <c r="C879" s="676"/>
      <c r="D879" s="677"/>
      <c r="E879" s="692">
        <f>E878*2</f>
        <v>13825</v>
      </c>
      <c r="F879" s="957">
        <f>E879+E879*70%</f>
        <v>23502.5</v>
      </c>
      <c r="G879" s="681">
        <v>24000</v>
      </c>
    </row>
    <row r="880" spans="1:8" ht="16.5" thickBot="1" x14ac:dyDescent="0.25">
      <c r="A880" s="684" t="s">
        <v>1559</v>
      </c>
      <c r="B880" s="685"/>
      <c r="C880" s="685"/>
      <c r="D880" s="686"/>
      <c r="E880" s="686"/>
      <c r="F880" s="816"/>
      <c r="G880" s="1275">
        <f>G879*60%</f>
        <v>14400</v>
      </c>
      <c r="H880" s="1276" t="s">
        <v>3687</v>
      </c>
    </row>
    <row r="881" spans="1:7" ht="15.75" thickBot="1" x14ac:dyDescent="0.25"/>
    <row r="882" spans="1:7" ht="15.75" thickBot="1" x14ac:dyDescent="0.25">
      <c r="A882" s="1738" t="s">
        <v>3654</v>
      </c>
      <c r="B882" s="1739"/>
      <c r="C882" s="1739"/>
      <c r="D882" s="1739"/>
      <c r="E882" s="1740"/>
    </row>
    <row r="883" spans="1:7" x14ac:dyDescent="0.2">
      <c r="A883" s="654" t="s">
        <v>916</v>
      </c>
      <c r="B883" s="655" t="s">
        <v>743</v>
      </c>
      <c r="C883" s="655" t="s">
        <v>1566</v>
      </c>
      <c r="D883" s="656" t="s">
        <v>1035</v>
      </c>
      <c r="E883" s="657" t="s">
        <v>1549</v>
      </c>
      <c r="F883" s="658"/>
    </row>
    <row r="884" spans="1:7" x14ac:dyDescent="0.2">
      <c r="A884" s="659" t="s">
        <v>1691</v>
      </c>
      <c r="B884" s="660"/>
      <c r="C884" s="660">
        <v>5</v>
      </c>
      <c r="D884" s="661">
        <f>'PERLAS 2'!H18</f>
        <v>167.2</v>
      </c>
      <c r="E884" s="662">
        <f>D884*C884</f>
        <v>836</v>
      </c>
      <c r="F884" s="658"/>
    </row>
    <row r="885" spans="1:7" x14ac:dyDescent="0.2">
      <c r="A885" s="769" t="s">
        <v>3570</v>
      </c>
      <c r="B885" s="660">
        <v>0.38</v>
      </c>
      <c r="C885" s="660">
        <v>0.38</v>
      </c>
      <c r="D885" s="661">
        <f>PIEDRAS!E39</f>
        <v>4000</v>
      </c>
      <c r="E885" s="662">
        <f>D885*C885/B885</f>
        <v>4000</v>
      </c>
      <c r="F885" s="658"/>
    </row>
    <row r="886" spans="1:7" x14ac:dyDescent="0.2">
      <c r="A886" s="1736" t="s">
        <v>1572</v>
      </c>
      <c r="B886" s="660" t="s">
        <v>1556</v>
      </c>
      <c r="C886" s="660">
        <v>2</v>
      </c>
      <c r="D886" s="661">
        <f>FORNITURAS!D4</f>
        <v>48.7</v>
      </c>
      <c r="E886" s="662">
        <f>D886*C886</f>
        <v>97.4</v>
      </c>
      <c r="F886" s="658"/>
    </row>
    <row r="887" spans="1:7" x14ac:dyDescent="0.2">
      <c r="A887" s="1737"/>
      <c r="B887" s="660" t="s">
        <v>1573</v>
      </c>
      <c r="C887" s="660">
        <v>1</v>
      </c>
      <c r="D887" s="661">
        <f>FORNITURAS!D7</f>
        <v>52</v>
      </c>
      <c r="E887" s="662">
        <f>D887*C887</f>
        <v>52</v>
      </c>
      <c r="F887" s="658"/>
    </row>
    <row r="888" spans="1:7" x14ac:dyDescent="0.2">
      <c r="A888" s="666" t="s">
        <v>1424</v>
      </c>
      <c r="B888" s="660"/>
      <c r="C888" s="660">
        <v>0.4</v>
      </c>
      <c r="D888" s="661">
        <f>'HILOS-CORDONES-TANZA-CUERO'!L9</f>
        <v>30</v>
      </c>
      <c r="E888" s="662">
        <f>D888*C888</f>
        <v>12</v>
      </c>
      <c r="F888" s="658"/>
    </row>
    <row r="889" spans="1:7" x14ac:dyDescent="0.2">
      <c r="A889" s="666" t="s">
        <v>1608</v>
      </c>
      <c r="B889" s="660"/>
      <c r="C889" s="660">
        <v>0.1</v>
      </c>
      <c r="D889" s="661">
        <f>'AROS, CADENAS, DIJES, ETC'!I38</f>
        <v>3630</v>
      </c>
      <c r="E889" s="662">
        <f>C889*D889</f>
        <v>363</v>
      </c>
      <c r="F889" s="658"/>
    </row>
    <row r="890" spans="1:7" x14ac:dyDescent="0.2">
      <c r="A890" s="666" t="s">
        <v>1554</v>
      </c>
      <c r="B890" s="660"/>
      <c r="C890" s="660">
        <v>2</v>
      </c>
      <c r="D890" s="661">
        <f>FORNITURAS!D24</f>
        <v>34.666666666666664</v>
      </c>
      <c r="E890" s="662">
        <f>D890*C890</f>
        <v>69.333333333333329</v>
      </c>
      <c r="F890" s="658"/>
    </row>
    <row r="891" spans="1:7" x14ac:dyDescent="0.2">
      <c r="A891" s="666" t="s">
        <v>3507</v>
      </c>
      <c r="B891" s="660"/>
      <c r="C891" s="660">
        <v>9</v>
      </c>
      <c r="D891" s="661">
        <f>FORNITURAS!I13</f>
        <v>274.44444444444446</v>
      </c>
      <c r="E891" s="662">
        <f>D891*C891</f>
        <v>2470</v>
      </c>
      <c r="F891" s="658"/>
    </row>
    <row r="892" spans="1:7" x14ac:dyDescent="0.2">
      <c r="A892" s="666" t="s">
        <v>1012</v>
      </c>
      <c r="B892" s="660"/>
      <c r="C892" s="660">
        <v>10</v>
      </c>
      <c r="D892" s="661">
        <f>FORNITURAS!D17</f>
        <v>45.05</v>
      </c>
      <c r="E892" s="662">
        <f>D892*C892</f>
        <v>450.5</v>
      </c>
      <c r="F892" s="658"/>
    </row>
    <row r="893" spans="1:7" x14ac:dyDescent="0.2">
      <c r="A893" s="666" t="s">
        <v>1587</v>
      </c>
      <c r="B893" s="660"/>
      <c r="C893" s="660">
        <v>1</v>
      </c>
      <c r="D893" s="661">
        <f>FORNITURAS!D18</f>
        <v>363</v>
      </c>
      <c r="E893" s="662">
        <f>C893*D893</f>
        <v>363</v>
      </c>
      <c r="F893" s="658"/>
    </row>
    <row r="894" spans="1:7" x14ac:dyDescent="0.2">
      <c r="A894" s="666" t="s">
        <v>1557</v>
      </c>
      <c r="B894" s="660"/>
      <c r="C894" s="660"/>
      <c r="D894" s="661"/>
      <c r="E894" s="667">
        <f>PACKAGING!E4</f>
        <v>80</v>
      </c>
      <c r="G894" s="658"/>
    </row>
    <row r="895" spans="1:7" x14ac:dyDescent="0.2">
      <c r="A895" s="666" t="s">
        <v>3362</v>
      </c>
      <c r="B895" s="660"/>
      <c r="C895" s="660"/>
      <c r="D895" s="661"/>
      <c r="E895" s="667">
        <f>PACKAGING!E17</f>
        <v>7.5</v>
      </c>
      <c r="G895" s="658"/>
    </row>
    <row r="896" spans="1:7" x14ac:dyDescent="0.2">
      <c r="A896" s="666" t="s">
        <v>1634</v>
      </c>
      <c r="B896" s="660"/>
      <c r="C896" s="660"/>
      <c r="D896" s="661"/>
      <c r="E896" s="667">
        <f>PACKAGING!E7</f>
        <v>170</v>
      </c>
      <c r="G896" s="658"/>
    </row>
    <row r="897" spans="1:8" x14ac:dyDescent="0.2">
      <c r="A897" s="666" t="s">
        <v>3568</v>
      </c>
      <c r="B897" s="660"/>
      <c r="C897" s="660"/>
      <c r="D897" s="661"/>
      <c r="E897" s="667">
        <f>PACKAGING!I5</f>
        <v>845</v>
      </c>
      <c r="G897" s="658"/>
    </row>
    <row r="898" spans="1:8" x14ac:dyDescent="0.2">
      <c r="A898" s="683" t="s">
        <v>1618</v>
      </c>
      <c r="B898" s="660">
        <v>60</v>
      </c>
      <c r="C898" s="660">
        <v>20</v>
      </c>
      <c r="D898" s="668">
        <f>'INSUMOS VARIOS'!B3</f>
        <v>3500</v>
      </c>
      <c r="E898" s="669">
        <f>D898*C898/B898</f>
        <v>1166.6666666666667</v>
      </c>
      <c r="G898" s="658"/>
    </row>
    <row r="899" spans="1:8" ht="15.75" thickBot="1" x14ac:dyDescent="0.25">
      <c r="A899" s="670" t="s">
        <v>525</v>
      </c>
      <c r="B899" s="671"/>
      <c r="C899" s="671"/>
      <c r="D899" s="672"/>
      <c r="E899" s="673">
        <f>SUM(E884:E898)</f>
        <v>10982.4</v>
      </c>
      <c r="F899" s="658"/>
    </row>
    <row r="900" spans="1:8" ht="16.5" thickBot="1" x14ac:dyDescent="0.25">
      <c r="A900" s="675" t="s">
        <v>544</v>
      </c>
      <c r="B900" s="676"/>
      <c r="C900" s="676"/>
      <c r="D900" s="677"/>
      <c r="E900" s="692">
        <f>E899*2</f>
        <v>21964.799999999999</v>
      </c>
      <c r="F900" s="957">
        <f>E900+E900*70%</f>
        <v>37340.159999999996</v>
      </c>
      <c r="G900" s="681">
        <v>34000</v>
      </c>
    </row>
    <row r="901" spans="1:8" ht="16.5" thickBot="1" x14ac:dyDescent="0.25">
      <c r="A901" s="684" t="s">
        <v>1559</v>
      </c>
      <c r="B901" s="685"/>
      <c r="C901" s="685"/>
      <c r="D901" s="686"/>
      <c r="E901" s="686"/>
      <c r="F901" s="816"/>
      <c r="G901" s="1275">
        <f>G900*60%</f>
        <v>20400</v>
      </c>
      <c r="H901" s="1276" t="s">
        <v>3687</v>
      </c>
    </row>
    <row r="902" spans="1:8" ht="15.75" thickBot="1" x14ac:dyDescent="0.25"/>
    <row r="903" spans="1:8" ht="16.5" thickBot="1" x14ac:dyDescent="0.25">
      <c r="A903" s="1716" t="s">
        <v>3800</v>
      </c>
      <c r="B903" s="1717"/>
      <c r="C903" s="1717"/>
      <c r="D903" s="1717"/>
      <c r="E903" s="1717"/>
      <c r="F903" s="1294"/>
    </row>
    <row r="904" spans="1:8" x14ac:dyDescent="0.2">
      <c r="A904" s="654" t="s">
        <v>916</v>
      </c>
      <c r="B904" s="655" t="s">
        <v>743</v>
      </c>
      <c r="C904" s="655" t="s">
        <v>1566</v>
      </c>
      <c r="D904" s="656" t="s">
        <v>1035</v>
      </c>
      <c r="E904" s="657" t="s">
        <v>1549</v>
      </c>
      <c r="F904" s="658"/>
    </row>
    <row r="905" spans="1:8" x14ac:dyDescent="0.2">
      <c r="A905" s="659" t="s">
        <v>1585</v>
      </c>
      <c r="B905" s="660"/>
      <c r="C905" s="660">
        <v>57</v>
      </c>
      <c r="D905" s="661">
        <f>'PALAIS DU BIJOU'!O18</f>
        <v>2.625</v>
      </c>
      <c r="E905" s="662">
        <f t="shared" ref="E905:E910" si="28">D905*C905</f>
        <v>149.625</v>
      </c>
      <c r="F905" s="658"/>
    </row>
    <row r="906" spans="1:8" x14ac:dyDescent="0.2">
      <c r="A906" s="769" t="s">
        <v>3404</v>
      </c>
      <c r="B906" s="660"/>
      <c r="C906" s="660">
        <v>6</v>
      </c>
      <c r="D906" s="661">
        <f>PIEDRAS!F78</f>
        <v>93.793103448275858</v>
      </c>
      <c r="E906" s="662">
        <f t="shared" si="28"/>
        <v>562.75862068965512</v>
      </c>
      <c r="F906" s="658"/>
    </row>
    <row r="907" spans="1:8" x14ac:dyDescent="0.2">
      <c r="A907" s="769" t="s">
        <v>3570</v>
      </c>
      <c r="B907" s="660"/>
      <c r="C907" s="660">
        <v>52</v>
      </c>
      <c r="D907" s="661">
        <f>PIEDRAS!F25</f>
        <v>102.05882352941177</v>
      </c>
      <c r="E907" s="662">
        <f t="shared" si="28"/>
        <v>5307.0588235294117</v>
      </c>
      <c r="F907" s="658"/>
    </row>
    <row r="908" spans="1:8" x14ac:dyDescent="0.2">
      <c r="A908" s="1736" t="s">
        <v>1572</v>
      </c>
      <c r="B908" s="660" t="s">
        <v>1556</v>
      </c>
      <c r="C908" s="660">
        <v>2</v>
      </c>
      <c r="D908" s="661">
        <f>FORNITURAS!D4</f>
        <v>48.7</v>
      </c>
      <c r="E908" s="662">
        <f t="shared" si="28"/>
        <v>97.4</v>
      </c>
      <c r="F908" s="658"/>
    </row>
    <row r="909" spans="1:8" x14ac:dyDescent="0.2">
      <c r="A909" s="1737"/>
      <c r="B909" s="660" t="s">
        <v>1573</v>
      </c>
      <c r="C909" s="660">
        <v>1</v>
      </c>
      <c r="D909" s="661">
        <f>FORNITURAS!D7</f>
        <v>52</v>
      </c>
      <c r="E909" s="662">
        <f t="shared" si="28"/>
        <v>52</v>
      </c>
      <c r="F909" s="658"/>
    </row>
    <row r="910" spans="1:8" x14ac:dyDescent="0.2">
      <c r="A910" s="666" t="s">
        <v>1424</v>
      </c>
      <c r="B910" s="660"/>
      <c r="C910" s="660">
        <v>0.4</v>
      </c>
      <c r="D910" s="661">
        <f>'HILOS-CORDONES-TANZA-CUERO'!L9</f>
        <v>30</v>
      </c>
      <c r="E910" s="662">
        <f t="shared" si="28"/>
        <v>12</v>
      </c>
      <c r="F910" s="658"/>
    </row>
    <row r="911" spans="1:8" x14ac:dyDescent="0.2">
      <c r="A911" s="666" t="s">
        <v>1608</v>
      </c>
      <c r="B911" s="660"/>
      <c r="C911" s="660">
        <v>0.1</v>
      </c>
      <c r="D911" s="661">
        <f>'AROS, CADENAS, DIJES, ETC'!I38</f>
        <v>3630</v>
      </c>
      <c r="E911" s="662">
        <f>C911*D911</f>
        <v>363</v>
      </c>
      <c r="F911" s="658"/>
    </row>
    <row r="912" spans="1:8" x14ac:dyDescent="0.2">
      <c r="A912" s="666" t="s">
        <v>1554</v>
      </c>
      <c r="B912" s="660"/>
      <c r="C912" s="660">
        <v>2</v>
      </c>
      <c r="D912" s="661">
        <f>FORNITURAS!D24</f>
        <v>34.666666666666664</v>
      </c>
      <c r="E912" s="662">
        <f>D912*C912</f>
        <v>69.333333333333329</v>
      </c>
      <c r="F912" s="658"/>
    </row>
    <row r="913" spans="1:8" x14ac:dyDescent="0.2">
      <c r="A913" s="666" t="s">
        <v>1012</v>
      </c>
      <c r="B913" s="660"/>
      <c r="C913" s="660">
        <v>2</v>
      </c>
      <c r="D913" s="661">
        <f>FORNITURAS!D16</f>
        <v>45.05</v>
      </c>
      <c r="E913" s="662">
        <f>D913*C913</f>
        <v>90.1</v>
      </c>
      <c r="F913" s="658"/>
    </row>
    <row r="914" spans="1:8" x14ac:dyDescent="0.2">
      <c r="A914" s="666" t="s">
        <v>1587</v>
      </c>
      <c r="B914" s="660"/>
      <c r="C914" s="660">
        <v>1</v>
      </c>
      <c r="D914" s="661">
        <f>FORNITURAS!D18</f>
        <v>363</v>
      </c>
      <c r="E914" s="662">
        <f>C914*D914</f>
        <v>363</v>
      </c>
      <c r="F914" s="658"/>
    </row>
    <row r="915" spans="1:8" x14ac:dyDescent="0.2">
      <c r="A915" s="666" t="s">
        <v>1557</v>
      </c>
      <c r="B915" s="660"/>
      <c r="C915" s="660"/>
      <c r="D915" s="661"/>
      <c r="E915" s="667">
        <f>PACKAGING!E4</f>
        <v>80</v>
      </c>
      <c r="G915" s="658"/>
    </row>
    <row r="916" spans="1:8" x14ac:dyDescent="0.2">
      <c r="A916" s="666" t="s">
        <v>3362</v>
      </c>
      <c r="B916" s="660"/>
      <c r="C916" s="660"/>
      <c r="D916" s="661"/>
      <c r="E916" s="667">
        <f>PACKAGING!E17</f>
        <v>7.5</v>
      </c>
      <c r="G916" s="658"/>
    </row>
    <row r="917" spans="1:8" x14ac:dyDescent="0.2">
      <c r="A917" s="666" t="s">
        <v>1634</v>
      </c>
      <c r="B917" s="660"/>
      <c r="C917" s="660"/>
      <c r="D917" s="661"/>
      <c r="E917" s="667">
        <f>PACKAGING!E7</f>
        <v>170</v>
      </c>
      <c r="G917" s="658"/>
    </row>
    <row r="918" spans="1:8" x14ac:dyDescent="0.2">
      <c r="A918" s="666" t="s">
        <v>3568</v>
      </c>
      <c r="B918" s="660"/>
      <c r="C918" s="660"/>
      <c r="D918" s="661"/>
      <c r="E918" s="667">
        <f>PACKAGING!I5</f>
        <v>845</v>
      </c>
      <c r="G918" s="658"/>
    </row>
    <row r="919" spans="1:8" x14ac:dyDescent="0.2">
      <c r="A919" s="683" t="s">
        <v>1618</v>
      </c>
      <c r="B919" s="660">
        <v>60</v>
      </c>
      <c r="C919" s="660">
        <v>20</v>
      </c>
      <c r="D919" s="668">
        <f>'INSUMOS VARIOS'!B3</f>
        <v>3500</v>
      </c>
      <c r="E919" s="669">
        <f>D919*C919/B919</f>
        <v>1166.6666666666667</v>
      </c>
      <c r="G919" s="658"/>
    </row>
    <row r="920" spans="1:8" ht="15.75" thickBot="1" x14ac:dyDescent="0.25">
      <c r="A920" s="670" t="s">
        <v>525</v>
      </c>
      <c r="B920" s="671"/>
      <c r="C920" s="671"/>
      <c r="D920" s="672"/>
      <c r="E920" s="673">
        <f>SUM(E905:E919)</f>
        <v>9335.4424442190666</v>
      </c>
      <c r="F920" s="658"/>
    </row>
    <row r="921" spans="1:8" ht="16.5" thickBot="1" x14ac:dyDescent="0.25">
      <c r="A921" s="675" t="s">
        <v>544</v>
      </c>
      <c r="B921" s="676"/>
      <c r="C921" s="676"/>
      <c r="D921" s="677"/>
      <c r="E921" s="692">
        <f>E920*2</f>
        <v>18670.884888438133</v>
      </c>
      <c r="F921" s="957">
        <f>E921+E921*70%</f>
        <v>31740.504310344826</v>
      </c>
      <c r="G921" s="681">
        <v>40000</v>
      </c>
    </row>
    <row r="922" spans="1:8" ht="16.5" thickBot="1" x14ac:dyDescent="0.25">
      <c r="A922" s="684" t="s">
        <v>1559</v>
      </c>
      <c r="B922" s="685"/>
      <c r="C922" s="685"/>
      <c r="D922" s="686"/>
      <c r="E922" s="686"/>
      <c r="F922" s="816"/>
      <c r="G922" s="1275">
        <f>G921*60%</f>
        <v>24000</v>
      </c>
      <c r="H922" s="1276" t="s">
        <v>3687</v>
      </c>
    </row>
    <row r="923" spans="1:8" ht="15.75" thickBot="1" x14ac:dyDescent="0.25"/>
    <row r="924" spans="1:8" ht="16.5" thickBot="1" x14ac:dyDescent="0.25">
      <c r="A924" s="1716" t="s">
        <v>3818</v>
      </c>
      <c r="B924" s="1717"/>
      <c r="C924" s="1717"/>
      <c r="D924" s="1717"/>
      <c r="E924" s="1717"/>
      <c r="F924" s="1294"/>
    </row>
    <row r="925" spans="1:8" x14ac:dyDescent="0.2">
      <c r="A925" s="654" t="s">
        <v>916</v>
      </c>
      <c r="B925" s="655" t="s">
        <v>743</v>
      </c>
      <c r="C925" s="655" t="s">
        <v>1566</v>
      </c>
      <c r="D925" s="656" t="s">
        <v>1035</v>
      </c>
      <c r="E925" s="657" t="s">
        <v>1549</v>
      </c>
      <c r="F925" s="658"/>
    </row>
    <row r="926" spans="1:8" x14ac:dyDescent="0.2">
      <c r="A926" s="1749" t="s">
        <v>3713</v>
      </c>
      <c r="B926" s="660" t="s">
        <v>805</v>
      </c>
      <c r="C926" s="660">
        <v>4</v>
      </c>
      <c r="D926" s="661">
        <f>PIEDRAS!F75</f>
        <v>250.28571428571428</v>
      </c>
      <c r="E926" s="662">
        <f t="shared" ref="E926:E932" si="29">D926*C926</f>
        <v>1001.1428571428571</v>
      </c>
      <c r="F926" s="658"/>
    </row>
    <row r="927" spans="1:8" x14ac:dyDescent="0.2">
      <c r="A927" s="1751"/>
      <c r="B927" s="660" t="s">
        <v>989</v>
      </c>
      <c r="C927" s="660">
        <v>1</v>
      </c>
      <c r="D927" s="661">
        <f>PIEDRAS!F76</f>
        <v>764</v>
      </c>
      <c r="E927" s="662">
        <f t="shared" si="29"/>
        <v>764</v>
      </c>
      <c r="F927" s="658"/>
    </row>
    <row r="928" spans="1:8" x14ac:dyDescent="0.2">
      <c r="A928" s="769" t="s">
        <v>3714</v>
      </c>
      <c r="B928" s="660"/>
      <c r="C928" s="660">
        <v>3</v>
      </c>
      <c r="D928" s="661">
        <f>PIEDRAS!F80</f>
        <v>162.12121212121212</v>
      </c>
      <c r="E928" s="662">
        <f t="shared" si="29"/>
        <v>486.36363636363637</v>
      </c>
      <c r="F928" s="658"/>
    </row>
    <row r="929" spans="1:7" x14ac:dyDescent="0.2">
      <c r="A929" s="769" t="s">
        <v>3160</v>
      </c>
      <c r="B929" s="660"/>
      <c r="C929" s="660">
        <v>9</v>
      </c>
      <c r="D929" s="661">
        <f>VIDRIOS!E21</f>
        <v>65</v>
      </c>
      <c r="E929" s="662">
        <f t="shared" si="29"/>
        <v>585</v>
      </c>
      <c r="F929" s="658"/>
    </row>
    <row r="930" spans="1:7" x14ac:dyDescent="0.2">
      <c r="A930" s="769" t="s">
        <v>3381</v>
      </c>
      <c r="B930" s="660"/>
      <c r="C930" s="660">
        <v>7</v>
      </c>
      <c r="D930" s="661">
        <f>PIEDRAS!F119</f>
        <v>95.238095238095241</v>
      </c>
      <c r="E930" s="662">
        <f t="shared" si="29"/>
        <v>666.66666666666674</v>
      </c>
      <c r="F930" s="658"/>
    </row>
    <row r="931" spans="1:7" x14ac:dyDescent="0.2">
      <c r="A931" s="820" t="s">
        <v>3715</v>
      </c>
      <c r="B931" s="660" t="s">
        <v>989</v>
      </c>
      <c r="C931" s="660">
        <v>5</v>
      </c>
      <c r="D931" s="661">
        <f>PIEDRAS!F41</f>
        <v>214.28571428571428</v>
      </c>
      <c r="E931" s="662">
        <f t="shared" si="29"/>
        <v>1071.4285714285713</v>
      </c>
      <c r="F931" s="658"/>
    </row>
    <row r="932" spans="1:7" x14ac:dyDescent="0.2">
      <c r="A932" s="820" t="s">
        <v>3716</v>
      </c>
      <c r="B932" s="660" t="s">
        <v>805</v>
      </c>
      <c r="C932" s="660">
        <v>5</v>
      </c>
      <c r="D932" s="661">
        <f>VIDRIOS!E30</f>
        <v>65</v>
      </c>
      <c r="E932" s="662">
        <f t="shared" si="29"/>
        <v>325</v>
      </c>
      <c r="F932" s="658"/>
    </row>
    <row r="933" spans="1:7" x14ac:dyDescent="0.2">
      <c r="A933" s="1734" t="s">
        <v>3717</v>
      </c>
      <c r="B933" s="660" t="s">
        <v>781</v>
      </c>
      <c r="C933" s="660">
        <v>2</v>
      </c>
      <c r="D933" s="661">
        <f>PLATEADO!F6</f>
        <v>561.98</v>
      </c>
      <c r="E933" s="662">
        <f>D933*2</f>
        <v>1123.96</v>
      </c>
      <c r="F933" s="658"/>
    </row>
    <row r="934" spans="1:7" x14ac:dyDescent="0.2">
      <c r="A934" s="1735"/>
      <c r="B934" s="660" t="s">
        <v>937</v>
      </c>
      <c r="C934" s="660">
        <v>2</v>
      </c>
      <c r="D934" s="661">
        <f>PLATEADO!F7</f>
        <v>824.54</v>
      </c>
      <c r="E934" s="662">
        <f>D934*C934</f>
        <v>1649.08</v>
      </c>
      <c r="F934" s="658"/>
    </row>
    <row r="935" spans="1:7" x14ac:dyDescent="0.2">
      <c r="A935" s="666" t="s">
        <v>1424</v>
      </c>
      <c r="B935" s="660"/>
      <c r="C935" s="660">
        <v>0.4</v>
      </c>
      <c r="D935" s="661">
        <f>'HILOS-CORDONES-TANZA-CUERO'!L9</f>
        <v>30</v>
      </c>
      <c r="E935" s="662">
        <f>D935*C935</f>
        <v>12</v>
      </c>
      <c r="F935" s="658"/>
    </row>
    <row r="936" spans="1:7" x14ac:dyDescent="0.2">
      <c r="A936" s="666" t="s">
        <v>1608</v>
      </c>
      <c r="B936" s="660"/>
      <c r="C936" s="660">
        <v>0.1</v>
      </c>
      <c r="D936" s="661">
        <f>PLATEADO!F41</f>
        <v>2154</v>
      </c>
      <c r="E936" s="662">
        <f>C936*D936</f>
        <v>215.4</v>
      </c>
      <c r="F936" s="658"/>
    </row>
    <row r="937" spans="1:7" x14ac:dyDescent="0.2">
      <c r="A937" s="666" t="s">
        <v>3098</v>
      </c>
      <c r="B937" s="660"/>
      <c r="C937" s="660">
        <v>2</v>
      </c>
      <c r="D937" s="661">
        <f>FORNITURAS!D16</f>
        <v>45.05</v>
      </c>
      <c r="E937" s="662">
        <f>D937*C937</f>
        <v>90.1</v>
      </c>
      <c r="F937" s="658"/>
    </row>
    <row r="938" spans="1:7" x14ac:dyDescent="0.2">
      <c r="A938" s="666" t="s">
        <v>1971</v>
      </c>
      <c r="B938" s="660"/>
      <c r="C938" s="660">
        <v>1</v>
      </c>
      <c r="D938" s="661">
        <f>FORNITURAS!D8</f>
        <v>192.77777777777777</v>
      </c>
      <c r="E938" s="662">
        <f>D938*C938</f>
        <v>192.77777777777777</v>
      </c>
      <c r="F938" s="658"/>
    </row>
    <row r="939" spans="1:7" x14ac:dyDescent="0.2">
      <c r="A939" s="666" t="s">
        <v>3111</v>
      </c>
      <c r="B939" s="660"/>
      <c r="C939" s="660">
        <v>1</v>
      </c>
      <c r="D939" s="661">
        <f>PLATEADO!F13</f>
        <v>90.9</v>
      </c>
      <c r="E939" s="662">
        <f>D939*C939</f>
        <v>90.9</v>
      </c>
      <c r="F939" s="658"/>
    </row>
    <row r="940" spans="1:7" x14ac:dyDescent="0.2">
      <c r="A940" s="666" t="s">
        <v>3718</v>
      </c>
      <c r="B940" s="660"/>
      <c r="C940" s="660">
        <v>1</v>
      </c>
      <c r="D940" s="661">
        <f>PLATEADO!L19</f>
        <v>1112</v>
      </c>
      <c r="E940" s="662">
        <f>C940*D940</f>
        <v>1112</v>
      </c>
      <c r="F940" s="658"/>
    </row>
    <row r="941" spans="1:7" x14ac:dyDescent="0.2">
      <c r="A941" s="666" t="s">
        <v>1557</v>
      </c>
      <c r="B941" s="660"/>
      <c r="C941" s="660"/>
      <c r="D941" s="661"/>
      <c r="E941" s="667">
        <f>PACKAGING!E4</f>
        <v>80</v>
      </c>
      <c r="G941" s="658"/>
    </row>
    <row r="942" spans="1:7" x14ac:dyDescent="0.2">
      <c r="A942" s="666" t="s">
        <v>3362</v>
      </c>
      <c r="B942" s="660"/>
      <c r="C942" s="660"/>
      <c r="D942" s="661"/>
      <c r="E942" s="667">
        <f>PACKAGING!E17</f>
        <v>7.5</v>
      </c>
      <c r="G942" s="658"/>
    </row>
    <row r="943" spans="1:7" x14ac:dyDescent="0.2">
      <c r="A943" s="666" t="s">
        <v>1634</v>
      </c>
      <c r="B943" s="660"/>
      <c r="C943" s="660"/>
      <c r="D943" s="661"/>
      <c r="E943" s="667">
        <f>PACKAGING!E7</f>
        <v>170</v>
      </c>
      <c r="G943" s="658"/>
    </row>
    <row r="944" spans="1:7" ht="15.75" x14ac:dyDescent="0.2">
      <c r="A944" s="683" t="s">
        <v>1618</v>
      </c>
      <c r="B944" s="660">
        <v>60</v>
      </c>
      <c r="C944" s="660">
        <v>20</v>
      </c>
      <c r="D944" s="668">
        <f>'INSUMOS VARIOS'!B24</f>
        <v>0.39</v>
      </c>
      <c r="E944" s="669">
        <f>D944*C944/B944</f>
        <v>0.13</v>
      </c>
      <c r="F944" s="1" t="s">
        <v>3023</v>
      </c>
    </row>
    <row r="945" spans="1:10" ht="16.5" thickBot="1" x14ac:dyDescent="0.3">
      <c r="A945" s="670" t="s">
        <v>525</v>
      </c>
      <c r="B945" s="671"/>
      <c r="C945" s="671"/>
      <c r="D945" s="672"/>
      <c r="E945" s="673">
        <f>SUM(E926:E944)</f>
        <v>9643.4495093795085</v>
      </c>
      <c r="F945" s="698">
        <f>(E945+G946+G947)</f>
        <v>13346.449509379509</v>
      </c>
      <c r="G945" s="658" t="s">
        <v>2028</v>
      </c>
      <c r="H945" s="674" t="s">
        <v>2029</v>
      </c>
      <c r="I945"/>
    </row>
    <row r="946" spans="1:10" ht="16.5" thickBot="1" x14ac:dyDescent="0.25">
      <c r="A946" s="675" t="s">
        <v>544</v>
      </c>
      <c r="B946" s="676"/>
      <c r="C946" s="676"/>
      <c r="D946" s="677"/>
      <c r="E946" s="692">
        <f>E945*2</f>
        <v>19286.899018759017</v>
      </c>
      <c r="F946" s="679">
        <f>E946+E946*70%</f>
        <v>32787.728331890328</v>
      </c>
      <c r="G946" s="680">
        <f>PACKAGING!I4</f>
        <v>2633</v>
      </c>
      <c r="H946" s="681">
        <f>F946+G946+G947</f>
        <v>36490.728331890328</v>
      </c>
      <c r="I946" s="1277">
        <v>46000</v>
      </c>
    </row>
    <row r="947" spans="1:10" ht="16.5" thickBot="1" x14ac:dyDescent="0.3">
      <c r="A947" s="684" t="s">
        <v>1559</v>
      </c>
      <c r="B947" s="685"/>
      <c r="C947" s="685"/>
      <c r="D947" s="686"/>
      <c r="E947" s="686"/>
      <c r="F947" s="688"/>
      <c r="G947" s="699">
        <f>PACKAGING!I6</f>
        <v>1070</v>
      </c>
      <c r="H947"/>
      <c r="I947" s="1279">
        <f>I946*70%</f>
        <v>32199.999999999996</v>
      </c>
      <c r="J947" s="653" t="s">
        <v>3687</v>
      </c>
    </row>
    <row r="949" spans="1:10" ht="15.75" thickBot="1" x14ac:dyDescent="0.25"/>
    <row r="950" spans="1:10" ht="16.5" thickBot="1" x14ac:dyDescent="0.25">
      <c r="A950" s="1716" t="s">
        <v>3813</v>
      </c>
      <c r="B950" s="1717"/>
      <c r="C950" s="1717"/>
      <c r="D950" s="1717"/>
      <c r="E950" s="1718"/>
    </row>
    <row r="951" spans="1:10" x14ac:dyDescent="0.2">
      <c r="A951" s="654" t="s">
        <v>916</v>
      </c>
      <c r="B951" s="655" t="s">
        <v>743</v>
      </c>
      <c r="C951" s="655" t="s">
        <v>1566</v>
      </c>
      <c r="D951" s="656" t="s">
        <v>1035</v>
      </c>
      <c r="E951" s="657" t="s">
        <v>1549</v>
      </c>
      <c r="F951" s="658"/>
    </row>
    <row r="952" spans="1:10" x14ac:dyDescent="0.2">
      <c r="A952" s="1749" t="s">
        <v>3719</v>
      </c>
      <c r="B952" s="660" t="s">
        <v>1022</v>
      </c>
      <c r="C952" s="660">
        <v>18</v>
      </c>
      <c r="D952" s="661">
        <f>PIEDRAS!F119</f>
        <v>95.238095238095241</v>
      </c>
      <c r="E952" s="662">
        <f t="shared" ref="E952:E959" si="30">D952*C952</f>
        <v>1714.2857142857142</v>
      </c>
      <c r="F952" s="658"/>
    </row>
    <row r="953" spans="1:10" x14ac:dyDescent="0.2">
      <c r="A953" s="1751"/>
      <c r="B953" s="660" t="s">
        <v>805</v>
      </c>
      <c r="C953" s="660">
        <v>9</v>
      </c>
      <c r="D953" s="661">
        <f>PIEDRAS!F121</f>
        <v>23.094594594594593</v>
      </c>
      <c r="E953" s="662">
        <f t="shared" si="30"/>
        <v>207.85135135135133</v>
      </c>
      <c r="F953" s="658"/>
    </row>
    <row r="954" spans="1:10" x14ac:dyDescent="0.2">
      <c r="A954" s="769" t="s">
        <v>3714</v>
      </c>
      <c r="B954" s="660"/>
      <c r="C954" s="660">
        <v>4</v>
      </c>
      <c r="D954" s="661">
        <f>PIEDRAS!F134</f>
        <v>280.43478260869563</v>
      </c>
      <c r="E954" s="662">
        <f t="shared" si="30"/>
        <v>1121.7391304347825</v>
      </c>
      <c r="F954" s="658"/>
    </row>
    <row r="955" spans="1:10" ht="15.75" customHeight="1" x14ac:dyDescent="0.2">
      <c r="A955" s="1762" t="s">
        <v>2002</v>
      </c>
      <c r="B955" s="660" t="s">
        <v>1022</v>
      </c>
      <c r="C955" s="660">
        <v>13</v>
      </c>
      <c r="D955" s="661">
        <f>VIDRIOS!E27</f>
        <v>23.611111111111111</v>
      </c>
      <c r="E955" s="662">
        <f t="shared" si="30"/>
        <v>306.94444444444446</v>
      </c>
      <c r="F955" s="658"/>
    </row>
    <row r="956" spans="1:10" x14ac:dyDescent="0.2">
      <c r="A956" s="1763"/>
      <c r="B956" s="660" t="s">
        <v>805</v>
      </c>
      <c r="C956" s="660">
        <v>4</v>
      </c>
      <c r="D956" s="661">
        <f>VIDRIOS!E30</f>
        <v>65</v>
      </c>
      <c r="E956" s="662">
        <f t="shared" si="30"/>
        <v>260</v>
      </c>
      <c r="F956" s="658"/>
    </row>
    <row r="957" spans="1:10" x14ac:dyDescent="0.2">
      <c r="A957" s="820" t="s">
        <v>1742</v>
      </c>
      <c r="B957" s="660" t="s">
        <v>3532</v>
      </c>
      <c r="C957" s="660">
        <v>5</v>
      </c>
      <c r="D957" s="661">
        <f>'PERLAS 2'!H23</f>
        <v>281.60000000000002</v>
      </c>
      <c r="E957" s="662">
        <f t="shared" si="30"/>
        <v>1408</v>
      </c>
      <c r="F957" s="658"/>
    </row>
    <row r="958" spans="1:10" x14ac:dyDescent="0.2">
      <c r="A958" s="820" t="s">
        <v>1554</v>
      </c>
      <c r="B958" s="660"/>
      <c r="C958" s="660">
        <v>2</v>
      </c>
      <c r="D958" s="661">
        <f>PLATEADO!F4</f>
        <v>81</v>
      </c>
      <c r="E958" s="662">
        <f t="shared" si="30"/>
        <v>162</v>
      </c>
      <c r="F958" s="658"/>
    </row>
    <row r="959" spans="1:10" x14ac:dyDescent="0.2">
      <c r="A959" s="666" t="s">
        <v>1424</v>
      </c>
      <c r="B959" s="660"/>
      <c r="C959" s="660">
        <v>0.4</v>
      </c>
      <c r="D959" s="661">
        <f>'HILOS-CORDONES-TANZA-CUERO'!L9</f>
        <v>30</v>
      </c>
      <c r="E959" s="662">
        <f t="shared" si="30"/>
        <v>12</v>
      </c>
      <c r="F959" s="658"/>
    </row>
    <row r="960" spans="1:10" x14ac:dyDescent="0.2">
      <c r="A960" s="666" t="s">
        <v>1608</v>
      </c>
      <c r="B960" s="660"/>
      <c r="C960" s="660">
        <v>0.1</v>
      </c>
      <c r="D960" s="661">
        <f>PLATEADO!F45</f>
        <v>4428</v>
      </c>
      <c r="E960" s="662">
        <f>C960*D960</f>
        <v>442.8</v>
      </c>
      <c r="F960" s="658"/>
    </row>
    <row r="961" spans="1:10" x14ac:dyDescent="0.2">
      <c r="A961" s="666" t="s">
        <v>3098</v>
      </c>
      <c r="B961" s="660"/>
      <c r="C961" s="660">
        <v>2</v>
      </c>
      <c r="D961" s="661">
        <f>FORNITURAS!D16</f>
        <v>45.05</v>
      </c>
      <c r="E961" s="662">
        <f>D961*C961</f>
        <v>90.1</v>
      </c>
      <c r="F961" s="658"/>
    </row>
    <row r="962" spans="1:10" x14ac:dyDescent="0.2">
      <c r="A962" s="666" t="s">
        <v>1971</v>
      </c>
      <c r="B962" s="660"/>
      <c r="C962" s="660">
        <v>3</v>
      </c>
      <c r="D962" s="661">
        <f>FORNITURAS!D5</f>
        <v>46.8</v>
      </c>
      <c r="E962" s="662">
        <f>D962*C962</f>
        <v>140.39999999999998</v>
      </c>
      <c r="F962" s="658"/>
    </row>
    <row r="963" spans="1:10" x14ac:dyDescent="0.2">
      <c r="A963" s="666" t="s">
        <v>3096</v>
      </c>
      <c r="B963" s="660"/>
      <c r="C963" s="660">
        <v>1</v>
      </c>
      <c r="D963" s="661">
        <f>PLATEADO!L23</f>
        <v>409</v>
      </c>
      <c r="E963" s="662">
        <f>C963*D963</f>
        <v>409</v>
      </c>
      <c r="F963" s="658"/>
    </row>
    <row r="964" spans="1:10" x14ac:dyDescent="0.2">
      <c r="A964" s="666" t="s">
        <v>1557</v>
      </c>
      <c r="B964" s="660"/>
      <c r="C964" s="660"/>
      <c r="D964" s="661"/>
      <c r="E964" s="667">
        <f>PACKAGING!E4</f>
        <v>80</v>
      </c>
      <c r="G964" s="658"/>
    </row>
    <row r="965" spans="1:10" x14ac:dyDescent="0.2">
      <c r="A965" s="666" t="s">
        <v>3362</v>
      </c>
      <c r="B965" s="660"/>
      <c r="C965" s="660"/>
      <c r="D965" s="661"/>
      <c r="E965" s="667">
        <f>PACKAGING!E17</f>
        <v>7.5</v>
      </c>
      <c r="G965" s="658"/>
    </row>
    <row r="966" spans="1:10" x14ac:dyDescent="0.2">
      <c r="A966" s="666" t="s">
        <v>1634</v>
      </c>
      <c r="B966" s="660"/>
      <c r="C966" s="660"/>
      <c r="D966" s="661"/>
      <c r="E966" s="667">
        <f>PACKAGING!E7</f>
        <v>170</v>
      </c>
      <c r="G966" s="658"/>
    </row>
    <row r="967" spans="1:10" ht="15.75" x14ac:dyDescent="0.2">
      <c r="A967" s="683" t="s">
        <v>1618</v>
      </c>
      <c r="B967" s="660">
        <v>60</v>
      </c>
      <c r="C967" s="660">
        <v>30</v>
      </c>
      <c r="D967" s="668">
        <f>'INSUMOS VARIOS'!B3</f>
        <v>3500</v>
      </c>
      <c r="E967" s="669">
        <f>D967*C967/B967</f>
        <v>1750</v>
      </c>
      <c r="F967" s="1" t="s">
        <v>3023</v>
      </c>
    </row>
    <row r="968" spans="1:10" ht="16.5" thickBot="1" x14ac:dyDescent="0.3">
      <c r="A968" s="670" t="s">
        <v>525</v>
      </c>
      <c r="B968" s="671"/>
      <c r="C968" s="671"/>
      <c r="D968" s="672"/>
      <c r="E968" s="673">
        <f>SUM(E952:E967)</f>
        <v>8282.620640516292</v>
      </c>
      <c r="F968" s="698">
        <f>(E968+G969+G970)</f>
        <v>11560.620640516292</v>
      </c>
      <c r="G968" s="658" t="s">
        <v>2028</v>
      </c>
      <c r="H968" s="674" t="s">
        <v>2029</v>
      </c>
      <c r="I968"/>
    </row>
    <row r="969" spans="1:10" ht="16.5" thickBot="1" x14ac:dyDescent="0.25">
      <c r="A969" s="675" t="s">
        <v>544</v>
      </c>
      <c r="B969" s="676"/>
      <c r="C969" s="676"/>
      <c r="D969" s="677"/>
      <c r="E969" s="692">
        <f>E968*2</f>
        <v>16565.241281032584</v>
      </c>
      <c r="F969" s="679">
        <f>E969+E969*70%</f>
        <v>28160.910177755391</v>
      </c>
      <c r="G969" s="680">
        <f>PACKAGING!I3</f>
        <v>2433</v>
      </c>
      <c r="H969" s="681">
        <f>F969+G969+G970</f>
        <v>31438.910177755391</v>
      </c>
      <c r="I969" s="1277">
        <v>38000</v>
      </c>
    </row>
    <row r="970" spans="1:10" ht="16.5" thickBot="1" x14ac:dyDescent="0.3">
      <c r="A970" s="684" t="s">
        <v>1559</v>
      </c>
      <c r="B970" s="685"/>
      <c r="C970" s="685"/>
      <c r="D970" s="686"/>
      <c r="E970" s="686"/>
      <c r="F970" s="688"/>
      <c r="G970" s="699">
        <f>PACKAGING!I5</f>
        <v>845</v>
      </c>
      <c r="H970"/>
      <c r="I970" s="1279">
        <f>I969*70%</f>
        <v>26600</v>
      </c>
      <c r="J970" s="653" t="s">
        <v>3687</v>
      </c>
    </row>
    <row r="971" spans="1:10" ht="15.75" thickBot="1" x14ac:dyDescent="0.25"/>
    <row r="972" spans="1:10" ht="16.5" thickBot="1" x14ac:dyDescent="0.25">
      <c r="A972" s="1716" t="s">
        <v>3806</v>
      </c>
      <c r="B972" s="1717"/>
      <c r="C972" s="1717"/>
      <c r="D972" s="1717"/>
      <c r="E972" s="1718"/>
    </row>
    <row r="973" spans="1:10" x14ac:dyDescent="0.2">
      <c r="A973" s="654" t="s">
        <v>916</v>
      </c>
      <c r="B973" s="655" t="s">
        <v>743</v>
      </c>
      <c r="C973" s="655" t="s">
        <v>1566</v>
      </c>
      <c r="D973" s="656" t="s">
        <v>1035</v>
      </c>
      <c r="E973" s="657" t="s">
        <v>1549</v>
      </c>
      <c r="F973" s="658"/>
    </row>
    <row r="974" spans="1:10" x14ac:dyDescent="0.2">
      <c r="A974" s="1289" t="s">
        <v>3720</v>
      </c>
      <c r="B974" s="660">
        <v>0.41</v>
      </c>
      <c r="C974" s="660">
        <v>0.37</v>
      </c>
      <c r="D974" s="661">
        <f>'PERLAS 2'!N26</f>
        <v>1370</v>
      </c>
      <c r="E974" s="662">
        <f>D974*C974/B974</f>
        <v>1236.3414634146341</v>
      </c>
      <c r="F974" s="658"/>
    </row>
    <row r="975" spans="1:10" x14ac:dyDescent="0.2">
      <c r="A975" s="1287" t="s">
        <v>2049</v>
      </c>
      <c r="B975" s="660" t="s">
        <v>777</v>
      </c>
      <c r="C975" s="660">
        <v>7</v>
      </c>
      <c r="D975" s="661">
        <f>PLATEADO!F4</f>
        <v>81</v>
      </c>
      <c r="E975" s="662">
        <f>D975*C975</f>
        <v>567</v>
      </c>
      <c r="F975" s="658"/>
    </row>
    <row r="976" spans="1:10" x14ac:dyDescent="0.2">
      <c r="A976" s="666" t="s">
        <v>1424</v>
      </c>
      <c r="B976" s="660"/>
      <c r="C976" s="660">
        <v>0.4</v>
      </c>
      <c r="D976" s="661">
        <f>'HILOS-CORDONES-TANZA-CUERO'!L9</f>
        <v>30</v>
      </c>
      <c r="E976" s="662">
        <f>D976*C976</f>
        <v>12</v>
      </c>
      <c r="F976" s="658"/>
    </row>
    <row r="977" spans="1:8" x14ac:dyDescent="0.2">
      <c r="A977" s="666" t="s">
        <v>1608</v>
      </c>
      <c r="B977" s="660"/>
      <c r="C977" s="660">
        <v>0.1</v>
      </c>
      <c r="D977" s="661">
        <f>PLATEADO!F45</f>
        <v>4428</v>
      </c>
      <c r="E977" s="662">
        <f>C977*D977</f>
        <v>442.8</v>
      </c>
      <c r="F977" s="658"/>
    </row>
    <row r="978" spans="1:8" x14ac:dyDescent="0.2">
      <c r="A978" s="666" t="s">
        <v>3098</v>
      </c>
      <c r="B978" s="660"/>
      <c r="C978" s="660">
        <v>2</v>
      </c>
      <c r="D978" s="661">
        <f>FORNITURAS!D16</f>
        <v>45.05</v>
      </c>
      <c r="E978" s="662">
        <f>D978*C978</f>
        <v>90.1</v>
      </c>
      <c r="F978" s="658"/>
    </row>
    <row r="979" spans="1:8" x14ac:dyDescent="0.2">
      <c r="A979" s="666" t="s">
        <v>1971</v>
      </c>
      <c r="B979" s="660"/>
      <c r="C979" s="660">
        <v>3</v>
      </c>
      <c r="D979" s="661" t="e">
        <f>FORNITURAS!#REF!</f>
        <v>#REF!</v>
      </c>
      <c r="E979" s="662" t="e">
        <f>D979*C979</f>
        <v>#REF!</v>
      </c>
      <c r="F979" s="658"/>
    </row>
    <row r="980" spans="1:8" x14ac:dyDescent="0.2">
      <c r="A980" s="666" t="s">
        <v>3096</v>
      </c>
      <c r="B980" s="660"/>
      <c r="C980" s="660">
        <v>1</v>
      </c>
      <c r="D980" s="661">
        <f>PLATEADO!L23</f>
        <v>409</v>
      </c>
      <c r="E980" s="662">
        <f>C980*D980</f>
        <v>409</v>
      </c>
      <c r="F980" s="658"/>
    </row>
    <row r="981" spans="1:8" x14ac:dyDescent="0.2">
      <c r="A981" s="666" t="s">
        <v>1557</v>
      </c>
      <c r="B981" s="660"/>
      <c r="C981" s="660"/>
      <c r="D981" s="661"/>
      <c r="E981" s="667">
        <f>PACKAGING!E4</f>
        <v>80</v>
      </c>
      <c r="G981" s="658"/>
    </row>
    <row r="982" spans="1:8" x14ac:dyDescent="0.2">
      <c r="A982" s="666" t="s">
        <v>3362</v>
      </c>
      <c r="B982" s="660"/>
      <c r="C982" s="660"/>
      <c r="D982" s="661"/>
      <c r="E982" s="667">
        <f>PACKAGING!E17</f>
        <v>7.5</v>
      </c>
      <c r="G982" s="658"/>
    </row>
    <row r="983" spans="1:8" x14ac:dyDescent="0.2">
      <c r="A983" s="666" t="s">
        <v>3568</v>
      </c>
      <c r="B983" s="660"/>
      <c r="C983" s="660"/>
      <c r="D983" s="661"/>
      <c r="E983" s="667">
        <f>PACKAGING!I5</f>
        <v>845</v>
      </c>
      <c r="G983" s="658"/>
    </row>
    <row r="984" spans="1:8" x14ac:dyDescent="0.2">
      <c r="A984" s="666" t="s">
        <v>1634</v>
      </c>
      <c r="B984" s="660"/>
      <c r="C984" s="660"/>
      <c r="D984" s="661"/>
      <c r="E984" s="667">
        <f>PACKAGING!E7</f>
        <v>170</v>
      </c>
      <c r="G984" s="658"/>
    </row>
    <row r="985" spans="1:8" ht="15.75" x14ac:dyDescent="0.2">
      <c r="A985" s="683" t="s">
        <v>1618</v>
      </c>
      <c r="B985" s="660">
        <v>60</v>
      </c>
      <c r="C985" s="660">
        <v>30</v>
      </c>
      <c r="D985" s="668">
        <f>'INSUMOS VARIOS'!B3</f>
        <v>3500</v>
      </c>
      <c r="E985" s="669">
        <f>D985*C985/B985</f>
        <v>1750</v>
      </c>
      <c r="F985" s="1"/>
    </row>
    <row r="986" spans="1:8" ht="15.75" thickBot="1" x14ac:dyDescent="0.25">
      <c r="A986" s="670" t="s">
        <v>525</v>
      </c>
      <c r="B986" s="671"/>
      <c r="C986" s="671"/>
      <c r="D986" s="672"/>
      <c r="E986" s="673" t="e">
        <f>SUM(E974:E985)</f>
        <v>#REF!</v>
      </c>
      <c r="F986" s="698"/>
      <c r="G986" s="658"/>
    </row>
    <row r="987" spans="1:8" ht="16.5" thickBot="1" x14ac:dyDescent="0.25">
      <c r="A987" s="675" t="s">
        <v>544</v>
      </c>
      <c r="B987" s="676"/>
      <c r="C987" s="676"/>
      <c r="D987" s="677"/>
      <c r="E987" s="692" t="e">
        <f>E986*2</f>
        <v>#REF!</v>
      </c>
      <c r="F987" s="679" t="e">
        <f>E987+E987*50%</f>
        <v>#REF!</v>
      </c>
      <c r="G987" s="1275">
        <v>16000</v>
      </c>
      <c r="H987" s="653" t="s">
        <v>3687</v>
      </c>
    </row>
    <row r="988" spans="1:8" ht="16.5" thickBot="1" x14ac:dyDescent="0.25">
      <c r="A988" s="684" t="s">
        <v>1559</v>
      </c>
      <c r="B988" s="685"/>
      <c r="C988" s="685"/>
      <c r="D988" s="686"/>
      <c r="E988" s="686"/>
      <c r="F988" s="688"/>
      <c r="G988" s="702">
        <f>G987*2</f>
        <v>32000</v>
      </c>
    </row>
    <row r="989" spans="1:8" ht="15.75" thickBot="1" x14ac:dyDescent="0.25"/>
    <row r="990" spans="1:8" ht="16.5" thickBot="1" x14ac:dyDescent="0.25">
      <c r="A990" s="1716" t="s">
        <v>3808</v>
      </c>
      <c r="B990" s="1717"/>
      <c r="C990" s="1717"/>
      <c r="D990" s="1717"/>
      <c r="E990" s="1718"/>
    </row>
    <row r="991" spans="1:8" x14ac:dyDescent="0.2">
      <c r="A991" s="654" t="s">
        <v>916</v>
      </c>
      <c r="B991" s="655" t="s">
        <v>743</v>
      </c>
      <c r="C991" s="655" t="s">
        <v>1566</v>
      </c>
      <c r="D991" s="656" t="s">
        <v>1035</v>
      </c>
      <c r="E991" s="657" t="s">
        <v>1549</v>
      </c>
      <c r="F991" s="658"/>
    </row>
    <row r="992" spans="1:8" x14ac:dyDescent="0.2">
      <c r="A992" s="1289" t="s">
        <v>3722</v>
      </c>
      <c r="B992" s="660">
        <v>0.48</v>
      </c>
      <c r="C992" s="660">
        <v>0.37</v>
      </c>
      <c r="D992" s="661">
        <f>'PERLAS 2'!N25</f>
        <v>2600</v>
      </c>
      <c r="E992" s="662">
        <f>D992*C992/B992</f>
        <v>2004.1666666666667</v>
      </c>
      <c r="F992" s="658"/>
    </row>
    <row r="993" spans="1:8" x14ac:dyDescent="0.2">
      <c r="A993" s="1287" t="s">
        <v>1554</v>
      </c>
      <c r="B993" s="660" t="s">
        <v>777</v>
      </c>
      <c r="C993" s="660">
        <v>2</v>
      </c>
      <c r="D993" s="661">
        <f>PLATEADO!F4</f>
        <v>81</v>
      </c>
      <c r="E993" s="662">
        <f>D993*C993</f>
        <v>162</v>
      </c>
      <c r="F993" s="658"/>
    </row>
    <row r="994" spans="1:8" x14ac:dyDescent="0.2">
      <c r="A994" s="666" t="s">
        <v>1424</v>
      </c>
      <c r="B994" s="660"/>
      <c r="C994" s="660">
        <v>0.4</v>
      </c>
      <c r="D994" s="661">
        <f>'HILOS-CORDONES-TANZA-CUERO'!L9</f>
        <v>30</v>
      </c>
      <c r="E994" s="662">
        <f>D994*C994</f>
        <v>12</v>
      </c>
      <c r="F994" s="658"/>
    </row>
    <row r="995" spans="1:8" x14ac:dyDescent="0.2">
      <c r="A995" s="666" t="s">
        <v>1608</v>
      </c>
      <c r="B995" s="660"/>
      <c r="C995" s="660">
        <v>0.1</v>
      </c>
      <c r="D995" s="661">
        <f>PLATEADO!F45</f>
        <v>4428</v>
      </c>
      <c r="E995" s="662">
        <f>C995*D995</f>
        <v>442.8</v>
      </c>
      <c r="F995" s="658"/>
    </row>
    <row r="996" spans="1:8" x14ac:dyDescent="0.2">
      <c r="A996" s="666" t="s">
        <v>3098</v>
      </c>
      <c r="B996" s="660"/>
      <c r="C996" s="660">
        <v>2</v>
      </c>
      <c r="D996" s="661">
        <f>FORNITURAS!D16</f>
        <v>45.05</v>
      </c>
      <c r="E996" s="662">
        <f>D996*C996</f>
        <v>90.1</v>
      </c>
      <c r="F996" s="658"/>
    </row>
    <row r="997" spans="1:8" x14ac:dyDescent="0.2">
      <c r="A997" s="666" t="s">
        <v>1971</v>
      </c>
      <c r="B997" s="660"/>
      <c r="C997" s="660">
        <v>3</v>
      </c>
      <c r="D997" s="661">
        <f>FORNITURAS!D6</f>
        <v>131.81818181818181</v>
      </c>
      <c r="E997" s="662">
        <f>D997*C997</f>
        <v>395.45454545454544</v>
      </c>
      <c r="F997" s="658"/>
    </row>
    <row r="998" spans="1:8" x14ac:dyDescent="0.2">
      <c r="A998" s="666" t="s">
        <v>3096</v>
      </c>
      <c r="B998" s="660"/>
      <c r="C998" s="660">
        <v>1</v>
      </c>
      <c r="D998" s="661">
        <f>PLATEADO!L23</f>
        <v>409</v>
      </c>
      <c r="E998" s="662">
        <f>C998*D998</f>
        <v>409</v>
      </c>
      <c r="F998" s="658"/>
    </row>
    <row r="999" spans="1:8" x14ac:dyDescent="0.2">
      <c r="A999" s="666" t="s">
        <v>1557</v>
      </c>
      <c r="B999" s="660"/>
      <c r="C999" s="660"/>
      <c r="D999" s="661"/>
      <c r="E999" s="667">
        <f>PACKAGING!E4</f>
        <v>80</v>
      </c>
      <c r="G999" s="658"/>
    </row>
    <row r="1000" spans="1:8" x14ac:dyDescent="0.2">
      <c r="A1000" s="666" t="s">
        <v>3362</v>
      </c>
      <c r="B1000" s="660"/>
      <c r="C1000" s="660"/>
      <c r="D1000" s="661"/>
      <c r="E1000" s="667">
        <f>PACKAGING!E17</f>
        <v>7.5</v>
      </c>
      <c r="G1000" s="658"/>
    </row>
    <row r="1001" spans="1:8" x14ac:dyDescent="0.2">
      <c r="A1001" s="666" t="s">
        <v>3568</v>
      </c>
      <c r="B1001" s="660"/>
      <c r="C1001" s="660"/>
      <c r="D1001" s="661"/>
      <c r="E1001" s="667">
        <f>PACKAGING!I5</f>
        <v>845</v>
      </c>
      <c r="G1001" s="658"/>
    </row>
    <row r="1002" spans="1:8" x14ac:dyDescent="0.2">
      <c r="A1002" s="666" t="s">
        <v>1634</v>
      </c>
      <c r="B1002" s="660"/>
      <c r="C1002" s="660"/>
      <c r="D1002" s="661"/>
      <c r="E1002" s="667">
        <f>PACKAGING!E7</f>
        <v>170</v>
      </c>
      <c r="G1002" s="658"/>
    </row>
    <row r="1003" spans="1:8" ht="15.75" x14ac:dyDescent="0.2">
      <c r="A1003" s="683" t="s">
        <v>1618</v>
      </c>
      <c r="B1003" s="660">
        <v>60</v>
      </c>
      <c r="C1003" s="660">
        <v>30</v>
      </c>
      <c r="D1003" s="668">
        <f>'INSUMOS VARIOS'!B3</f>
        <v>3500</v>
      </c>
      <c r="E1003" s="669">
        <f>D1003*C1003/B1003</f>
        <v>1750</v>
      </c>
      <c r="F1003" s="1"/>
    </row>
    <row r="1004" spans="1:8" ht="15.75" thickBot="1" x14ac:dyDescent="0.25">
      <c r="A1004" s="670" t="s">
        <v>525</v>
      </c>
      <c r="B1004" s="671"/>
      <c r="C1004" s="671"/>
      <c r="D1004" s="672"/>
      <c r="E1004" s="673">
        <f>SUM(E992:E1003)</f>
        <v>6368.0212121212126</v>
      </c>
      <c r="F1004" s="698"/>
      <c r="G1004" s="658"/>
    </row>
    <row r="1005" spans="1:8" ht="16.5" thickBot="1" x14ac:dyDescent="0.25">
      <c r="A1005" s="675" t="s">
        <v>544</v>
      </c>
      <c r="B1005" s="676"/>
      <c r="C1005" s="676"/>
      <c r="D1005" s="677"/>
      <c r="E1005" s="692">
        <f>E1004*2</f>
        <v>12736.042424242425</v>
      </c>
      <c r="F1005" s="679">
        <f>E1005+E1005*50%</f>
        <v>19104.063636363637</v>
      </c>
      <c r="G1005" s="1275">
        <v>20000</v>
      </c>
      <c r="H1005" s="653" t="s">
        <v>3687</v>
      </c>
    </row>
    <row r="1006" spans="1:8" ht="16.5" thickBot="1" x14ac:dyDescent="0.25">
      <c r="A1006" s="684" t="s">
        <v>1559</v>
      </c>
      <c r="B1006" s="685"/>
      <c r="C1006" s="685"/>
      <c r="D1006" s="686"/>
      <c r="E1006" s="686"/>
      <c r="F1006" s="688"/>
      <c r="G1006" s="702">
        <f>G1005*2</f>
        <v>40000</v>
      </c>
    </row>
    <row r="1007" spans="1:8" ht="15.75" thickBot="1" x14ac:dyDescent="0.25"/>
    <row r="1008" spans="1:8" ht="16.5" thickBot="1" x14ac:dyDescent="0.25">
      <c r="A1008" s="1716" t="s">
        <v>3811</v>
      </c>
      <c r="B1008" s="1717"/>
      <c r="C1008" s="1717"/>
      <c r="D1008" s="1717"/>
      <c r="E1008" s="1718"/>
    </row>
    <row r="1009" spans="1:8" x14ac:dyDescent="0.2">
      <c r="A1009" s="654" t="s">
        <v>916</v>
      </c>
      <c r="B1009" s="655" t="s">
        <v>743</v>
      </c>
      <c r="C1009" s="655" t="s">
        <v>1566</v>
      </c>
      <c r="D1009" s="656" t="s">
        <v>1035</v>
      </c>
      <c r="E1009" s="657" t="s">
        <v>1549</v>
      </c>
      <c r="F1009" s="658"/>
    </row>
    <row r="1010" spans="1:8" x14ac:dyDescent="0.2">
      <c r="A1010" s="1289" t="s">
        <v>3404</v>
      </c>
      <c r="B1010" s="660"/>
      <c r="C1010" s="660">
        <v>82</v>
      </c>
      <c r="D1010" s="661">
        <f>PIEDRAS!F77</f>
        <v>57.5</v>
      </c>
      <c r="E1010" s="662">
        <f>D1010*C1010</f>
        <v>4715</v>
      </c>
      <c r="F1010" s="658"/>
    </row>
    <row r="1011" spans="1:8" x14ac:dyDescent="0.2">
      <c r="A1011" s="1287" t="s">
        <v>3723</v>
      </c>
      <c r="B1011" s="660"/>
      <c r="C1011" s="660">
        <v>1</v>
      </c>
      <c r="D1011" s="661">
        <f>'INSUMOS VARIOS'!K27</f>
        <v>1800</v>
      </c>
      <c r="E1011" s="662">
        <f>D1011*C1011</f>
        <v>1800</v>
      </c>
      <c r="F1011" s="658"/>
    </row>
    <row r="1012" spans="1:8" x14ac:dyDescent="0.2">
      <c r="A1012" s="1287" t="s">
        <v>1554</v>
      </c>
      <c r="B1012" s="660" t="s">
        <v>777</v>
      </c>
      <c r="C1012" s="660">
        <v>2</v>
      </c>
      <c r="D1012" s="661">
        <f>PLATEADO!F4</f>
        <v>81</v>
      </c>
      <c r="E1012" s="662">
        <f>D1012*C1012</f>
        <v>162</v>
      </c>
      <c r="F1012" s="658"/>
    </row>
    <row r="1013" spans="1:8" x14ac:dyDescent="0.2">
      <c r="A1013" s="666" t="s">
        <v>3724</v>
      </c>
      <c r="B1013" s="660"/>
      <c r="C1013" s="660">
        <v>1.4</v>
      </c>
      <c r="D1013" s="661">
        <f>'HILOS-CORDONES-TANZA-CUERO'!E26</f>
        <v>33.333333333333336</v>
      </c>
      <c r="E1013" s="662">
        <f>D1013*C1013</f>
        <v>46.666666666666664</v>
      </c>
      <c r="F1013" s="658"/>
    </row>
    <row r="1014" spans="1:8" x14ac:dyDescent="0.2">
      <c r="A1014" s="666" t="s">
        <v>1608</v>
      </c>
      <c r="B1014" s="660"/>
      <c r="C1014" s="660">
        <v>0.1</v>
      </c>
      <c r="D1014" s="661">
        <f>PLATEADO!F45</f>
        <v>4428</v>
      </c>
      <c r="E1014" s="662">
        <f>C1014*D1014</f>
        <v>442.8</v>
      </c>
      <c r="F1014" s="658"/>
    </row>
    <row r="1015" spans="1:8" x14ac:dyDescent="0.2">
      <c r="A1015" s="666" t="s">
        <v>1971</v>
      </c>
      <c r="B1015" s="660"/>
      <c r="C1015" s="660">
        <v>3</v>
      </c>
      <c r="D1015" s="661">
        <f>FORNITURAS!D6</f>
        <v>131.81818181818181</v>
      </c>
      <c r="E1015" s="662">
        <f>D1015*C1015</f>
        <v>395.45454545454544</v>
      </c>
      <c r="F1015" s="658"/>
    </row>
    <row r="1016" spans="1:8" x14ac:dyDescent="0.2">
      <c r="A1016" s="666" t="s">
        <v>3096</v>
      </c>
      <c r="B1016" s="660"/>
      <c r="C1016" s="660">
        <v>1</v>
      </c>
      <c r="D1016" s="661">
        <f>PLATEADO!L23</f>
        <v>409</v>
      </c>
      <c r="E1016" s="662">
        <f>C1016*D1016</f>
        <v>409</v>
      </c>
      <c r="F1016" s="658"/>
    </row>
    <row r="1017" spans="1:8" x14ac:dyDescent="0.2">
      <c r="A1017" s="666" t="s">
        <v>1557</v>
      </c>
      <c r="B1017" s="660"/>
      <c r="C1017" s="660"/>
      <c r="D1017" s="661"/>
      <c r="E1017" s="667">
        <f>PACKAGING!E4</f>
        <v>80</v>
      </c>
      <c r="G1017" s="658"/>
    </row>
    <row r="1018" spans="1:8" x14ac:dyDescent="0.2">
      <c r="A1018" s="666" t="s">
        <v>3362</v>
      </c>
      <c r="B1018" s="660"/>
      <c r="C1018" s="660"/>
      <c r="D1018" s="661"/>
      <c r="E1018" s="667">
        <f>PACKAGING!E17</f>
        <v>7.5</v>
      </c>
      <c r="G1018" s="658"/>
    </row>
    <row r="1019" spans="1:8" x14ac:dyDescent="0.2">
      <c r="A1019" s="666" t="s">
        <v>3568</v>
      </c>
      <c r="B1019" s="660"/>
      <c r="C1019" s="660"/>
      <c r="D1019" s="661"/>
      <c r="E1019" s="667">
        <f>PACKAGING!I5</f>
        <v>845</v>
      </c>
      <c r="G1019" s="658"/>
    </row>
    <row r="1020" spans="1:8" x14ac:dyDescent="0.2">
      <c r="A1020" s="666" t="s">
        <v>1634</v>
      </c>
      <c r="B1020" s="660"/>
      <c r="C1020" s="660"/>
      <c r="D1020" s="661"/>
      <c r="E1020" s="667">
        <f>PACKAGING!E7</f>
        <v>170</v>
      </c>
      <c r="G1020" s="658"/>
    </row>
    <row r="1021" spans="1:8" ht="15.75" x14ac:dyDescent="0.2">
      <c r="A1021" s="683" t="s">
        <v>1618</v>
      </c>
      <c r="B1021" s="660">
        <v>60</v>
      </c>
      <c r="C1021" s="660">
        <v>30</v>
      </c>
      <c r="D1021" s="668">
        <f>'INSUMOS VARIOS'!B3</f>
        <v>3500</v>
      </c>
      <c r="E1021" s="669">
        <f>D1021*C1021/B1021</f>
        <v>1750</v>
      </c>
      <c r="F1021" s="1"/>
    </row>
    <row r="1022" spans="1:8" ht="15.75" thickBot="1" x14ac:dyDescent="0.25">
      <c r="A1022" s="670" t="s">
        <v>525</v>
      </c>
      <c r="B1022" s="671"/>
      <c r="C1022" s="671"/>
      <c r="D1022" s="672"/>
      <c r="E1022" s="673">
        <f>SUM(E1010:E1021)</f>
        <v>10823.421212121211</v>
      </c>
      <c r="F1022" s="698"/>
      <c r="G1022" s="658"/>
    </row>
    <row r="1023" spans="1:8" ht="16.5" thickBot="1" x14ac:dyDescent="0.25">
      <c r="A1023" s="675" t="s">
        <v>544</v>
      </c>
      <c r="B1023" s="676"/>
      <c r="C1023" s="676"/>
      <c r="D1023" s="677"/>
      <c r="E1023" s="692">
        <f>E1022*2</f>
        <v>21646.842424242423</v>
      </c>
      <c r="F1023" s="679">
        <f>E1023+E1023*70%</f>
        <v>36799.632121212118</v>
      </c>
      <c r="G1023" s="702">
        <v>34000</v>
      </c>
    </row>
    <row r="1024" spans="1:8" ht="16.5" thickBot="1" x14ac:dyDescent="0.25">
      <c r="A1024" s="684" t="s">
        <v>1559</v>
      </c>
      <c r="B1024" s="685"/>
      <c r="C1024" s="685"/>
      <c r="D1024" s="686"/>
      <c r="E1024" s="686"/>
      <c r="F1024" s="688"/>
      <c r="G1024" s="1275">
        <f>G1023*60%</f>
        <v>20400</v>
      </c>
      <c r="H1024" s="653" t="s">
        <v>3687</v>
      </c>
    </row>
    <row r="1025" spans="1:7" ht="15.75" thickBot="1" x14ac:dyDescent="0.25"/>
    <row r="1026" spans="1:7" ht="16.5" thickBot="1" x14ac:dyDescent="0.25">
      <c r="A1026" s="1716" t="s">
        <v>3799</v>
      </c>
      <c r="B1026" s="1717"/>
      <c r="C1026" s="1717"/>
      <c r="D1026" s="1717"/>
      <c r="E1026" s="1717"/>
      <c r="F1026" s="1294"/>
    </row>
    <row r="1027" spans="1:7" x14ac:dyDescent="0.2">
      <c r="A1027" s="654" t="s">
        <v>916</v>
      </c>
      <c r="B1027" s="655" t="s">
        <v>743</v>
      </c>
      <c r="C1027" s="655" t="s">
        <v>1566</v>
      </c>
      <c r="D1027" s="656" t="s">
        <v>1035</v>
      </c>
      <c r="E1027" s="657" t="s">
        <v>1549</v>
      </c>
      <c r="F1027" s="658"/>
    </row>
    <row r="1028" spans="1:7" x14ac:dyDescent="0.2">
      <c r="A1028" s="659" t="s">
        <v>1585</v>
      </c>
      <c r="B1028" s="660"/>
      <c r="C1028" s="660">
        <v>61</v>
      </c>
      <c r="D1028" s="661">
        <f>'PALAIS DU BIJOU'!O18</f>
        <v>2.625</v>
      </c>
      <c r="E1028" s="662">
        <f>D1028*C1028</f>
        <v>160.125</v>
      </c>
      <c r="F1028" s="658"/>
    </row>
    <row r="1029" spans="1:7" x14ac:dyDescent="0.2">
      <c r="A1029" s="769" t="s">
        <v>3509</v>
      </c>
      <c r="B1029" s="660"/>
      <c r="C1029" s="660">
        <v>60</v>
      </c>
      <c r="D1029" s="661">
        <f>PIEDRAS!F25</f>
        <v>102.05882352941177</v>
      </c>
      <c r="E1029" s="662">
        <f>D1029*C1029</f>
        <v>6123.5294117647063</v>
      </c>
      <c r="F1029" s="658"/>
    </row>
    <row r="1030" spans="1:7" x14ac:dyDescent="0.2">
      <c r="A1030" s="1736" t="s">
        <v>1572</v>
      </c>
      <c r="B1030" s="660" t="s">
        <v>1556</v>
      </c>
      <c r="C1030" s="660">
        <v>2</v>
      </c>
      <c r="D1030" s="661">
        <f>FORNITURAS!D4</f>
        <v>48.7</v>
      </c>
      <c r="E1030" s="662">
        <f>D1030*C1030</f>
        <v>97.4</v>
      </c>
      <c r="F1030" s="658"/>
    </row>
    <row r="1031" spans="1:7" x14ac:dyDescent="0.2">
      <c r="A1031" s="1737"/>
      <c r="B1031" s="660" t="s">
        <v>1573</v>
      </c>
      <c r="C1031" s="660">
        <v>1</v>
      </c>
      <c r="D1031" s="661">
        <f>FORNITURAS!D7</f>
        <v>52</v>
      </c>
      <c r="E1031" s="662">
        <f>D1031*C1031</f>
        <v>52</v>
      </c>
      <c r="F1031" s="658"/>
    </row>
    <row r="1032" spans="1:7" x14ac:dyDescent="0.2">
      <c r="A1032" s="666" t="s">
        <v>1424</v>
      </c>
      <c r="B1032" s="660"/>
      <c r="C1032" s="660">
        <v>0.4</v>
      </c>
      <c r="D1032" s="661">
        <f>'HILOS-CORDONES-TANZA-CUERO'!L9</f>
        <v>30</v>
      </c>
      <c r="E1032" s="662">
        <f>D1032*C1032</f>
        <v>12</v>
      </c>
      <c r="F1032" s="658"/>
    </row>
    <row r="1033" spans="1:7" x14ac:dyDescent="0.2">
      <c r="A1033" s="666" t="s">
        <v>1608</v>
      </c>
      <c r="B1033" s="660"/>
      <c r="C1033" s="660">
        <v>0.1</v>
      </c>
      <c r="D1033" s="661">
        <f>'AROS, CADENAS, DIJES, ETC'!I38</f>
        <v>3630</v>
      </c>
      <c r="E1033" s="662">
        <f>C1033*D1033</f>
        <v>363</v>
      </c>
      <c r="F1033" s="658"/>
    </row>
    <row r="1034" spans="1:7" x14ac:dyDescent="0.2">
      <c r="A1034" s="666" t="s">
        <v>1554</v>
      </c>
      <c r="B1034" s="660"/>
      <c r="C1034" s="660">
        <v>2</v>
      </c>
      <c r="D1034" s="661">
        <f>FORNITURAS!D24</f>
        <v>34.666666666666664</v>
      </c>
      <c r="E1034" s="662">
        <f>D1034*C1034</f>
        <v>69.333333333333329</v>
      </c>
      <c r="F1034" s="658"/>
    </row>
    <row r="1035" spans="1:7" x14ac:dyDescent="0.2">
      <c r="A1035" s="666" t="s">
        <v>1012</v>
      </c>
      <c r="B1035" s="660"/>
      <c r="C1035" s="660">
        <v>2</v>
      </c>
      <c r="D1035" s="661">
        <f>FORNITURAS!D16</f>
        <v>45.05</v>
      </c>
      <c r="E1035" s="662">
        <f>D1035*C1035</f>
        <v>90.1</v>
      </c>
      <c r="F1035" s="658"/>
    </row>
    <row r="1036" spans="1:7" x14ac:dyDescent="0.2">
      <c r="A1036" s="666" t="s">
        <v>1587</v>
      </c>
      <c r="B1036" s="660"/>
      <c r="C1036" s="660">
        <v>1</v>
      </c>
      <c r="D1036" s="661">
        <f>FORNITURAS!D18</f>
        <v>363</v>
      </c>
      <c r="E1036" s="662">
        <f>C1036*D1036</f>
        <v>363</v>
      </c>
      <c r="F1036" s="658"/>
    </row>
    <row r="1037" spans="1:7" x14ac:dyDescent="0.2">
      <c r="A1037" s="666" t="s">
        <v>1557</v>
      </c>
      <c r="B1037" s="660"/>
      <c r="C1037" s="660"/>
      <c r="D1037" s="661"/>
      <c r="E1037" s="667">
        <f>PACKAGING!E4</f>
        <v>80</v>
      </c>
      <c r="G1037" s="658"/>
    </row>
    <row r="1038" spans="1:7" x14ac:dyDescent="0.2">
      <c r="A1038" s="666" t="s">
        <v>3362</v>
      </c>
      <c r="B1038" s="660"/>
      <c r="C1038" s="660"/>
      <c r="D1038" s="661"/>
      <c r="E1038" s="667">
        <f>PACKAGING!E17</f>
        <v>7.5</v>
      </c>
      <c r="G1038" s="658"/>
    </row>
    <row r="1039" spans="1:7" x14ac:dyDescent="0.2">
      <c r="A1039" s="666" t="s">
        <v>1634</v>
      </c>
      <c r="B1039" s="660"/>
      <c r="C1039" s="660"/>
      <c r="D1039" s="661"/>
      <c r="E1039" s="667">
        <f>PACKAGING!E7</f>
        <v>170</v>
      </c>
      <c r="G1039" s="658"/>
    </row>
    <row r="1040" spans="1:7" x14ac:dyDescent="0.2">
      <c r="A1040" s="666" t="s">
        <v>3568</v>
      </c>
      <c r="B1040" s="660"/>
      <c r="C1040" s="660"/>
      <c r="D1040" s="661"/>
      <c r="E1040" s="667">
        <f>PACKAGING!I5</f>
        <v>845</v>
      </c>
      <c r="G1040" s="658"/>
    </row>
    <row r="1041" spans="1:8" x14ac:dyDescent="0.2">
      <c r="A1041" s="683" t="s">
        <v>1618</v>
      </c>
      <c r="B1041" s="660">
        <v>60</v>
      </c>
      <c r="C1041" s="660">
        <v>30</v>
      </c>
      <c r="D1041" s="668">
        <f>'INSUMOS VARIOS'!B3</f>
        <v>3500</v>
      </c>
      <c r="E1041" s="669">
        <f>D1041*C1041/B1041</f>
        <v>1750</v>
      </c>
      <c r="G1041" s="658"/>
    </row>
    <row r="1042" spans="1:8" ht="15.75" thickBot="1" x14ac:dyDescent="0.25">
      <c r="A1042" s="670" t="s">
        <v>525</v>
      </c>
      <c r="B1042" s="671"/>
      <c r="C1042" s="671"/>
      <c r="D1042" s="672"/>
      <c r="E1042" s="673">
        <f>SUM(E1028:E1041)</f>
        <v>10182.987745098038</v>
      </c>
      <c r="F1042" s="658"/>
    </row>
    <row r="1043" spans="1:8" ht="16.5" thickBot="1" x14ac:dyDescent="0.25">
      <c r="A1043" s="675" t="s">
        <v>544</v>
      </c>
      <c r="B1043" s="676"/>
      <c r="C1043" s="676"/>
      <c r="D1043" s="677"/>
      <c r="E1043" s="692">
        <f>E1042*2</f>
        <v>20365.975490196077</v>
      </c>
      <c r="F1043" s="957">
        <f>E1043+E1043*70%</f>
        <v>34622.158333333326</v>
      </c>
      <c r="G1043" s="681">
        <v>40000</v>
      </c>
    </row>
    <row r="1044" spans="1:8" ht="16.5" thickBot="1" x14ac:dyDescent="0.25">
      <c r="A1044" s="684" t="s">
        <v>1559</v>
      </c>
      <c r="B1044" s="685"/>
      <c r="C1044" s="685"/>
      <c r="D1044" s="686"/>
      <c r="E1044" s="686"/>
      <c r="F1044" s="816"/>
      <c r="G1044" s="1275">
        <f>G1043*60%</f>
        <v>24000</v>
      </c>
      <c r="H1044" s="1276" t="s">
        <v>3687</v>
      </c>
    </row>
    <row r="1045" spans="1:8" ht="15.75" thickBot="1" x14ac:dyDescent="0.25"/>
    <row r="1046" spans="1:8" ht="16.5" thickBot="1" x14ac:dyDescent="0.25">
      <c r="A1046" s="1716" t="s">
        <v>3833</v>
      </c>
      <c r="B1046" s="1717"/>
      <c r="C1046" s="1717"/>
      <c r="D1046" s="1717"/>
      <c r="E1046" s="1717"/>
      <c r="F1046" s="1294"/>
    </row>
    <row r="1047" spans="1:8" x14ac:dyDescent="0.2">
      <c r="A1047" s="654" t="s">
        <v>916</v>
      </c>
      <c r="B1047" s="655" t="s">
        <v>743</v>
      </c>
      <c r="C1047" s="655" t="s">
        <v>1566</v>
      </c>
      <c r="D1047" s="656" t="s">
        <v>1035</v>
      </c>
      <c r="E1047" s="657" t="s">
        <v>1549</v>
      </c>
      <c r="F1047" s="658"/>
    </row>
    <row r="1048" spans="1:8" x14ac:dyDescent="0.2">
      <c r="A1048" s="769" t="s">
        <v>3725</v>
      </c>
      <c r="B1048" s="660"/>
      <c r="C1048" s="660">
        <v>81</v>
      </c>
      <c r="D1048" s="661">
        <f>PIEDRAS!F18</f>
        <v>84.714285714285708</v>
      </c>
      <c r="E1048" s="662">
        <f>D1048*C1048</f>
        <v>6861.8571428571422</v>
      </c>
      <c r="F1048" s="658"/>
    </row>
    <row r="1049" spans="1:8" x14ac:dyDescent="0.2">
      <c r="A1049" s="1736" t="s">
        <v>1572</v>
      </c>
      <c r="B1049" s="660" t="s">
        <v>1556</v>
      </c>
      <c r="C1049" s="660">
        <v>2</v>
      </c>
      <c r="D1049" s="661">
        <f>FORNITURAS!D33</f>
        <v>813</v>
      </c>
      <c r="E1049" s="662">
        <f>D1049*C1049</f>
        <v>1626</v>
      </c>
      <c r="F1049" s="658"/>
    </row>
    <row r="1050" spans="1:8" x14ac:dyDescent="0.2">
      <c r="A1050" s="1737"/>
      <c r="B1050" s="660" t="s">
        <v>1573</v>
      </c>
      <c r="C1050" s="660">
        <v>1</v>
      </c>
      <c r="D1050" s="661" t="e">
        <f>FORNITURAS!#REF!</f>
        <v>#REF!</v>
      </c>
      <c r="E1050" s="662" t="e">
        <f>D1050*C1050</f>
        <v>#REF!</v>
      </c>
      <c r="F1050" s="658"/>
    </row>
    <row r="1051" spans="1:8" x14ac:dyDescent="0.2">
      <c r="A1051" s="666" t="s">
        <v>1424</v>
      </c>
      <c r="B1051" s="660"/>
      <c r="C1051" s="660">
        <v>0.4</v>
      </c>
      <c r="D1051" s="661">
        <f>'HILOS-CORDONES-TANZA-CUERO'!L9</f>
        <v>30</v>
      </c>
      <c r="E1051" s="662">
        <f>D1051*C1051</f>
        <v>12</v>
      </c>
      <c r="F1051" s="658"/>
    </row>
    <row r="1052" spans="1:8" x14ac:dyDescent="0.2">
      <c r="A1052" s="666" t="s">
        <v>1608</v>
      </c>
      <c r="B1052" s="660"/>
      <c r="C1052" s="660">
        <v>0.1</v>
      </c>
      <c r="D1052" s="661">
        <f>'AROS, CADENAS, DIJES, ETC'!I38</f>
        <v>3630</v>
      </c>
      <c r="E1052" s="662">
        <f>C1052*D1052</f>
        <v>363</v>
      </c>
      <c r="F1052" s="658"/>
    </row>
    <row r="1053" spans="1:8" x14ac:dyDescent="0.2">
      <c r="A1053" s="666" t="s">
        <v>1554</v>
      </c>
      <c r="B1053" s="660"/>
      <c r="C1053" s="660">
        <v>2</v>
      </c>
      <c r="D1053" s="661">
        <f>FORNITURAS!D24</f>
        <v>34.666666666666664</v>
      </c>
      <c r="E1053" s="662">
        <f>D1053*C1053</f>
        <v>69.333333333333329</v>
      </c>
      <c r="F1053" s="658"/>
    </row>
    <row r="1054" spans="1:8" x14ac:dyDescent="0.2">
      <c r="A1054" s="666" t="s">
        <v>1012</v>
      </c>
      <c r="B1054" s="660"/>
      <c r="C1054" s="660">
        <v>2</v>
      </c>
      <c r="D1054" s="661">
        <f>FORNITURAS!D16</f>
        <v>45.05</v>
      </c>
      <c r="E1054" s="662">
        <f>D1054*C1054</f>
        <v>90.1</v>
      </c>
      <c r="F1054" s="658"/>
    </row>
    <row r="1055" spans="1:8" x14ac:dyDescent="0.2">
      <c r="A1055" s="666" t="s">
        <v>1587</v>
      </c>
      <c r="B1055" s="660"/>
      <c r="C1055" s="660">
        <v>1</v>
      </c>
      <c r="D1055" s="661">
        <f>FORNITURAS!D18</f>
        <v>363</v>
      </c>
      <c r="E1055" s="662">
        <f>C1055*D1055</f>
        <v>363</v>
      </c>
      <c r="F1055" s="658"/>
    </row>
    <row r="1056" spans="1:8" x14ac:dyDescent="0.2">
      <c r="A1056" s="666" t="s">
        <v>1557</v>
      </c>
      <c r="B1056" s="660"/>
      <c r="C1056" s="660"/>
      <c r="D1056" s="661"/>
      <c r="E1056" s="667">
        <f>PACKAGING!E4</f>
        <v>80</v>
      </c>
      <c r="G1056" s="658"/>
    </row>
    <row r="1057" spans="1:8" x14ac:dyDescent="0.2">
      <c r="A1057" s="666" t="s">
        <v>3362</v>
      </c>
      <c r="B1057" s="660"/>
      <c r="C1057" s="660"/>
      <c r="D1057" s="661"/>
      <c r="E1057" s="667">
        <f>PACKAGING!E17</f>
        <v>7.5</v>
      </c>
      <c r="G1057" s="658"/>
    </row>
    <row r="1058" spans="1:8" x14ac:dyDescent="0.2">
      <c r="A1058" s="666" t="s">
        <v>1634</v>
      </c>
      <c r="B1058" s="660"/>
      <c r="C1058" s="660"/>
      <c r="D1058" s="661"/>
      <c r="E1058" s="667">
        <f>PACKAGING!E7</f>
        <v>170</v>
      </c>
      <c r="G1058" s="658"/>
    </row>
    <row r="1059" spans="1:8" x14ac:dyDescent="0.2">
      <c r="A1059" s="666" t="s">
        <v>3568</v>
      </c>
      <c r="B1059" s="660"/>
      <c r="C1059" s="660"/>
      <c r="D1059" s="661"/>
      <c r="E1059" s="667">
        <f>PACKAGING!I5</f>
        <v>845</v>
      </c>
      <c r="G1059" s="658"/>
    </row>
    <row r="1060" spans="1:8" x14ac:dyDescent="0.2">
      <c r="A1060" s="683" t="s">
        <v>1618</v>
      </c>
      <c r="B1060" s="660">
        <v>60</v>
      </c>
      <c r="C1060" s="660">
        <v>20</v>
      </c>
      <c r="D1060" s="668">
        <f>'INSUMOS VARIOS'!B3</f>
        <v>3500</v>
      </c>
      <c r="E1060" s="669">
        <f>D1060*C1060/B1060</f>
        <v>1166.6666666666667</v>
      </c>
      <c r="G1060" s="658"/>
    </row>
    <row r="1061" spans="1:8" ht="15.75" thickBot="1" x14ac:dyDescent="0.25">
      <c r="A1061" s="670" t="s">
        <v>525</v>
      </c>
      <c r="B1061" s="671"/>
      <c r="C1061" s="671"/>
      <c r="D1061" s="672"/>
      <c r="E1061" s="673" t="e">
        <f>SUM(E1048:E1060)</f>
        <v>#REF!</v>
      </c>
      <c r="F1061" s="658"/>
    </row>
    <row r="1062" spans="1:8" ht="16.5" thickBot="1" x14ac:dyDescent="0.25">
      <c r="A1062" s="675" t="s">
        <v>544</v>
      </c>
      <c r="B1062" s="676"/>
      <c r="C1062" s="676"/>
      <c r="D1062" s="677"/>
      <c r="E1062" s="692" t="e">
        <f>E1061*2</f>
        <v>#REF!</v>
      </c>
      <c r="F1062" s="957" t="e">
        <f>E1062+E1062*70%</f>
        <v>#REF!</v>
      </c>
      <c r="G1062" s="681">
        <v>40000</v>
      </c>
    </row>
    <row r="1063" spans="1:8" ht="16.5" thickBot="1" x14ac:dyDescent="0.25">
      <c r="A1063" s="684" t="s">
        <v>1559</v>
      </c>
      <c r="B1063" s="685"/>
      <c r="C1063" s="685"/>
      <c r="D1063" s="686"/>
      <c r="E1063" s="686"/>
      <c r="F1063" s="816"/>
      <c r="G1063" s="1275">
        <f>G1062*60%</f>
        <v>24000</v>
      </c>
      <c r="H1063" s="1276" t="s">
        <v>3687</v>
      </c>
    </row>
  </sheetData>
  <mergeCells count="151">
    <mergeCell ref="A1026:E1026"/>
    <mergeCell ref="A1030:A1031"/>
    <mergeCell ref="A1046:E1046"/>
    <mergeCell ref="A1049:A1050"/>
    <mergeCell ref="A924:E924"/>
    <mergeCell ref="A926:A927"/>
    <mergeCell ref="A933:A934"/>
    <mergeCell ref="A903:E903"/>
    <mergeCell ref="A908:A909"/>
    <mergeCell ref="A950:E950"/>
    <mergeCell ref="A952:A953"/>
    <mergeCell ref="A955:A956"/>
    <mergeCell ref="A972:E972"/>
    <mergeCell ref="A990:E990"/>
    <mergeCell ref="A1008:E1008"/>
    <mergeCell ref="A882:E882"/>
    <mergeCell ref="A886:A887"/>
    <mergeCell ref="A544:A545"/>
    <mergeCell ref="A325:E325"/>
    <mergeCell ref="A409:A410"/>
    <mergeCell ref="A405:F405"/>
    <mergeCell ref="A388:E388"/>
    <mergeCell ref="A391:A392"/>
    <mergeCell ref="A576:F576"/>
    <mergeCell ref="A585:A586"/>
    <mergeCell ref="A424:F424"/>
    <mergeCell ref="A439:F439"/>
    <mergeCell ref="A454:E454"/>
    <mergeCell ref="A457:A458"/>
    <mergeCell ref="A369:F369"/>
    <mergeCell ref="A561:A562"/>
    <mergeCell ref="A633:F633"/>
    <mergeCell ref="A645:A646"/>
    <mergeCell ref="A635:A637"/>
    <mergeCell ref="A868:A869"/>
    <mergeCell ref="A862:E862"/>
    <mergeCell ref="A638:A639"/>
    <mergeCell ref="A656:F656"/>
    <mergeCell ref="A594:F594"/>
    <mergeCell ref="A249:A250"/>
    <mergeCell ref="M2:W2"/>
    <mergeCell ref="A2:K2"/>
    <mergeCell ref="N113:N114"/>
    <mergeCell ref="N105:S105"/>
    <mergeCell ref="N130:N131"/>
    <mergeCell ref="N145:R145"/>
    <mergeCell ref="N153:N154"/>
    <mergeCell ref="A134:A135"/>
    <mergeCell ref="A132:F132"/>
    <mergeCell ref="A142:A143"/>
    <mergeCell ref="N124:T124"/>
    <mergeCell ref="A13:A14"/>
    <mergeCell ref="A4:F4"/>
    <mergeCell ref="A7:A8"/>
    <mergeCell ref="A23:G23"/>
    <mergeCell ref="A26:A27"/>
    <mergeCell ref="A103:A104"/>
    <mergeCell ref="A74:F74"/>
    <mergeCell ref="A77:A78"/>
    <mergeCell ref="A92:E92"/>
    <mergeCell ref="A40:F40"/>
    <mergeCell ref="A46:A47"/>
    <mergeCell ref="A56:F56"/>
    <mergeCell ref="A59:A60"/>
    <mergeCell ref="A163:A164"/>
    <mergeCell ref="A153:F153"/>
    <mergeCell ref="A155:A156"/>
    <mergeCell ref="A118:A120"/>
    <mergeCell ref="A112:A113"/>
    <mergeCell ref="A109:F109"/>
    <mergeCell ref="N165:S165"/>
    <mergeCell ref="N159:N160"/>
    <mergeCell ref="N126:N128"/>
    <mergeCell ref="N4:S4"/>
    <mergeCell ref="N7:N8"/>
    <mergeCell ref="N58:S58"/>
    <mergeCell ref="N77:N78"/>
    <mergeCell ref="N50:N51"/>
    <mergeCell ref="N21:R21"/>
    <mergeCell ref="N35:S35"/>
    <mergeCell ref="N86:S86"/>
    <mergeCell ref="N94:N95"/>
    <mergeCell ref="N180:S180"/>
    <mergeCell ref="N182:N183"/>
    <mergeCell ref="N171:N172"/>
    <mergeCell ref="A260:A261"/>
    <mergeCell ref="A266:F266"/>
    <mergeCell ref="A268:A269"/>
    <mergeCell ref="N216:S216"/>
    <mergeCell ref="A228:E228"/>
    <mergeCell ref="A231:A232"/>
    <mergeCell ref="A211:E211"/>
    <mergeCell ref="A214:A215"/>
    <mergeCell ref="A174:F174"/>
    <mergeCell ref="A176:A177"/>
    <mergeCell ref="A247:A248"/>
    <mergeCell ref="A245:G245"/>
    <mergeCell ref="N200:S200"/>
    <mergeCell ref="N207:N208"/>
    <mergeCell ref="N223:N224"/>
    <mergeCell ref="N185:N186"/>
    <mergeCell ref="A184:A185"/>
    <mergeCell ref="A194:E194"/>
    <mergeCell ref="A197:A198"/>
    <mergeCell ref="N232:S232"/>
    <mergeCell ref="N235:N236"/>
    <mergeCell ref="A718:E718"/>
    <mergeCell ref="A721:A722"/>
    <mergeCell ref="A797:F797"/>
    <mergeCell ref="A270:A271"/>
    <mergeCell ref="A528:E528"/>
    <mergeCell ref="A532:A533"/>
    <mergeCell ref="A511:F511"/>
    <mergeCell ref="A519:A520"/>
    <mergeCell ref="A333:F333"/>
    <mergeCell ref="A341:A342"/>
    <mergeCell ref="A351:F351"/>
    <mergeCell ref="A558:E558"/>
    <mergeCell ref="A496:F496"/>
    <mergeCell ref="A502:A503"/>
    <mergeCell ref="A485:A486"/>
    <mergeCell ref="A541:E541"/>
    <mergeCell ref="A359:A360"/>
    <mergeCell ref="A472:E472"/>
    <mergeCell ref="A308:E308"/>
    <mergeCell ref="A311:A312"/>
    <mergeCell ref="A284:E284"/>
    <mergeCell ref="A866:A867"/>
    <mergeCell ref="A758:A759"/>
    <mergeCell ref="A775:E775"/>
    <mergeCell ref="A779:A780"/>
    <mergeCell ref="A596:A597"/>
    <mergeCell ref="A604:A605"/>
    <mergeCell ref="A614:E614"/>
    <mergeCell ref="A617:A618"/>
    <mergeCell ref="A843:E843"/>
    <mergeCell ref="A850:A851"/>
    <mergeCell ref="A806:A807"/>
    <mergeCell ref="A799:A801"/>
    <mergeCell ref="A816:A817"/>
    <mergeCell ref="A826:E826"/>
    <mergeCell ref="A735:F735"/>
    <mergeCell ref="A737:A740"/>
    <mergeCell ref="A755:E755"/>
    <mergeCell ref="A745:A747"/>
    <mergeCell ref="A700:E700"/>
    <mergeCell ref="A703:A704"/>
    <mergeCell ref="A665:A666"/>
    <mergeCell ref="A676:F676"/>
    <mergeCell ref="A689:A690"/>
    <mergeCell ref="A678:A682"/>
  </mergeCells>
  <phoneticPr fontId="21" type="noConversion"/>
  <pageMargins left="0.7" right="0.7" top="0.75" bottom="0.75" header="0.3" footer="0.3"/>
  <pageSetup paperSize="0" orientation="portrait" horizontalDpi="180" verticalDpi="180" r:id="rId1"/>
  <ignoredErrors>
    <ignoredError sqref="S11 F44:F45 E98 E218 E235 E295 F274 F428 E459 E481 S94 S184 E563 F583 S170 E620 F683 S239 S76 F741 E762 E782 F802 E889 E885 E911 E933 E936 E960 E977 E995 E1014:E1015 E1033 E1052" formula="1"/>
  </ignoredError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Hoja23"/>
  <dimension ref="A1:K341"/>
  <sheetViews>
    <sheetView topLeftCell="A63" workbookViewId="0">
      <selection activeCell="D140" sqref="D140"/>
    </sheetView>
  </sheetViews>
  <sheetFormatPr baseColWidth="10" defaultColWidth="11.42578125" defaultRowHeight="15" x14ac:dyDescent="0.25"/>
  <cols>
    <col min="1" max="1" width="35" bestFit="1" customWidth="1"/>
    <col min="2" max="2" width="13.140625" customWidth="1"/>
    <col min="5" max="5" width="18" bestFit="1" customWidth="1"/>
    <col min="6" max="6" width="12.85546875" bestFit="1" customWidth="1"/>
    <col min="7" max="7" width="18.5703125" bestFit="1" customWidth="1"/>
    <col min="8" max="10" width="14.7109375" bestFit="1" customWidth="1"/>
  </cols>
  <sheetData>
    <row r="1" spans="1:11" ht="16.5" thickBot="1" x14ac:dyDescent="0.3">
      <c r="A1" s="1716" t="s">
        <v>364</v>
      </c>
      <c r="B1" s="1717"/>
      <c r="C1" s="1717"/>
      <c r="D1" s="1717"/>
      <c r="E1" s="1717"/>
      <c r="F1" s="1718"/>
      <c r="G1" s="653"/>
      <c r="H1" s="653"/>
      <c r="I1" s="652"/>
      <c r="J1" s="652"/>
    </row>
    <row r="2" spans="1:11" ht="15.75" x14ac:dyDescent="0.25">
      <c r="A2" s="654" t="s">
        <v>916</v>
      </c>
      <c r="B2" s="655" t="s">
        <v>743</v>
      </c>
      <c r="C2" s="655" t="s">
        <v>1089</v>
      </c>
      <c r="D2" s="655" t="s">
        <v>1566</v>
      </c>
      <c r="E2" s="656" t="s">
        <v>1035</v>
      </c>
      <c r="F2" s="657" t="s">
        <v>1549</v>
      </c>
      <c r="G2" s="658"/>
      <c r="H2" s="653"/>
      <c r="I2" s="652"/>
      <c r="J2" s="652"/>
    </row>
    <row r="3" spans="1:11" ht="15.75" x14ac:dyDescent="0.25">
      <c r="A3" s="659" t="s">
        <v>1200</v>
      </c>
      <c r="B3" s="660"/>
      <c r="C3" s="660">
        <v>1.5</v>
      </c>
      <c r="D3" s="660"/>
      <c r="E3" s="661">
        <f>'HILOS-CORDONES-TANZA-CUERO'!B61</f>
        <v>1399.090909090909</v>
      </c>
      <c r="F3" s="662">
        <f>E3*C3</f>
        <v>2098.6363636363635</v>
      </c>
      <c r="G3" s="658"/>
      <c r="H3" s="653"/>
      <c r="I3" s="652"/>
      <c r="J3" s="652"/>
    </row>
    <row r="4" spans="1:11" ht="15.75" x14ac:dyDescent="0.25">
      <c r="A4" s="663" t="s">
        <v>59</v>
      </c>
      <c r="B4" s="660"/>
      <c r="C4" s="660"/>
      <c r="D4" s="660">
        <v>1</v>
      </c>
      <c r="E4" s="661">
        <f>PIEDRAS!K14</f>
        <v>2110</v>
      </c>
      <c r="F4" s="664">
        <f>E4*D4</f>
        <v>2110</v>
      </c>
      <c r="G4" s="658"/>
      <c r="H4" s="653"/>
      <c r="I4" s="652"/>
      <c r="J4" s="652"/>
    </row>
    <row r="5" spans="1:11" ht="15.75" x14ac:dyDescent="0.25">
      <c r="A5" s="663" t="s">
        <v>1555</v>
      </c>
      <c r="B5" s="660" t="s">
        <v>1054</v>
      </c>
      <c r="C5" s="660"/>
      <c r="D5" s="660">
        <v>2</v>
      </c>
      <c r="E5" s="661">
        <f>FORNITURAS!D10</f>
        <v>32.628571428571426</v>
      </c>
      <c r="F5" s="664">
        <f>E5*D5</f>
        <v>65.257142857142853</v>
      </c>
      <c r="G5" s="658"/>
      <c r="H5" s="653"/>
      <c r="I5" s="652"/>
      <c r="J5" s="652"/>
    </row>
    <row r="6" spans="1:11" ht="15.75" x14ac:dyDescent="0.25">
      <c r="A6" s="663" t="s">
        <v>1742</v>
      </c>
      <c r="B6" s="660" t="s">
        <v>1354</v>
      </c>
      <c r="C6" s="660"/>
      <c r="D6" s="660">
        <v>1</v>
      </c>
      <c r="E6" s="661">
        <f>PERLAS!F35</f>
        <v>76.428571428571431</v>
      </c>
      <c r="F6" s="664">
        <f>E6*D6</f>
        <v>76.428571428571431</v>
      </c>
      <c r="G6" s="658"/>
      <c r="H6" s="653"/>
      <c r="I6" s="652"/>
      <c r="J6" s="652"/>
    </row>
    <row r="7" spans="1:11" ht="15.75" x14ac:dyDescent="0.25">
      <c r="A7" s="665" t="s">
        <v>2010</v>
      </c>
      <c r="B7" s="660"/>
      <c r="C7" s="660"/>
      <c r="D7" s="660">
        <v>2</v>
      </c>
      <c r="E7" s="661">
        <f>FORNITURAS!D33</f>
        <v>813</v>
      </c>
      <c r="F7" s="662">
        <f>D7*E7</f>
        <v>1626</v>
      </c>
      <c r="G7" s="658"/>
      <c r="H7" s="653"/>
      <c r="I7" s="652"/>
      <c r="J7" s="652"/>
    </row>
    <row r="8" spans="1:11" ht="15.75" x14ac:dyDescent="0.25">
      <c r="A8" s="666" t="s">
        <v>1746</v>
      </c>
      <c r="B8" s="660"/>
      <c r="C8" s="660"/>
      <c r="D8" s="660"/>
      <c r="E8" s="661"/>
      <c r="F8" s="662">
        <v>20</v>
      </c>
      <c r="G8" s="658"/>
      <c r="H8" s="653"/>
      <c r="I8" s="652"/>
      <c r="J8" s="652"/>
    </row>
    <row r="9" spans="1:11" ht="15.75" x14ac:dyDescent="0.25">
      <c r="A9" s="666" t="s">
        <v>1557</v>
      </c>
      <c r="B9" s="660"/>
      <c r="C9" s="660"/>
      <c r="D9" s="660"/>
      <c r="E9" s="661"/>
      <c r="F9" s="662">
        <f>PACKAGING!E4</f>
        <v>80</v>
      </c>
      <c r="G9" s="658"/>
      <c r="H9" s="653"/>
      <c r="I9" s="652"/>
      <c r="J9" s="652"/>
    </row>
    <row r="10" spans="1:11" ht="15.75" x14ac:dyDescent="0.25">
      <c r="A10" s="663" t="s">
        <v>1618</v>
      </c>
      <c r="B10" s="660" t="s">
        <v>2030</v>
      </c>
      <c r="C10" s="660">
        <v>60</v>
      </c>
      <c r="D10" s="660">
        <v>30</v>
      </c>
      <c r="E10" s="668">
        <f>'INSUMOS VARIOS'!B3</f>
        <v>3500</v>
      </c>
      <c r="F10" s="669">
        <f>E10*D10/C10</f>
        <v>1750</v>
      </c>
      <c r="G10" s="1" t="s">
        <v>3023</v>
      </c>
      <c r="H10" s="653"/>
      <c r="I10" s="652"/>
      <c r="J10" s="652"/>
    </row>
    <row r="11" spans="1:11" ht="15.75" thickBot="1" x14ac:dyDescent="0.3">
      <c r="A11" s="670" t="s">
        <v>525</v>
      </c>
      <c r="B11" s="671"/>
      <c r="C11" s="671"/>
      <c r="D11" s="671"/>
      <c r="E11" s="672"/>
      <c r="F11" s="673">
        <f>SUM(F3:F10)</f>
        <v>7826.3220779220783</v>
      </c>
      <c r="G11" s="698">
        <f>(F11+H12+H13)</f>
        <v>11104.322077922079</v>
      </c>
      <c r="H11" s="658" t="s">
        <v>2028</v>
      </c>
      <c r="I11" s="674" t="s">
        <v>2029</v>
      </c>
      <c r="J11" s="652"/>
    </row>
    <row r="12" spans="1:11" ht="16.5" thickBot="1" x14ac:dyDescent="0.3">
      <c r="A12" s="675" t="s">
        <v>544</v>
      </c>
      <c r="B12" s="676"/>
      <c r="C12" s="676"/>
      <c r="D12" s="676"/>
      <c r="E12" s="677"/>
      <c r="F12" s="678">
        <f>F11*2</f>
        <v>15652.644155844157</v>
      </c>
      <c r="G12" s="679">
        <f>F12+F12*70%</f>
        <v>26609.495064935065</v>
      </c>
      <c r="H12" s="680">
        <f>PACKAGING!I3</f>
        <v>2433</v>
      </c>
      <c r="I12" s="681">
        <f>H12+G12+H13</f>
        <v>29887.495064935065</v>
      </c>
      <c r="J12" s="682">
        <v>40000</v>
      </c>
    </row>
    <row r="13" spans="1:11" ht="16.5" thickBot="1" x14ac:dyDescent="0.3">
      <c r="A13" s="684" t="s">
        <v>1559</v>
      </c>
      <c r="B13" s="685"/>
      <c r="C13" s="685"/>
      <c r="D13" s="685"/>
      <c r="E13" s="686"/>
      <c r="F13" s="687"/>
      <c r="G13" s="688"/>
      <c r="H13" s="680">
        <f>PACKAGING!I5</f>
        <v>845</v>
      </c>
      <c r="I13" s="690"/>
      <c r="J13" s="1279">
        <f>J12*60%</f>
        <v>24000</v>
      </c>
      <c r="K13" s="1273" t="s">
        <v>3687</v>
      </c>
    </row>
    <row r="14" spans="1:11" ht="15.75" thickBot="1" x14ac:dyDescent="0.3">
      <c r="A14" s="652"/>
      <c r="B14" s="652"/>
      <c r="C14" s="652"/>
      <c r="D14" s="652"/>
      <c r="E14" s="652"/>
      <c r="F14" s="652"/>
      <c r="G14" s="652"/>
      <c r="H14" s="652"/>
      <c r="I14" s="652"/>
      <c r="J14" s="652"/>
    </row>
    <row r="15" spans="1:11" ht="15.75" x14ac:dyDescent="0.25">
      <c r="A15" s="1746" t="s">
        <v>365</v>
      </c>
      <c r="B15" s="1747"/>
      <c r="C15" s="1747"/>
      <c r="D15" s="1747"/>
      <c r="E15" s="1747"/>
      <c r="F15" s="1748"/>
      <c r="G15" s="653"/>
      <c r="H15" s="653"/>
      <c r="I15" s="652"/>
      <c r="J15" s="652"/>
    </row>
    <row r="16" spans="1:11" ht="15.75" x14ac:dyDescent="0.25">
      <c r="A16" s="654" t="s">
        <v>916</v>
      </c>
      <c r="B16" s="655" t="s">
        <v>743</v>
      </c>
      <c r="C16" s="655" t="s">
        <v>1089</v>
      </c>
      <c r="D16" s="655" t="s">
        <v>1566</v>
      </c>
      <c r="E16" s="656" t="s">
        <v>1035</v>
      </c>
      <c r="F16" s="657" t="s">
        <v>1549</v>
      </c>
      <c r="G16" s="658"/>
      <c r="H16" s="653"/>
      <c r="I16" s="652"/>
      <c r="J16" s="652"/>
    </row>
    <row r="17" spans="1:10" ht="15.75" x14ac:dyDescent="0.25">
      <c r="A17" s="659" t="s">
        <v>1200</v>
      </c>
      <c r="B17" s="660"/>
      <c r="C17" s="660">
        <v>1.5</v>
      </c>
      <c r="D17" s="660"/>
      <c r="E17" s="661">
        <f>'HILOS-CORDONES-TANZA-CUERO'!B61</f>
        <v>1399.090909090909</v>
      </c>
      <c r="F17" s="662">
        <f>E17*C17</f>
        <v>2098.6363636363635</v>
      </c>
      <c r="G17" s="658"/>
      <c r="H17" s="653"/>
      <c r="I17" s="652"/>
      <c r="J17" s="652"/>
    </row>
    <row r="18" spans="1:10" ht="15.75" x14ac:dyDescent="0.25">
      <c r="A18" s="663" t="s">
        <v>1263</v>
      </c>
      <c r="B18" s="660"/>
      <c r="C18" s="660"/>
      <c r="D18" s="660">
        <v>1</v>
      </c>
      <c r="E18" s="661">
        <f>PIEDRAS!K49</f>
        <v>2500</v>
      </c>
      <c r="F18" s="664">
        <f>E18*D18</f>
        <v>2500</v>
      </c>
      <c r="G18" s="658"/>
      <c r="H18" s="653"/>
      <c r="I18" s="652"/>
      <c r="J18" s="652"/>
    </row>
    <row r="19" spans="1:10" ht="15.75" x14ac:dyDescent="0.25">
      <c r="A19" s="665" t="s">
        <v>2010</v>
      </c>
      <c r="B19" s="660"/>
      <c r="C19" s="660"/>
      <c r="D19" s="660">
        <v>2</v>
      </c>
      <c r="E19" s="661">
        <f>FORNITURAS!D33</f>
        <v>813</v>
      </c>
      <c r="F19" s="662">
        <f>D19*E19</f>
        <v>1626</v>
      </c>
      <c r="G19" s="658"/>
      <c r="H19" s="653"/>
      <c r="I19" s="652"/>
      <c r="J19" s="652"/>
    </row>
    <row r="20" spans="1:10" ht="15.75" x14ac:dyDescent="0.25">
      <c r="A20" s="666" t="s">
        <v>1746</v>
      </c>
      <c r="B20" s="660"/>
      <c r="C20" s="660"/>
      <c r="D20" s="660"/>
      <c r="E20" s="661"/>
      <c r="F20" s="662">
        <v>20</v>
      </c>
      <c r="G20" s="658"/>
      <c r="H20" s="653"/>
      <c r="I20" s="652"/>
      <c r="J20" s="652"/>
    </row>
    <row r="21" spans="1:10" ht="15.75" x14ac:dyDescent="0.25">
      <c r="A21" s="666" t="s">
        <v>1557</v>
      </c>
      <c r="B21" s="660"/>
      <c r="C21" s="660"/>
      <c r="D21" s="660"/>
      <c r="E21" s="661"/>
      <c r="F21" s="662">
        <f>PACKAGING!E4</f>
        <v>80</v>
      </c>
      <c r="G21" s="658"/>
      <c r="H21" s="653"/>
      <c r="I21" s="652"/>
      <c r="J21" s="652"/>
    </row>
    <row r="22" spans="1:10" ht="15.75" x14ac:dyDescent="0.25">
      <c r="A22" s="663" t="s">
        <v>1618</v>
      </c>
      <c r="B22" s="660" t="s">
        <v>2030</v>
      </c>
      <c r="C22" s="660">
        <v>60</v>
      </c>
      <c r="D22" s="660">
        <v>20</v>
      </c>
      <c r="E22" s="668">
        <f>'INSUMOS VARIOS'!B3</f>
        <v>3500</v>
      </c>
      <c r="F22" s="669">
        <f>E22*D22/C22</f>
        <v>1166.6666666666667</v>
      </c>
      <c r="G22" s="1" t="s">
        <v>3023</v>
      </c>
      <c r="H22" s="653"/>
      <c r="I22" s="652"/>
      <c r="J22" s="652"/>
    </row>
    <row r="23" spans="1:10" ht="15.75" thickBot="1" x14ac:dyDescent="0.3">
      <c r="A23" s="670" t="s">
        <v>525</v>
      </c>
      <c r="B23" s="671"/>
      <c r="C23" s="671"/>
      <c r="D23" s="671"/>
      <c r="E23" s="672"/>
      <c r="F23" s="673">
        <f>SUM(F17:F22)</f>
        <v>7491.3030303030309</v>
      </c>
      <c r="G23" s="698">
        <f>(F23+H24+H25)</f>
        <v>10969.303030303032</v>
      </c>
      <c r="H23" s="658" t="s">
        <v>2028</v>
      </c>
      <c r="I23" s="674" t="s">
        <v>2029</v>
      </c>
      <c r="J23" s="652"/>
    </row>
    <row r="24" spans="1:10" ht="16.5" thickBot="1" x14ac:dyDescent="0.3">
      <c r="A24" s="675" t="s">
        <v>544</v>
      </c>
      <c r="B24" s="676"/>
      <c r="C24" s="676"/>
      <c r="D24" s="676"/>
      <c r="E24" s="677"/>
      <c r="F24" s="678">
        <f>F23*2</f>
        <v>14982.606060606062</v>
      </c>
      <c r="G24" s="679">
        <f>F24+F24*40%</f>
        <v>20975.648484848487</v>
      </c>
      <c r="H24" s="680">
        <f>PACKAGING!I4</f>
        <v>2633</v>
      </c>
      <c r="I24" s="681">
        <f>H24+H25+G24</f>
        <v>24453.648484848487</v>
      </c>
      <c r="J24" s="682">
        <v>19500</v>
      </c>
    </row>
    <row r="25" spans="1:10" ht="16.5" thickBot="1" x14ac:dyDescent="0.3">
      <c r="A25" s="684" t="s">
        <v>1559</v>
      </c>
      <c r="B25" s="685"/>
      <c r="C25" s="685"/>
      <c r="D25" s="685"/>
      <c r="E25" s="686"/>
      <c r="F25" s="687"/>
      <c r="G25" s="688"/>
      <c r="H25" s="680">
        <f>PACKAGING!I5</f>
        <v>845</v>
      </c>
      <c r="I25" s="690"/>
      <c r="J25" s="691">
        <f>J24*2</f>
        <v>39000</v>
      </c>
    </row>
    <row r="26" spans="1:10" ht="15.75" thickBot="1" x14ac:dyDescent="0.3"/>
    <row r="27" spans="1:10" ht="16.5" thickBot="1" x14ac:dyDescent="0.3">
      <c r="A27" s="1565" t="s">
        <v>2156</v>
      </c>
      <c r="B27" s="1566"/>
      <c r="C27" s="1566"/>
      <c r="D27" s="1566"/>
      <c r="E27" s="1566"/>
      <c r="F27" s="1567"/>
      <c r="G27" s="171"/>
      <c r="H27" s="171"/>
    </row>
    <row r="28" spans="1:10" ht="15.75" x14ac:dyDescent="0.25">
      <c r="A28" s="183" t="s">
        <v>916</v>
      </c>
      <c r="B28" s="97" t="s">
        <v>743</v>
      </c>
      <c r="C28" s="97" t="s">
        <v>1089</v>
      </c>
      <c r="D28" s="97" t="s">
        <v>1566</v>
      </c>
      <c r="E28" s="76" t="s">
        <v>1035</v>
      </c>
      <c r="F28" s="77" t="s">
        <v>1549</v>
      </c>
      <c r="G28" s="1"/>
      <c r="H28" s="171"/>
    </row>
    <row r="29" spans="1:10" ht="15.75" x14ac:dyDescent="0.25">
      <c r="A29" s="185" t="s">
        <v>1234</v>
      </c>
      <c r="B29" s="98"/>
      <c r="C29" s="98">
        <v>1.3</v>
      </c>
      <c r="D29" s="98"/>
      <c r="E29" s="102">
        <f>'HILOS-CORDONES-TANZA-CUERO'!E35</f>
        <v>329</v>
      </c>
      <c r="F29" s="39">
        <f>E29*C29</f>
        <v>427.7</v>
      </c>
      <c r="G29" s="1"/>
      <c r="H29" s="171"/>
    </row>
    <row r="30" spans="1:10" ht="15.75" x14ac:dyDescent="0.25">
      <c r="A30" s="184" t="s">
        <v>2077</v>
      </c>
      <c r="B30" s="98"/>
      <c r="C30" s="98"/>
      <c r="D30" s="98">
        <v>1</v>
      </c>
      <c r="E30" s="102">
        <v>100</v>
      </c>
      <c r="F30" s="374">
        <f>E30*D30</f>
        <v>100</v>
      </c>
      <c r="G30" s="1"/>
      <c r="H30" s="171"/>
    </row>
    <row r="31" spans="1:10" ht="15.75" x14ac:dyDescent="0.25">
      <c r="A31" s="184" t="s">
        <v>1020</v>
      </c>
      <c r="B31" s="98"/>
      <c r="C31" s="98"/>
      <c r="D31" s="98">
        <v>1</v>
      </c>
      <c r="E31" s="102">
        <f>FORNITURAS!D30</f>
        <v>255</v>
      </c>
      <c r="F31" s="39">
        <f>D31*E31</f>
        <v>255</v>
      </c>
      <c r="G31" s="1"/>
      <c r="H31" s="171"/>
    </row>
    <row r="32" spans="1:10" ht="15.75" x14ac:dyDescent="0.25">
      <c r="A32" s="184" t="s">
        <v>2010</v>
      </c>
      <c r="B32" s="98"/>
      <c r="C32" s="98"/>
      <c r="D32" s="98">
        <v>2</v>
      </c>
      <c r="E32" s="102">
        <f>FORNITURAS!D32</f>
        <v>422</v>
      </c>
      <c r="F32" s="39">
        <f>D32*E32</f>
        <v>844</v>
      </c>
      <c r="G32" s="1"/>
      <c r="H32" s="171"/>
    </row>
    <row r="33" spans="1:8" ht="15.75" x14ac:dyDescent="0.25">
      <c r="A33" s="3" t="s">
        <v>1555</v>
      </c>
      <c r="B33" s="98" t="s">
        <v>1933</v>
      </c>
      <c r="C33" s="98"/>
      <c r="D33" s="98">
        <v>1</v>
      </c>
      <c r="E33" s="102">
        <f>FORNITURAS!D5</f>
        <v>46.8</v>
      </c>
      <c r="F33" s="39">
        <f>E33*D33</f>
        <v>46.8</v>
      </c>
      <c r="G33" s="1"/>
      <c r="H33" s="171"/>
    </row>
    <row r="34" spans="1:8" ht="15.75" x14ac:dyDescent="0.25">
      <c r="A34" s="104" t="s">
        <v>1746</v>
      </c>
      <c r="B34" s="98"/>
      <c r="C34" s="98"/>
      <c r="D34" s="98"/>
      <c r="E34" s="102"/>
      <c r="F34" s="39">
        <v>10</v>
      </c>
      <c r="G34" s="1"/>
      <c r="H34" s="171"/>
    </row>
    <row r="35" spans="1:8" ht="15.75" x14ac:dyDescent="0.25">
      <c r="A35" s="104" t="s">
        <v>1557</v>
      </c>
      <c r="B35" s="98"/>
      <c r="C35" s="98"/>
      <c r="D35" s="98"/>
      <c r="E35" s="102"/>
      <c r="F35" s="39">
        <f>PACKAGING!E4</f>
        <v>80</v>
      </c>
      <c r="G35" s="1"/>
      <c r="H35" s="171"/>
    </row>
    <row r="36" spans="1:8" ht="15.75" x14ac:dyDescent="0.25">
      <c r="A36" s="104" t="s">
        <v>1670</v>
      </c>
      <c r="B36" s="98"/>
      <c r="C36" s="98"/>
      <c r="D36" s="98"/>
      <c r="E36" s="2"/>
      <c r="F36" s="523">
        <f>PACKAGING!E9</f>
        <v>450</v>
      </c>
      <c r="G36" s="1"/>
      <c r="H36" s="171"/>
    </row>
    <row r="37" spans="1:8" ht="15.75" x14ac:dyDescent="0.25">
      <c r="A37" s="184" t="s">
        <v>1618</v>
      </c>
      <c r="B37" s="98" t="s">
        <v>2030</v>
      </c>
      <c r="C37" s="98">
        <v>60</v>
      </c>
      <c r="D37" s="98">
        <v>40</v>
      </c>
      <c r="E37" s="66">
        <f>'INSUMOS VARIOS'!B3</f>
        <v>3500</v>
      </c>
      <c r="F37" s="524">
        <f>E37*D37/C37</f>
        <v>2333.3333333333335</v>
      </c>
      <c r="G37" s="1"/>
      <c r="H37" s="171"/>
    </row>
    <row r="38" spans="1:8" ht="16.5" thickBot="1" x14ac:dyDescent="0.3">
      <c r="A38" s="79" t="s">
        <v>525</v>
      </c>
      <c r="B38" s="99"/>
      <c r="C38" s="99"/>
      <c r="D38" s="99"/>
      <c r="E38" s="70"/>
      <c r="F38" s="51">
        <f>SUM(F29:F37)</f>
        <v>4546.8333333333339</v>
      </c>
      <c r="G38" s="1"/>
      <c r="H38" s="171"/>
    </row>
    <row r="39" spans="1:8" ht="15.75" x14ac:dyDescent="0.25">
      <c r="A39" s="80" t="s">
        <v>544</v>
      </c>
      <c r="B39" s="100"/>
      <c r="C39" s="100"/>
      <c r="D39" s="100"/>
      <c r="E39" s="71"/>
      <c r="F39" s="267">
        <f>F38*2</f>
        <v>9093.6666666666679</v>
      </c>
      <c r="G39" s="512">
        <f>F39+F39*50%</f>
        <v>13640.500000000002</v>
      </c>
      <c r="H39" s="268">
        <v>9000</v>
      </c>
    </row>
    <row r="40" spans="1:8" ht="16.5" thickBot="1" x14ac:dyDescent="0.3">
      <c r="A40" s="81" t="s">
        <v>1559</v>
      </c>
      <c r="B40" s="101"/>
      <c r="C40" s="101"/>
      <c r="D40" s="101"/>
      <c r="E40" s="73"/>
      <c r="F40" s="280"/>
      <c r="G40" s="522"/>
      <c r="H40" s="526">
        <f>H39*2</f>
        <v>18000</v>
      </c>
    </row>
    <row r="41" spans="1:8" ht="15.75" thickBot="1" x14ac:dyDescent="0.3">
      <c r="A41" s="652"/>
      <c r="B41" s="652"/>
      <c r="C41" s="652"/>
      <c r="D41" s="652"/>
      <c r="E41" s="652"/>
      <c r="F41" s="652"/>
      <c r="G41" s="652"/>
      <c r="H41" s="652"/>
    </row>
    <row r="42" spans="1:8" ht="16.5" thickBot="1" x14ac:dyDescent="0.3">
      <c r="A42" s="1565" t="s">
        <v>4508</v>
      </c>
      <c r="B42" s="1566"/>
      <c r="C42" s="1566"/>
      <c r="D42" s="1566"/>
      <c r="E42" s="1566"/>
      <c r="F42" s="1567"/>
      <c r="G42" s="171"/>
      <c r="H42" s="171"/>
    </row>
    <row r="43" spans="1:8" ht="15.75" x14ac:dyDescent="0.25">
      <c r="A43" s="183" t="s">
        <v>916</v>
      </c>
      <c r="B43" s="97" t="s">
        <v>743</v>
      </c>
      <c r="C43" s="97" t="s">
        <v>1089</v>
      </c>
      <c r="D43" s="97" t="s">
        <v>1566</v>
      </c>
      <c r="E43" s="76" t="s">
        <v>1035</v>
      </c>
      <c r="F43" s="77" t="s">
        <v>1549</v>
      </c>
      <c r="G43" s="1"/>
      <c r="H43" s="171"/>
    </row>
    <row r="44" spans="1:8" ht="15.75" x14ac:dyDescent="0.25">
      <c r="A44" s="104" t="s">
        <v>1234</v>
      </c>
      <c r="B44" s="98"/>
      <c r="C44" s="98">
        <v>1.3</v>
      </c>
      <c r="D44" s="98"/>
      <c r="E44" s="102">
        <f>'HILOS-CORDONES-TANZA-CUERO'!E37</f>
        <v>329</v>
      </c>
      <c r="F44" s="39">
        <f>E44*C44</f>
        <v>427.7</v>
      </c>
      <c r="G44" s="1"/>
      <c r="H44" s="171"/>
    </row>
    <row r="45" spans="1:8" ht="15.75" x14ac:dyDescent="0.25">
      <c r="A45" s="104" t="s">
        <v>4509</v>
      </c>
      <c r="B45" s="98"/>
      <c r="C45" s="98"/>
      <c r="D45" s="98">
        <v>2</v>
      </c>
      <c r="E45" s="102">
        <f>'AROS, CADENAS, DIJES, ETC'!X15</f>
        <v>210.47222222222223</v>
      </c>
      <c r="F45" s="39">
        <f>E45*D45</f>
        <v>420.94444444444446</v>
      </c>
      <c r="G45" s="1"/>
      <c r="H45" s="171"/>
    </row>
    <row r="46" spans="1:8" ht="15.75" x14ac:dyDescent="0.25">
      <c r="A46" s="104" t="s">
        <v>1746</v>
      </c>
      <c r="B46" s="98"/>
      <c r="C46" s="98"/>
      <c r="D46" s="98"/>
      <c r="E46" s="102"/>
      <c r="F46" s="39">
        <v>10</v>
      </c>
      <c r="G46" s="1"/>
      <c r="H46" s="171"/>
    </row>
    <row r="47" spans="1:8" ht="15.75" x14ac:dyDescent="0.25">
      <c r="A47" s="104" t="s">
        <v>1557</v>
      </c>
      <c r="B47" s="98"/>
      <c r="C47" s="98"/>
      <c r="D47" s="98"/>
      <c r="E47" s="102"/>
      <c r="F47" s="39">
        <f>PACKAGING!E4</f>
        <v>80</v>
      </c>
      <c r="G47" s="1"/>
      <c r="H47" s="171"/>
    </row>
    <row r="48" spans="1:8" ht="15.75" x14ac:dyDescent="0.25">
      <c r="A48" s="104" t="s">
        <v>1670</v>
      </c>
      <c r="B48" s="98"/>
      <c r="C48" s="98"/>
      <c r="D48" s="98"/>
      <c r="E48" s="2"/>
      <c r="F48" s="523">
        <f>PACKAGING!E9</f>
        <v>450</v>
      </c>
      <c r="G48" s="1"/>
      <c r="H48" s="171"/>
    </row>
    <row r="49" spans="1:10" ht="15.75" x14ac:dyDescent="0.25">
      <c r="A49" s="184" t="s">
        <v>1618</v>
      </c>
      <c r="B49" s="98" t="s">
        <v>2030</v>
      </c>
      <c r="C49" s="98">
        <v>60</v>
      </c>
      <c r="D49" s="98">
        <v>20</v>
      </c>
      <c r="E49" s="66">
        <f>'INSUMOS VARIOS'!B3</f>
        <v>3500</v>
      </c>
      <c r="F49" s="524">
        <f>E49*D49/C49</f>
        <v>1166.6666666666667</v>
      </c>
      <c r="G49" s="1"/>
      <c r="H49" s="171"/>
    </row>
    <row r="50" spans="1:10" ht="16.5" thickBot="1" x14ac:dyDescent="0.3">
      <c r="A50" s="79" t="s">
        <v>525</v>
      </c>
      <c r="B50" s="99"/>
      <c r="C50" s="99"/>
      <c r="D50" s="99"/>
      <c r="E50" s="70"/>
      <c r="F50" s="51">
        <f>SUM(F44:F49)</f>
        <v>2555.3111111111111</v>
      </c>
      <c r="G50" s="1"/>
      <c r="H50" s="171"/>
    </row>
    <row r="51" spans="1:10" ht="15.75" x14ac:dyDescent="0.25">
      <c r="A51" s="80" t="s">
        <v>544</v>
      </c>
      <c r="B51" s="100"/>
      <c r="C51" s="100"/>
      <c r="D51" s="100"/>
      <c r="E51" s="71"/>
      <c r="F51" s="267">
        <f>F50*2</f>
        <v>5110.6222222222223</v>
      </c>
      <c r="G51" s="512">
        <f>F51+F51*70%</f>
        <v>8688.057777777778</v>
      </c>
      <c r="H51" s="268">
        <v>14000</v>
      </c>
    </row>
    <row r="52" spans="1:10" ht="16.5" thickBot="1" x14ac:dyDescent="0.3">
      <c r="A52" s="81" t="s">
        <v>1559</v>
      </c>
      <c r="B52" s="101"/>
      <c r="C52" s="101"/>
      <c r="D52" s="101"/>
      <c r="E52" s="73"/>
      <c r="F52" s="280"/>
      <c r="G52" s="522"/>
      <c r="H52" s="526"/>
    </row>
    <row r="53" spans="1:10" x14ac:dyDescent="0.25">
      <c r="A53" s="652"/>
      <c r="B53" s="652"/>
      <c r="C53" s="652"/>
      <c r="D53" s="652"/>
      <c r="E53" s="652"/>
      <c r="F53" s="652"/>
      <c r="G53" s="652"/>
      <c r="H53" s="652"/>
    </row>
    <row r="54" spans="1:10" x14ac:dyDescent="0.25">
      <c r="A54" s="652"/>
      <c r="B54" s="652"/>
      <c r="C54" s="652"/>
      <c r="D54" s="652"/>
      <c r="E54" s="652"/>
      <c r="F54" s="652"/>
      <c r="G54" s="652"/>
      <c r="H54" s="652"/>
    </row>
    <row r="55" spans="1:10" ht="15.75" thickBot="1" x14ac:dyDescent="0.3"/>
    <row r="56" spans="1:10" ht="15.75" x14ac:dyDescent="0.25">
      <c r="A56" s="1746" t="s">
        <v>2288</v>
      </c>
      <c r="B56" s="1747"/>
      <c r="C56" s="1747"/>
      <c r="D56" s="1747"/>
      <c r="E56" s="1747"/>
      <c r="F56" s="1748"/>
      <c r="G56" s="653"/>
      <c r="H56" s="653"/>
      <c r="I56" s="652"/>
      <c r="J56" s="652"/>
    </row>
    <row r="57" spans="1:10" ht="15.75" x14ac:dyDescent="0.25">
      <c r="A57" s="654" t="s">
        <v>916</v>
      </c>
      <c r="B57" s="655" t="s">
        <v>743</v>
      </c>
      <c r="C57" s="655" t="s">
        <v>1089</v>
      </c>
      <c r="D57" s="655" t="s">
        <v>1566</v>
      </c>
      <c r="E57" s="656" t="s">
        <v>1035</v>
      </c>
      <c r="F57" s="657" t="s">
        <v>1549</v>
      </c>
      <c r="G57" s="658"/>
      <c r="H57" s="653"/>
      <c r="I57" s="652"/>
      <c r="J57" s="652"/>
    </row>
    <row r="58" spans="1:10" ht="15.75" x14ac:dyDescent="0.25">
      <c r="A58" s="659" t="s">
        <v>2286</v>
      </c>
      <c r="B58" s="660" t="s">
        <v>969</v>
      </c>
      <c r="C58" s="660">
        <v>2.6</v>
      </c>
      <c r="D58" s="660"/>
      <c r="E58" s="661">
        <f>'HILOS-CORDONES-TANZA-CUERO'!E10</f>
        <v>210.25</v>
      </c>
      <c r="F58" s="662">
        <f>E58*C58</f>
        <v>546.65</v>
      </c>
      <c r="G58" s="658"/>
      <c r="H58" s="653"/>
      <c r="I58" s="652"/>
      <c r="J58" s="652"/>
    </row>
    <row r="59" spans="1:10" ht="15.75" x14ac:dyDescent="0.25">
      <c r="A59" s="663" t="s">
        <v>2287</v>
      </c>
      <c r="B59" s="660"/>
      <c r="C59" s="660"/>
      <c r="D59" s="660">
        <v>1</v>
      </c>
      <c r="E59" s="661">
        <f>'AROS, CADENAS, DIJES, ETC'!O99</f>
        <v>6220</v>
      </c>
      <c r="F59" s="664">
        <f>E59*D59</f>
        <v>6220</v>
      </c>
      <c r="G59" s="658"/>
      <c r="H59" s="653"/>
      <c r="I59" s="652"/>
      <c r="J59" s="652"/>
    </row>
    <row r="60" spans="1:10" ht="15.75" x14ac:dyDescent="0.25">
      <c r="A60" s="665" t="s">
        <v>2010</v>
      </c>
      <c r="B60" s="660"/>
      <c r="C60" s="660"/>
      <c r="D60" s="660">
        <v>2</v>
      </c>
      <c r="E60" s="661">
        <f>FORNITURAS!D34</f>
        <v>301.42857142857144</v>
      </c>
      <c r="F60" s="662">
        <f>D60*E60</f>
        <v>602.85714285714289</v>
      </c>
      <c r="G60" s="658"/>
      <c r="H60" s="653"/>
      <c r="I60" s="652"/>
      <c r="J60" s="652"/>
    </row>
    <row r="61" spans="1:10" ht="15.75" x14ac:dyDescent="0.25">
      <c r="A61" s="666" t="s">
        <v>1746</v>
      </c>
      <c r="B61" s="660"/>
      <c r="C61" s="660"/>
      <c r="D61" s="660"/>
      <c r="E61" s="661"/>
      <c r="F61" s="662">
        <v>20</v>
      </c>
      <c r="G61" s="658"/>
      <c r="H61" s="653"/>
      <c r="I61" s="652"/>
      <c r="J61" s="652"/>
    </row>
    <row r="62" spans="1:10" ht="15.75" x14ac:dyDescent="0.25">
      <c r="A62" s="666" t="s">
        <v>1557</v>
      </c>
      <c r="B62" s="660"/>
      <c r="C62" s="660"/>
      <c r="D62" s="660"/>
      <c r="E62" s="661"/>
      <c r="F62" s="662">
        <f>PACKAGING!E4</f>
        <v>80</v>
      </c>
      <c r="G62" s="658"/>
      <c r="H62" s="653"/>
      <c r="I62" s="652"/>
      <c r="J62" s="652"/>
    </row>
    <row r="63" spans="1:10" ht="15.75" x14ac:dyDescent="0.25">
      <c r="A63" s="663" t="s">
        <v>1618</v>
      </c>
      <c r="B63" s="660" t="s">
        <v>2030</v>
      </c>
      <c r="C63" s="660">
        <v>60</v>
      </c>
      <c r="D63" s="660">
        <v>20</v>
      </c>
      <c r="E63" s="668">
        <f>'INSUMOS VARIOS'!B3</f>
        <v>3500</v>
      </c>
      <c r="F63" s="669">
        <f>E63*D63/C63</f>
        <v>1166.6666666666667</v>
      </c>
      <c r="G63" s="1" t="s">
        <v>3023</v>
      </c>
      <c r="H63" s="653"/>
      <c r="I63" s="652"/>
      <c r="J63" s="652"/>
    </row>
    <row r="64" spans="1:10" ht="15.75" thickBot="1" x14ac:dyDescent="0.3">
      <c r="A64" s="670" t="s">
        <v>525</v>
      </c>
      <c r="B64" s="671"/>
      <c r="C64" s="671"/>
      <c r="D64" s="671"/>
      <c r="E64" s="672"/>
      <c r="F64" s="673">
        <f>SUM(F58:F63)</f>
        <v>8636.1738095238088</v>
      </c>
      <c r="G64" s="698">
        <f>(F64+H65+H66)</f>
        <v>11914.173809523809</v>
      </c>
      <c r="H64" s="658" t="s">
        <v>2028</v>
      </c>
      <c r="I64" s="674" t="s">
        <v>2029</v>
      </c>
      <c r="J64" s="652"/>
    </row>
    <row r="65" spans="1:10" ht="16.5" thickBot="1" x14ac:dyDescent="0.3">
      <c r="A65" s="675" t="s">
        <v>544</v>
      </c>
      <c r="B65" s="676"/>
      <c r="C65" s="676"/>
      <c r="D65" s="676"/>
      <c r="E65" s="677"/>
      <c r="F65" s="678">
        <f>F64*2</f>
        <v>17272.347619047618</v>
      </c>
      <c r="G65" s="679">
        <f>F65+F65*70%</f>
        <v>29362.990952380947</v>
      </c>
      <c r="H65" s="680">
        <f>PACKAGING!I3</f>
        <v>2433</v>
      </c>
      <c r="I65" s="681">
        <v>14500</v>
      </c>
      <c r="J65" s="711"/>
    </row>
    <row r="66" spans="1:10" ht="16.5" thickBot="1" x14ac:dyDescent="0.3">
      <c r="A66" s="684" t="s">
        <v>1559</v>
      </c>
      <c r="B66" s="685"/>
      <c r="C66" s="685"/>
      <c r="D66" s="685"/>
      <c r="E66" s="686"/>
      <c r="F66" s="687"/>
      <c r="G66" s="688"/>
      <c r="H66" s="680">
        <f>PACKAGING!I5</f>
        <v>845</v>
      </c>
      <c r="I66" s="956">
        <f>I65*2</f>
        <v>29000</v>
      </c>
      <c r="J66" s="711"/>
    </row>
    <row r="67" spans="1:10" ht="15.75" thickBot="1" x14ac:dyDescent="0.3"/>
    <row r="68" spans="1:10" ht="15.75" x14ac:dyDescent="0.25">
      <c r="A68" s="1746" t="s">
        <v>3170</v>
      </c>
      <c r="B68" s="1747"/>
      <c r="C68" s="1747"/>
      <c r="D68" s="1747"/>
      <c r="E68" s="1747"/>
      <c r="F68" s="1748"/>
      <c r="G68" s="653"/>
      <c r="H68" s="653"/>
      <c r="I68" s="652"/>
    </row>
    <row r="69" spans="1:10" ht="15.75" x14ac:dyDescent="0.25">
      <c r="A69" s="654" t="s">
        <v>916</v>
      </c>
      <c r="B69" s="655" t="s">
        <v>743</v>
      </c>
      <c r="C69" s="655" t="s">
        <v>1089</v>
      </c>
      <c r="D69" s="655" t="s">
        <v>1566</v>
      </c>
      <c r="E69" s="656" t="s">
        <v>1035</v>
      </c>
      <c r="F69" s="657" t="s">
        <v>1549</v>
      </c>
      <c r="G69" s="658"/>
      <c r="H69" s="653"/>
      <c r="I69" s="652"/>
    </row>
    <row r="70" spans="1:10" ht="15.75" x14ac:dyDescent="0.25">
      <c r="A70" s="659" t="s">
        <v>3103</v>
      </c>
      <c r="B70" s="660" t="s">
        <v>969</v>
      </c>
      <c r="C70" s="660"/>
      <c r="D70" s="660">
        <v>1.5</v>
      </c>
      <c r="E70" s="661">
        <f>'HILOS-CORDONES-TANZA-CUERO'!E11</f>
        <v>210.25</v>
      </c>
      <c r="F70" s="662">
        <f>E70*D70</f>
        <v>315.375</v>
      </c>
      <c r="G70" s="658"/>
      <c r="H70" s="653"/>
      <c r="I70" s="652"/>
    </row>
    <row r="71" spans="1:10" ht="15.75" x14ac:dyDescent="0.25">
      <c r="A71" s="663" t="s">
        <v>3101</v>
      </c>
      <c r="B71" s="660"/>
      <c r="C71" s="660"/>
      <c r="D71" s="660">
        <v>1</v>
      </c>
      <c r="E71" s="661">
        <f>PIEDRAS!K54</f>
        <v>2100</v>
      </c>
      <c r="F71" s="664">
        <f>E71*D71</f>
        <v>2100</v>
      </c>
      <c r="G71" s="658"/>
      <c r="H71" s="653"/>
      <c r="I71" s="652"/>
    </row>
    <row r="72" spans="1:10" ht="15.75" x14ac:dyDescent="0.25">
      <c r="A72" s="2" t="s">
        <v>2255</v>
      </c>
      <c r="B72" s="660"/>
      <c r="C72" s="660"/>
      <c r="D72" s="660">
        <v>2</v>
      </c>
      <c r="E72" s="661">
        <f>FORNITURAS!I11</f>
        <v>155.42857142857142</v>
      </c>
      <c r="F72" s="662">
        <f>D72*E72</f>
        <v>310.85714285714283</v>
      </c>
      <c r="G72" s="658"/>
      <c r="H72" s="653"/>
      <c r="I72" s="652"/>
    </row>
    <row r="73" spans="1:10" ht="15.75" x14ac:dyDescent="0.25">
      <c r="A73" s="666" t="s">
        <v>1746</v>
      </c>
      <c r="B73" s="660"/>
      <c r="C73" s="660"/>
      <c r="D73" s="660"/>
      <c r="E73" s="661"/>
      <c r="F73" s="662">
        <v>20</v>
      </c>
      <c r="G73" s="658"/>
      <c r="H73" s="653"/>
      <c r="I73" s="652"/>
    </row>
    <row r="74" spans="1:10" ht="15.75" x14ac:dyDescent="0.25">
      <c r="A74" s="666" t="s">
        <v>1557</v>
      </c>
      <c r="B74" s="660"/>
      <c r="C74" s="660"/>
      <c r="D74" s="660"/>
      <c r="E74" s="661"/>
      <c r="F74" s="662">
        <f>PACKAGING!E4</f>
        <v>80</v>
      </c>
      <c r="G74" s="658"/>
      <c r="H74" s="653"/>
      <c r="I74" s="652"/>
    </row>
    <row r="75" spans="1:10" ht="15.75" x14ac:dyDescent="0.25">
      <c r="A75" s="663" t="s">
        <v>1618</v>
      </c>
      <c r="B75" s="660"/>
      <c r="C75" s="660">
        <v>60</v>
      </c>
      <c r="D75" s="660">
        <v>20</v>
      </c>
      <c r="E75" s="668">
        <f>'INSUMOS VARIOS'!B3</f>
        <v>3500</v>
      </c>
      <c r="F75" s="669">
        <f>E75*D75/C75</f>
        <v>1166.6666666666667</v>
      </c>
      <c r="G75" s="1" t="s">
        <v>3023</v>
      </c>
      <c r="H75" s="653"/>
      <c r="I75" s="652"/>
    </row>
    <row r="76" spans="1:10" ht="15.75" thickBot="1" x14ac:dyDescent="0.3">
      <c r="A76" s="670" t="s">
        <v>525</v>
      </c>
      <c r="B76" s="671"/>
      <c r="C76" s="671"/>
      <c r="D76" s="671"/>
      <c r="E76" s="672"/>
      <c r="F76" s="673">
        <f>SUM(F70:F75)</f>
        <v>3992.8988095238092</v>
      </c>
      <c r="G76" s="698">
        <f>(F76+H77+H78)</f>
        <v>7270.8988095238092</v>
      </c>
      <c r="H76" s="658" t="s">
        <v>2028</v>
      </c>
      <c r="I76" s="674" t="s">
        <v>2029</v>
      </c>
    </row>
    <row r="77" spans="1:10" ht="16.5" thickBot="1" x14ac:dyDescent="0.3">
      <c r="A77" s="675" t="s">
        <v>544</v>
      </c>
      <c r="B77" s="676"/>
      <c r="C77" s="676"/>
      <c r="D77" s="676"/>
      <c r="E77" s="677"/>
      <c r="F77" s="678">
        <f>F76*2</f>
        <v>7985.7976190476184</v>
      </c>
      <c r="G77" s="679">
        <f>F77+F77*50%</f>
        <v>11978.696428571428</v>
      </c>
      <c r="H77" s="680">
        <f>PACKAGING!I3</f>
        <v>2433</v>
      </c>
      <c r="I77" s="681">
        <f>G77+H77+H78</f>
        <v>15256.696428571428</v>
      </c>
      <c r="J77" s="1099">
        <v>14500</v>
      </c>
    </row>
    <row r="78" spans="1:10" ht="16.5" thickBot="1" x14ac:dyDescent="0.3">
      <c r="A78" s="684" t="s">
        <v>1559</v>
      </c>
      <c r="B78" s="685"/>
      <c r="C78" s="685"/>
      <c r="D78" s="685"/>
      <c r="E78" s="686"/>
      <c r="F78" s="687"/>
      <c r="G78" s="688"/>
      <c r="H78" s="680">
        <f>PACKAGING!I5</f>
        <v>845</v>
      </c>
      <c r="J78" s="956">
        <f>J77*2</f>
        <v>29000</v>
      </c>
    </row>
    <row r="79" spans="1:10" ht="15.75" thickBot="1" x14ac:dyDescent="0.3"/>
    <row r="80" spans="1:10" ht="15.75" x14ac:dyDescent="0.25">
      <c r="A80" s="1746" t="s">
        <v>3283</v>
      </c>
      <c r="B80" s="1747"/>
      <c r="C80" s="1747"/>
      <c r="D80" s="1747"/>
      <c r="E80" s="1747"/>
      <c r="F80" s="1748"/>
      <c r="G80" s="653"/>
      <c r="H80" s="653"/>
      <c r="I80" s="652"/>
    </row>
    <row r="81" spans="1:10" ht="15.75" x14ac:dyDescent="0.25">
      <c r="A81" s="654" t="s">
        <v>916</v>
      </c>
      <c r="B81" s="655" t="s">
        <v>743</v>
      </c>
      <c r="C81" s="655" t="s">
        <v>1089</v>
      </c>
      <c r="D81" s="655" t="s">
        <v>1566</v>
      </c>
      <c r="E81" s="656" t="s">
        <v>1035</v>
      </c>
      <c r="F81" s="657" t="s">
        <v>1549</v>
      </c>
      <c r="G81" s="658"/>
      <c r="H81" s="653"/>
      <c r="I81" s="652"/>
    </row>
    <row r="82" spans="1:10" ht="15.75" x14ac:dyDescent="0.25">
      <c r="A82" s="659" t="s">
        <v>3103</v>
      </c>
      <c r="B82" s="660" t="s">
        <v>969</v>
      </c>
      <c r="C82" s="660"/>
      <c r="D82" s="660">
        <v>1.5</v>
      </c>
      <c r="E82" s="661">
        <f>'HILOS-CORDONES-TANZA-CUERO'!E11</f>
        <v>210.25</v>
      </c>
      <c r="F82" s="662">
        <f>E82*D82</f>
        <v>315.375</v>
      </c>
      <c r="G82" s="658"/>
      <c r="H82" s="653"/>
      <c r="I82" s="652"/>
    </row>
    <row r="83" spans="1:10" ht="15.75" x14ac:dyDescent="0.25">
      <c r="A83" s="663" t="s">
        <v>1352</v>
      </c>
      <c r="B83" s="660"/>
      <c r="C83" s="660"/>
      <c r="D83" s="660">
        <v>1</v>
      </c>
      <c r="E83" s="661">
        <f>PIEDRAS!K55</f>
        <v>1680</v>
      </c>
      <c r="F83" s="664">
        <f>E83*D83</f>
        <v>1680</v>
      </c>
      <c r="G83" s="658"/>
      <c r="H83" s="653"/>
      <c r="I83" s="652"/>
    </row>
    <row r="84" spans="1:10" ht="15.75" x14ac:dyDescent="0.25">
      <c r="A84" s="2" t="s">
        <v>2255</v>
      </c>
      <c r="B84" s="660"/>
      <c r="C84" s="660"/>
      <c r="D84" s="660">
        <v>2</v>
      </c>
      <c r="E84" s="661">
        <f>FORNITURAS!I11</f>
        <v>155.42857142857142</v>
      </c>
      <c r="F84" s="662">
        <f>D84*E84</f>
        <v>310.85714285714283</v>
      </c>
      <c r="G84" s="658"/>
      <c r="H84" s="653"/>
      <c r="I84" s="652"/>
    </row>
    <row r="85" spans="1:10" ht="15.75" x14ac:dyDescent="0.25">
      <c r="A85" s="666" t="s">
        <v>1746</v>
      </c>
      <c r="B85" s="660"/>
      <c r="C85" s="660"/>
      <c r="D85" s="660"/>
      <c r="E85" s="661"/>
      <c r="F85" s="662">
        <v>20</v>
      </c>
      <c r="G85" s="658"/>
      <c r="H85" s="653"/>
      <c r="I85" s="652"/>
    </row>
    <row r="86" spans="1:10" ht="15.75" x14ac:dyDescent="0.25">
      <c r="A86" s="666" t="s">
        <v>1557</v>
      </c>
      <c r="B86" s="660"/>
      <c r="C86" s="660"/>
      <c r="D86" s="660"/>
      <c r="E86" s="661"/>
      <c r="F86" s="662">
        <f>PACKAGING!E4</f>
        <v>80</v>
      </c>
      <c r="G86" s="658"/>
      <c r="H86" s="653"/>
      <c r="I86" s="652"/>
    </row>
    <row r="87" spans="1:10" ht="15.75" x14ac:dyDescent="0.25">
      <c r="A87" s="663" t="s">
        <v>1618</v>
      </c>
      <c r="B87" s="660"/>
      <c r="C87" s="660">
        <v>60</v>
      </c>
      <c r="D87" s="660">
        <v>20</v>
      </c>
      <c r="E87" s="668">
        <f>'INSUMOS VARIOS'!B3</f>
        <v>3500</v>
      </c>
      <c r="F87" s="669">
        <f>E87*D87/C87</f>
        <v>1166.6666666666667</v>
      </c>
      <c r="G87" s="1" t="s">
        <v>3023</v>
      </c>
      <c r="H87" s="653"/>
      <c r="I87" s="652"/>
    </row>
    <row r="88" spans="1:10" ht="15.75" thickBot="1" x14ac:dyDescent="0.3">
      <c r="A88" s="670" t="s">
        <v>525</v>
      </c>
      <c r="B88" s="671"/>
      <c r="C88" s="671"/>
      <c r="D88" s="671"/>
      <c r="E88" s="672"/>
      <c r="F88" s="673">
        <f>SUM(F82:F87)</f>
        <v>3572.8988095238092</v>
      </c>
      <c r="G88" s="698">
        <f>(F88+H89+H90)</f>
        <v>6850.8988095238092</v>
      </c>
      <c r="H88" s="658" t="s">
        <v>2028</v>
      </c>
      <c r="I88" s="674" t="s">
        <v>2029</v>
      </c>
    </row>
    <row r="89" spans="1:10" ht="16.5" thickBot="1" x14ac:dyDescent="0.3">
      <c r="A89" s="675" t="s">
        <v>544</v>
      </c>
      <c r="B89" s="676"/>
      <c r="C89" s="676"/>
      <c r="D89" s="676"/>
      <c r="E89" s="677"/>
      <c r="F89" s="678">
        <f>F88*2</f>
        <v>7145.7976190476184</v>
      </c>
      <c r="G89" s="679">
        <f>F89+F89*50%</f>
        <v>10718.696428571428</v>
      </c>
      <c r="H89" s="680">
        <f>PACKAGING!I3</f>
        <v>2433</v>
      </c>
      <c r="I89" s="681">
        <f>G89+H89+H90</f>
        <v>13996.696428571428</v>
      </c>
      <c r="J89" s="1099">
        <v>15000</v>
      </c>
    </row>
    <row r="90" spans="1:10" ht="16.5" thickBot="1" x14ac:dyDescent="0.3">
      <c r="A90" s="684" t="s">
        <v>1559</v>
      </c>
      <c r="B90" s="685"/>
      <c r="C90" s="685"/>
      <c r="D90" s="685"/>
      <c r="E90" s="686"/>
      <c r="F90" s="687"/>
      <c r="G90" s="688"/>
      <c r="H90" s="680">
        <f>PACKAGING!I5</f>
        <v>845</v>
      </c>
      <c r="J90" s="956">
        <f>J89*2</f>
        <v>30000</v>
      </c>
    </row>
    <row r="91" spans="1:10" ht="15.75" thickBot="1" x14ac:dyDescent="0.3"/>
    <row r="92" spans="1:10" ht="15.75" x14ac:dyDescent="0.25">
      <c r="A92" s="1746" t="s">
        <v>3210</v>
      </c>
      <c r="B92" s="1747"/>
      <c r="C92" s="1747"/>
      <c r="D92" s="1747"/>
      <c r="E92" s="1747"/>
      <c r="F92" s="1748"/>
      <c r="G92" s="653"/>
      <c r="H92" s="653"/>
      <c r="I92" s="652"/>
    </row>
    <row r="93" spans="1:10" ht="15.75" x14ac:dyDescent="0.25">
      <c r="A93" s="654" t="s">
        <v>916</v>
      </c>
      <c r="B93" s="655" t="s">
        <v>743</v>
      </c>
      <c r="C93" s="655" t="s">
        <v>1089</v>
      </c>
      <c r="D93" s="655" t="s">
        <v>1566</v>
      </c>
      <c r="E93" s="656" t="s">
        <v>1035</v>
      </c>
      <c r="F93" s="657" t="s">
        <v>1549</v>
      </c>
      <c r="G93" s="658"/>
      <c r="H93" s="653"/>
      <c r="I93" s="652"/>
    </row>
    <row r="94" spans="1:10" ht="15.75" x14ac:dyDescent="0.25">
      <c r="A94" s="659" t="s">
        <v>3104</v>
      </c>
      <c r="B94" s="660" t="s">
        <v>3102</v>
      </c>
      <c r="C94" s="660"/>
      <c r="D94" s="660">
        <v>1.3</v>
      </c>
      <c r="E94" s="661">
        <f>'HILOS-CORDONES-TANZA-CUERO'!E14</f>
        <v>210.25</v>
      </c>
      <c r="F94" s="662">
        <f>E94*D94</f>
        <v>273.32499999999999</v>
      </c>
      <c r="G94" s="658"/>
      <c r="H94" s="653"/>
      <c r="I94" s="652"/>
    </row>
    <row r="95" spans="1:10" ht="15.75" x14ac:dyDescent="0.25">
      <c r="A95" s="663" t="s">
        <v>970</v>
      </c>
      <c r="B95" s="660"/>
      <c r="C95" s="660"/>
      <c r="D95" s="660">
        <v>1</v>
      </c>
      <c r="E95" s="661">
        <f>'INSUMOS VARIOS'!E62</f>
        <v>51.428571428571431</v>
      </c>
      <c r="F95" s="664">
        <f>'INSUMOS VARIOS'!E65</f>
        <v>44.2</v>
      </c>
      <c r="G95" s="658"/>
      <c r="H95" s="653"/>
      <c r="I95" s="652"/>
    </row>
    <row r="96" spans="1:10" ht="15.75" x14ac:dyDescent="0.25">
      <c r="A96" s="769" t="s">
        <v>2255</v>
      </c>
      <c r="B96" s="660"/>
      <c r="C96" s="660"/>
      <c r="D96" s="660">
        <v>2</v>
      </c>
      <c r="E96" s="661">
        <f>FORNITURAS!I11</f>
        <v>155.42857142857142</v>
      </c>
      <c r="F96" s="662">
        <f>D96*E96</f>
        <v>310.85714285714283</v>
      </c>
      <c r="G96" s="658"/>
      <c r="H96" s="653"/>
      <c r="I96" s="652"/>
    </row>
    <row r="97" spans="1:10" ht="15.75" x14ac:dyDescent="0.25">
      <c r="A97" s="666" t="s">
        <v>1746</v>
      </c>
      <c r="B97" s="660"/>
      <c r="C97" s="660"/>
      <c r="D97" s="660"/>
      <c r="E97" s="661"/>
      <c r="F97" s="662">
        <v>20</v>
      </c>
      <c r="G97" s="658"/>
      <c r="H97" s="653"/>
      <c r="I97" s="652"/>
    </row>
    <row r="98" spans="1:10" ht="15.75" x14ac:dyDescent="0.25">
      <c r="A98" s="666" t="s">
        <v>1557</v>
      </c>
      <c r="B98" s="660"/>
      <c r="C98" s="660"/>
      <c r="D98" s="660"/>
      <c r="E98" s="661"/>
      <c r="F98" s="662">
        <f>PACKAGING!E4</f>
        <v>80</v>
      </c>
      <c r="G98" s="658"/>
      <c r="H98" s="653"/>
      <c r="I98" s="652"/>
    </row>
    <row r="99" spans="1:10" ht="15.75" x14ac:dyDescent="0.25">
      <c r="A99" s="663" t="s">
        <v>1618</v>
      </c>
      <c r="B99" s="660"/>
      <c r="C99" s="660">
        <v>60</v>
      </c>
      <c r="D99" s="660">
        <v>30</v>
      </c>
      <c r="E99" s="668">
        <f>'INSUMOS VARIOS'!B3</f>
        <v>3500</v>
      </c>
      <c r="F99" s="669">
        <f>E99*D99/C99</f>
        <v>1750</v>
      </c>
      <c r="G99" s="1" t="s">
        <v>3023</v>
      </c>
      <c r="H99" s="653"/>
      <c r="I99" s="652"/>
    </row>
    <row r="100" spans="1:10" ht="16.5" thickBot="1" x14ac:dyDescent="0.3">
      <c r="A100" s="670" t="s">
        <v>525</v>
      </c>
      <c r="B100" s="671"/>
      <c r="C100" s="671"/>
      <c r="D100" s="671"/>
      <c r="E100" s="672"/>
      <c r="F100" s="673">
        <f>SUM(F94:F99)</f>
        <v>2478.3821428571428</v>
      </c>
      <c r="G100" s="60">
        <f>F100+H101+H102</f>
        <v>5756.3821428571428</v>
      </c>
      <c r="H100" s="653" t="s">
        <v>2028</v>
      </c>
      <c r="I100" s="1120" t="s">
        <v>2029</v>
      </c>
    </row>
    <row r="101" spans="1:10" ht="16.5" thickBot="1" x14ac:dyDescent="0.3">
      <c r="A101" s="675" t="s">
        <v>544</v>
      </c>
      <c r="B101" s="676"/>
      <c r="C101" s="676"/>
      <c r="D101" s="676"/>
      <c r="E101" s="677"/>
      <c r="F101" s="678">
        <f>F100*2</f>
        <v>4956.7642857142855</v>
      </c>
      <c r="G101" s="679">
        <f>F101+F101*50%</f>
        <v>7435.1464285714283</v>
      </c>
      <c r="H101" s="1118">
        <f>PACKAGING!I3</f>
        <v>2433</v>
      </c>
      <c r="I101" s="1122">
        <f>H101+H102+G101</f>
        <v>10713.146428571428</v>
      </c>
      <c r="J101" s="1123">
        <v>10000</v>
      </c>
    </row>
    <row r="102" spans="1:10" ht="16.5" thickBot="1" x14ac:dyDescent="0.3">
      <c r="A102" s="684" t="s">
        <v>1559</v>
      </c>
      <c r="B102" s="685"/>
      <c r="C102" s="685"/>
      <c r="D102" s="685"/>
      <c r="E102" s="686"/>
      <c r="F102" s="687"/>
      <c r="G102" s="688"/>
      <c r="H102" s="1119">
        <f>PACKAGING!I5</f>
        <v>845</v>
      </c>
      <c r="I102" s="1121"/>
      <c r="J102" s="1124">
        <f>J101*2</f>
        <v>20000</v>
      </c>
    </row>
    <row r="103" spans="1:10" ht="15.75" thickBot="1" x14ac:dyDescent="0.3"/>
    <row r="104" spans="1:10" x14ac:dyDescent="0.25">
      <c r="A104" s="1746" t="s">
        <v>3167</v>
      </c>
      <c r="B104" s="1747"/>
      <c r="C104" s="1747"/>
      <c r="D104" s="1747"/>
      <c r="E104" s="1747"/>
      <c r="F104" s="1748"/>
    </row>
    <row r="105" spans="1:10" ht="15.75" x14ac:dyDescent="0.25">
      <c r="A105" s="654" t="s">
        <v>916</v>
      </c>
      <c r="B105" s="655" t="s">
        <v>743</v>
      </c>
      <c r="C105" s="655" t="s">
        <v>1089</v>
      </c>
      <c r="D105" s="655" t="s">
        <v>1566</v>
      </c>
      <c r="E105" s="656" t="s">
        <v>1035</v>
      </c>
      <c r="F105" s="657" t="s">
        <v>1549</v>
      </c>
      <c r="G105" s="653"/>
      <c r="H105" s="653"/>
      <c r="I105" s="652"/>
    </row>
    <row r="106" spans="1:10" ht="15.75" x14ac:dyDescent="0.25">
      <c r="A106" s="659" t="s">
        <v>3122</v>
      </c>
      <c r="B106" s="660" t="s">
        <v>969</v>
      </c>
      <c r="C106" s="660"/>
      <c r="D106" s="660">
        <v>1.9</v>
      </c>
      <c r="E106" s="661">
        <f>'HILOS-CORDONES-TANZA-CUERO'!E11</f>
        <v>210.25</v>
      </c>
      <c r="F106" s="662">
        <f>E106*D106</f>
        <v>399.47499999999997</v>
      </c>
      <c r="G106" s="658"/>
      <c r="H106" s="653"/>
      <c r="I106" s="652"/>
    </row>
    <row r="107" spans="1:10" ht="15.75" x14ac:dyDescent="0.25">
      <c r="A107" s="663" t="s">
        <v>3123</v>
      </c>
      <c r="B107" s="660"/>
      <c r="C107" s="660"/>
      <c r="D107" s="660">
        <v>1</v>
      </c>
      <c r="E107" s="661">
        <f>'AROS, CADENAS, DIJES, ETC'!O52</f>
        <v>4079</v>
      </c>
      <c r="F107" s="664">
        <f>E107*D107</f>
        <v>4079</v>
      </c>
      <c r="G107" s="658"/>
      <c r="H107" s="653"/>
      <c r="I107" s="652"/>
    </row>
    <row r="108" spans="1:10" ht="15.75" x14ac:dyDescent="0.25">
      <c r="A108" s="665" t="s">
        <v>1013</v>
      </c>
      <c r="B108" s="660"/>
      <c r="C108" s="660"/>
      <c r="D108" s="660">
        <v>2</v>
      </c>
      <c r="E108" s="661">
        <f>FORNITURAS!I11</f>
        <v>155.42857142857142</v>
      </c>
      <c r="F108" s="662">
        <f>D108*E108</f>
        <v>310.85714285714283</v>
      </c>
      <c r="G108" s="658"/>
      <c r="H108" s="653"/>
      <c r="I108" s="652"/>
    </row>
    <row r="109" spans="1:10" ht="15.75" x14ac:dyDescent="0.25">
      <c r="A109" s="666" t="s">
        <v>1746</v>
      </c>
      <c r="B109" s="660"/>
      <c r="C109" s="660"/>
      <c r="D109" s="660"/>
      <c r="E109" s="661"/>
      <c r="F109" s="662">
        <v>20</v>
      </c>
      <c r="G109" s="658"/>
      <c r="H109" s="653"/>
      <c r="I109" s="652"/>
    </row>
    <row r="110" spans="1:10" ht="15.75" x14ac:dyDescent="0.25">
      <c r="A110" s="666" t="s">
        <v>1557</v>
      </c>
      <c r="B110" s="660"/>
      <c r="C110" s="660"/>
      <c r="D110" s="660"/>
      <c r="E110" s="661"/>
      <c r="F110" s="662">
        <f>PACKAGING!E3</f>
        <v>150</v>
      </c>
      <c r="G110" s="658"/>
      <c r="H110" s="653"/>
      <c r="I110" s="652"/>
    </row>
    <row r="111" spans="1:10" ht="15.75" x14ac:dyDescent="0.25">
      <c r="A111" s="663" t="s">
        <v>1618</v>
      </c>
      <c r="B111" s="660" t="s">
        <v>2030</v>
      </c>
      <c r="C111" s="660">
        <v>60</v>
      </c>
      <c r="D111" s="660">
        <v>10</v>
      </c>
      <c r="E111" s="668">
        <f>'INSUMOS VARIOS'!B3</f>
        <v>3500</v>
      </c>
      <c r="F111" s="669">
        <f>E111*D111/C111</f>
        <v>583.33333333333337</v>
      </c>
      <c r="G111" s="1" t="s">
        <v>3023</v>
      </c>
      <c r="H111" s="653"/>
      <c r="I111" s="652"/>
    </row>
    <row r="112" spans="1:10" ht="15.75" thickBot="1" x14ac:dyDescent="0.3">
      <c r="A112" s="670" t="s">
        <v>525</v>
      </c>
      <c r="B112" s="671"/>
      <c r="C112" s="671"/>
      <c r="D112" s="671"/>
      <c r="E112" s="672"/>
      <c r="F112" s="673">
        <f>SUM(F106:F111)</f>
        <v>5542.6654761904765</v>
      </c>
      <c r="G112" s="698">
        <f>(F112+H113+H114)</f>
        <v>8820.6654761904756</v>
      </c>
      <c r="H112" s="658" t="s">
        <v>2028</v>
      </c>
      <c r="I112" s="674" t="s">
        <v>2029</v>
      </c>
    </row>
    <row r="113" spans="1:10" ht="16.5" thickBot="1" x14ac:dyDescent="0.3">
      <c r="A113" s="675" t="s">
        <v>544</v>
      </c>
      <c r="B113" s="676"/>
      <c r="C113" s="676"/>
      <c r="D113" s="676"/>
      <c r="E113" s="677"/>
      <c r="F113" s="678">
        <f>F112*2</f>
        <v>11085.330952380953</v>
      </c>
      <c r="G113" s="679">
        <f>F113+F113*50%</f>
        <v>16627.99642857143</v>
      </c>
      <c r="H113" s="680">
        <f>PACKAGING!I3</f>
        <v>2433</v>
      </c>
      <c r="I113" s="681">
        <f>H113+H114+G113</f>
        <v>19905.99642857143</v>
      </c>
      <c r="J113" s="681">
        <v>15000</v>
      </c>
    </row>
    <row r="114" spans="1:10" ht="16.5" thickBot="1" x14ac:dyDescent="0.3">
      <c r="A114" s="684" t="s">
        <v>1559</v>
      </c>
      <c r="B114" s="685"/>
      <c r="C114" s="685"/>
      <c r="D114" s="685"/>
      <c r="E114" s="686"/>
      <c r="F114" s="687"/>
      <c r="G114" s="688"/>
      <c r="H114" s="680">
        <f>PACKAGING!I5</f>
        <v>845</v>
      </c>
      <c r="I114" s="1106"/>
      <c r="J114" s="681">
        <f>J113*2</f>
        <v>30000</v>
      </c>
    </row>
    <row r="115" spans="1:10" ht="15.75" thickBot="1" x14ac:dyDescent="0.3"/>
    <row r="116" spans="1:10" ht="15.75" x14ac:dyDescent="0.25">
      <c r="A116" s="1746" t="s">
        <v>3157</v>
      </c>
      <c r="B116" s="1747"/>
      <c r="C116" s="1747"/>
      <c r="D116" s="1747"/>
      <c r="E116" s="1747"/>
      <c r="F116" s="1748"/>
      <c r="G116" s="653"/>
      <c r="H116" s="653"/>
      <c r="I116" s="652"/>
    </row>
    <row r="117" spans="1:10" ht="15.75" x14ac:dyDescent="0.25">
      <c r="A117" s="654" t="s">
        <v>916</v>
      </c>
      <c r="B117" s="655" t="s">
        <v>743</v>
      </c>
      <c r="C117" s="655" t="s">
        <v>1089</v>
      </c>
      <c r="D117" s="655" t="s">
        <v>1566</v>
      </c>
      <c r="E117" s="656" t="s">
        <v>1035</v>
      </c>
      <c r="F117" s="657" t="s">
        <v>1549</v>
      </c>
      <c r="G117" s="658"/>
      <c r="H117" s="653"/>
      <c r="I117" s="652"/>
    </row>
    <row r="118" spans="1:10" ht="15.75" x14ac:dyDescent="0.25">
      <c r="A118" s="659" t="s">
        <v>3156</v>
      </c>
      <c r="B118" s="660" t="s">
        <v>969</v>
      </c>
      <c r="C118" s="660"/>
      <c r="D118" s="660">
        <v>1.5</v>
      </c>
      <c r="E118" s="661">
        <f>'HILOS-CORDONES-TANZA-CUERO'!E12</f>
        <v>210.25</v>
      </c>
      <c r="F118" s="662">
        <f>E118*D118</f>
        <v>315.375</v>
      </c>
      <c r="G118" s="658"/>
      <c r="H118" s="653"/>
      <c r="I118" s="652"/>
    </row>
    <row r="119" spans="1:10" ht="15.75" x14ac:dyDescent="0.25">
      <c r="A119" s="663" t="s">
        <v>2151</v>
      </c>
      <c r="B119" s="660"/>
      <c r="C119" s="660"/>
      <c r="D119" s="660">
        <v>1</v>
      </c>
      <c r="E119" s="661">
        <f>PERLAS!O7</f>
        <v>1745.8823529411766</v>
      </c>
      <c r="F119" s="664">
        <f>E119*D119</f>
        <v>1745.8823529411766</v>
      </c>
      <c r="G119" s="658"/>
      <c r="H119" s="653"/>
      <c r="I119" s="652"/>
    </row>
    <row r="120" spans="1:10" ht="15.75" x14ac:dyDescent="0.25">
      <c r="A120" s="2" t="s">
        <v>2255</v>
      </c>
      <c r="B120" s="660"/>
      <c r="C120" s="660"/>
      <c r="D120" s="660">
        <v>2</v>
      </c>
      <c r="E120" s="661">
        <f>FORNITURAS!I11</f>
        <v>155.42857142857142</v>
      </c>
      <c r="F120" s="662">
        <f>D120*E120</f>
        <v>310.85714285714283</v>
      </c>
      <c r="G120" s="658"/>
      <c r="H120" s="653"/>
      <c r="I120" s="652"/>
    </row>
    <row r="121" spans="1:10" ht="15.75" x14ac:dyDescent="0.25">
      <c r="A121" s="666" t="s">
        <v>1746</v>
      </c>
      <c r="B121" s="660"/>
      <c r="C121" s="660"/>
      <c r="D121" s="660"/>
      <c r="E121" s="661"/>
      <c r="F121" s="662">
        <v>20</v>
      </c>
      <c r="G121" s="658"/>
      <c r="H121" s="653"/>
      <c r="I121" s="652"/>
    </row>
    <row r="122" spans="1:10" ht="15.75" x14ac:dyDescent="0.25">
      <c r="A122" s="666" t="s">
        <v>1557</v>
      </c>
      <c r="B122" s="660"/>
      <c r="C122" s="660"/>
      <c r="D122" s="660"/>
      <c r="E122" s="661"/>
      <c r="F122" s="662">
        <f>PACKAGING!E3</f>
        <v>150</v>
      </c>
      <c r="G122" s="658"/>
      <c r="H122" s="653"/>
      <c r="I122" s="652"/>
    </row>
    <row r="123" spans="1:10" ht="15.75" x14ac:dyDescent="0.25">
      <c r="A123" s="663" t="s">
        <v>1618</v>
      </c>
      <c r="B123" s="660"/>
      <c r="C123" s="660">
        <v>60</v>
      </c>
      <c r="D123" s="660">
        <v>20</v>
      </c>
      <c r="E123" s="668">
        <f>'INSUMOS VARIOS'!B3</f>
        <v>3500</v>
      </c>
      <c r="F123" s="669">
        <f>E123*D123/C123</f>
        <v>1166.6666666666667</v>
      </c>
      <c r="G123" s="1" t="s">
        <v>3023</v>
      </c>
      <c r="H123" s="653"/>
      <c r="I123" s="652"/>
    </row>
    <row r="124" spans="1:10" ht="15.75" thickBot="1" x14ac:dyDescent="0.3">
      <c r="A124" s="670" t="s">
        <v>525</v>
      </c>
      <c r="B124" s="671"/>
      <c r="C124" s="671"/>
      <c r="D124" s="671"/>
      <c r="E124" s="672"/>
      <c r="F124" s="673">
        <f>SUM(F118:F123)</f>
        <v>3708.7811624649858</v>
      </c>
      <c r="G124" s="698">
        <f>(F124+H125+H126)</f>
        <v>6986.7811624649858</v>
      </c>
      <c r="H124" s="658" t="s">
        <v>2028</v>
      </c>
      <c r="I124" s="674" t="s">
        <v>2029</v>
      </c>
    </row>
    <row r="125" spans="1:10" ht="16.5" thickBot="1" x14ac:dyDescent="0.3">
      <c r="A125" s="675" t="s">
        <v>544</v>
      </c>
      <c r="B125" s="676"/>
      <c r="C125" s="676"/>
      <c r="D125" s="676"/>
      <c r="E125" s="677"/>
      <c r="F125" s="678">
        <f>F124*2</f>
        <v>7417.5623249299715</v>
      </c>
      <c r="G125" s="679">
        <f>F125+F125*50%</f>
        <v>11126.343487394957</v>
      </c>
      <c r="H125" s="680">
        <f>PACKAGING!I3</f>
        <v>2433</v>
      </c>
      <c r="I125" s="681">
        <f>G125+H125+H126</f>
        <v>14404.343487394957</v>
      </c>
      <c r="J125" s="1099">
        <v>10500</v>
      </c>
    </row>
    <row r="126" spans="1:10" ht="16.5" thickBot="1" x14ac:dyDescent="0.3">
      <c r="A126" s="684" t="s">
        <v>1559</v>
      </c>
      <c r="B126" s="685"/>
      <c r="C126" s="685"/>
      <c r="D126" s="685"/>
      <c r="E126" s="686"/>
      <c r="F126" s="687"/>
      <c r="G126" s="688"/>
      <c r="H126" s="680">
        <f>PACKAGING!I5</f>
        <v>845</v>
      </c>
      <c r="J126" s="956">
        <f>J125*2</f>
        <v>21000</v>
      </c>
    </row>
    <row r="128" spans="1:10" ht="15.75" x14ac:dyDescent="0.25">
      <c r="A128" s="1576" t="s">
        <v>3284</v>
      </c>
      <c r="B128" s="1577"/>
      <c r="C128" s="1577"/>
      <c r="D128" s="1577"/>
      <c r="E128" s="1577"/>
      <c r="F128" s="1578"/>
      <c r="G128" s="171"/>
      <c r="H128" s="171"/>
    </row>
    <row r="129" spans="1:10" ht="15.75" x14ac:dyDescent="0.25">
      <c r="A129" s="183" t="s">
        <v>916</v>
      </c>
      <c r="B129" s="97" t="s">
        <v>743</v>
      </c>
      <c r="C129" s="97" t="s">
        <v>1089</v>
      </c>
      <c r="D129" s="76" t="s">
        <v>1547</v>
      </c>
      <c r="E129" s="108" t="s">
        <v>747</v>
      </c>
      <c r="F129" s="77" t="s">
        <v>1549</v>
      </c>
      <c r="G129" s="1"/>
      <c r="H129" s="171"/>
    </row>
    <row r="130" spans="1:10" ht="15.75" x14ac:dyDescent="0.25">
      <c r="A130" s="3" t="s">
        <v>3617</v>
      </c>
      <c r="B130" s="98"/>
      <c r="C130" s="98"/>
      <c r="D130" s="2">
        <v>2</v>
      </c>
      <c r="E130" s="66">
        <f>'PERLAS 2'!H9</f>
        <v>1601.6</v>
      </c>
      <c r="F130" s="39">
        <f>E130*D130</f>
        <v>3203.2</v>
      </c>
      <c r="G130" s="1"/>
      <c r="H130" s="171"/>
    </row>
    <row r="131" spans="1:10" ht="15.75" x14ac:dyDescent="0.25">
      <c r="A131" s="3" t="s">
        <v>3052</v>
      </c>
      <c r="B131" s="98"/>
      <c r="C131" s="98"/>
      <c r="D131" s="2">
        <v>1</v>
      </c>
      <c r="E131" s="66">
        <f>'AROS, CADENAS, DIJES, ETC'!I6</f>
        <v>3328</v>
      </c>
      <c r="F131" s="39">
        <f>E131</f>
        <v>3328</v>
      </c>
      <c r="G131" s="1"/>
      <c r="H131" s="171"/>
    </row>
    <row r="132" spans="1:10" ht="15.75" x14ac:dyDescent="0.25">
      <c r="A132" s="191" t="s">
        <v>1050</v>
      </c>
      <c r="B132" s="98" t="s">
        <v>1062</v>
      </c>
      <c r="C132" s="98">
        <v>0.05</v>
      </c>
      <c r="D132" s="2">
        <v>2</v>
      </c>
      <c r="E132" s="66">
        <f>FORNITURAS!W6</f>
        <v>541.13207547169816</v>
      </c>
      <c r="F132" s="39">
        <f>D132*C132*E132/1</f>
        <v>54.113207547169822</v>
      </c>
      <c r="G132" s="1"/>
      <c r="H132" s="171"/>
    </row>
    <row r="133" spans="1:10" ht="15.75" x14ac:dyDescent="0.25">
      <c r="A133" s="3" t="s">
        <v>1558</v>
      </c>
      <c r="B133" s="98">
        <v>60</v>
      </c>
      <c r="C133" s="98"/>
      <c r="D133" s="2">
        <v>20</v>
      </c>
      <c r="E133" s="66">
        <f>'INSUMOS VARIOS'!B3</f>
        <v>3500</v>
      </c>
      <c r="F133" s="39">
        <f>E133*D133/B133</f>
        <v>1166.6666666666667</v>
      </c>
      <c r="G133" s="1" t="s">
        <v>3023</v>
      </c>
      <c r="H133" s="1"/>
      <c r="I133" s="1"/>
      <c r="J133" s="1"/>
    </row>
    <row r="134" spans="1:10" ht="16.5" thickBot="1" x14ac:dyDescent="0.3">
      <c r="A134" s="79" t="s">
        <v>525</v>
      </c>
      <c r="B134" s="99"/>
      <c r="C134" s="99"/>
      <c r="D134" s="70"/>
      <c r="E134" s="85"/>
      <c r="F134" s="51">
        <f>SUM(F129:F133)</f>
        <v>7751.9798742138364</v>
      </c>
      <c r="G134" s="60">
        <f>F134+H135+H136</f>
        <v>11029.979874213837</v>
      </c>
      <c r="H134" s="1" t="s">
        <v>3108</v>
      </c>
      <c r="I134" s="1"/>
      <c r="J134" s="1"/>
    </row>
    <row r="135" spans="1:10" ht="16.5" thickBot="1" x14ac:dyDescent="0.3">
      <c r="A135" s="596" t="s">
        <v>1559</v>
      </c>
      <c r="B135" s="597"/>
      <c r="C135" s="597"/>
      <c r="D135" s="598"/>
      <c r="E135" s="598"/>
      <c r="F135" s="215">
        <f>F134*2</f>
        <v>15503.959748427673</v>
      </c>
      <c r="G135" s="515">
        <f>F135+F135*70%</f>
        <v>26356.731572327044</v>
      </c>
      <c r="H135" s="1101">
        <f>PACKAGING!I3</f>
        <v>2433</v>
      </c>
      <c r="I135" s="1183">
        <f>H135+G135+H136</f>
        <v>29634.731572327044</v>
      </c>
      <c r="J135" s="702">
        <v>40000</v>
      </c>
    </row>
    <row r="136" spans="1:10" ht="16.5" thickBot="1" x14ac:dyDescent="0.3">
      <c r="G136" s="958"/>
      <c r="H136" s="1102">
        <f>PACKAGING!I5</f>
        <v>845</v>
      </c>
      <c r="I136" s="1100"/>
    </row>
    <row r="137" spans="1:10" ht="16.5" thickBot="1" x14ac:dyDescent="0.3">
      <c r="J137" s="1182"/>
    </row>
    <row r="138" spans="1:10" ht="16.5" thickBot="1" x14ac:dyDescent="0.3">
      <c r="A138" s="1565" t="s">
        <v>363</v>
      </c>
      <c r="B138" s="1566"/>
      <c r="C138" s="1566"/>
      <c r="D138" s="1566"/>
      <c r="E138" s="1567"/>
    </row>
    <row r="139" spans="1:10" ht="15.75" x14ac:dyDescent="0.25">
      <c r="A139" s="183" t="s">
        <v>916</v>
      </c>
      <c r="B139" s="97" t="s">
        <v>743</v>
      </c>
      <c r="C139" s="97" t="s">
        <v>1566</v>
      </c>
      <c r="D139" s="76" t="s">
        <v>1035</v>
      </c>
      <c r="E139" s="77" t="s">
        <v>1549</v>
      </c>
      <c r="F139" s="1"/>
    </row>
    <row r="140" spans="1:10" ht="15.75" x14ac:dyDescent="0.25">
      <c r="A140" s="185" t="s">
        <v>1160</v>
      </c>
      <c r="B140" s="98"/>
      <c r="C140" s="98">
        <v>1</v>
      </c>
      <c r="D140" s="102">
        <f>'INSUMOS VARIOS'!D57</f>
        <v>1540</v>
      </c>
      <c r="E140" s="39">
        <f>D140*C140</f>
        <v>1540</v>
      </c>
      <c r="F140" s="1"/>
    </row>
    <row r="141" spans="1:10" ht="15.75" x14ac:dyDescent="0.25">
      <c r="A141" s="184" t="s">
        <v>1804</v>
      </c>
      <c r="B141" s="98"/>
      <c r="C141" s="98">
        <v>2</v>
      </c>
      <c r="D141" s="102">
        <f>'INSUMOS VARIOS'!E54</f>
        <v>177.5</v>
      </c>
      <c r="E141" s="39">
        <f>C141*D141</f>
        <v>355</v>
      </c>
      <c r="F141" s="1"/>
    </row>
    <row r="142" spans="1:10" ht="15.75" x14ac:dyDescent="0.25">
      <c r="A142" s="3" t="s">
        <v>2000</v>
      </c>
      <c r="B142" s="98"/>
      <c r="C142" s="98">
        <v>2</v>
      </c>
      <c r="D142" s="102">
        <f>FORNITURAS!I5</f>
        <v>188.85714285714286</v>
      </c>
      <c r="E142" s="39">
        <f>D142*C142</f>
        <v>377.71428571428572</v>
      </c>
      <c r="F142" s="1"/>
    </row>
    <row r="143" spans="1:10" ht="15.75" x14ac:dyDescent="0.25">
      <c r="A143" s="104" t="s">
        <v>1191</v>
      </c>
      <c r="B143" s="98"/>
      <c r="C143" s="98">
        <v>2</v>
      </c>
      <c r="D143" s="102">
        <f>FORNITURAS!D17</f>
        <v>45.05</v>
      </c>
      <c r="E143" s="39">
        <f>D143*C143</f>
        <v>90.1</v>
      </c>
      <c r="F143" s="1"/>
    </row>
    <row r="144" spans="1:10" ht="15.75" x14ac:dyDescent="0.25">
      <c r="A144" s="104" t="s">
        <v>1557</v>
      </c>
      <c r="B144" s="98"/>
      <c r="C144" s="98"/>
      <c r="D144" s="2"/>
      <c r="E144" s="39">
        <f>PACKAGING!E4</f>
        <v>80</v>
      </c>
      <c r="F144" s="1"/>
    </row>
    <row r="145" spans="1:9" ht="15.75" x14ac:dyDescent="0.25">
      <c r="A145" s="104" t="s">
        <v>1590</v>
      </c>
      <c r="B145" s="98">
        <v>60</v>
      </c>
      <c r="C145" s="98">
        <v>15</v>
      </c>
      <c r="D145" s="102">
        <f>'INSUMOS VARIOS'!B3</f>
        <v>3500</v>
      </c>
      <c r="E145" s="39">
        <f>D145*C145/B145</f>
        <v>875</v>
      </c>
      <c r="F145" s="1"/>
    </row>
    <row r="146" spans="1:9" ht="16.5" thickBot="1" x14ac:dyDescent="0.3">
      <c r="A146" s="79" t="s">
        <v>525</v>
      </c>
      <c r="B146" s="99"/>
      <c r="C146" s="99"/>
      <c r="D146" s="70"/>
      <c r="E146" s="51">
        <f>SUM(E140:E145)</f>
        <v>3317.8142857142857</v>
      </c>
      <c r="F146" s="1"/>
    </row>
    <row r="147" spans="1:9" ht="18.75" x14ac:dyDescent="0.25">
      <c r="A147" s="80" t="s">
        <v>544</v>
      </c>
      <c r="B147" s="100"/>
      <c r="C147" s="100"/>
      <c r="D147" s="71"/>
      <c r="E147" s="72">
        <f>E146*2</f>
        <v>6635.6285714285714</v>
      </c>
      <c r="F147" s="492">
        <f>E147+E147*50%</f>
        <v>9953.442857142858</v>
      </c>
      <c r="G147" s="75">
        <v>11500</v>
      </c>
    </row>
    <row r="148" spans="1:9" ht="19.5" thickBot="1" x14ac:dyDescent="0.3">
      <c r="A148" s="81" t="s">
        <v>1559</v>
      </c>
      <c r="B148" s="101"/>
      <c r="C148" s="101"/>
      <c r="D148" s="73"/>
      <c r="E148" s="73"/>
      <c r="F148" s="493"/>
      <c r="G148" s="74">
        <f>G147*2</f>
        <v>23000</v>
      </c>
    </row>
    <row r="149" spans="1:9" ht="15.75" thickBot="1" x14ac:dyDescent="0.3"/>
    <row r="150" spans="1:9" x14ac:dyDescent="0.25">
      <c r="A150" s="1746" t="s">
        <v>3300</v>
      </c>
      <c r="B150" s="1747"/>
      <c r="C150" s="1747"/>
      <c r="D150" s="1747"/>
      <c r="E150" s="1747"/>
      <c r="F150" s="1748"/>
    </row>
    <row r="151" spans="1:9" ht="15.75" x14ac:dyDescent="0.25">
      <c r="A151" s="654" t="s">
        <v>916</v>
      </c>
      <c r="B151" s="655" t="s">
        <v>743</v>
      </c>
      <c r="C151" s="655" t="s">
        <v>1089</v>
      </c>
      <c r="D151" s="655" t="s">
        <v>1566</v>
      </c>
      <c r="E151" s="656" t="s">
        <v>1035</v>
      </c>
      <c r="F151" s="657" t="s">
        <v>1549</v>
      </c>
      <c r="G151" s="653"/>
      <c r="H151" s="653"/>
      <c r="I151" s="652"/>
    </row>
    <row r="152" spans="1:9" ht="15.75" x14ac:dyDescent="0.25">
      <c r="A152" s="659" t="s">
        <v>3122</v>
      </c>
      <c r="B152" s="660" t="s">
        <v>969</v>
      </c>
      <c r="C152" s="660"/>
      <c r="D152" s="660">
        <v>1.9</v>
      </c>
      <c r="E152" s="661">
        <f>'HILOS-CORDONES-TANZA-CUERO'!E11</f>
        <v>210.25</v>
      </c>
      <c r="F152" s="662">
        <f>E152*D152</f>
        <v>399.47499999999997</v>
      </c>
      <c r="G152" s="658"/>
      <c r="H152" s="653"/>
      <c r="I152" s="652"/>
    </row>
    <row r="153" spans="1:9" ht="15.75" x14ac:dyDescent="0.25">
      <c r="A153" s="663" t="s">
        <v>2065</v>
      </c>
      <c r="B153" s="660"/>
      <c r="C153" s="660"/>
      <c r="D153" s="660">
        <v>1</v>
      </c>
      <c r="E153" s="661">
        <f>'INSUMOS VARIOS'!E63</f>
        <v>1666.6666666666667</v>
      </c>
      <c r="F153" s="664">
        <f>E153*D153</f>
        <v>1666.6666666666667</v>
      </c>
      <c r="G153" s="658"/>
      <c r="H153" s="653"/>
      <c r="I153" s="652"/>
    </row>
    <row r="154" spans="1:9" ht="15.75" x14ac:dyDescent="0.25">
      <c r="A154" s="663" t="s">
        <v>1050</v>
      </c>
      <c r="B154" s="660" t="s">
        <v>1062</v>
      </c>
      <c r="C154" s="660">
        <v>1</v>
      </c>
      <c r="D154" s="660">
        <v>0.2</v>
      </c>
      <c r="E154" s="661">
        <f>FORNITURAS!W6</f>
        <v>541.13207547169816</v>
      </c>
      <c r="F154" s="664">
        <f>D154*E154/C154</f>
        <v>108.22641509433964</v>
      </c>
      <c r="G154" s="658"/>
      <c r="H154" s="653"/>
      <c r="I154" s="652"/>
    </row>
    <row r="155" spans="1:9" ht="15.75" x14ac:dyDescent="0.25">
      <c r="A155" s="663" t="s">
        <v>3099</v>
      </c>
      <c r="B155" s="660" t="s">
        <v>3270</v>
      </c>
      <c r="C155" s="660"/>
      <c r="D155" s="660">
        <v>10</v>
      </c>
      <c r="E155" s="661">
        <f>PERLAS!F3</f>
        <v>56.315789473684212</v>
      </c>
      <c r="F155" s="664">
        <f>E155*D155</f>
        <v>563.15789473684208</v>
      </c>
      <c r="G155" s="658"/>
      <c r="H155" s="653"/>
      <c r="I155" s="652"/>
    </row>
    <row r="156" spans="1:9" ht="15.75" x14ac:dyDescent="0.25">
      <c r="A156" s="663" t="s">
        <v>1555</v>
      </c>
      <c r="B156" s="660" t="s">
        <v>1573</v>
      </c>
      <c r="C156" s="660"/>
      <c r="D156" s="660">
        <v>1</v>
      </c>
      <c r="E156" s="661">
        <f>FORNITURAS!D7</f>
        <v>52</v>
      </c>
      <c r="F156" s="664">
        <f>E156*D156</f>
        <v>52</v>
      </c>
      <c r="G156" s="658"/>
      <c r="H156" s="653"/>
      <c r="I156" s="652"/>
    </row>
    <row r="157" spans="1:9" ht="15.75" x14ac:dyDescent="0.25">
      <c r="A157" s="769" t="s">
        <v>1894</v>
      </c>
      <c r="B157" s="660"/>
      <c r="C157" s="660"/>
      <c r="D157" s="660">
        <v>3</v>
      </c>
      <c r="E157" s="661">
        <f>FORNITURAS!I9</f>
        <v>60.526315789473685</v>
      </c>
      <c r="F157" s="664">
        <f>E157*D157</f>
        <v>181.57894736842104</v>
      </c>
      <c r="G157" s="658"/>
      <c r="H157" s="653"/>
      <c r="I157" s="652"/>
    </row>
    <row r="158" spans="1:9" ht="15.75" x14ac:dyDescent="0.25">
      <c r="A158" s="666" t="s">
        <v>1746</v>
      </c>
      <c r="B158" s="660"/>
      <c r="C158" s="660"/>
      <c r="D158" s="660"/>
      <c r="E158" s="661"/>
      <c r="F158" s="662">
        <v>20</v>
      </c>
      <c r="G158" s="658"/>
      <c r="H158" s="653"/>
      <c r="I158" s="652"/>
    </row>
    <row r="159" spans="1:9" ht="15.75" x14ac:dyDescent="0.25">
      <c r="A159" s="666" t="s">
        <v>1557</v>
      </c>
      <c r="B159" s="660"/>
      <c r="C159" s="660"/>
      <c r="D159" s="660"/>
      <c r="E159" s="661"/>
      <c r="F159" s="662">
        <f>PACKAGING!E4</f>
        <v>80</v>
      </c>
      <c r="G159" s="658"/>
      <c r="H159" s="653"/>
      <c r="I159" s="652"/>
    </row>
    <row r="160" spans="1:9" ht="15.75" x14ac:dyDescent="0.25">
      <c r="A160" s="663" t="s">
        <v>1618</v>
      </c>
      <c r="B160" s="660" t="s">
        <v>2030</v>
      </c>
      <c r="C160" s="660">
        <v>60</v>
      </c>
      <c r="D160" s="660">
        <v>45</v>
      </c>
      <c r="E160" s="668">
        <f>'INSUMOS VARIOS'!B3</f>
        <v>3500</v>
      </c>
      <c r="F160" s="669">
        <f>E160*D160/C160</f>
        <v>2625</v>
      </c>
      <c r="G160" s="1" t="s">
        <v>3023</v>
      </c>
      <c r="H160" s="653"/>
      <c r="I160" s="652"/>
    </row>
    <row r="161" spans="1:10" ht="15.75" thickBot="1" x14ac:dyDescent="0.3">
      <c r="A161" s="670" t="s">
        <v>525</v>
      </c>
      <c r="B161" s="671"/>
      <c r="C161" s="671"/>
      <c r="D161" s="671"/>
      <c r="E161" s="672"/>
      <c r="F161" s="673">
        <f>SUM(F152:F160)</f>
        <v>5696.1049238662699</v>
      </c>
      <c r="G161" s="698">
        <f>(F161+H162+H163)</f>
        <v>8974.1049238662708</v>
      </c>
      <c r="H161" s="658" t="s">
        <v>2028</v>
      </c>
      <c r="I161" s="674" t="s">
        <v>2029</v>
      </c>
    </row>
    <row r="162" spans="1:10" ht="16.5" thickBot="1" x14ac:dyDescent="0.3">
      <c r="A162" s="675" t="s">
        <v>544</v>
      </c>
      <c r="B162" s="676"/>
      <c r="C162" s="676"/>
      <c r="D162" s="676"/>
      <c r="E162" s="677"/>
      <c r="F162" s="678">
        <f>F161*2</f>
        <v>11392.20984773254</v>
      </c>
      <c r="G162" s="679">
        <f>F162+F162*50%</f>
        <v>17088.314771598809</v>
      </c>
      <c r="H162" s="680">
        <f>PACKAGING!I3</f>
        <v>2433</v>
      </c>
      <c r="I162" s="680">
        <f>H162+H163+G162</f>
        <v>20366.314771598809</v>
      </c>
      <c r="J162" s="681">
        <v>13000</v>
      </c>
    </row>
    <row r="163" spans="1:10" ht="16.5" thickBot="1" x14ac:dyDescent="0.3">
      <c r="A163" s="684" t="s">
        <v>1559</v>
      </c>
      <c r="B163" s="685"/>
      <c r="C163" s="685"/>
      <c r="D163" s="685"/>
      <c r="E163" s="686"/>
      <c r="F163" s="687"/>
      <c r="G163" s="688"/>
      <c r="H163" s="680">
        <f>PACKAGING!I5</f>
        <v>845</v>
      </c>
      <c r="I163" s="1106"/>
      <c r="J163" s="681">
        <f>J162*2</f>
        <v>26000</v>
      </c>
    </row>
    <row r="164" spans="1:10" ht="15.75" thickBot="1" x14ac:dyDescent="0.3"/>
    <row r="165" spans="1:10" ht="15.75" x14ac:dyDescent="0.25">
      <c r="A165" s="1746" t="s">
        <v>3558</v>
      </c>
      <c r="B165" s="1747"/>
      <c r="C165" s="1747"/>
      <c r="D165" s="1747"/>
      <c r="E165" s="1747"/>
      <c r="F165" s="1748"/>
      <c r="G165" s="653"/>
      <c r="H165" s="653"/>
      <c r="I165" s="652"/>
    </row>
    <row r="166" spans="1:10" ht="15.75" x14ac:dyDescent="0.25">
      <c r="A166" s="654" t="s">
        <v>916</v>
      </c>
      <c r="B166" s="655" t="s">
        <v>743</v>
      </c>
      <c r="C166" s="655" t="s">
        <v>1089</v>
      </c>
      <c r="D166" s="655" t="s">
        <v>1566</v>
      </c>
      <c r="E166" s="656" t="s">
        <v>1035</v>
      </c>
      <c r="F166" s="657" t="s">
        <v>1549</v>
      </c>
      <c r="G166" s="658"/>
      <c r="H166" s="653"/>
      <c r="I166" s="652"/>
    </row>
    <row r="167" spans="1:10" ht="15.75" x14ac:dyDescent="0.25">
      <c r="A167" s="659" t="s">
        <v>2286</v>
      </c>
      <c r="B167" s="660" t="s">
        <v>969</v>
      </c>
      <c r="C167" s="660">
        <v>2</v>
      </c>
      <c r="D167" s="660"/>
      <c r="E167" s="661">
        <f>'HILOS-CORDONES-TANZA-CUERO'!E10</f>
        <v>210.25</v>
      </c>
      <c r="F167" s="662">
        <f>E167*C167</f>
        <v>420.5</v>
      </c>
      <c r="G167" s="658"/>
      <c r="H167" s="653"/>
      <c r="I167" s="652"/>
    </row>
    <row r="168" spans="1:10" ht="15.75" x14ac:dyDescent="0.25">
      <c r="A168" s="663" t="s">
        <v>3331</v>
      </c>
      <c r="B168" s="660"/>
      <c r="C168" s="660"/>
      <c r="D168" s="660">
        <v>1</v>
      </c>
      <c r="E168" s="661">
        <f>'AROS, CADENAS, DIJES, ETC'!O59</f>
        <v>5599</v>
      </c>
      <c r="F168" s="664">
        <f>E168*D168</f>
        <v>5599</v>
      </c>
      <c r="G168" s="658"/>
      <c r="H168" s="653"/>
      <c r="I168" s="652"/>
    </row>
    <row r="169" spans="1:10" ht="15.75" x14ac:dyDescent="0.25">
      <c r="A169" s="665" t="s">
        <v>2010</v>
      </c>
      <c r="B169" s="660"/>
      <c r="C169" s="660"/>
      <c r="D169" s="660">
        <v>2</v>
      </c>
      <c r="E169" s="661">
        <f>FORNITURAS!D34</f>
        <v>301.42857142857144</v>
      </c>
      <c r="F169" s="662">
        <f>D169*E169</f>
        <v>602.85714285714289</v>
      </c>
      <c r="G169" s="658"/>
      <c r="H169" s="653"/>
      <c r="I169" s="652"/>
    </row>
    <row r="170" spans="1:10" ht="15.75" x14ac:dyDescent="0.25">
      <c r="A170" s="666" t="s">
        <v>1746</v>
      </c>
      <c r="B170" s="660"/>
      <c r="C170" s="660"/>
      <c r="D170" s="660"/>
      <c r="E170" s="661"/>
      <c r="F170" s="662">
        <v>20</v>
      </c>
      <c r="G170" s="658"/>
      <c r="H170" s="653"/>
      <c r="I170" s="652"/>
    </row>
    <row r="171" spans="1:10" ht="15.75" x14ac:dyDescent="0.25">
      <c r="A171" s="666" t="s">
        <v>1557</v>
      </c>
      <c r="B171" s="660"/>
      <c r="C171" s="660"/>
      <c r="D171" s="660"/>
      <c r="E171" s="661"/>
      <c r="F171" s="662">
        <f>PACKAGING!E4</f>
        <v>80</v>
      </c>
      <c r="G171" s="658"/>
      <c r="H171" s="653"/>
      <c r="I171" s="652"/>
    </row>
    <row r="172" spans="1:10" ht="15.75" x14ac:dyDescent="0.25">
      <c r="A172" s="663" t="s">
        <v>1618</v>
      </c>
      <c r="B172" s="660" t="s">
        <v>2030</v>
      </c>
      <c r="C172" s="660">
        <v>60</v>
      </c>
      <c r="D172" s="660">
        <v>20</v>
      </c>
      <c r="E172" s="668">
        <f>'INSUMOS VARIOS'!B3</f>
        <v>3500</v>
      </c>
      <c r="F172" s="669">
        <f>E172*D172/C172</f>
        <v>1166.6666666666667</v>
      </c>
      <c r="G172" s="1" t="s">
        <v>3023</v>
      </c>
      <c r="H172" s="653"/>
      <c r="I172" s="652"/>
    </row>
    <row r="173" spans="1:10" ht="15.75" thickBot="1" x14ac:dyDescent="0.3">
      <c r="A173" s="670" t="s">
        <v>525</v>
      </c>
      <c r="B173" s="671"/>
      <c r="C173" s="671"/>
      <c r="D173" s="671"/>
      <c r="E173" s="672"/>
      <c r="F173" s="673">
        <f>SUM(F167:F172)</f>
        <v>7889.0238095238101</v>
      </c>
      <c r="G173" s="698">
        <f>(F173+H174+H175)</f>
        <v>11167.023809523809</v>
      </c>
      <c r="H173" s="658" t="s">
        <v>2028</v>
      </c>
      <c r="I173" s="674" t="s">
        <v>2029</v>
      </c>
    </row>
    <row r="174" spans="1:10" ht="16.5" thickBot="1" x14ac:dyDescent="0.3">
      <c r="A174" s="675" t="s">
        <v>544</v>
      </c>
      <c r="B174" s="676"/>
      <c r="C174" s="676"/>
      <c r="D174" s="676"/>
      <c r="E174" s="677"/>
      <c r="F174" s="678">
        <f>F173*2</f>
        <v>15778.04761904762</v>
      </c>
      <c r="G174" s="679">
        <f>F174+F174*70%</f>
        <v>26822.680952380953</v>
      </c>
      <c r="H174" s="680">
        <f>PACKAGING!I3</f>
        <v>2433</v>
      </c>
      <c r="I174" s="1170">
        <f>G174+H174+H175</f>
        <v>30100.680952380953</v>
      </c>
      <c r="J174" s="956">
        <v>30000</v>
      </c>
    </row>
    <row r="175" spans="1:10" ht="15.75" thickBot="1" x14ac:dyDescent="0.3">
      <c r="A175" s="684" t="s">
        <v>1559</v>
      </c>
      <c r="B175" s="685"/>
      <c r="C175" s="685"/>
      <c r="D175" s="685"/>
      <c r="E175" s="686"/>
      <c r="F175" s="687"/>
      <c r="G175" s="688"/>
      <c r="H175" s="680">
        <f>PACKAGING!I5</f>
        <v>845</v>
      </c>
    </row>
    <row r="176" spans="1:10" ht="15.75" thickBot="1" x14ac:dyDescent="0.3"/>
    <row r="177" spans="1:10" ht="15.75" x14ac:dyDescent="0.25">
      <c r="A177" s="1746" t="s">
        <v>3374</v>
      </c>
      <c r="B177" s="1747"/>
      <c r="C177" s="1747"/>
      <c r="D177" s="1747"/>
      <c r="E177" s="1747"/>
      <c r="F177" s="1748"/>
      <c r="G177" s="653"/>
      <c r="H177" s="653"/>
      <c r="I177" s="652"/>
    </row>
    <row r="178" spans="1:10" ht="15.75" x14ac:dyDescent="0.25">
      <c r="A178" s="654" t="s">
        <v>916</v>
      </c>
      <c r="B178" s="655" t="s">
        <v>743</v>
      </c>
      <c r="C178" s="655" t="s">
        <v>1089</v>
      </c>
      <c r="D178" s="655" t="s">
        <v>1566</v>
      </c>
      <c r="E178" s="656" t="s">
        <v>1035</v>
      </c>
      <c r="F178" s="657" t="s">
        <v>1549</v>
      </c>
      <c r="G178" s="658"/>
      <c r="H178" s="653"/>
      <c r="I178" s="652"/>
    </row>
    <row r="179" spans="1:10" ht="15.75" x14ac:dyDescent="0.25">
      <c r="A179" s="659" t="s">
        <v>3103</v>
      </c>
      <c r="B179" s="660" t="s">
        <v>969</v>
      </c>
      <c r="C179" s="660"/>
      <c r="D179" s="660">
        <v>1.5</v>
      </c>
      <c r="E179" s="661">
        <f>'HILOS-CORDONES-TANZA-CUERO'!E11</f>
        <v>210.25</v>
      </c>
      <c r="F179" s="662">
        <f>E179*D179</f>
        <v>315.375</v>
      </c>
      <c r="G179" s="658"/>
      <c r="H179" s="653"/>
      <c r="I179" s="652"/>
    </row>
    <row r="180" spans="1:10" ht="15.75" x14ac:dyDescent="0.25">
      <c r="A180" s="663" t="s">
        <v>3364</v>
      </c>
      <c r="B180" s="660"/>
      <c r="C180" s="660"/>
      <c r="D180" s="660">
        <v>1</v>
      </c>
      <c r="E180" s="661">
        <f>PIEDRAS!K59</f>
        <v>895</v>
      </c>
      <c r="F180" s="664">
        <f>E180*D180</f>
        <v>895</v>
      </c>
      <c r="G180" s="658"/>
      <c r="H180" s="653"/>
      <c r="I180" s="652"/>
    </row>
    <row r="181" spans="1:10" ht="15.75" x14ac:dyDescent="0.25">
      <c r="A181" s="769" t="s">
        <v>1188</v>
      </c>
      <c r="B181" s="660"/>
      <c r="C181" s="660"/>
      <c r="D181" s="660">
        <v>2</v>
      </c>
      <c r="E181" s="661">
        <f>FORNITURAS!I9</f>
        <v>60.526315789473685</v>
      </c>
      <c r="F181" s="662">
        <f>D181*E181</f>
        <v>121.05263157894737</v>
      </c>
      <c r="G181" s="658"/>
      <c r="H181" s="653"/>
      <c r="I181" s="652"/>
    </row>
    <row r="182" spans="1:10" ht="15.75" x14ac:dyDescent="0.25">
      <c r="A182" s="666" t="s">
        <v>1746</v>
      </c>
      <c r="B182" s="660"/>
      <c r="C182" s="660"/>
      <c r="D182" s="660"/>
      <c r="E182" s="661"/>
      <c r="F182" s="662">
        <v>20</v>
      </c>
      <c r="G182" s="658"/>
      <c r="H182" s="653"/>
      <c r="I182" s="652"/>
    </row>
    <row r="183" spans="1:10" ht="15.75" x14ac:dyDescent="0.25">
      <c r="A183" s="666" t="s">
        <v>3362</v>
      </c>
      <c r="B183" s="660"/>
      <c r="C183" s="660"/>
      <c r="D183" s="660"/>
      <c r="E183" s="661"/>
      <c r="F183" s="662">
        <f>PACKAGING!E17</f>
        <v>7.5</v>
      </c>
      <c r="G183" s="658"/>
      <c r="H183" s="653"/>
      <c r="I183" s="652"/>
    </row>
    <row r="184" spans="1:10" ht="15.75" x14ac:dyDescent="0.25">
      <c r="A184" s="666" t="s">
        <v>1557</v>
      </c>
      <c r="B184" s="660"/>
      <c r="C184" s="660"/>
      <c r="D184" s="660"/>
      <c r="E184" s="661"/>
      <c r="F184" s="662">
        <f>PACKAGING!E4</f>
        <v>80</v>
      </c>
      <c r="G184" s="658"/>
      <c r="H184" s="653"/>
      <c r="I184" s="652"/>
    </row>
    <row r="185" spans="1:10" ht="15.75" x14ac:dyDescent="0.25">
      <c r="A185" s="663" t="s">
        <v>1618</v>
      </c>
      <c r="B185" s="660"/>
      <c r="C185" s="660">
        <v>60</v>
      </c>
      <c r="D185" s="660">
        <v>20</v>
      </c>
      <c r="E185" s="668">
        <f>'INSUMOS VARIOS'!B3</f>
        <v>3500</v>
      </c>
      <c r="F185" s="669">
        <f>E185*D185/C185</f>
        <v>1166.6666666666667</v>
      </c>
      <c r="G185" s="1" t="s">
        <v>3023</v>
      </c>
      <c r="H185" s="653"/>
      <c r="I185" s="652"/>
    </row>
    <row r="186" spans="1:10" ht="15.75" thickBot="1" x14ac:dyDescent="0.3">
      <c r="A186" s="670" t="s">
        <v>525</v>
      </c>
      <c r="B186" s="671"/>
      <c r="C186" s="671"/>
      <c r="D186" s="671"/>
      <c r="E186" s="672"/>
      <c r="F186" s="673">
        <f>SUM(F179:F185)</f>
        <v>2605.594298245614</v>
      </c>
      <c r="G186" s="698">
        <f>(F186+H187+H188)</f>
        <v>5883.5942982456145</v>
      </c>
      <c r="H186" s="658" t="s">
        <v>2028</v>
      </c>
      <c r="I186" s="674" t="s">
        <v>2029</v>
      </c>
    </row>
    <row r="187" spans="1:10" ht="16.5" thickBot="1" x14ac:dyDescent="0.3">
      <c r="A187" s="675" t="s">
        <v>544</v>
      </c>
      <c r="B187" s="676"/>
      <c r="C187" s="676"/>
      <c r="D187" s="676"/>
      <c r="E187" s="677"/>
      <c r="F187" s="678">
        <f>F186*2</f>
        <v>5211.1885964912281</v>
      </c>
      <c r="G187" s="679">
        <f>F187+F187*50%</f>
        <v>7816.7828947368416</v>
      </c>
      <c r="H187" s="680">
        <f>PACKAGING!I3</f>
        <v>2433</v>
      </c>
      <c r="I187" s="681">
        <f>G187+H187+H188</f>
        <v>11094.782894736842</v>
      </c>
      <c r="J187" s="1099">
        <v>13000</v>
      </c>
    </row>
    <row r="188" spans="1:10" ht="16.5" thickBot="1" x14ac:dyDescent="0.3">
      <c r="A188" s="684" t="s">
        <v>1559</v>
      </c>
      <c r="B188" s="685"/>
      <c r="C188" s="685"/>
      <c r="D188" s="685"/>
      <c r="E188" s="686"/>
      <c r="F188" s="687"/>
      <c r="G188" s="688"/>
      <c r="H188" s="680">
        <f>PACKAGING!I5</f>
        <v>845</v>
      </c>
      <c r="J188" s="956">
        <f>J187*2</f>
        <v>26000</v>
      </c>
    </row>
    <row r="189" spans="1:10" ht="15.75" thickBot="1" x14ac:dyDescent="0.3"/>
    <row r="190" spans="1:10" ht="15.75" x14ac:dyDescent="0.25">
      <c r="A190" s="1746" t="s">
        <v>3373</v>
      </c>
      <c r="B190" s="1747"/>
      <c r="C190" s="1747"/>
      <c r="D190" s="1747"/>
      <c r="E190" s="1747"/>
      <c r="F190" s="1748"/>
      <c r="G190" s="653"/>
      <c r="H190" s="653"/>
      <c r="I190" s="652"/>
    </row>
    <row r="191" spans="1:10" ht="15.75" x14ac:dyDescent="0.25">
      <c r="A191" s="654" t="s">
        <v>916</v>
      </c>
      <c r="B191" s="655" t="s">
        <v>743</v>
      </c>
      <c r="C191" s="655" t="s">
        <v>1089</v>
      </c>
      <c r="D191" s="655" t="s">
        <v>1566</v>
      </c>
      <c r="E191" s="656" t="s">
        <v>1035</v>
      </c>
      <c r="F191" s="657" t="s">
        <v>1549</v>
      </c>
      <c r="G191" s="658"/>
      <c r="H191" s="653"/>
      <c r="I191" s="652"/>
    </row>
    <row r="192" spans="1:10" ht="15.75" x14ac:dyDescent="0.25">
      <c r="A192" s="659" t="s">
        <v>3363</v>
      </c>
      <c r="B192" s="660" t="s">
        <v>969</v>
      </c>
      <c r="C192" s="660"/>
      <c r="D192" s="660">
        <v>1.5</v>
      </c>
      <c r="E192" s="661">
        <f>'HILOS-CORDONES-TANZA-CUERO'!E10</f>
        <v>210.25</v>
      </c>
      <c r="F192" s="662">
        <f>E192*D192</f>
        <v>315.375</v>
      </c>
      <c r="G192" s="658"/>
      <c r="H192" s="653"/>
      <c r="I192" s="652"/>
    </row>
    <row r="193" spans="1:10" ht="15.75" x14ac:dyDescent="0.25">
      <c r="A193" s="663" t="s">
        <v>3365</v>
      </c>
      <c r="B193" s="660"/>
      <c r="C193" s="660"/>
      <c r="D193" s="660">
        <v>1</v>
      </c>
      <c r="E193" s="661">
        <f>PIEDRAS!K61</f>
        <v>895</v>
      </c>
      <c r="F193" s="664">
        <f>E193*D193</f>
        <v>895</v>
      </c>
      <c r="G193" s="658"/>
      <c r="H193" s="653"/>
      <c r="I193" s="652"/>
    </row>
    <row r="194" spans="1:10" ht="15.75" x14ac:dyDescent="0.25">
      <c r="A194" s="769" t="s">
        <v>1188</v>
      </c>
      <c r="B194" s="660"/>
      <c r="C194" s="660"/>
      <c r="D194" s="660">
        <v>2</v>
      </c>
      <c r="E194" s="661">
        <f>FORNITURAS!I9</f>
        <v>60.526315789473685</v>
      </c>
      <c r="F194" s="662">
        <f>D194*E194</f>
        <v>121.05263157894737</v>
      </c>
      <c r="G194" s="658"/>
      <c r="H194" s="653"/>
      <c r="I194" s="652"/>
    </row>
    <row r="195" spans="1:10" ht="15.75" x14ac:dyDescent="0.25">
      <c r="A195" s="666" t="s">
        <v>1746</v>
      </c>
      <c r="B195" s="660"/>
      <c r="C195" s="660"/>
      <c r="D195" s="660"/>
      <c r="E195" s="661"/>
      <c r="F195" s="662">
        <v>20</v>
      </c>
      <c r="G195" s="658"/>
      <c r="H195" s="653"/>
      <c r="I195" s="652"/>
    </row>
    <row r="196" spans="1:10" ht="15.75" x14ac:dyDescent="0.25">
      <c r="A196" s="666" t="s">
        <v>3362</v>
      </c>
      <c r="B196" s="660"/>
      <c r="C196" s="660"/>
      <c r="D196" s="660"/>
      <c r="E196" s="661"/>
      <c r="F196" s="662">
        <f>PACKAGING!E17</f>
        <v>7.5</v>
      </c>
      <c r="G196" s="658"/>
      <c r="H196" s="653"/>
      <c r="I196" s="652"/>
    </row>
    <row r="197" spans="1:10" ht="15.75" x14ac:dyDescent="0.25">
      <c r="A197" s="666" t="s">
        <v>1557</v>
      </c>
      <c r="B197" s="660"/>
      <c r="C197" s="660"/>
      <c r="D197" s="660"/>
      <c r="E197" s="661"/>
      <c r="F197" s="662">
        <f>PACKAGING!E4</f>
        <v>80</v>
      </c>
      <c r="G197" s="658"/>
      <c r="H197" s="653"/>
      <c r="I197" s="652"/>
    </row>
    <row r="198" spans="1:10" ht="15.75" x14ac:dyDescent="0.25">
      <c r="A198" s="663" t="s">
        <v>1618</v>
      </c>
      <c r="B198" s="660"/>
      <c r="C198" s="660">
        <v>60</v>
      </c>
      <c r="D198" s="660">
        <v>20</v>
      </c>
      <c r="E198" s="668">
        <f>'INSUMOS VARIOS'!B3</f>
        <v>3500</v>
      </c>
      <c r="F198" s="669">
        <f>E198*D198/C198</f>
        <v>1166.6666666666667</v>
      </c>
      <c r="G198" s="1" t="s">
        <v>3023</v>
      </c>
      <c r="H198" s="653"/>
      <c r="I198" s="652"/>
    </row>
    <row r="199" spans="1:10" ht="15.75" thickBot="1" x14ac:dyDescent="0.3">
      <c r="A199" s="670" t="s">
        <v>525</v>
      </c>
      <c r="B199" s="671"/>
      <c r="C199" s="671"/>
      <c r="D199" s="671"/>
      <c r="E199" s="672"/>
      <c r="F199" s="673">
        <f>SUM(F192:F198)</f>
        <v>2605.594298245614</v>
      </c>
      <c r="G199" s="698">
        <f>(F199+H200+H201)</f>
        <v>5883.5942982456145</v>
      </c>
      <c r="H199" s="658" t="s">
        <v>2028</v>
      </c>
      <c r="I199" s="674" t="s">
        <v>2029</v>
      </c>
    </row>
    <row r="200" spans="1:10" ht="16.5" thickBot="1" x14ac:dyDescent="0.3">
      <c r="A200" s="675" t="s">
        <v>544</v>
      </c>
      <c r="B200" s="676"/>
      <c r="C200" s="676"/>
      <c r="D200" s="676"/>
      <c r="E200" s="677"/>
      <c r="F200" s="678">
        <f>F199*2</f>
        <v>5211.1885964912281</v>
      </c>
      <c r="G200" s="679">
        <f>F200+F200*50%</f>
        <v>7816.7828947368416</v>
      </c>
      <c r="H200" s="680">
        <f>PACKAGING!I3</f>
        <v>2433</v>
      </c>
      <c r="I200" s="681">
        <f>G200+H200+H201</f>
        <v>11094.782894736842</v>
      </c>
      <c r="J200" s="1099">
        <v>13000</v>
      </c>
    </row>
    <row r="201" spans="1:10" ht="16.5" thickBot="1" x14ac:dyDescent="0.3">
      <c r="A201" s="684" t="s">
        <v>1559</v>
      </c>
      <c r="B201" s="685"/>
      <c r="C201" s="685"/>
      <c r="D201" s="685"/>
      <c r="E201" s="686"/>
      <c r="F201" s="687"/>
      <c r="G201" s="688"/>
      <c r="H201" s="680">
        <f>PACKAGING!I5</f>
        <v>845</v>
      </c>
      <c r="J201" s="956">
        <f>J200*2</f>
        <v>26000</v>
      </c>
    </row>
    <row r="202" spans="1:10" ht="15.75" thickBot="1" x14ac:dyDescent="0.3"/>
    <row r="203" spans="1:10" ht="15.75" x14ac:dyDescent="0.25">
      <c r="A203" s="1746" t="s">
        <v>3372</v>
      </c>
      <c r="B203" s="1747"/>
      <c r="C203" s="1747"/>
      <c r="D203" s="1747"/>
      <c r="E203" s="1747"/>
      <c r="F203" s="1748"/>
      <c r="G203" s="653"/>
      <c r="H203" s="653"/>
      <c r="I203" s="652"/>
    </row>
    <row r="204" spans="1:10" ht="15.75" x14ac:dyDescent="0.25">
      <c r="A204" s="654" t="s">
        <v>916</v>
      </c>
      <c r="B204" s="655" t="s">
        <v>743</v>
      </c>
      <c r="C204" s="655" t="s">
        <v>1089</v>
      </c>
      <c r="D204" s="655" t="s">
        <v>1566</v>
      </c>
      <c r="E204" s="656" t="s">
        <v>1035</v>
      </c>
      <c r="F204" s="657" t="s">
        <v>1549</v>
      </c>
      <c r="G204" s="658"/>
      <c r="H204" s="653"/>
      <c r="I204" s="652"/>
    </row>
    <row r="205" spans="1:10" ht="15.75" x14ac:dyDescent="0.25">
      <c r="A205" s="659" t="s">
        <v>3370</v>
      </c>
      <c r="B205" s="660" t="s">
        <v>969</v>
      </c>
      <c r="C205" s="660"/>
      <c r="D205" s="660">
        <v>1.5</v>
      </c>
      <c r="E205" s="661">
        <f>'HILOS-CORDONES-TANZA-CUERO'!E39</f>
        <v>329</v>
      </c>
      <c r="F205" s="662">
        <f>E205*D205</f>
        <v>493.5</v>
      </c>
      <c r="G205" s="658"/>
      <c r="H205" s="653"/>
      <c r="I205" s="652"/>
    </row>
    <row r="206" spans="1:10" ht="15.75" x14ac:dyDescent="0.25">
      <c r="A206" s="663" t="s">
        <v>3559</v>
      </c>
      <c r="B206" s="660"/>
      <c r="C206" s="660"/>
      <c r="D206" s="660">
        <v>1</v>
      </c>
      <c r="E206" s="661">
        <f>PIEDRAS!K63</f>
        <v>1955</v>
      </c>
      <c r="F206" s="664">
        <f>E206*D206</f>
        <v>1955</v>
      </c>
      <c r="G206" s="658"/>
      <c r="H206" s="653"/>
      <c r="I206" s="652"/>
    </row>
    <row r="207" spans="1:10" ht="15.75" x14ac:dyDescent="0.25">
      <c r="A207" s="769" t="s">
        <v>1188</v>
      </c>
      <c r="B207" s="660"/>
      <c r="C207" s="660"/>
      <c r="D207" s="660">
        <v>2</v>
      </c>
      <c r="E207" s="661">
        <f>FORNITURAS!I9</f>
        <v>60.526315789473685</v>
      </c>
      <c r="F207" s="662">
        <f>D207*E207</f>
        <v>121.05263157894737</v>
      </c>
      <c r="G207" s="658"/>
      <c r="H207" s="653"/>
      <c r="I207" s="652"/>
    </row>
    <row r="208" spans="1:10" ht="15.75" x14ac:dyDescent="0.25">
      <c r="A208" s="769" t="s">
        <v>1742</v>
      </c>
      <c r="B208" s="641"/>
      <c r="C208" s="641"/>
      <c r="D208" s="660">
        <v>1</v>
      </c>
      <c r="E208" s="641"/>
      <c r="F208" s="662">
        <f>PERLAS!F4</f>
        <v>81</v>
      </c>
      <c r="G208" s="658"/>
      <c r="H208" s="653"/>
      <c r="I208" s="652"/>
    </row>
    <row r="209" spans="1:11" ht="15.75" x14ac:dyDescent="0.25">
      <c r="A209" s="769" t="s">
        <v>1971</v>
      </c>
      <c r="B209" s="769" t="s">
        <v>1054</v>
      </c>
      <c r="C209" s="769"/>
      <c r="D209" s="660"/>
      <c r="E209" s="661"/>
      <c r="F209" s="661">
        <f>FORNITURAS!D7</f>
        <v>52</v>
      </c>
      <c r="G209" s="658"/>
      <c r="H209" s="653"/>
      <c r="I209" s="652"/>
    </row>
    <row r="210" spans="1:11" ht="15.75" x14ac:dyDescent="0.25">
      <c r="A210" s="769" t="s">
        <v>3371</v>
      </c>
      <c r="B210" s="660"/>
      <c r="C210" s="660"/>
      <c r="D210" s="660"/>
      <c r="E210" s="661"/>
      <c r="F210" s="662">
        <f>FORNITURAS!D8</f>
        <v>192.77777777777777</v>
      </c>
      <c r="G210" s="658"/>
      <c r="H210" s="653"/>
      <c r="I210" s="652"/>
    </row>
    <row r="211" spans="1:11" ht="15.75" x14ac:dyDescent="0.25">
      <c r="A211" s="666" t="s">
        <v>1746</v>
      </c>
      <c r="B211" s="660"/>
      <c r="C211" s="660"/>
      <c r="D211" s="660"/>
      <c r="E211" s="661"/>
      <c r="F211" s="662">
        <v>20</v>
      </c>
      <c r="G211" s="658"/>
      <c r="H211" s="653"/>
      <c r="I211" s="652"/>
    </row>
    <row r="212" spans="1:11" ht="15.75" x14ac:dyDescent="0.25">
      <c r="A212" s="666" t="s">
        <v>3362</v>
      </c>
      <c r="B212" s="660"/>
      <c r="C212" s="660"/>
      <c r="D212" s="660"/>
      <c r="E212" s="661"/>
      <c r="F212" s="662">
        <f>PACKAGING!E17</f>
        <v>7.5</v>
      </c>
      <c r="G212" s="658"/>
      <c r="H212" s="653"/>
      <c r="I212" s="652"/>
    </row>
    <row r="213" spans="1:11" ht="15.75" x14ac:dyDescent="0.25">
      <c r="A213" s="666" t="s">
        <v>1557</v>
      </c>
      <c r="B213" s="660"/>
      <c r="C213" s="660"/>
      <c r="D213" s="660"/>
      <c r="E213" s="661"/>
      <c r="F213" s="662">
        <f>PACKAGING!E3</f>
        <v>150</v>
      </c>
      <c r="G213" s="658"/>
      <c r="H213" s="653"/>
      <c r="I213" s="652"/>
    </row>
    <row r="214" spans="1:11" ht="15.75" x14ac:dyDescent="0.25">
      <c r="A214" s="663" t="s">
        <v>1618</v>
      </c>
      <c r="B214" s="660"/>
      <c r="C214" s="660">
        <v>60</v>
      </c>
      <c r="D214" s="660">
        <v>30</v>
      </c>
      <c r="E214" s="668">
        <f>'INSUMOS VARIOS'!B16</f>
        <v>2760</v>
      </c>
      <c r="F214" s="669">
        <f>E214*D214/C214</f>
        <v>1380</v>
      </c>
      <c r="G214" s="1" t="s">
        <v>3023</v>
      </c>
      <c r="H214" s="653"/>
      <c r="I214" s="652"/>
    </row>
    <row r="215" spans="1:11" ht="15.75" thickBot="1" x14ac:dyDescent="0.3">
      <c r="A215" s="670" t="s">
        <v>525</v>
      </c>
      <c r="B215" s="671"/>
      <c r="C215" s="671"/>
      <c r="D215" s="671"/>
      <c r="E215" s="672"/>
      <c r="F215" s="673">
        <f>SUM(F205:F214)</f>
        <v>4452.8304093567258</v>
      </c>
      <c r="G215" s="698">
        <f>(F215+H216+H217)</f>
        <v>7730.8304093567258</v>
      </c>
      <c r="H215" s="658" t="s">
        <v>2028</v>
      </c>
      <c r="I215" s="674" t="s">
        <v>2029</v>
      </c>
    </row>
    <row r="216" spans="1:11" ht="16.5" thickBot="1" x14ac:dyDescent="0.3">
      <c r="A216" s="675" t="s">
        <v>544</v>
      </c>
      <c r="B216" s="676"/>
      <c r="C216" s="676"/>
      <c r="D216" s="676"/>
      <c r="E216" s="677"/>
      <c r="F216" s="678">
        <f>F215*2</f>
        <v>8905.6608187134516</v>
      </c>
      <c r="G216" s="679">
        <f>F216+F216*50%</f>
        <v>13358.491228070177</v>
      </c>
      <c r="H216" s="680">
        <f>PACKAGING!I3</f>
        <v>2433</v>
      </c>
      <c r="I216" s="681">
        <f>G216+H216+H217</f>
        <v>16636.491228070176</v>
      </c>
      <c r="J216" s="1286">
        <v>18000</v>
      </c>
      <c r="K216" s="1273" t="s">
        <v>3687</v>
      </c>
    </row>
    <row r="217" spans="1:11" ht="16.5" thickBot="1" x14ac:dyDescent="0.3">
      <c r="A217" s="684" t="s">
        <v>1559</v>
      </c>
      <c r="B217" s="685"/>
      <c r="C217" s="685"/>
      <c r="D217" s="685"/>
      <c r="E217" s="686"/>
      <c r="F217" s="687"/>
      <c r="G217" s="688"/>
      <c r="H217" s="680">
        <f>PACKAGING!I5</f>
        <v>845</v>
      </c>
      <c r="J217" s="956">
        <f>J216*2</f>
        <v>36000</v>
      </c>
    </row>
    <row r="218" spans="1:11" ht="15.75" thickBot="1" x14ac:dyDescent="0.3"/>
    <row r="219" spans="1:11" ht="15.75" x14ac:dyDescent="0.25">
      <c r="A219" s="1746" t="s">
        <v>3386</v>
      </c>
      <c r="B219" s="1747"/>
      <c r="C219" s="1747"/>
      <c r="D219" s="1747"/>
      <c r="E219" s="1747"/>
      <c r="F219" s="1748"/>
      <c r="G219" s="653"/>
      <c r="H219" s="653"/>
      <c r="I219" s="652"/>
    </row>
    <row r="220" spans="1:11" ht="15.75" x14ac:dyDescent="0.25">
      <c r="A220" s="654" t="s">
        <v>916</v>
      </c>
      <c r="B220" s="655" t="s">
        <v>743</v>
      </c>
      <c r="C220" s="655" t="s">
        <v>1089</v>
      </c>
      <c r="D220" s="655" t="s">
        <v>1566</v>
      </c>
      <c r="E220" s="656" t="s">
        <v>1035</v>
      </c>
      <c r="F220" s="657" t="s">
        <v>1549</v>
      </c>
      <c r="G220" s="658"/>
      <c r="H220" s="653"/>
      <c r="I220" s="652"/>
    </row>
    <row r="221" spans="1:11" ht="15.75" x14ac:dyDescent="0.25">
      <c r="A221" s="659" t="s">
        <v>3375</v>
      </c>
      <c r="B221" s="660" t="s">
        <v>969</v>
      </c>
      <c r="C221" s="660"/>
      <c r="D221" s="660">
        <v>1.5</v>
      </c>
      <c r="E221" s="661">
        <f>'HILOS-CORDONES-TANZA-CUERO'!E18</f>
        <v>300</v>
      </c>
      <c r="F221" s="662">
        <f>E221*D221</f>
        <v>450</v>
      </c>
      <c r="G221" s="658"/>
      <c r="H221" s="653"/>
      <c r="I221" s="652"/>
    </row>
    <row r="222" spans="1:11" ht="15.75" x14ac:dyDescent="0.25">
      <c r="A222" s="663" t="s">
        <v>2065</v>
      </c>
      <c r="B222" s="660"/>
      <c r="C222" s="660"/>
      <c r="D222" s="660">
        <v>7</v>
      </c>
      <c r="E222" s="661">
        <f>'INSUMOS VARIOS'!E65</f>
        <v>44.2</v>
      </c>
      <c r="F222" s="664">
        <f>E222*D222</f>
        <v>309.40000000000003</v>
      </c>
      <c r="G222" s="658"/>
      <c r="H222" s="653"/>
      <c r="I222" s="652"/>
    </row>
    <row r="223" spans="1:11" ht="15.75" x14ac:dyDescent="0.25">
      <c r="A223" s="769" t="s">
        <v>3376</v>
      </c>
      <c r="B223" s="660" t="s">
        <v>1022</v>
      </c>
      <c r="C223" s="660"/>
      <c r="D223" s="660">
        <v>1</v>
      </c>
      <c r="E223" s="661">
        <f>PIEDRAS!F132</f>
        <v>60</v>
      </c>
      <c r="F223" s="662">
        <f>D223*E223</f>
        <v>60</v>
      </c>
      <c r="G223" s="658"/>
      <c r="H223" s="653"/>
      <c r="I223" s="652"/>
    </row>
    <row r="224" spans="1:11" ht="15.75" x14ac:dyDescent="0.25">
      <c r="A224" s="769" t="s">
        <v>3377</v>
      </c>
      <c r="B224" s="641"/>
      <c r="C224" s="641"/>
      <c r="D224" s="660">
        <v>2</v>
      </c>
      <c r="E224" s="1184">
        <f>FORNITURAS!I9</f>
        <v>60.526315789473685</v>
      </c>
      <c r="F224" s="662">
        <f>PERLAS!F20</f>
        <v>101.53846153846153</v>
      </c>
      <c r="G224" s="658"/>
      <c r="H224" s="653"/>
      <c r="I224" s="652"/>
    </row>
    <row r="225" spans="1:10" ht="15.75" x14ac:dyDescent="0.25">
      <c r="A225" s="769" t="s">
        <v>1224</v>
      </c>
      <c r="B225" s="769"/>
      <c r="C225" s="769"/>
      <c r="D225" s="660">
        <v>0.5</v>
      </c>
      <c r="E225" s="661">
        <f>'HILOS-CORDONES-TANZA-CUERO'!E7</f>
        <v>50.35</v>
      </c>
      <c r="F225" s="668">
        <f>E225*D225</f>
        <v>25.175000000000001</v>
      </c>
      <c r="G225" s="1185"/>
      <c r="H225" s="653"/>
      <c r="I225" s="652"/>
    </row>
    <row r="226" spans="1:10" ht="15.75" x14ac:dyDescent="0.25">
      <c r="A226" s="666" t="s">
        <v>1746</v>
      </c>
      <c r="B226" s="660"/>
      <c r="C226" s="660"/>
      <c r="D226" s="660"/>
      <c r="E226" s="661"/>
      <c r="F226" s="662">
        <v>20</v>
      </c>
      <c r="G226" s="658"/>
      <c r="H226" s="653"/>
      <c r="I226" s="652"/>
    </row>
    <row r="227" spans="1:10" ht="15.75" x14ac:dyDescent="0.25">
      <c r="A227" s="666" t="s">
        <v>3362</v>
      </c>
      <c r="B227" s="660"/>
      <c r="C227" s="660"/>
      <c r="D227" s="660"/>
      <c r="E227" s="661"/>
      <c r="F227" s="662">
        <f>PACKAGING!E17</f>
        <v>7.5</v>
      </c>
      <c r="G227" s="658"/>
      <c r="H227" s="653"/>
      <c r="I227" s="652"/>
    </row>
    <row r="228" spans="1:10" ht="15.75" x14ac:dyDescent="0.25">
      <c r="A228" s="666" t="s">
        <v>1557</v>
      </c>
      <c r="B228" s="660"/>
      <c r="C228" s="660"/>
      <c r="D228" s="660"/>
      <c r="E228" s="661"/>
      <c r="F228" s="662">
        <f>PACKAGING!E4</f>
        <v>80</v>
      </c>
      <c r="G228" s="658"/>
      <c r="H228" s="653"/>
      <c r="I228" s="652"/>
    </row>
    <row r="229" spans="1:10" ht="15.75" x14ac:dyDescent="0.25">
      <c r="A229" s="663" t="s">
        <v>1618</v>
      </c>
      <c r="B229" s="660"/>
      <c r="C229" s="660">
        <v>60</v>
      </c>
      <c r="D229" s="660">
        <v>40</v>
      </c>
      <c r="E229" s="668">
        <f>'INSUMOS VARIOS'!B3</f>
        <v>3500</v>
      </c>
      <c r="F229" s="669">
        <f>E229*D229/C229</f>
        <v>2333.3333333333335</v>
      </c>
      <c r="G229" s="1" t="s">
        <v>3023</v>
      </c>
      <c r="H229" s="653"/>
      <c r="I229" s="652"/>
    </row>
    <row r="230" spans="1:10" ht="15.75" thickBot="1" x14ac:dyDescent="0.3">
      <c r="A230" s="670" t="s">
        <v>525</v>
      </c>
      <c r="B230" s="671"/>
      <c r="C230" s="671"/>
      <c r="D230" s="671"/>
      <c r="E230" s="672"/>
      <c r="F230" s="673">
        <f>SUM(F221:F229)</f>
        <v>3386.9467948717952</v>
      </c>
      <c r="G230" s="698">
        <f>(F230+H231+H232)</f>
        <v>6664.9467948717956</v>
      </c>
      <c r="H230" s="658" t="s">
        <v>2028</v>
      </c>
      <c r="I230" s="674" t="s">
        <v>2029</v>
      </c>
    </row>
    <row r="231" spans="1:10" ht="16.5" thickBot="1" x14ac:dyDescent="0.3">
      <c r="A231" s="675" t="s">
        <v>544</v>
      </c>
      <c r="B231" s="676"/>
      <c r="C231" s="676"/>
      <c r="D231" s="676"/>
      <c r="E231" s="677"/>
      <c r="F231" s="678">
        <f>F230*2</f>
        <v>6773.8935897435904</v>
      </c>
      <c r="G231" s="679">
        <f>F231+F231*50%</f>
        <v>10160.840384615385</v>
      </c>
      <c r="H231" s="680">
        <f>PACKAGING!I3</f>
        <v>2433</v>
      </c>
      <c r="I231" s="681">
        <f>G231+H231+H232</f>
        <v>13438.840384615385</v>
      </c>
      <c r="J231" s="1099">
        <v>11000</v>
      </c>
    </row>
    <row r="232" spans="1:10" ht="16.5" thickBot="1" x14ac:dyDescent="0.3">
      <c r="A232" s="684" t="s">
        <v>1559</v>
      </c>
      <c r="B232" s="685"/>
      <c r="C232" s="685"/>
      <c r="D232" s="685"/>
      <c r="E232" s="686"/>
      <c r="F232" s="687"/>
      <c r="G232" s="688"/>
      <c r="H232" s="680">
        <f>PACKAGING!I5</f>
        <v>845</v>
      </c>
      <c r="J232" s="956">
        <f>J231*2</f>
        <v>22000</v>
      </c>
    </row>
    <row r="233" spans="1:10" ht="15.75" thickBot="1" x14ac:dyDescent="0.3"/>
    <row r="234" spans="1:10" ht="15.75" x14ac:dyDescent="0.25">
      <c r="A234" s="1746" t="s">
        <v>3387</v>
      </c>
      <c r="B234" s="1747"/>
      <c r="C234" s="1747"/>
      <c r="D234" s="1747"/>
      <c r="E234" s="1747"/>
      <c r="F234" s="1748"/>
      <c r="G234" s="653"/>
      <c r="H234" s="653"/>
      <c r="I234" s="652"/>
    </row>
    <row r="235" spans="1:10" ht="15.75" x14ac:dyDescent="0.25">
      <c r="A235" s="654" t="s">
        <v>916</v>
      </c>
      <c r="B235" s="655" t="s">
        <v>743</v>
      </c>
      <c r="C235" s="655" t="s">
        <v>1089</v>
      </c>
      <c r="D235" s="655" t="s">
        <v>1566</v>
      </c>
      <c r="E235" s="656" t="s">
        <v>1035</v>
      </c>
      <c r="F235" s="657" t="s">
        <v>1549</v>
      </c>
      <c r="G235" s="658"/>
      <c r="H235" s="653"/>
      <c r="I235" s="652"/>
    </row>
    <row r="236" spans="1:10" ht="15.75" x14ac:dyDescent="0.25">
      <c r="A236" s="659" t="s">
        <v>3378</v>
      </c>
      <c r="B236" s="660" t="s">
        <v>969</v>
      </c>
      <c r="C236" s="660"/>
      <c r="D236" s="660">
        <v>1.5</v>
      </c>
      <c r="E236" s="661">
        <f>'HILOS-CORDONES-TANZA-CUERO'!E19</f>
        <v>300</v>
      </c>
      <c r="F236" s="662">
        <f>E236*D236</f>
        <v>450</v>
      </c>
      <c r="G236" s="658"/>
      <c r="H236" s="653"/>
      <c r="I236" s="652"/>
    </row>
    <row r="237" spans="1:10" ht="15.75" x14ac:dyDescent="0.25">
      <c r="A237" s="663" t="s">
        <v>2065</v>
      </c>
      <c r="B237" s="660"/>
      <c r="C237" s="660"/>
      <c r="D237" s="660">
        <v>7</v>
      </c>
      <c r="E237" s="661">
        <f>'INSUMOS VARIOS'!E65</f>
        <v>44.2</v>
      </c>
      <c r="F237" s="664">
        <f>E237*D237</f>
        <v>309.40000000000003</v>
      </c>
      <c r="G237" s="658"/>
      <c r="H237" s="653"/>
      <c r="I237" s="652"/>
    </row>
    <row r="238" spans="1:10" ht="15.75" x14ac:dyDescent="0.25">
      <c r="A238" s="769" t="s">
        <v>3379</v>
      </c>
      <c r="B238" s="660" t="s">
        <v>846</v>
      </c>
      <c r="C238" s="660"/>
      <c r="D238" s="660">
        <v>1</v>
      </c>
      <c r="E238" s="661">
        <f>VIDRIOS!E34</f>
        <v>18.478260869565219</v>
      </c>
      <c r="F238" s="662">
        <f>D238*E238</f>
        <v>18.478260869565219</v>
      </c>
      <c r="G238" s="658"/>
      <c r="H238" s="653"/>
      <c r="I238" s="652"/>
    </row>
    <row r="239" spans="1:10" ht="15.75" x14ac:dyDescent="0.25">
      <c r="A239" s="769" t="s">
        <v>3377</v>
      </c>
      <c r="B239" s="641"/>
      <c r="C239" s="641"/>
      <c r="D239" s="660">
        <v>2</v>
      </c>
      <c r="E239" s="1184">
        <f>FORNITURAS!I9</f>
        <v>60.526315789473685</v>
      </c>
      <c r="F239" s="662">
        <f>PERLAS!F35</f>
        <v>76.428571428571431</v>
      </c>
      <c r="G239" s="658"/>
      <c r="H239" s="653"/>
      <c r="I239" s="652"/>
    </row>
    <row r="240" spans="1:10" ht="15.75" x14ac:dyDescent="0.25">
      <c r="A240" s="769" t="s">
        <v>1224</v>
      </c>
      <c r="B240" s="769"/>
      <c r="C240" s="769"/>
      <c r="D240" s="660">
        <v>0.5</v>
      </c>
      <c r="E240" s="661">
        <f>'HILOS-CORDONES-TANZA-CUERO'!E7</f>
        <v>50.35</v>
      </c>
      <c r="F240" s="668">
        <f>E240*D240</f>
        <v>25.175000000000001</v>
      </c>
      <c r="G240" s="1185"/>
      <c r="H240" s="653"/>
      <c r="I240" s="652"/>
    </row>
    <row r="241" spans="1:10" ht="15.75" x14ac:dyDescent="0.25">
      <c r="A241" s="666" t="s">
        <v>1746</v>
      </c>
      <c r="B241" s="660"/>
      <c r="C241" s="660"/>
      <c r="D241" s="660"/>
      <c r="E241" s="661"/>
      <c r="F241" s="662">
        <v>20</v>
      </c>
      <c r="G241" s="658"/>
      <c r="H241" s="653"/>
      <c r="I241" s="652"/>
    </row>
    <row r="242" spans="1:10" ht="15.75" x14ac:dyDescent="0.25">
      <c r="A242" s="666" t="s">
        <v>3362</v>
      </c>
      <c r="B242" s="660"/>
      <c r="C242" s="660"/>
      <c r="D242" s="660"/>
      <c r="E242" s="661"/>
      <c r="F242" s="662">
        <f>PACKAGING!E17</f>
        <v>7.5</v>
      </c>
      <c r="G242" s="658"/>
      <c r="H242" s="653"/>
      <c r="I242" s="652"/>
    </row>
    <row r="243" spans="1:10" ht="15.75" x14ac:dyDescent="0.25">
      <c r="A243" s="666" t="s">
        <v>1557</v>
      </c>
      <c r="B243" s="660"/>
      <c r="C243" s="660"/>
      <c r="D243" s="660"/>
      <c r="E243" s="661"/>
      <c r="F243" s="662">
        <f>PACKAGING!E4</f>
        <v>80</v>
      </c>
      <c r="G243" s="658"/>
      <c r="H243" s="653"/>
      <c r="I243" s="652"/>
    </row>
    <row r="244" spans="1:10" ht="15.75" x14ac:dyDescent="0.25">
      <c r="A244" s="663" t="s">
        <v>1618</v>
      </c>
      <c r="B244" s="660"/>
      <c r="C244" s="660">
        <v>60</v>
      </c>
      <c r="D244" s="660">
        <v>40</v>
      </c>
      <c r="E244" s="668">
        <f>'INSUMOS VARIOS'!B3</f>
        <v>3500</v>
      </c>
      <c r="F244" s="669">
        <f>E244*D244/C244</f>
        <v>2333.3333333333335</v>
      </c>
      <c r="G244" s="1" t="s">
        <v>3023</v>
      </c>
      <c r="H244" s="653"/>
      <c r="I244" s="652"/>
    </row>
    <row r="245" spans="1:10" ht="15.75" thickBot="1" x14ac:dyDescent="0.3">
      <c r="A245" s="670" t="s">
        <v>525</v>
      </c>
      <c r="B245" s="671"/>
      <c r="C245" s="671"/>
      <c r="D245" s="671"/>
      <c r="E245" s="672"/>
      <c r="F245" s="673">
        <f>SUM(F236:F244)</f>
        <v>3320.3151656314703</v>
      </c>
      <c r="G245" s="698">
        <f>(F245+H246+H247)</f>
        <v>6598.3151656314703</v>
      </c>
      <c r="H245" s="658" t="s">
        <v>2028</v>
      </c>
      <c r="I245" s="674" t="s">
        <v>2029</v>
      </c>
    </row>
    <row r="246" spans="1:10" ht="16.5" thickBot="1" x14ac:dyDescent="0.3">
      <c r="A246" s="675" t="s">
        <v>544</v>
      </c>
      <c r="B246" s="676"/>
      <c r="C246" s="676"/>
      <c r="D246" s="676"/>
      <c r="E246" s="677"/>
      <c r="F246" s="678">
        <f>F245*2</f>
        <v>6640.6303312629407</v>
      </c>
      <c r="G246" s="679">
        <f>F246+F246*50%</f>
        <v>9960.9454968944119</v>
      </c>
      <c r="H246" s="680">
        <f>PACKAGING!I3</f>
        <v>2433</v>
      </c>
      <c r="I246" s="681">
        <f>G246+H246+H247</f>
        <v>13238.945496894412</v>
      </c>
      <c r="J246" s="1099">
        <v>12000</v>
      </c>
    </row>
    <row r="247" spans="1:10" ht="16.5" thickBot="1" x14ac:dyDescent="0.3">
      <c r="A247" s="684" t="s">
        <v>1559</v>
      </c>
      <c r="B247" s="685"/>
      <c r="C247" s="685"/>
      <c r="D247" s="685"/>
      <c r="E247" s="686"/>
      <c r="F247" s="687"/>
      <c r="G247" s="688"/>
      <c r="H247" s="680">
        <f>PACKAGING!I5</f>
        <v>845</v>
      </c>
      <c r="J247" s="956">
        <f>J246*2</f>
        <v>24000</v>
      </c>
    </row>
    <row r="248" spans="1:10" ht="15.75" thickBot="1" x14ac:dyDescent="0.3"/>
    <row r="249" spans="1:10" x14ac:dyDescent="0.25">
      <c r="A249" s="1746" t="s">
        <v>3817</v>
      </c>
      <c r="B249" s="1747"/>
      <c r="C249" s="1747"/>
      <c r="D249" s="1747"/>
      <c r="E249" s="1747"/>
      <c r="F249" s="1748"/>
      <c r="G249" s="873"/>
    </row>
    <row r="250" spans="1:10" ht="15.75" x14ac:dyDescent="0.25">
      <c r="A250" s="654" t="s">
        <v>916</v>
      </c>
      <c r="B250" s="655" t="s">
        <v>743</v>
      </c>
      <c r="C250" s="655" t="s">
        <v>1089</v>
      </c>
      <c r="D250" s="655" t="s">
        <v>1566</v>
      </c>
      <c r="E250" s="656" t="s">
        <v>1035</v>
      </c>
      <c r="F250" s="657" t="s">
        <v>1549</v>
      </c>
      <c r="G250" s="653"/>
      <c r="H250" s="653"/>
      <c r="I250" s="652"/>
    </row>
    <row r="251" spans="1:10" ht="15.75" x14ac:dyDescent="0.25">
      <c r="A251" s="659" t="s">
        <v>3435</v>
      </c>
      <c r="B251" s="660"/>
      <c r="C251" s="660"/>
      <c r="D251" s="660">
        <v>2.0299999999999998</v>
      </c>
      <c r="E251" s="661">
        <f>'HILOS-CORDONES-TANZA-CUERO'!E10</f>
        <v>210.25</v>
      </c>
      <c r="F251" s="662">
        <f t="shared" ref="F251:F257" si="0">E251*D251</f>
        <v>426.80749999999995</v>
      </c>
      <c r="G251" s="658"/>
      <c r="H251" s="653"/>
      <c r="I251" s="652"/>
    </row>
    <row r="252" spans="1:10" ht="15.75" x14ac:dyDescent="0.25">
      <c r="A252" s="663" t="s">
        <v>3099</v>
      </c>
      <c r="B252" s="660"/>
      <c r="C252" s="660"/>
      <c r="D252" s="660">
        <v>9</v>
      </c>
      <c r="E252" s="661">
        <f>PERLAS!O26</f>
        <v>274.90909090909093</v>
      </c>
      <c r="F252" s="664">
        <f t="shared" si="0"/>
        <v>2474.1818181818185</v>
      </c>
      <c r="G252" s="658"/>
      <c r="H252" s="653"/>
      <c r="I252" s="652"/>
    </row>
    <row r="253" spans="1:10" ht="15.75" x14ac:dyDescent="0.25">
      <c r="A253" s="663" t="s">
        <v>1008</v>
      </c>
      <c r="B253" s="660"/>
      <c r="C253" s="660"/>
      <c r="D253" s="660">
        <v>17</v>
      </c>
      <c r="E253" s="661">
        <f>FORNITURAS!D14</f>
        <v>98.8</v>
      </c>
      <c r="F253" s="664">
        <f t="shared" si="0"/>
        <v>1679.6</v>
      </c>
      <c r="G253" s="658"/>
      <c r="H253" s="653"/>
      <c r="I253" s="652"/>
    </row>
    <row r="254" spans="1:10" ht="15.75" x14ac:dyDescent="0.25">
      <c r="A254" s="663" t="s">
        <v>4107</v>
      </c>
      <c r="B254" s="660" t="s">
        <v>1022</v>
      </c>
      <c r="C254" s="660"/>
      <c r="D254" s="660">
        <v>8</v>
      </c>
      <c r="E254" s="661">
        <f>FORNITURAS!D27</f>
        <v>366</v>
      </c>
      <c r="F254" s="664">
        <f t="shared" si="0"/>
        <v>2928</v>
      </c>
      <c r="G254" s="658"/>
      <c r="H254" s="653"/>
      <c r="I254" s="652"/>
    </row>
    <row r="255" spans="1:10" ht="15.75" x14ac:dyDescent="0.25">
      <c r="A255" s="769" t="s">
        <v>3436</v>
      </c>
      <c r="B255" s="660"/>
      <c r="C255" s="660"/>
      <c r="D255" s="660">
        <v>13</v>
      </c>
      <c r="E255" s="661">
        <f>PLATEADO!F6</f>
        <v>561.98</v>
      </c>
      <c r="F255" s="664">
        <f t="shared" si="0"/>
        <v>7305.74</v>
      </c>
      <c r="G255" s="658"/>
      <c r="H255" s="653"/>
      <c r="I255" s="652"/>
    </row>
    <row r="256" spans="1:10" ht="15.75" x14ac:dyDescent="0.25">
      <c r="A256" s="665" t="s">
        <v>3692</v>
      </c>
      <c r="B256" s="660"/>
      <c r="C256" s="660"/>
      <c r="D256" s="660">
        <v>1</v>
      </c>
      <c r="E256" s="661">
        <f>'AROS, CADENAS, DIJES, ETC'!O54</f>
        <v>2920</v>
      </c>
      <c r="F256" s="664">
        <f t="shared" si="0"/>
        <v>2920</v>
      </c>
      <c r="G256" s="658"/>
      <c r="H256" s="653"/>
      <c r="I256" s="652"/>
    </row>
    <row r="257" spans="1:10" ht="15.75" x14ac:dyDescent="0.25">
      <c r="A257" s="820" t="s">
        <v>1555</v>
      </c>
      <c r="B257" s="660" t="s">
        <v>1933</v>
      </c>
      <c r="C257" s="660"/>
      <c r="D257" s="660">
        <v>3</v>
      </c>
      <c r="E257" s="661">
        <f>FORNITURAS!D5</f>
        <v>46.8</v>
      </c>
      <c r="F257" s="664">
        <f t="shared" si="0"/>
        <v>140.39999999999998</v>
      </c>
      <c r="G257" s="658"/>
      <c r="H257" s="653"/>
      <c r="I257" s="652"/>
    </row>
    <row r="258" spans="1:10" ht="15.75" x14ac:dyDescent="0.25">
      <c r="A258" s="666" t="s">
        <v>1746</v>
      </c>
      <c r="B258" s="660"/>
      <c r="C258" s="660"/>
      <c r="D258" s="660"/>
      <c r="E258" s="661"/>
      <c r="F258" s="662">
        <v>20</v>
      </c>
      <c r="G258" s="658"/>
      <c r="H258" s="653"/>
      <c r="I258" s="652"/>
    </row>
    <row r="259" spans="1:10" ht="15.75" x14ac:dyDescent="0.25">
      <c r="A259" s="666" t="s">
        <v>3442</v>
      </c>
      <c r="B259" s="660"/>
      <c r="C259" s="660"/>
      <c r="D259" s="660">
        <v>2</v>
      </c>
      <c r="E259" s="661">
        <f>FORNITURAS!D34</f>
        <v>301.42857142857144</v>
      </c>
      <c r="F259" s="662">
        <f>E259*2</f>
        <v>602.85714285714289</v>
      </c>
      <c r="G259" s="658"/>
      <c r="H259" s="653"/>
      <c r="I259" s="652"/>
    </row>
    <row r="260" spans="1:10" ht="15.75" x14ac:dyDescent="0.25">
      <c r="A260" s="666" t="s">
        <v>1557</v>
      </c>
      <c r="B260" s="660"/>
      <c r="C260" s="660"/>
      <c r="D260" s="660"/>
      <c r="E260" s="661"/>
      <c r="F260" s="662">
        <f>PACKAGING!E4</f>
        <v>80</v>
      </c>
      <c r="G260" s="658"/>
      <c r="H260" s="653"/>
      <c r="I260" s="652"/>
    </row>
    <row r="261" spans="1:10" ht="15.75" x14ac:dyDescent="0.25">
      <c r="A261" s="663" t="s">
        <v>1618</v>
      </c>
      <c r="B261" s="660" t="s">
        <v>2030</v>
      </c>
      <c r="C261" s="660">
        <v>60</v>
      </c>
      <c r="D261" s="660">
        <v>45</v>
      </c>
      <c r="E261" s="668">
        <f>'INSUMOS VARIOS'!B3</f>
        <v>3500</v>
      </c>
      <c r="F261" s="669">
        <f>E261*D261/C261</f>
        <v>2625</v>
      </c>
      <c r="G261" s="1" t="s">
        <v>3023</v>
      </c>
      <c r="H261" s="653"/>
      <c r="I261" s="652"/>
    </row>
    <row r="262" spans="1:10" ht="15.75" thickBot="1" x14ac:dyDescent="0.3">
      <c r="A262" s="670" t="s">
        <v>525</v>
      </c>
      <c r="B262" s="671"/>
      <c r="C262" s="671"/>
      <c r="D262" s="671"/>
      <c r="E262" s="672"/>
      <c r="F262" s="673">
        <f>SUM(F251:F261)</f>
        <v>21202.586461038962</v>
      </c>
      <c r="G262" s="698">
        <f>F262+H263+H264</f>
        <v>24480.586461038962</v>
      </c>
      <c r="H262" s="658" t="s">
        <v>2028</v>
      </c>
      <c r="I262" s="674" t="s">
        <v>2029</v>
      </c>
    </row>
    <row r="263" spans="1:10" ht="16.5" thickBot="1" x14ac:dyDescent="0.3">
      <c r="A263" s="675" t="s">
        <v>544</v>
      </c>
      <c r="B263" s="676"/>
      <c r="C263" s="676"/>
      <c r="D263" s="676"/>
      <c r="E263" s="677"/>
      <c r="F263" s="678">
        <f>F262*2</f>
        <v>42405.172922077923</v>
      </c>
      <c r="G263" s="679">
        <f>F263+F263*50%</f>
        <v>63607.759383116885</v>
      </c>
      <c r="H263" s="680">
        <f>PACKAGING!I3</f>
        <v>2433</v>
      </c>
      <c r="I263" s="701">
        <f>H263+H264+G263</f>
        <v>66885.759383116878</v>
      </c>
      <c r="J263" s="681">
        <v>72000</v>
      </c>
    </row>
    <row r="264" spans="1:10" ht="16.5" thickBot="1" x14ac:dyDescent="0.3">
      <c r="A264" s="684" t="s">
        <v>1559</v>
      </c>
      <c r="B264" s="685"/>
      <c r="C264" s="685"/>
      <c r="D264" s="685"/>
      <c r="E264" s="686"/>
      <c r="F264" s="687"/>
      <c r="G264" s="688"/>
      <c r="H264" s="701">
        <f>PACKAGING!I5</f>
        <v>845</v>
      </c>
      <c r="I264" s="1285"/>
      <c r="J264" s="702"/>
    </row>
    <row r="265" spans="1:10" ht="15.75" thickBot="1" x14ac:dyDescent="0.3"/>
    <row r="266" spans="1:10" ht="15.75" x14ac:dyDescent="0.25">
      <c r="A266" s="1746" t="s">
        <v>2209</v>
      </c>
      <c r="B266" s="1747"/>
      <c r="C266" s="1747"/>
      <c r="D266" s="1747"/>
      <c r="E266" s="1747"/>
      <c r="F266" s="1748"/>
      <c r="G266" s="653"/>
      <c r="H266" s="653"/>
      <c r="I266" s="652"/>
      <c r="J266" s="652"/>
    </row>
    <row r="267" spans="1:10" ht="15.75" x14ac:dyDescent="0.25">
      <c r="A267" s="654" t="s">
        <v>916</v>
      </c>
      <c r="B267" s="655" t="s">
        <v>743</v>
      </c>
      <c r="C267" s="655" t="s">
        <v>1089</v>
      </c>
      <c r="D267" s="655" t="s">
        <v>1566</v>
      </c>
      <c r="E267" s="656" t="s">
        <v>1035</v>
      </c>
      <c r="F267" s="657" t="s">
        <v>1549</v>
      </c>
      <c r="G267" s="658"/>
      <c r="H267" s="653"/>
      <c r="I267" s="652"/>
      <c r="J267" s="652"/>
    </row>
    <row r="268" spans="1:10" ht="15.75" x14ac:dyDescent="0.25">
      <c r="A268" s="659" t="s">
        <v>1200</v>
      </c>
      <c r="B268" s="660"/>
      <c r="C268" s="660">
        <v>1.5</v>
      </c>
      <c r="D268" s="660"/>
      <c r="E268" s="661">
        <f>'HILOS-CORDONES-TANZA-CUERO'!B61</f>
        <v>1399.090909090909</v>
      </c>
      <c r="F268" s="662">
        <f>E268*C268</f>
        <v>2098.6363636363635</v>
      </c>
      <c r="G268" s="658"/>
      <c r="H268" s="653"/>
      <c r="I268" s="652"/>
      <c r="J268" s="652"/>
    </row>
    <row r="269" spans="1:10" ht="15.75" x14ac:dyDescent="0.25">
      <c r="A269" s="663" t="s">
        <v>3487</v>
      </c>
      <c r="B269" s="660"/>
      <c r="C269" s="660"/>
      <c r="D269" s="660">
        <v>1</v>
      </c>
      <c r="E269" s="661">
        <f>'AROS, CADENAS, DIJES, ETC'!C188</f>
        <v>6172</v>
      </c>
      <c r="F269" s="664">
        <f>E269*D269</f>
        <v>6172</v>
      </c>
      <c r="G269" s="658"/>
      <c r="H269" s="653"/>
      <c r="I269" s="652"/>
      <c r="J269" s="652"/>
    </row>
    <row r="270" spans="1:10" ht="15.75" x14ac:dyDescent="0.25">
      <c r="A270" s="665" t="s">
        <v>2010</v>
      </c>
      <c r="B270" s="660"/>
      <c r="C270" s="660"/>
      <c r="D270" s="660">
        <v>2</v>
      </c>
      <c r="E270" s="661">
        <f>FORNITURAS!D34</f>
        <v>301.42857142857144</v>
      </c>
      <c r="F270" s="662">
        <f>D270*E270</f>
        <v>602.85714285714289</v>
      </c>
      <c r="G270" s="658"/>
      <c r="H270" s="653"/>
      <c r="I270" s="652"/>
      <c r="J270" s="652"/>
    </row>
    <row r="271" spans="1:10" ht="15.75" x14ac:dyDescent="0.25">
      <c r="A271" s="769" t="s">
        <v>3401</v>
      </c>
      <c r="B271" s="660"/>
      <c r="C271" s="660"/>
      <c r="D271" s="660">
        <v>1</v>
      </c>
      <c r="E271" s="661">
        <f>FORNITURAS!I10</f>
        <v>501</v>
      </c>
      <c r="F271" s="662">
        <f>E271</f>
        <v>501</v>
      </c>
      <c r="G271" s="658"/>
      <c r="H271" s="653"/>
      <c r="I271" s="652"/>
      <c r="J271" s="652"/>
    </row>
    <row r="272" spans="1:10" ht="15.75" x14ac:dyDescent="0.25">
      <c r="A272" s="666" t="s">
        <v>1746</v>
      </c>
      <c r="B272" s="660"/>
      <c r="C272" s="660"/>
      <c r="D272" s="660"/>
      <c r="E272" s="661"/>
      <c r="F272" s="662">
        <v>20</v>
      </c>
      <c r="G272" s="658"/>
      <c r="H272" s="653"/>
      <c r="I272" s="652"/>
      <c r="J272" s="652"/>
    </row>
    <row r="273" spans="1:11" ht="15.75" x14ac:dyDescent="0.25">
      <c r="A273" s="666" t="s">
        <v>3362</v>
      </c>
      <c r="B273" s="660"/>
      <c r="C273" s="660"/>
      <c r="D273" s="660"/>
      <c r="E273" s="661"/>
      <c r="F273" s="662">
        <f>PACKAGING!E17</f>
        <v>7.5</v>
      </c>
      <c r="G273" s="658"/>
      <c r="H273" s="653"/>
      <c r="I273" s="652"/>
      <c r="J273" s="652"/>
    </row>
    <row r="274" spans="1:11" ht="15.75" x14ac:dyDescent="0.25">
      <c r="A274" s="666" t="s">
        <v>1557</v>
      </c>
      <c r="B274" s="660"/>
      <c r="C274" s="660"/>
      <c r="D274" s="660"/>
      <c r="E274" s="661"/>
      <c r="F274" s="662">
        <f>PACKAGING!E4</f>
        <v>80</v>
      </c>
      <c r="G274" s="658"/>
      <c r="H274" s="653"/>
      <c r="I274" s="652"/>
      <c r="J274" s="652"/>
    </row>
    <row r="275" spans="1:11" ht="15.75" x14ac:dyDescent="0.25">
      <c r="A275" s="663" t="s">
        <v>1618</v>
      </c>
      <c r="B275" s="660" t="s">
        <v>2030</v>
      </c>
      <c r="C275" s="660">
        <v>60</v>
      </c>
      <c r="D275" s="660">
        <v>30</v>
      </c>
      <c r="E275" s="668">
        <f>'INSUMOS VARIOS'!B3</f>
        <v>3500</v>
      </c>
      <c r="F275" s="669">
        <f>E275*D275/C275</f>
        <v>1750</v>
      </c>
      <c r="G275" s="1" t="s">
        <v>3023</v>
      </c>
      <c r="H275" s="653"/>
      <c r="I275" s="652"/>
      <c r="J275" s="652"/>
    </row>
    <row r="276" spans="1:11" ht="15.75" thickBot="1" x14ac:dyDescent="0.3">
      <c r="A276" s="670" t="s">
        <v>525</v>
      </c>
      <c r="B276" s="671"/>
      <c r="C276" s="671"/>
      <c r="D276" s="671"/>
      <c r="E276" s="672"/>
      <c r="F276" s="673">
        <f>SUM(F268:F275)</f>
        <v>11231.993506493507</v>
      </c>
      <c r="G276" s="698">
        <f>(F276+H277+H278)</f>
        <v>14509.993506493507</v>
      </c>
      <c r="H276" s="658" t="s">
        <v>2028</v>
      </c>
      <c r="I276" s="674" t="s">
        <v>2029</v>
      </c>
      <c r="J276" s="652"/>
    </row>
    <row r="277" spans="1:11" ht="16.5" thickBot="1" x14ac:dyDescent="0.3">
      <c r="A277" s="675" t="s">
        <v>544</v>
      </c>
      <c r="B277" s="676"/>
      <c r="C277" s="676"/>
      <c r="D277" s="676"/>
      <c r="E277" s="677"/>
      <c r="F277" s="678">
        <f>F276*2</f>
        <v>22463.987012987014</v>
      </c>
      <c r="G277" s="679">
        <f>F277+F277*70%</f>
        <v>38188.777922077919</v>
      </c>
      <c r="H277" s="680">
        <f>PACKAGING!I3</f>
        <v>2433</v>
      </c>
      <c r="I277" s="681">
        <f>H277+H278+G277</f>
        <v>41466.777922077919</v>
      </c>
      <c r="J277" s="682">
        <v>42000</v>
      </c>
    </row>
    <row r="278" spans="1:11" ht="16.5" thickBot="1" x14ac:dyDescent="0.3">
      <c r="A278" s="684" t="s">
        <v>1559</v>
      </c>
      <c r="B278" s="685"/>
      <c r="C278" s="685"/>
      <c r="D278" s="685"/>
      <c r="E278" s="686"/>
      <c r="F278" s="687"/>
      <c r="G278" s="688"/>
      <c r="H278" s="680">
        <f>PACKAGING!I5</f>
        <v>845</v>
      </c>
      <c r="I278" s="690"/>
      <c r="J278" s="1280">
        <f>J277*60%</f>
        <v>25200</v>
      </c>
      <c r="K278" s="1273" t="s">
        <v>3687</v>
      </c>
    </row>
    <row r="279" spans="1:11" ht="15.75" thickBot="1" x14ac:dyDescent="0.3"/>
    <row r="280" spans="1:11" ht="15.75" x14ac:dyDescent="0.25">
      <c r="A280" s="1746" t="s">
        <v>3488</v>
      </c>
      <c r="B280" s="1747"/>
      <c r="C280" s="1747"/>
      <c r="D280" s="1747"/>
      <c r="E280" s="1747"/>
      <c r="F280" s="1748"/>
      <c r="G280" s="653"/>
      <c r="H280" s="653"/>
      <c r="I280" s="652"/>
      <c r="J280" s="652"/>
    </row>
    <row r="281" spans="1:11" ht="15.75" x14ac:dyDescent="0.25">
      <c r="A281" s="654" t="s">
        <v>916</v>
      </c>
      <c r="B281" s="655" t="s">
        <v>743</v>
      </c>
      <c r="C281" s="655" t="s">
        <v>1089</v>
      </c>
      <c r="D281" s="655" t="s">
        <v>1566</v>
      </c>
      <c r="E281" s="656" t="s">
        <v>1035</v>
      </c>
      <c r="F281" s="657" t="s">
        <v>1549</v>
      </c>
      <c r="G281" s="658"/>
      <c r="H281" s="653"/>
      <c r="I281" s="652"/>
      <c r="J281" s="652"/>
    </row>
    <row r="282" spans="1:11" ht="15.75" x14ac:dyDescent="0.25">
      <c r="A282" s="659" t="s">
        <v>1200</v>
      </c>
      <c r="B282" s="660"/>
      <c r="C282" s="660">
        <v>1.9</v>
      </c>
      <c r="D282" s="660"/>
      <c r="E282" s="661">
        <f>'HILOS-CORDONES-TANZA-CUERO'!B61</f>
        <v>1399.090909090909</v>
      </c>
      <c r="F282" s="662">
        <f>E282*C282</f>
        <v>2658.272727272727</v>
      </c>
      <c r="G282" s="658"/>
      <c r="H282" s="653"/>
      <c r="I282" s="652"/>
      <c r="J282" s="652"/>
    </row>
    <row r="283" spans="1:11" ht="15.75" x14ac:dyDescent="0.25">
      <c r="A283" s="663" t="s">
        <v>3489</v>
      </c>
      <c r="B283" s="660"/>
      <c r="C283" s="660"/>
      <c r="D283" s="660">
        <v>1</v>
      </c>
      <c r="E283" s="661">
        <f>'AROS, CADENAS, DIJES, ETC'!O52</f>
        <v>4079</v>
      </c>
      <c r="F283" s="664">
        <f>E283*D283</f>
        <v>4079</v>
      </c>
      <c r="G283" s="658"/>
      <c r="H283" s="653"/>
      <c r="I283" s="652"/>
      <c r="J283" s="652"/>
    </row>
    <row r="284" spans="1:11" ht="15.75" x14ac:dyDescent="0.25">
      <c r="A284" s="665" t="s">
        <v>2010</v>
      </c>
      <c r="B284" s="660"/>
      <c r="C284" s="660"/>
      <c r="D284" s="660">
        <v>2</v>
      </c>
      <c r="E284" s="661">
        <f>FORNITURAS!D34</f>
        <v>301.42857142857144</v>
      </c>
      <c r="F284" s="662">
        <f>D284*E284</f>
        <v>602.85714285714289</v>
      </c>
      <c r="G284" s="658"/>
      <c r="H284" s="653"/>
      <c r="I284" s="652"/>
      <c r="J284" s="652"/>
    </row>
    <row r="285" spans="1:11" ht="15.75" x14ac:dyDescent="0.25">
      <c r="A285" s="666" t="s">
        <v>1746</v>
      </c>
      <c r="B285" s="660"/>
      <c r="C285" s="660"/>
      <c r="D285" s="660"/>
      <c r="E285" s="661"/>
      <c r="F285" s="662">
        <v>20</v>
      </c>
      <c r="G285" s="658"/>
      <c r="H285" s="653"/>
      <c r="I285" s="652"/>
      <c r="J285" s="652"/>
    </row>
    <row r="286" spans="1:11" ht="15.75" x14ac:dyDescent="0.25">
      <c r="A286" s="666" t="s">
        <v>3362</v>
      </c>
      <c r="B286" s="660"/>
      <c r="C286" s="660"/>
      <c r="D286" s="660"/>
      <c r="E286" s="661"/>
      <c r="F286" s="662">
        <f>PACKAGING!E17</f>
        <v>7.5</v>
      </c>
      <c r="G286" s="658"/>
      <c r="H286" s="653"/>
      <c r="I286" s="652"/>
      <c r="J286" s="652"/>
    </row>
    <row r="287" spans="1:11" ht="15.75" x14ac:dyDescent="0.25">
      <c r="A287" s="666" t="s">
        <v>1557</v>
      </c>
      <c r="B287" s="660"/>
      <c r="C287" s="660"/>
      <c r="D287" s="660"/>
      <c r="E287" s="661"/>
      <c r="F287" s="662">
        <f>PACKAGING!E4</f>
        <v>80</v>
      </c>
      <c r="G287" s="658"/>
      <c r="H287" s="653"/>
      <c r="I287" s="652"/>
      <c r="J287" s="652"/>
    </row>
    <row r="288" spans="1:11" ht="15.75" x14ac:dyDescent="0.25">
      <c r="A288" s="663" t="s">
        <v>1618</v>
      </c>
      <c r="B288" s="660" t="s">
        <v>2030</v>
      </c>
      <c r="C288" s="660">
        <v>60</v>
      </c>
      <c r="D288" s="660">
        <v>30</v>
      </c>
      <c r="E288" s="668">
        <f>'INSUMOS VARIOS'!B3</f>
        <v>3500</v>
      </c>
      <c r="F288" s="669">
        <f>E288*D288/C288</f>
        <v>1750</v>
      </c>
      <c r="G288" s="1" t="s">
        <v>3023</v>
      </c>
      <c r="H288" s="653"/>
      <c r="I288" s="652"/>
      <c r="J288" s="652"/>
    </row>
    <row r="289" spans="1:11" ht="15.75" thickBot="1" x14ac:dyDescent="0.3">
      <c r="A289" s="670" t="s">
        <v>525</v>
      </c>
      <c r="B289" s="671"/>
      <c r="C289" s="671"/>
      <c r="D289" s="671"/>
      <c r="E289" s="672"/>
      <c r="F289" s="673">
        <f>SUM(F282:F288)</f>
        <v>9197.6298701298692</v>
      </c>
      <c r="G289" s="698">
        <f>(F289+H290+H291)</f>
        <v>12475.629870129869</v>
      </c>
      <c r="H289" s="658" t="s">
        <v>2028</v>
      </c>
      <c r="I289" s="674" t="s">
        <v>2029</v>
      </c>
      <c r="J289" s="652"/>
    </row>
    <row r="290" spans="1:11" ht="16.5" thickBot="1" x14ac:dyDescent="0.3">
      <c r="A290" s="675" t="s">
        <v>544</v>
      </c>
      <c r="B290" s="676"/>
      <c r="C290" s="676"/>
      <c r="D290" s="676"/>
      <c r="E290" s="677"/>
      <c r="F290" s="678">
        <f>F289*2</f>
        <v>18395.259740259738</v>
      </c>
      <c r="G290" s="679">
        <f>F290+F290*70%</f>
        <v>31271.941558441555</v>
      </c>
      <c r="H290" s="680">
        <f>PACKAGING!I3</f>
        <v>2433</v>
      </c>
      <c r="I290" s="681">
        <f>H290+H291+G290</f>
        <v>34549.941558441555</v>
      </c>
      <c r="J290" s="682">
        <v>42000</v>
      </c>
      <c r="K290" s="1273"/>
    </row>
    <row r="291" spans="1:11" ht="16.5" thickBot="1" x14ac:dyDescent="0.3">
      <c r="A291" s="684" t="s">
        <v>1559</v>
      </c>
      <c r="B291" s="685"/>
      <c r="C291" s="685"/>
      <c r="D291" s="685"/>
      <c r="E291" s="686"/>
      <c r="F291" s="687"/>
      <c r="G291" s="688"/>
      <c r="H291" s="680">
        <f>PACKAGING!I5</f>
        <v>845</v>
      </c>
      <c r="I291" s="690"/>
      <c r="J291" s="1280">
        <f>J290*60%</f>
        <v>25200</v>
      </c>
      <c r="K291" s="1273" t="s">
        <v>3687</v>
      </c>
    </row>
    <row r="292" spans="1:11" ht="15.75" thickBot="1" x14ac:dyDescent="0.3"/>
    <row r="293" spans="1:11" ht="15.75" x14ac:dyDescent="0.25">
      <c r="A293" s="1746" t="s">
        <v>3651</v>
      </c>
      <c r="B293" s="1747"/>
      <c r="C293" s="1747"/>
      <c r="D293" s="1747"/>
      <c r="E293" s="1747"/>
      <c r="F293" s="1748"/>
      <c r="G293" s="653"/>
      <c r="H293" s="653"/>
      <c r="I293" s="652"/>
      <c r="J293" s="652"/>
    </row>
    <row r="294" spans="1:11" ht="15.75" x14ac:dyDescent="0.25">
      <c r="A294" s="654" t="s">
        <v>916</v>
      </c>
      <c r="B294" s="655" t="s">
        <v>743</v>
      </c>
      <c r="C294" s="655" t="s">
        <v>1089</v>
      </c>
      <c r="D294" s="655" t="s">
        <v>1566</v>
      </c>
      <c r="E294" s="656" t="s">
        <v>1035</v>
      </c>
      <c r="F294" s="657" t="s">
        <v>1549</v>
      </c>
      <c r="G294" s="658"/>
      <c r="H294" s="653"/>
      <c r="I294" s="652"/>
      <c r="J294" s="652"/>
    </row>
    <row r="295" spans="1:11" ht="15.75" x14ac:dyDescent="0.25">
      <c r="A295" s="659" t="s">
        <v>1200</v>
      </c>
      <c r="B295" s="660"/>
      <c r="C295" s="660">
        <v>1.5</v>
      </c>
      <c r="D295" s="660"/>
      <c r="E295" s="661">
        <f>'HILOS-CORDONES-TANZA-CUERO'!B61</f>
        <v>1399.090909090909</v>
      </c>
      <c r="F295" s="662">
        <f>E295*C295</f>
        <v>2098.6363636363635</v>
      </c>
      <c r="G295" s="658"/>
      <c r="H295" s="653"/>
      <c r="I295" s="652"/>
      <c r="J295" s="652"/>
    </row>
    <row r="296" spans="1:11" ht="15.75" x14ac:dyDescent="0.25">
      <c r="A296" s="663" t="s">
        <v>3490</v>
      </c>
      <c r="B296" s="660"/>
      <c r="C296" s="660"/>
      <c r="D296" s="660">
        <v>1</v>
      </c>
      <c r="E296" s="661">
        <f>PIEDRAS!K56</f>
        <v>2500</v>
      </c>
      <c r="F296" s="664">
        <f>E296*D296</f>
        <v>2500</v>
      </c>
      <c r="G296" s="658"/>
      <c r="H296" s="653"/>
      <c r="I296" s="652"/>
      <c r="J296" s="652"/>
    </row>
    <row r="297" spans="1:11" ht="15.75" x14ac:dyDescent="0.25">
      <c r="A297" s="665" t="s">
        <v>2010</v>
      </c>
      <c r="B297" s="660"/>
      <c r="C297" s="660"/>
      <c r="D297" s="660">
        <v>2</v>
      </c>
      <c r="E297" s="661">
        <f>FORNITURAS!D34</f>
        <v>301.42857142857144</v>
      </c>
      <c r="F297" s="662">
        <f>D297*E297</f>
        <v>602.85714285714289</v>
      </c>
      <c r="G297" s="658"/>
      <c r="H297" s="653"/>
      <c r="I297" s="652"/>
      <c r="J297" s="652"/>
    </row>
    <row r="298" spans="1:11" ht="15.75" x14ac:dyDescent="0.25">
      <c r="A298" s="666" t="s">
        <v>1746</v>
      </c>
      <c r="B298" s="660"/>
      <c r="C298" s="660"/>
      <c r="D298" s="660"/>
      <c r="E298" s="661"/>
      <c r="F298" s="662">
        <v>20</v>
      </c>
      <c r="G298" s="658"/>
      <c r="H298" s="653"/>
      <c r="I298" s="652"/>
      <c r="J298" s="652"/>
    </row>
    <row r="299" spans="1:11" ht="15.75" x14ac:dyDescent="0.25">
      <c r="A299" s="666" t="s">
        <v>3362</v>
      </c>
      <c r="B299" s="660"/>
      <c r="C299" s="660"/>
      <c r="D299" s="660"/>
      <c r="E299" s="661"/>
      <c r="F299" s="662">
        <f>PACKAGING!E17</f>
        <v>7.5</v>
      </c>
      <c r="G299" s="658"/>
      <c r="H299" s="653"/>
      <c r="I299" s="652"/>
      <c r="J299" s="652"/>
    </row>
    <row r="300" spans="1:11" ht="15.75" x14ac:dyDescent="0.25">
      <c r="A300" s="666" t="s">
        <v>1557</v>
      </c>
      <c r="B300" s="660"/>
      <c r="C300" s="660"/>
      <c r="D300" s="660"/>
      <c r="E300" s="661"/>
      <c r="F300" s="662">
        <f>PACKAGING!E4</f>
        <v>80</v>
      </c>
      <c r="G300" s="658"/>
      <c r="H300" s="653"/>
      <c r="I300" s="652"/>
      <c r="J300" s="652"/>
    </row>
    <row r="301" spans="1:11" ht="15.75" x14ac:dyDescent="0.25">
      <c r="A301" s="663" t="s">
        <v>1618</v>
      </c>
      <c r="B301" s="660" t="s">
        <v>2030</v>
      </c>
      <c r="C301" s="660">
        <v>60</v>
      </c>
      <c r="D301" s="660">
        <v>30</v>
      </c>
      <c r="E301" s="668">
        <f>'INSUMOS VARIOS'!B3</f>
        <v>3500</v>
      </c>
      <c r="F301" s="669">
        <f>E301*D301/C301</f>
        <v>1750</v>
      </c>
      <c r="G301" s="1" t="s">
        <v>3023</v>
      </c>
      <c r="H301" s="653"/>
      <c r="I301" s="652"/>
      <c r="J301" s="652"/>
    </row>
    <row r="302" spans="1:11" ht="15.75" thickBot="1" x14ac:dyDescent="0.3">
      <c r="A302" s="670" t="s">
        <v>525</v>
      </c>
      <c r="B302" s="671"/>
      <c r="C302" s="671"/>
      <c r="D302" s="671"/>
      <c r="E302" s="672"/>
      <c r="F302" s="673">
        <f>SUM(F295:F301)</f>
        <v>7058.9935064935071</v>
      </c>
      <c r="G302" s="698">
        <f>(F302+H303+H304)</f>
        <v>10336.993506493507</v>
      </c>
      <c r="H302" s="658" t="s">
        <v>2028</v>
      </c>
      <c r="I302" s="674" t="s">
        <v>2029</v>
      </c>
      <c r="J302" s="652"/>
    </row>
    <row r="303" spans="1:11" ht="16.5" thickBot="1" x14ac:dyDescent="0.3">
      <c r="A303" s="675" t="s">
        <v>544</v>
      </c>
      <c r="B303" s="676"/>
      <c r="C303" s="676"/>
      <c r="D303" s="676"/>
      <c r="E303" s="677"/>
      <c r="F303" s="678">
        <f>F302*2</f>
        <v>14117.987012987014</v>
      </c>
      <c r="G303" s="679">
        <f>F303+F303*50%</f>
        <v>21176.980519480523</v>
      </c>
      <c r="H303" s="680">
        <f>PACKAGING!I3</f>
        <v>2433</v>
      </c>
      <c r="I303" s="681">
        <f>H303+H304+G303</f>
        <v>24454.980519480523</v>
      </c>
      <c r="J303" s="1274">
        <v>21000</v>
      </c>
      <c r="K303" s="1273" t="s">
        <v>3687</v>
      </c>
    </row>
    <row r="304" spans="1:11" ht="16.5" thickBot="1" x14ac:dyDescent="0.3">
      <c r="A304" s="684" t="s">
        <v>1559</v>
      </c>
      <c r="B304" s="685"/>
      <c r="C304" s="685"/>
      <c r="D304" s="685"/>
      <c r="E304" s="686"/>
      <c r="F304" s="687"/>
      <c r="G304" s="688"/>
      <c r="H304" s="680">
        <f>PACKAGING!I5</f>
        <v>845</v>
      </c>
      <c r="I304" s="690"/>
      <c r="J304" s="691">
        <f>J303*2</f>
        <v>42000</v>
      </c>
    </row>
    <row r="305" spans="1:11" ht="15.75" thickBot="1" x14ac:dyDescent="0.3"/>
    <row r="306" spans="1:11" ht="15.75" x14ac:dyDescent="0.25">
      <c r="A306" s="1746" t="s">
        <v>3657</v>
      </c>
      <c r="B306" s="1747"/>
      <c r="C306" s="1747"/>
      <c r="D306" s="1747"/>
      <c r="E306" s="1747"/>
      <c r="F306" s="1748"/>
      <c r="G306" s="653"/>
      <c r="H306" s="653"/>
      <c r="I306" s="652"/>
    </row>
    <row r="307" spans="1:11" ht="15.75" x14ac:dyDescent="0.25">
      <c r="A307" s="654" t="s">
        <v>916</v>
      </c>
      <c r="B307" s="655" t="s">
        <v>743</v>
      </c>
      <c r="C307" s="655" t="s">
        <v>1089</v>
      </c>
      <c r="D307" s="655" t="s">
        <v>1566</v>
      </c>
      <c r="E307" s="656" t="s">
        <v>1035</v>
      </c>
      <c r="F307" s="657" t="s">
        <v>1549</v>
      </c>
      <c r="G307" s="658"/>
      <c r="H307" s="653"/>
      <c r="I307" s="652"/>
    </row>
    <row r="308" spans="1:11" ht="15.75" x14ac:dyDescent="0.25">
      <c r="A308" s="659" t="s">
        <v>3491</v>
      </c>
      <c r="B308" s="660" t="s">
        <v>969</v>
      </c>
      <c r="C308" s="660"/>
      <c r="D308" s="660">
        <v>1.65</v>
      </c>
      <c r="E308" s="661">
        <f>'HILOS-CORDONES-TANZA-CUERO'!E13</f>
        <v>210.25</v>
      </c>
      <c r="F308" s="662">
        <f>E308*D308</f>
        <v>346.91249999999997</v>
      </c>
      <c r="G308" s="658"/>
      <c r="H308" s="653"/>
      <c r="I308" s="652"/>
    </row>
    <row r="309" spans="1:11" ht="15.75" x14ac:dyDescent="0.25">
      <c r="A309" s="663" t="s">
        <v>3492</v>
      </c>
      <c r="B309" s="660"/>
      <c r="C309" s="660"/>
      <c r="D309" s="660">
        <v>1</v>
      </c>
      <c r="E309" s="661">
        <f>VIDRIOS!J61</f>
        <v>1000</v>
      </c>
      <c r="F309" s="664">
        <f>E309*D309</f>
        <v>1000</v>
      </c>
      <c r="G309" s="658"/>
      <c r="H309" s="653"/>
      <c r="I309" s="652"/>
    </row>
    <row r="310" spans="1:11" ht="15.75" x14ac:dyDescent="0.25">
      <c r="A310" s="769" t="s">
        <v>1188</v>
      </c>
      <c r="B310" s="660"/>
      <c r="C310" s="660"/>
      <c r="D310" s="660">
        <v>2</v>
      </c>
      <c r="E310" s="661">
        <f>FORNITURAS!I9</f>
        <v>60.526315789473685</v>
      </c>
      <c r="F310" s="662">
        <f>D310*E310</f>
        <v>121.05263157894737</v>
      </c>
      <c r="G310" s="658"/>
      <c r="H310" s="653"/>
      <c r="I310" s="652"/>
    </row>
    <row r="311" spans="1:11" ht="15.75" x14ac:dyDescent="0.25">
      <c r="A311" s="666" t="s">
        <v>1746</v>
      </c>
      <c r="B311" s="660"/>
      <c r="C311" s="660"/>
      <c r="D311" s="660"/>
      <c r="E311" s="661"/>
      <c r="F311" s="662">
        <v>20</v>
      </c>
      <c r="G311" s="658"/>
      <c r="H311" s="653"/>
      <c r="I311" s="652"/>
    </row>
    <row r="312" spans="1:11" ht="15.75" x14ac:dyDescent="0.25">
      <c r="A312" s="666" t="s">
        <v>3362</v>
      </c>
      <c r="B312" s="660"/>
      <c r="C312" s="660"/>
      <c r="D312" s="660"/>
      <c r="E312" s="661"/>
      <c r="F312" s="662">
        <f>PACKAGING!E17</f>
        <v>7.5</v>
      </c>
      <c r="G312" s="658"/>
      <c r="H312" s="653"/>
      <c r="I312" s="652"/>
    </row>
    <row r="313" spans="1:11" ht="15.75" x14ac:dyDescent="0.25">
      <c r="A313" s="666" t="s">
        <v>1557</v>
      </c>
      <c r="B313" s="660"/>
      <c r="C313" s="660"/>
      <c r="D313" s="660"/>
      <c r="E313" s="661"/>
      <c r="F313" s="662">
        <f>PACKAGING!E4</f>
        <v>80</v>
      </c>
      <c r="G313" s="658"/>
      <c r="H313" s="653"/>
      <c r="I313" s="652"/>
    </row>
    <row r="314" spans="1:11" ht="15.75" x14ac:dyDescent="0.25">
      <c r="A314" s="663" t="s">
        <v>1618</v>
      </c>
      <c r="B314" s="660"/>
      <c r="C314" s="660">
        <v>60</v>
      </c>
      <c r="D314" s="660">
        <v>20</v>
      </c>
      <c r="E314" s="668">
        <f>'INSUMOS VARIOS'!B3</f>
        <v>3500</v>
      </c>
      <c r="F314" s="669">
        <f>E314*D314/C314</f>
        <v>1166.6666666666667</v>
      </c>
      <c r="G314" s="1" t="s">
        <v>3023</v>
      </c>
      <c r="H314" s="653"/>
      <c r="I314" s="652"/>
    </row>
    <row r="315" spans="1:11" ht="15.75" thickBot="1" x14ac:dyDescent="0.3">
      <c r="A315" s="670" t="s">
        <v>525</v>
      </c>
      <c r="B315" s="671"/>
      <c r="C315" s="671"/>
      <c r="D315" s="671"/>
      <c r="E315" s="672"/>
      <c r="F315" s="673">
        <f>SUM(F308:F314)</f>
        <v>2742.1317982456139</v>
      </c>
      <c r="G315" s="698">
        <f>(F315+H316+H317)</f>
        <v>6020.1317982456139</v>
      </c>
      <c r="H315" s="658" t="s">
        <v>2028</v>
      </c>
      <c r="I315" s="674" t="s">
        <v>2029</v>
      </c>
    </row>
    <row r="316" spans="1:11" ht="16.5" thickBot="1" x14ac:dyDescent="0.3">
      <c r="A316" s="675" t="s">
        <v>544</v>
      </c>
      <c r="B316" s="676"/>
      <c r="C316" s="676"/>
      <c r="D316" s="676"/>
      <c r="E316" s="677"/>
      <c r="F316" s="678">
        <f>F315*2</f>
        <v>5484.2635964912279</v>
      </c>
      <c r="G316" s="679">
        <f>F316+F316*50%</f>
        <v>8226.3953947368427</v>
      </c>
      <c r="H316" s="680">
        <f>PACKAGING!I3</f>
        <v>2433</v>
      </c>
      <c r="I316" s="681">
        <f>G316+H316+H317</f>
        <v>11504.395394736843</v>
      </c>
      <c r="J316" s="1275">
        <v>13000</v>
      </c>
      <c r="K316" s="1273" t="s">
        <v>3687</v>
      </c>
    </row>
    <row r="317" spans="1:11" ht="16.5" thickBot="1" x14ac:dyDescent="0.3">
      <c r="A317" s="684" t="s">
        <v>1559</v>
      </c>
      <c r="B317" s="685"/>
      <c r="C317" s="685"/>
      <c r="D317" s="685"/>
      <c r="E317" s="686"/>
      <c r="F317" s="687"/>
      <c r="G317" s="688"/>
      <c r="H317" s="680">
        <f>PACKAGING!I5</f>
        <v>845</v>
      </c>
      <c r="J317" s="1278">
        <f>J316*2</f>
        <v>26000</v>
      </c>
    </row>
    <row r="318" spans="1:11" ht="15.75" thickBot="1" x14ac:dyDescent="0.3"/>
    <row r="319" spans="1:11" ht="15.75" x14ac:dyDescent="0.25">
      <c r="A319" s="1746" t="s">
        <v>3822</v>
      </c>
      <c r="B319" s="1747"/>
      <c r="C319" s="1747"/>
      <c r="D319" s="1747"/>
      <c r="E319" s="1747"/>
      <c r="F319" s="1748"/>
      <c r="G319" s="653"/>
      <c r="H319" s="653"/>
      <c r="I319" s="652"/>
    </row>
    <row r="320" spans="1:11" ht="15.75" x14ac:dyDescent="0.25">
      <c r="A320" s="654" t="s">
        <v>916</v>
      </c>
      <c r="B320" s="655" t="s">
        <v>743</v>
      </c>
      <c r="C320" s="655" t="s">
        <v>1089</v>
      </c>
      <c r="D320" s="655" t="s">
        <v>1566</v>
      </c>
      <c r="E320" s="656" t="s">
        <v>1035</v>
      </c>
      <c r="F320" s="657" t="s">
        <v>1549</v>
      </c>
      <c r="G320" s="658"/>
      <c r="H320" s="653"/>
      <c r="I320" s="652"/>
    </row>
    <row r="321" spans="1:11" ht="15.75" x14ac:dyDescent="0.25">
      <c r="A321" s="666" t="s">
        <v>3524</v>
      </c>
      <c r="B321" s="660"/>
      <c r="C321" s="660"/>
      <c r="D321" s="660">
        <v>1.4</v>
      </c>
      <c r="E321" s="661">
        <f>'HILOS-CORDONES-TANZA-CUERO'!E26</f>
        <v>33.333333333333336</v>
      </c>
      <c r="F321" s="662">
        <f>E321*D321</f>
        <v>46.666666666666664</v>
      </c>
      <c r="G321" s="658"/>
      <c r="H321" s="653"/>
      <c r="I321" s="652"/>
    </row>
    <row r="322" spans="1:11" ht="15.75" x14ac:dyDescent="0.25">
      <c r="A322" s="663" t="s">
        <v>1691</v>
      </c>
      <c r="B322" s="660"/>
      <c r="C322" s="660"/>
      <c r="D322" s="660">
        <v>2</v>
      </c>
      <c r="E322" s="661">
        <f>'PERLAS 2'!H10</f>
        <v>1674</v>
      </c>
      <c r="F322" s="664">
        <f>E322*D322</f>
        <v>3348</v>
      </c>
      <c r="G322" s="658"/>
      <c r="H322" s="653"/>
      <c r="I322" s="652"/>
    </row>
    <row r="323" spans="1:11" ht="15.75" x14ac:dyDescent="0.25">
      <c r="A323" s="778" t="s">
        <v>3525</v>
      </c>
      <c r="B323" s="660">
        <v>0.39</v>
      </c>
      <c r="C323" s="660"/>
      <c r="D323" s="660">
        <v>1.07</v>
      </c>
      <c r="E323" s="661">
        <f>PIEDRAS!E36</f>
        <v>5000</v>
      </c>
      <c r="F323" s="662">
        <f>E323*D323/B323</f>
        <v>13717.948717948717</v>
      </c>
      <c r="G323" s="658"/>
      <c r="H323" s="653"/>
      <c r="I323" s="652"/>
    </row>
    <row r="324" spans="1:11" ht="15.75" x14ac:dyDescent="0.25">
      <c r="A324" s="666" t="s">
        <v>3362</v>
      </c>
      <c r="B324" s="660"/>
      <c r="C324" s="660"/>
      <c r="D324" s="660"/>
      <c r="E324" s="661"/>
      <c r="F324" s="662">
        <f>PACKAGING!E17</f>
        <v>7.5</v>
      </c>
      <c r="G324" s="658"/>
      <c r="H324" s="653"/>
      <c r="I324" s="652"/>
    </row>
    <row r="325" spans="1:11" ht="15.75" x14ac:dyDescent="0.25">
      <c r="A325" s="666" t="s">
        <v>1557</v>
      </c>
      <c r="B325" s="660"/>
      <c r="C325" s="660"/>
      <c r="D325" s="660"/>
      <c r="E325" s="661"/>
      <c r="F325" s="662">
        <f>PACKAGING!E4</f>
        <v>80</v>
      </c>
      <c r="G325" s="658"/>
      <c r="H325" s="653"/>
      <c r="I325" s="652"/>
    </row>
    <row r="326" spans="1:11" ht="15.75" x14ac:dyDescent="0.25">
      <c r="A326" s="663" t="s">
        <v>1618</v>
      </c>
      <c r="B326" s="660"/>
      <c r="C326" s="660">
        <v>60</v>
      </c>
      <c r="D326" s="660">
        <v>30</v>
      </c>
      <c r="E326" s="668">
        <f>'INSUMOS VARIOS'!B16</f>
        <v>2760</v>
      </c>
      <c r="F326" s="669">
        <f>E326*D326/C326</f>
        <v>1380</v>
      </c>
      <c r="G326" s="1" t="s">
        <v>3023</v>
      </c>
      <c r="H326" s="653"/>
      <c r="I326" s="652"/>
    </row>
    <row r="327" spans="1:11" ht="15.75" thickBot="1" x14ac:dyDescent="0.3">
      <c r="A327" s="670" t="s">
        <v>525</v>
      </c>
      <c r="B327" s="671"/>
      <c r="C327" s="671"/>
      <c r="D327" s="671"/>
      <c r="E327" s="672"/>
      <c r="F327" s="673">
        <f>SUM(F321:F326)</f>
        <v>18580.115384615383</v>
      </c>
      <c r="G327" s="698">
        <f>(F327+H328+H329)</f>
        <v>21858.115384615383</v>
      </c>
      <c r="H327" s="658" t="s">
        <v>2028</v>
      </c>
      <c r="I327" s="674" t="s">
        <v>2029</v>
      </c>
    </row>
    <row r="328" spans="1:11" ht="16.5" thickBot="1" x14ac:dyDescent="0.3">
      <c r="A328" s="675" t="s">
        <v>544</v>
      </c>
      <c r="B328" s="676"/>
      <c r="C328" s="676"/>
      <c r="D328" s="676"/>
      <c r="E328" s="677"/>
      <c r="F328" s="678">
        <f>F327*2</f>
        <v>37160.230769230766</v>
      </c>
      <c r="G328" s="679">
        <f>F328+F328*70%</f>
        <v>63172.392307692302</v>
      </c>
      <c r="H328" s="680">
        <f>PACKAGING!I3</f>
        <v>2433</v>
      </c>
      <c r="I328" s="681">
        <f>G328+H328+H329</f>
        <v>66450.392307692295</v>
      </c>
      <c r="J328" s="1277">
        <v>54000</v>
      </c>
      <c r="K328" s="1273"/>
    </row>
    <row r="329" spans="1:11" ht="16.5" thickBot="1" x14ac:dyDescent="0.3">
      <c r="A329" s="684" t="s">
        <v>1559</v>
      </c>
      <c r="B329" s="685"/>
      <c r="C329" s="685"/>
      <c r="D329" s="685"/>
      <c r="E329" s="686"/>
      <c r="F329" s="687"/>
      <c r="G329" s="688"/>
      <c r="H329" s="680">
        <f>PACKAGING!I5</f>
        <v>845</v>
      </c>
      <c r="J329" s="1279">
        <f>J328*60%</f>
        <v>32400</v>
      </c>
      <c r="K329" s="1273" t="s">
        <v>3687</v>
      </c>
    </row>
    <row r="330" spans="1:11" ht="15.75" thickBot="1" x14ac:dyDescent="0.3"/>
    <row r="331" spans="1:11" ht="15.75" x14ac:dyDescent="0.25">
      <c r="A331" s="1746" t="s">
        <v>3820</v>
      </c>
      <c r="B331" s="1747"/>
      <c r="C331" s="1747"/>
      <c r="D331" s="1747"/>
      <c r="E331" s="1747"/>
      <c r="F331" s="1748"/>
      <c r="G331" s="653"/>
      <c r="H331" s="653"/>
      <c r="I331" s="652"/>
    </row>
    <row r="332" spans="1:11" ht="15.75" x14ac:dyDescent="0.25">
      <c r="A332" s="654" t="s">
        <v>916</v>
      </c>
      <c r="B332" s="655" t="s">
        <v>743</v>
      </c>
      <c r="C332" s="655" t="s">
        <v>1089</v>
      </c>
      <c r="D332" s="655" t="s">
        <v>1566</v>
      </c>
      <c r="E332" s="656" t="s">
        <v>1035</v>
      </c>
      <c r="F332" s="657" t="s">
        <v>1549</v>
      </c>
      <c r="G332" s="658"/>
      <c r="H332" s="653"/>
      <c r="I332" s="652"/>
    </row>
    <row r="333" spans="1:11" ht="15.75" x14ac:dyDescent="0.25">
      <c r="A333" s="659" t="s">
        <v>3435</v>
      </c>
      <c r="B333" s="660"/>
      <c r="C333" s="660"/>
      <c r="D333" s="660">
        <v>1.9</v>
      </c>
      <c r="E333" s="661">
        <f>'HILOS-CORDONES-TANZA-CUERO'!E38</f>
        <v>329</v>
      </c>
      <c r="F333" s="662">
        <f>E333*D333</f>
        <v>625.1</v>
      </c>
      <c r="G333" s="658"/>
      <c r="H333" s="653"/>
      <c r="I333" s="652"/>
    </row>
    <row r="334" spans="1:11" ht="15.75" x14ac:dyDescent="0.25">
      <c r="A334" s="663" t="s">
        <v>3701</v>
      </c>
      <c r="B334" s="660"/>
      <c r="C334" s="660"/>
      <c r="D334" s="660">
        <v>2</v>
      </c>
      <c r="E334" s="661">
        <f>PLATEADO!F61</f>
        <v>881</v>
      </c>
      <c r="F334" s="664">
        <f>E334*D334</f>
        <v>1762</v>
      </c>
      <c r="G334" s="658"/>
      <c r="H334" s="653"/>
      <c r="I334" s="652"/>
    </row>
    <row r="335" spans="1:11" ht="15.75" x14ac:dyDescent="0.25">
      <c r="A335" s="778" t="s">
        <v>2010</v>
      </c>
      <c r="B335" s="660"/>
      <c r="C335" s="660"/>
      <c r="D335" s="660">
        <v>2</v>
      </c>
      <c r="E335" s="661">
        <f>FORNITURAS!D34</f>
        <v>301.42857142857144</v>
      </c>
      <c r="F335" s="662">
        <f>D335*E335</f>
        <v>602.85714285714289</v>
      </c>
      <c r="G335" s="658"/>
      <c r="H335" s="653"/>
      <c r="I335" s="652"/>
    </row>
    <row r="336" spans="1:11" ht="15.75" x14ac:dyDescent="0.25">
      <c r="A336" s="666" t="s">
        <v>3362</v>
      </c>
      <c r="B336" s="660"/>
      <c r="C336" s="660"/>
      <c r="D336" s="660"/>
      <c r="E336" s="661"/>
      <c r="F336" s="662">
        <f>PACKAGING!E17</f>
        <v>7.5</v>
      </c>
      <c r="G336" s="658"/>
      <c r="H336" s="653"/>
      <c r="I336" s="652"/>
    </row>
    <row r="337" spans="1:11" ht="15.75" x14ac:dyDescent="0.25">
      <c r="A337" s="666" t="s">
        <v>1557</v>
      </c>
      <c r="B337" s="660"/>
      <c r="C337" s="660"/>
      <c r="D337" s="660"/>
      <c r="E337" s="661"/>
      <c r="F337" s="662">
        <f>PACKAGING!E3</f>
        <v>150</v>
      </c>
      <c r="G337" s="658"/>
      <c r="H337" s="653"/>
      <c r="I337" s="652"/>
    </row>
    <row r="338" spans="1:11" ht="15.75" x14ac:dyDescent="0.25">
      <c r="A338" s="663" t="s">
        <v>1618</v>
      </c>
      <c r="B338" s="660"/>
      <c r="C338" s="660">
        <v>60</v>
      </c>
      <c r="D338" s="660">
        <v>20</v>
      </c>
      <c r="E338" s="668">
        <f>'INSUMOS VARIOS'!B3</f>
        <v>3500</v>
      </c>
      <c r="F338" s="669">
        <f>E338*D338/C338</f>
        <v>1166.6666666666667</v>
      </c>
      <c r="G338" s="1" t="s">
        <v>3023</v>
      </c>
      <c r="H338" s="653"/>
      <c r="I338" s="652"/>
    </row>
    <row r="339" spans="1:11" ht="15.75" thickBot="1" x14ac:dyDescent="0.3">
      <c r="A339" s="670" t="s">
        <v>525</v>
      </c>
      <c r="B339" s="671"/>
      <c r="C339" s="671"/>
      <c r="D339" s="671"/>
      <c r="E339" s="672"/>
      <c r="F339" s="673">
        <f>SUM(F333:F338)</f>
        <v>4314.1238095238095</v>
      </c>
      <c r="G339" s="698">
        <f>(F339+H340+H341)</f>
        <v>7592.1238095238095</v>
      </c>
      <c r="H339" s="658" t="s">
        <v>2028</v>
      </c>
      <c r="I339" s="674" t="s">
        <v>2029</v>
      </c>
    </row>
    <row r="340" spans="1:11" ht="16.5" thickBot="1" x14ac:dyDescent="0.3">
      <c r="A340" s="675" t="s">
        <v>544</v>
      </c>
      <c r="B340" s="676"/>
      <c r="C340" s="676"/>
      <c r="D340" s="676"/>
      <c r="E340" s="677"/>
      <c r="F340" s="678">
        <f>F339*2</f>
        <v>8628.2476190476191</v>
      </c>
      <c r="G340" s="679">
        <f>F340+F340*50%</f>
        <v>12942.371428571429</v>
      </c>
      <c r="H340" s="680">
        <f>PACKAGING!I3</f>
        <v>2433</v>
      </c>
      <c r="I340" s="681">
        <f>G340+H340+H341</f>
        <v>16220.371428571429</v>
      </c>
      <c r="J340" s="1279">
        <v>18000</v>
      </c>
      <c r="K340" s="1273" t="s">
        <v>3687</v>
      </c>
    </row>
    <row r="341" spans="1:11" ht="16.5" thickBot="1" x14ac:dyDescent="0.3">
      <c r="A341" s="684" t="s">
        <v>1559</v>
      </c>
      <c r="B341" s="685"/>
      <c r="C341" s="685"/>
      <c r="D341" s="685"/>
      <c r="E341" s="686"/>
      <c r="F341" s="687"/>
      <c r="G341" s="688"/>
      <c r="H341" s="680">
        <f>PACKAGING!I5</f>
        <v>845</v>
      </c>
      <c r="J341" s="1277">
        <f>J340*2</f>
        <v>36000</v>
      </c>
      <c r="K341" s="1273"/>
    </row>
  </sheetData>
  <mergeCells count="26">
    <mergeCell ref="A331:F331"/>
    <mergeCell ref="A177:F177"/>
    <mergeCell ref="A190:F190"/>
    <mergeCell ref="A165:F165"/>
    <mergeCell ref="A249:F249"/>
    <mergeCell ref="A319:F319"/>
    <mergeCell ref="A266:F266"/>
    <mergeCell ref="A280:F280"/>
    <mergeCell ref="A293:F293"/>
    <mergeCell ref="A306:F306"/>
    <mergeCell ref="A128:F128"/>
    <mergeCell ref="A150:F150"/>
    <mergeCell ref="A138:E138"/>
    <mergeCell ref="A219:F219"/>
    <mergeCell ref="A234:F234"/>
    <mergeCell ref="A203:F203"/>
    <mergeCell ref="A1:F1"/>
    <mergeCell ref="A27:F27"/>
    <mergeCell ref="A56:F56"/>
    <mergeCell ref="A68:F68"/>
    <mergeCell ref="A116:F116"/>
    <mergeCell ref="A104:F104"/>
    <mergeCell ref="A80:F80"/>
    <mergeCell ref="A92:F92"/>
    <mergeCell ref="A15:F15"/>
    <mergeCell ref="A42:F42"/>
  </mergeCells>
  <pageMargins left="0.7" right="0.7" top="0.75" bottom="0.75" header="0.3" footer="0.3"/>
  <pageSetup orientation="portrait" r:id="rId1"/>
  <ignoredErrors>
    <ignoredError sqref="E141 F154" formula="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Hoja24"/>
  <dimension ref="A1:S813"/>
  <sheetViews>
    <sheetView topLeftCell="A593" zoomScale="81" zoomScaleNormal="70" workbookViewId="0">
      <selection activeCell="L609" sqref="L609"/>
    </sheetView>
  </sheetViews>
  <sheetFormatPr baseColWidth="10" defaultColWidth="11.42578125" defaultRowHeight="15" x14ac:dyDescent="0.25"/>
  <cols>
    <col min="1" max="1" width="30.42578125" bestFit="1" customWidth="1"/>
    <col min="2" max="2" width="15.7109375" bestFit="1" customWidth="1"/>
    <col min="4" max="4" width="14.28515625" bestFit="1" customWidth="1"/>
    <col min="5" max="5" width="14.5703125" customWidth="1"/>
    <col min="6" max="7" width="21.85546875" bestFit="1" customWidth="1"/>
    <col min="8" max="8" width="23.28515625" bestFit="1" customWidth="1"/>
    <col min="9" max="9" width="14.42578125" bestFit="1" customWidth="1"/>
    <col min="10" max="10" width="21" bestFit="1" customWidth="1"/>
    <col min="11" max="11" width="16.7109375" bestFit="1" customWidth="1"/>
    <col min="13" max="13" width="11.85546875" bestFit="1" customWidth="1"/>
    <col min="15" max="15" width="21.85546875" bestFit="1" customWidth="1"/>
    <col min="16" max="16" width="14.42578125" bestFit="1" customWidth="1"/>
    <col min="17" max="17" width="12.85546875" bestFit="1" customWidth="1"/>
    <col min="18" max="18" width="13" bestFit="1" customWidth="1"/>
  </cols>
  <sheetData>
    <row r="1" spans="1:18" ht="16.5" thickBot="1" x14ac:dyDescent="0.3">
      <c r="A1" s="1568" t="s">
        <v>398</v>
      </c>
      <c r="B1" s="1569"/>
      <c r="C1" s="1570"/>
      <c r="D1" s="1"/>
      <c r="E1" s="1"/>
      <c r="J1" s="1601" t="s">
        <v>277</v>
      </c>
      <c r="K1" s="1588"/>
      <c r="L1" s="1588"/>
      <c r="M1" s="1588"/>
      <c r="N1" s="1588"/>
      <c r="O1" s="1"/>
      <c r="P1" s="1"/>
      <c r="Q1" s="1"/>
      <c r="R1" s="1"/>
    </row>
    <row r="2" spans="1:18" ht="15.75" x14ac:dyDescent="0.25">
      <c r="A2" s="78" t="s">
        <v>916</v>
      </c>
      <c r="B2" s="76" t="s">
        <v>742</v>
      </c>
      <c r="C2" s="77" t="s">
        <v>1549</v>
      </c>
      <c r="D2" s="1"/>
      <c r="E2" s="1"/>
      <c r="J2" s="183" t="s">
        <v>916</v>
      </c>
      <c r="K2" s="76" t="s">
        <v>2031</v>
      </c>
      <c r="L2" s="76" t="s">
        <v>1089</v>
      </c>
      <c r="M2" s="108" t="s">
        <v>2032</v>
      </c>
      <c r="N2" s="77" t="s">
        <v>1549</v>
      </c>
      <c r="O2" s="1"/>
      <c r="P2" s="1"/>
      <c r="Q2" s="1"/>
      <c r="R2" s="1"/>
    </row>
    <row r="3" spans="1:18" ht="15.75" x14ac:dyDescent="0.25">
      <c r="A3" s="3" t="s">
        <v>1684</v>
      </c>
      <c r="B3" s="2" t="s">
        <v>2033</v>
      </c>
      <c r="C3" s="39">
        <f>'AROS, CADENAS, DIJES, ETC'!T3</f>
        <v>261</v>
      </c>
      <c r="D3" s="1"/>
      <c r="E3" s="1"/>
      <c r="J3" s="3" t="s">
        <v>1684</v>
      </c>
      <c r="K3" s="186">
        <v>0.55000000000000004</v>
      </c>
      <c r="L3" s="2">
        <v>0.18</v>
      </c>
      <c r="M3" s="66">
        <f>'AROS, CADENAS, DIJES, ETC'!I40</f>
        <v>1100</v>
      </c>
      <c r="N3" s="39">
        <f>M3*L3/K3</f>
        <v>359.99999999999994</v>
      </c>
      <c r="O3" s="1"/>
      <c r="P3" s="1"/>
      <c r="Q3" s="1"/>
      <c r="R3" s="1"/>
    </row>
    <row r="4" spans="1:18" ht="15.75" x14ac:dyDescent="0.25">
      <c r="A4" s="3" t="s">
        <v>1588</v>
      </c>
      <c r="B4" s="2"/>
      <c r="C4" s="39">
        <f>PACKAGING!E3</f>
        <v>150</v>
      </c>
      <c r="D4" s="1"/>
      <c r="E4" s="1"/>
      <c r="J4" s="3" t="s">
        <v>1587</v>
      </c>
      <c r="K4" s="186"/>
      <c r="L4" s="2"/>
      <c r="M4" s="66"/>
      <c r="N4" s="39">
        <f>FORNITURAS!D18</f>
        <v>363</v>
      </c>
      <c r="O4" s="1"/>
      <c r="P4" s="1"/>
      <c r="Q4" s="1"/>
      <c r="R4" s="1"/>
    </row>
    <row r="5" spans="1:18" ht="15.75" x14ac:dyDescent="0.25">
      <c r="A5" s="3" t="s">
        <v>1538</v>
      </c>
      <c r="B5" s="2"/>
      <c r="C5" s="39">
        <f>PACKAGING!E8</f>
        <v>420</v>
      </c>
      <c r="D5" s="1"/>
      <c r="E5" s="1"/>
      <c r="J5" s="3" t="s">
        <v>1588</v>
      </c>
      <c r="K5" s="98"/>
      <c r="L5" s="2"/>
      <c r="M5" s="6"/>
      <c r="N5" s="39">
        <f>PACKAGING!E3</f>
        <v>150</v>
      </c>
      <c r="O5" s="1"/>
      <c r="P5" s="1"/>
      <c r="Q5" s="1"/>
      <c r="R5" s="1"/>
    </row>
    <row r="6" spans="1:18" ht="16.5" thickBot="1" x14ac:dyDescent="0.3">
      <c r="A6" s="79" t="s">
        <v>525</v>
      </c>
      <c r="B6" s="70"/>
      <c r="C6" s="51">
        <f>SUM(C3:C5)</f>
        <v>831</v>
      </c>
      <c r="D6" s="1"/>
      <c r="E6" s="1"/>
      <c r="J6" s="3" t="s">
        <v>1538</v>
      </c>
      <c r="K6" s="98"/>
      <c r="L6" s="2"/>
      <c r="M6" s="6"/>
      <c r="N6" s="39">
        <f>PACKAGING!E8</f>
        <v>420</v>
      </c>
      <c r="O6" s="1"/>
      <c r="P6" s="1"/>
      <c r="Q6" s="1"/>
      <c r="R6" s="1"/>
    </row>
    <row r="7" spans="1:18" ht="18.75" x14ac:dyDescent="0.25">
      <c r="A7" s="80" t="s">
        <v>544</v>
      </c>
      <c r="B7" s="71"/>
      <c r="C7" s="72">
        <f>C6*2</f>
        <v>1662</v>
      </c>
      <c r="D7" s="512">
        <f>C7+C7*50%</f>
        <v>2493</v>
      </c>
      <c r="E7" s="75">
        <v>1600</v>
      </c>
      <c r="J7" s="3" t="s">
        <v>1558</v>
      </c>
      <c r="K7" s="98">
        <v>60</v>
      </c>
      <c r="L7" s="2">
        <v>10</v>
      </c>
      <c r="M7" s="66">
        <f>'INSUMOS VARIOS'!B3</f>
        <v>3500</v>
      </c>
      <c r="N7" s="39">
        <f>M7*L7/K7</f>
        <v>583.33333333333337</v>
      </c>
      <c r="O7" s="1"/>
      <c r="P7" s="1"/>
      <c r="Q7" s="1"/>
      <c r="R7" s="1"/>
    </row>
    <row r="8" spans="1:18" ht="19.5" thickBot="1" x14ac:dyDescent="0.3">
      <c r="A8" s="81" t="s">
        <v>1559</v>
      </c>
      <c r="B8" s="73"/>
      <c r="C8" s="73">
        <v>840</v>
      </c>
      <c r="D8" s="529"/>
      <c r="E8" s="74">
        <f>E7*2</f>
        <v>3200</v>
      </c>
      <c r="J8" s="79" t="s">
        <v>525</v>
      </c>
      <c r="K8" s="99"/>
      <c r="L8" s="70"/>
      <c r="M8" s="85"/>
      <c r="N8" s="51">
        <f>SUM(N3:N7)</f>
        <v>1876.3333333333335</v>
      </c>
      <c r="O8" s="1"/>
      <c r="P8" s="1"/>
      <c r="Q8" s="1"/>
      <c r="R8" s="1"/>
    </row>
    <row r="9" spans="1:18" ht="18.75" x14ac:dyDescent="0.25">
      <c r="J9" s="80" t="s">
        <v>544</v>
      </c>
      <c r="K9" s="100"/>
      <c r="L9" s="71"/>
      <c r="M9" s="71"/>
      <c r="N9" s="72">
        <f>N8*2</f>
        <v>3752.666666666667</v>
      </c>
      <c r="O9" s="512">
        <f>N9+N9*50%</f>
        <v>5629</v>
      </c>
      <c r="P9" s="75">
        <v>7000</v>
      </c>
      <c r="Q9" s="1"/>
      <c r="R9" s="1"/>
    </row>
    <row r="10" spans="1:18" ht="19.5" thickBot="1" x14ac:dyDescent="0.3">
      <c r="A10" s="1601" t="s">
        <v>2034</v>
      </c>
      <c r="B10" s="1588"/>
      <c r="C10" s="1588"/>
      <c r="D10" s="1588"/>
      <c r="E10" s="1588"/>
      <c r="F10" s="1"/>
      <c r="G10" s="1"/>
      <c r="J10" s="81" t="s">
        <v>1559</v>
      </c>
      <c r="K10" s="101"/>
      <c r="L10" s="73"/>
      <c r="M10" s="73"/>
      <c r="N10" s="73"/>
      <c r="O10" s="522"/>
      <c r="P10" s="74">
        <f>P9*2</f>
        <v>14000</v>
      </c>
      <c r="Q10" s="1"/>
      <c r="R10" s="1"/>
    </row>
    <row r="11" spans="1:18" ht="15.75" x14ac:dyDescent="0.25">
      <c r="A11" s="183" t="s">
        <v>916</v>
      </c>
      <c r="B11" s="97" t="s">
        <v>743</v>
      </c>
      <c r="C11" s="76" t="s">
        <v>1547</v>
      </c>
      <c r="D11" s="108" t="s">
        <v>1035</v>
      </c>
      <c r="E11" s="77" t="s">
        <v>1549</v>
      </c>
      <c r="F11" s="1"/>
      <c r="G11" s="1"/>
      <c r="J11" s="1"/>
      <c r="K11" s="1"/>
      <c r="L11" s="1"/>
      <c r="M11" s="1"/>
      <c r="N11" s="1"/>
      <c r="O11" s="1"/>
      <c r="P11" s="1"/>
      <c r="Q11" s="1"/>
      <c r="R11" s="1"/>
    </row>
    <row r="12" spans="1:18" ht="15.75" x14ac:dyDescent="0.25">
      <c r="A12" s="1613" t="s">
        <v>1684</v>
      </c>
      <c r="B12" s="2">
        <v>0.32</v>
      </c>
      <c r="C12" s="107">
        <v>2</v>
      </c>
      <c r="D12" s="109">
        <f>'HILOS-CORDONES-TANZA-CUERO'!E4</f>
        <v>50.35</v>
      </c>
      <c r="E12" s="110">
        <f>D12*B12*C12</f>
        <v>32.224000000000004</v>
      </c>
      <c r="F12" s="1"/>
      <c r="G12" s="1"/>
      <c r="J12" s="1601" t="s">
        <v>320</v>
      </c>
      <c r="K12" s="1588"/>
      <c r="L12" s="1588"/>
      <c r="M12" s="1588"/>
      <c r="N12" s="1588"/>
      <c r="O12" s="1"/>
      <c r="P12" s="1"/>
      <c r="Q12" s="1"/>
      <c r="R12" s="1"/>
    </row>
    <row r="13" spans="1:18" ht="15.75" x14ac:dyDescent="0.25">
      <c r="A13" s="1615"/>
      <c r="B13" s="2">
        <v>0.12</v>
      </c>
      <c r="C13" s="2">
        <v>1</v>
      </c>
      <c r="D13" s="109">
        <f>'HILOS-CORDONES-TANZA-CUERO'!E4</f>
        <v>50.35</v>
      </c>
      <c r="E13" s="110">
        <f>D13*B13*C13</f>
        <v>6.0419999999999998</v>
      </c>
      <c r="F13" s="1"/>
      <c r="G13" s="1"/>
      <c r="J13" s="183" t="s">
        <v>916</v>
      </c>
      <c r="K13" s="97" t="s">
        <v>743</v>
      </c>
      <c r="L13" s="76" t="s">
        <v>1547</v>
      </c>
      <c r="M13" s="108" t="s">
        <v>1035</v>
      </c>
      <c r="N13" s="77" t="s">
        <v>1549</v>
      </c>
      <c r="O13" s="1"/>
      <c r="P13" s="1"/>
      <c r="Q13" s="1"/>
      <c r="R13" s="1"/>
    </row>
    <row r="14" spans="1:18" ht="15.75" x14ac:dyDescent="0.25">
      <c r="A14" s="104" t="s">
        <v>1685</v>
      </c>
      <c r="B14" s="98"/>
      <c r="C14" s="2">
        <v>1</v>
      </c>
      <c r="D14" s="109">
        <f>'INSUMOS VARIOS'!L4</f>
        <v>151.5151515151515</v>
      </c>
      <c r="E14" s="110">
        <f>C14*D14</f>
        <v>151.5151515151515</v>
      </c>
      <c r="F14" s="1"/>
      <c r="G14" s="1"/>
      <c r="J14" s="104" t="s">
        <v>1594</v>
      </c>
      <c r="K14" s="2"/>
      <c r="L14" s="107">
        <v>0.25</v>
      </c>
      <c r="M14" s="109">
        <f>'HILOS-CORDONES-TANZA-CUERO'!L5</f>
        <v>7.34</v>
      </c>
      <c r="N14" s="110">
        <f>M14*L14</f>
        <v>1.835</v>
      </c>
      <c r="O14" s="1"/>
      <c r="P14" s="1"/>
      <c r="Q14" s="1"/>
      <c r="R14" s="1"/>
    </row>
    <row r="15" spans="1:18" ht="15.75" x14ac:dyDescent="0.25">
      <c r="A15" s="104" t="s">
        <v>1706</v>
      </c>
      <c r="B15" s="98"/>
      <c r="C15" s="2">
        <v>4</v>
      </c>
      <c r="D15" s="109">
        <f>'INSUMOS VARIOS'!R23</f>
        <v>0.5</v>
      </c>
      <c r="E15" s="110">
        <f>D15*C15</f>
        <v>2</v>
      </c>
      <c r="F15" s="1"/>
      <c r="G15" s="1"/>
      <c r="J15" s="104" t="s">
        <v>3620</v>
      </c>
      <c r="K15" s="2">
        <v>0.34</v>
      </c>
      <c r="L15" s="2">
        <v>0.17499999999999999</v>
      </c>
      <c r="M15" s="109">
        <f>'PERLAS 2'!N18</f>
        <v>13000</v>
      </c>
      <c r="N15" s="110">
        <f>M15*L15/K15</f>
        <v>6691.1764705882351</v>
      </c>
      <c r="O15" s="1"/>
      <c r="P15" s="1"/>
      <c r="Q15" s="1"/>
      <c r="R15" s="1"/>
    </row>
    <row r="16" spans="1:18" ht="15.75" x14ac:dyDescent="0.25">
      <c r="A16" s="3" t="s">
        <v>1588</v>
      </c>
      <c r="B16" s="98" t="s">
        <v>1540</v>
      </c>
      <c r="C16" s="2"/>
      <c r="D16" s="6"/>
      <c r="E16" s="39">
        <f>PACKAGING!E12</f>
        <v>50</v>
      </c>
      <c r="F16" s="1"/>
      <c r="G16" s="1"/>
      <c r="J16" s="104" t="s">
        <v>2035</v>
      </c>
      <c r="K16" s="98"/>
      <c r="L16" s="2">
        <v>1</v>
      </c>
      <c r="M16" s="109">
        <f>FORNITURAS!I8</f>
        <v>278</v>
      </c>
      <c r="N16" s="110">
        <f>L16*M16</f>
        <v>278</v>
      </c>
      <c r="O16" s="1"/>
      <c r="P16" s="1"/>
      <c r="Q16" s="1"/>
      <c r="R16" s="1"/>
    </row>
    <row r="17" spans="1:18" ht="15.75" x14ac:dyDescent="0.25">
      <c r="A17" s="3" t="s">
        <v>2036</v>
      </c>
      <c r="B17" s="98"/>
      <c r="C17" s="2"/>
      <c r="D17" s="6"/>
      <c r="E17" s="39">
        <v>3</v>
      </c>
      <c r="F17" s="1"/>
      <c r="G17" s="1"/>
      <c r="J17" s="3" t="s">
        <v>1557</v>
      </c>
      <c r="K17" s="98"/>
      <c r="L17" s="2"/>
      <c r="M17" s="6"/>
      <c r="N17" s="39">
        <f>PACKAGING!E3</f>
        <v>150</v>
      </c>
      <c r="O17" s="1"/>
      <c r="P17" s="1"/>
      <c r="Q17" s="1"/>
      <c r="R17" s="1"/>
    </row>
    <row r="18" spans="1:18" ht="15.75" x14ac:dyDescent="0.25">
      <c r="A18" s="3" t="s">
        <v>1558</v>
      </c>
      <c r="B18" s="98">
        <v>60</v>
      </c>
      <c r="C18" s="2">
        <v>15</v>
      </c>
      <c r="D18" s="66">
        <f>'INSUMOS VARIOS'!B3</f>
        <v>3500</v>
      </c>
      <c r="E18" s="39">
        <f>D18*C18/B18</f>
        <v>875</v>
      </c>
      <c r="F18" s="1"/>
      <c r="G18" s="1"/>
      <c r="J18" s="3" t="s">
        <v>1558</v>
      </c>
      <c r="K18" s="98">
        <v>60</v>
      </c>
      <c r="L18" s="2">
        <v>15</v>
      </c>
      <c r="M18" s="66">
        <f>'INSUMOS VARIOS'!B3</f>
        <v>3500</v>
      </c>
      <c r="N18" s="39">
        <f>M18*L18/K18</f>
        <v>875</v>
      </c>
      <c r="O18" s="658"/>
      <c r="P18" s="1"/>
      <c r="Q18" s="1"/>
      <c r="R18" s="1"/>
    </row>
    <row r="19" spans="1:18" ht="16.5" thickBot="1" x14ac:dyDescent="0.3">
      <c r="A19" s="79" t="s">
        <v>525</v>
      </c>
      <c r="B19" s="99"/>
      <c r="C19" s="70"/>
      <c r="D19" s="85"/>
      <c r="E19" s="51">
        <f>SUM(E12:E18)</f>
        <v>1119.7811515151516</v>
      </c>
      <c r="F19" s="1"/>
      <c r="G19" s="1"/>
      <c r="J19" s="3" t="s">
        <v>4915</v>
      </c>
      <c r="K19" s="98"/>
      <c r="L19" s="2"/>
      <c r="M19" s="66"/>
      <c r="N19" s="39">
        <f>PACKAGING!I5</f>
        <v>845</v>
      </c>
      <c r="O19" s="658"/>
      <c r="P19" s="1"/>
      <c r="Q19" s="1"/>
    </row>
    <row r="20" spans="1:18" ht="19.5" thickBot="1" x14ac:dyDescent="0.3">
      <c r="A20" s="80" t="s">
        <v>544</v>
      </c>
      <c r="B20" s="100"/>
      <c r="C20" s="71"/>
      <c r="D20" s="71"/>
      <c r="E20" s="72">
        <f>E19*2</f>
        <v>2239.5623030303032</v>
      </c>
      <c r="F20" s="512">
        <f>E20+E20*50%</f>
        <v>3359.3434545454547</v>
      </c>
      <c r="G20" s="75">
        <v>3500</v>
      </c>
      <c r="J20" s="79" t="s">
        <v>525</v>
      </c>
      <c r="K20" s="99"/>
      <c r="L20" s="70"/>
      <c r="M20" s="85"/>
      <c r="N20" s="51">
        <f>SUM(N14:N18)</f>
        <v>7996.0114705882352</v>
      </c>
      <c r="O20" s="60"/>
      <c r="P20" s="1"/>
    </row>
    <row r="21" spans="1:18" ht="19.5" thickBot="1" x14ac:dyDescent="0.3">
      <c r="A21" s="81" t="s">
        <v>1559</v>
      </c>
      <c r="B21" s="101"/>
      <c r="C21" s="73"/>
      <c r="D21" s="73"/>
      <c r="E21" s="73"/>
      <c r="F21" s="522"/>
      <c r="G21" s="74">
        <f>G20*2</f>
        <v>7000</v>
      </c>
      <c r="J21" s="80" t="s">
        <v>544</v>
      </c>
      <c r="K21" s="100"/>
      <c r="L21" s="71"/>
      <c r="M21" s="71"/>
      <c r="N21" s="72">
        <f>N20*2</f>
        <v>15992.02294117647</v>
      </c>
      <c r="O21" s="512">
        <f>N21+N21*70%</f>
        <v>27186.438999999998</v>
      </c>
      <c r="P21" s="682">
        <v>32000</v>
      </c>
    </row>
    <row r="22" spans="1:18" ht="16.5" thickBot="1" x14ac:dyDescent="0.3">
      <c r="J22" s="81" t="s">
        <v>1559</v>
      </c>
      <c r="K22" s="101"/>
      <c r="L22" s="73"/>
      <c r="M22" s="73"/>
      <c r="N22" s="73"/>
      <c r="O22" s="522"/>
      <c r="P22" s="691"/>
    </row>
    <row r="23" spans="1:18" ht="15.75" x14ac:dyDescent="0.25">
      <c r="A23" s="1601" t="s">
        <v>2263</v>
      </c>
      <c r="B23" s="1588"/>
      <c r="C23" s="1588"/>
      <c r="D23" s="1588"/>
      <c r="E23" s="1588"/>
      <c r="F23" s="1"/>
      <c r="G23" s="1"/>
      <c r="H23" s="1"/>
    </row>
    <row r="24" spans="1:18" ht="15.75" x14ac:dyDescent="0.25">
      <c r="A24" s="183" t="s">
        <v>916</v>
      </c>
      <c r="B24" s="97" t="s">
        <v>743</v>
      </c>
      <c r="C24" s="76" t="s">
        <v>1547</v>
      </c>
      <c r="D24" s="108" t="s">
        <v>1035</v>
      </c>
      <c r="E24" s="77" t="s">
        <v>1549</v>
      </c>
      <c r="F24" s="1"/>
      <c r="G24" s="1"/>
      <c r="H24" s="1"/>
    </row>
    <row r="25" spans="1:18" ht="15.75" x14ac:dyDescent="0.25">
      <c r="A25" s="1613" t="s">
        <v>1684</v>
      </c>
      <c r="B25" s="2">
        <v>0.32</v>
      </c>
      <c r="C25" s="107">
        <v>1</v>
      </c>
      <c r="D25" s="109">
        <f>'HILOS-CORDONES-TANZA-CUERO'!E3</f>
        <v>50.35</v>
      </c>
      <c r="E25" s="110">
        <f>D25*B25*C25</f>
        <v>16.112000000000002</v>
      </c>
      <c r="F25" s="1"/>
      <c r="G25" s="1"/>
      <c r="H25" s="1"/>
    </row>
    <row r="26" spans="1:18" ht="15.75" x14ac:dyDescent="0.25">
      <c r="A26" s="1615"/>
      <c r="B26" s="2">
        <v>0.12</v>
      </c>
      <c r="C26" s="2">
        <v>1</v>
      </c>
      <c r="D26" s="109">
        <f>'HILOS-CORDONES-TANZA-CUERO'!E3</f>
        <v>50.35</v>
      </c>
      <c r="E26" s="110">
        <f>D26*B26*C26</f>
        <v>6.0419999999999998</v>
      </c>
      <c r="F26" s="1"/>
      <c r="G26" s="1"/>
      <c r="H26" s="1"/>
    </row>
    <row r="27" spans="1:18" ht="15.75" x14ac:dyDescent="0.25">
      <c r="A27" s="104" t="s">
        <v>2037</v>
      </c>
      <c r="B27" s="98"/>
      <c r="C27" s="2">
        <v>1</v>
      </c>
      <c r="D27" s="109">
        <f>'INSUMOS VARIOS'!L3</f>
        <v>208.33333333333334</v>
      </c>
      <c r="E27" s="110">
        <f>C27*D27</f>
        <v>208.33333333333334</v>
      </c>
      <c r="F27" s="1"/>
      <c r="G27" s="1"/>
      <c r="H27" s="1"/>
    </row>
    <row r="28" spans="1:18" ht="15.75" x14ac:dyDescent="0.25">
      <c r="A28" s="104" t="s">
        <v>1706</v>
      </c>
      <c r="B28" s="98"/>
      <c r="C28" s="2">
        <v>2</v>
      </c>
      <c r="D28" s="109">
        <f>PULSERAS!D15</f>
        <v>0.5</v>
      </c>
      <c r="E28" s="110">
        <f>D28*C28</f>
        <v>1</v>
      </c>
      <c r="F28" s="1"/>
      <c r="G28" s="1"/>
      <c r="H28" s="1"/>
    </row>
    <row r="29" spans="1:18" ht="15.75" x14ac:dyDescent="0.25">
      <c r="A29" s="3" t="s">
        <v>1588</v>
      </c>
      <c r="B29" s="98" t="s">
        <v>1540</v>
      </c>
      <c r="C29" s="2"/>
      <c r="D29" s="6"/>
      <c r="E29" s="39">
        <f>PACKAGING!E12</f>
        <v>50</v>
      </c>
      <c r="F29" s="1"/>
      <c r="G29" s="1"/>
      <c r="H29" s="1"/>
    </row>
    <row r="30" spans="1:18" ht="16.5" thickBot="1" x14ac:dyDescent="0.3">
      <c r="A30" s="3" t="s">
        <v>1558</v>
      </c>
      <c r="B30" s="98">
        <v>60</v>
      </c>
      <c r="C30" s="2">
        <v>8</v>
      </c>
      <c r="D30" s="66">
        <f>'INSUMOS VARIOS'!B3</f>
        <v>3500</v>
      </c>
      <c r="E30" s="39">
        <f>D30*C30/B30</f>
        <v>466.66666666666669</v>
      </c>
      <c r="F30" s="1"/>
      <c r="G30" s="1"/>
      <c r="H30" s="1"/>
    </row>
    <row r="31" spans="1:18" ht="16.5" thickBot="1" x14ac:dyDescent="0.3">
      <c r="A31" s="79" t="s">
        <v>525</v>
      </c>
      <c r="B31" s="99"/>
      <c r="C31" s="70"/>
      <c r="D31" s="85"/>
      <c r="E31" s="51">
        <f>SUM(E25:E30)</f>
        <v>748.154</v>
      </c>
      <c r="F31" s="1"/>
      <c r="G31" s="1"/>
      <c r="H31" s="118" t="s">
        <v>2038</v>
      </c>
    </row>
    <row r="32" spans="1:18" ht="18.75" x14ac:dyDescent="0.25">
      <c r="A32" s="80" t="s">
        <v>544</v>
      </c>
      <c r="B32" s="100"/>
      <c r="C32" s="71"/>
      <c r="D32" s="71"/>
      <c r="E32" s="72">
        <f>E31*2</f>
        <v>1496.308</v>
      </c>
      <c r="F32" s="512">
        <f>E32+E32*50%</f>
        <v>2244.462</v>
      </c>
      <c r="G32" s="75">
        <v>2500</v>
      </c>
      <c r="H32" s="75">
        <v>5000</v>
      </c>
    </row>
    <row r="33" spans="1:8" ht="19.5" thickBot="1" x14ac:dyDescent="0.3">
      <c r="A33" s="81" t="s">
        <v>1559</v>
      </c>
      <c r="B33" s="101"/>
      <c r="C33" s="73"/>
      <c r="D33" s="73"/>
      <c r="E33" s="73"/>
      <c r="F33" s="522"/>
      <c r="G33" s="74">
        <f>G32*2</f>
        <v>5000</v>
      </c>
      <c r="H33" s="74">
        <f>H32*2</f>
        <v>10000</v>
      </c>
    </row>
    <row r="34" spans="1:8" ht="15.75" thickBot="1" x14ac:dyDescent="0.3"/>
    <row r="35" spans="1:8" ht="16.5" thickBot="1" x14ac:dyDescent="0.3">
      <c r="A35" s="1565" t="s">
        <v>689</v>
      </c>
      <c r="B35" s="1566"/>
      <c r="C35" s="1566"/>
      <c r="D35" s="1566"/>
      <c r="E35" s="1566"/>
      <c r="F35" s="1567"/>
      <c r="G35" s="1"/>
      <c r="H35" s="1"/>
    </row>
    <row r="36" spans="1:8" ht="16.5" thickBot="1" x14ac:dyDescent="0.3">
      <c r="A36" s="121"/>
      <c r="B36" s="122" t="s">
        <v>1073</v>
      </c>
      <c r="C36" s="122" t="s">
        <v>1089</v>
      </c>
      <c r="D36" s="122" t="s">
        <v>1547</v>
      </c>
      <c r="E36" s="123" t="s">
        <v>1548</v>
      </c>
      <c r="F36" s="124" t="s">
        <v>1549</v>
      </c>
      <c r="G36" s="1"/>
      <c r="H36" s="1"/>
    </row>
    <row r="37" spans="1:8" ht="15.75" x14ac:dyDescent="0.25">
      <c r="A37" s="104" t="s">
        <v>2039</v>
      </c>
      <c r="B37" s="190" t="s">
        <v>1582</v>
      </c>
      <c r="C37" s="190"/>
      <c r="D37" s="190">
        <v>6</v>
      </c>
      <c r="E37" s="120">
        <f>PERLAS!F4</f>
        <v>81</v>
      </c>
      <c r="F37" s="155">
        <f>E37*D37</f>
        <v>486</v>
      </c>
      <c r="G37" s="1"/>
      <c r="H37" s="1"/>
    </row>
    <row r="38" spans="1:8" ht="15.75" x14ac:dyDescent="0.25">
      <c r="A38" s="1701" t="s">
        <v>1224</v>
      </c>
      <c r="B38" s="2"/>
      <c r="C38" s="2">
        <v>0.15</v>
      </c>
      <c r="D38" s="2">
        <v>2</v>
      </c>
      <c r="E38" s="102">
        <f>'HILOS-CORDONES-TANZA-CUERO'!E5</f>
        <v>50.35</v>
      </c>
      <c r="F38" s="156">
        <f>E38*D38*C38</f>
        <v>15.105</v>
      </c>
      <c r="G38" s="1"/>
      <c r="H38" s="1"/>
    </row>
    <row r="39" spans="1:8" ht="15.75" x14ac:dyDescent="0.25">
      <c r="A39" s="1702"/>
      <c r="B39" s="20"/>
      <c r="C39" s="20">
        <v>0.1</v>
      </c>
      <c r="D39" s="2">
        <v>1</v>
      </c>
      <c r="E39" s="111">
        <f>E38</f>
        <v>50.35</v>
      </c>
      <c r="F39" s="156">
        <f>E39*D39*C39</f>
        <v>5.0350000000000001</v>
      </c>
      <c r="G39" s="1"/>
      <c r="H39" s="1"/>
    </row>
    <row r="40" spans="1:8" ht="15.75" x14ac:dyDescent="0.25">
      <c r="A40" s="3" t="s">
        <v>2040</v>
      </c>
      <c r="B40" s="20"/>
      <c r="C40" s="20"/>
      <c r="D40" s="2">
        <v>1</v>
      </c>
      <c r="E40" s="111">
        <v>200</v>
      </c>
      <c r="F40" s="156">
        <f>E40*D40</f>
        <v>200</v>
      </c>
      <c r="G40" s="1"/>
      <c r="H40" s="1"/>
    </row>
    <row r="41" spans="1:8" ht="15.75" x14ac:dyDescent="0.25">
      <c r="A41" s="191" t="s">
        <v>1554</v>
      </c>
      <c r="B41" s="2" t="s">
        <v>777</v>
      </c>
      <c r="C41" s="2"/>
      <c r="D41" s="2">
        <v>2</v>
      </c>
      <c r="E41" s="111">
        <f>FORNITURAS!D26</f>
        <v>297.14285714285717</v>
      </c>
      <c r="F41" s="156">
        <f>E41*D41</f>
        <v>594.28571428571433</v>
      </c>
      <c r="G41" s="1"/>
      <c r="H41" s="1"/>
    </row>
    <row r="42" spans="1:8" ht="15.75" x14ac:dyDescent="0.25">
      <c r="A42" s="191" t="s">
        <v>1424</v>
      </c>
      <c r="B42" s="2"/>
      <c r="C42" s="2">
        <v>0.15</v>
      </c>
      <c r="D42" s="2">
        <v>1</v>
      </c>
      <c r="E42" s="111">
        <f>'HILOS-CORDONES-TANZA-CUERO'!L9</f>
        <v>30</v>
      </c>
      <c r="F42" s="156">
        <f>E42*D42*C42</f>
        <v>4.5</v>
      </c>
      <c r="G42" s="1"/>
      <c r="H42" s="1"/>
    </row>
    <row r="43" spans="1:8" ht="15.75" x14ac:dyDescent="0.25">
      <c r="A43" s="191" t="s">
        <v>1586</v>
      </c>
      <c r="B43" s="2"/>
      <c r="C43" s="2"/>
      <c r="D43" s="2">
        <v>4</v>
      </c>
      <c r="E43" s="111">
        <f>FORNITURAS!D17</f>
        <v>45.05</v>
      </c>
      <c r="F43" s="156">
        <f>E43*D43</f>
        <v>180.2</v>
      </c>
      <c r="G43" s="1"/>
      <c r="H43" s="1"/>
    </row>
    <row r="44" spans="1:8" ht="15.75" x14ac:dyDescent="0.25">
      <c r="A44" s="3" t="s">
        <v>1555</v>
      </c>
      <c r="B44" s="2" t="s">
        <v>1556</v>
      </c>
      <c r="C44" s="2"/>
      <c r="D44" s="2">
        <v>1</v>
      </c>
      <c r="E44" s="111">
        <f>FORNITURAS!D4</f>
        <v>48.7</v>
      </c>
      <c r="F44" s="156">
        <f>E44*D44</f>
        <v>48.7</v>
      </c>
      <c r="G44" s="1"/>
      <c r="H44" s="1"/>
    </row>
    <row r="45" spans="1:8" ht="15.75" x14ac:dyDescent="0.25">
      <c r="A45" s="3" t="s">
        <v>1588</v>
      </c>
      <c r="B45" s="2"/>
      <c r="C45" s="2"/>
      <c r="D45" s="2"/>
      <c r="E45" s="111"/>
      <c r="F45" s="156">
        <f>PACKAGING!E3</f>
        <v>150</v>
      </c>
      <c r="G45" s="1"/>
      <c r="H45" s="1"/>
    </row>
    <row r="46" spans="1:8" ht="15.75" x14ac:dyDescent="0.25">
      <c r="A46" s="3" t="s">
        <v>1558</v>
      </c>
      <c r="B46" s="2">
        <v>60</v>
      </c>
      <c r="C46" s="2">
        <v>20</v>
      </c>
      <c r="D46" s="2"/>
      <c r="E46" s="111">
        <f>'INSUMOS VARIOS'!B3</f>
        <v>3500</v>
      </c>
      <c r="F46" s="157">
        <f>E46*C46/B46</f>
        <v>1166.6666666666667</v>
      </c>
      <c r="G46" s="1"/>
      <c r="H46" s="1"/>
    </row>
    <row r="47" spans="1:8" ht="16.5" thickBot="1" x14ac:dyDescent="0.3">
      <c r="A47" s="128" t="s">
        <v>525</v>
      </c>
      <c r="B47" s="116"/>
      <c r="C47" s="116"/>
      <c r="D47" s="116"/>
      <c r="E47" s="117"/>
      <c r="F47" s="158">
        <f>SUM(F37:F46)</f>
        <v>2850.4923809523816</v>
      </c>
      <c r="G47" s="1"/>
      <c r="H47" s="1"/>
    </row>
    <row r="48" spans="1:8" ht="18.75" x14ac:dyDescent="0.25">
      <c r="A48" s="129" t="s">
        <v>544</v>
      </c>
      <c r="B48" s="114"/>
      <c r="C48" s="114"/>
      <c r="D48" s="114"/>
      <c r="E48" s="115"/>
      <c r="F48" s="256">
        <f>F47*2</f>
        <v>5700.9847619047632</v>
      </c>
      <c r="G48" s="512">
        <f>F48+F48*25%</f>
        <v>7126.2309523809545</v>
      </c>
      <c r="H48" s="254">
        <v>1300</v>
      </c>
    </row>
    <row r="49" spans="1:8" ht="19.5" thickBot="1" x14ac:dyDescent="0.3">
      <c r="A49" s="130" t="s">
        <v>1559</v>
      </c>
      <c r="B49" s="125"/>
      <c r="C49" s="125"/>
      <c r="D49" s="125"/>
      <c r="E49" s="126"/>
      <c r="F49" s="257"/>
      <c r="G49" s="528"/>
      <c r="H49" s="255">
        <f>H48*2</f>
        <v>2600</v>
      </c>
    </row>
    <row r="51" spans="1:8" ht="15.75" x14ac:dyDescent="0.25">
      <c r="A51" s="1602" t="s">
        <v>219</v>
      </c>
      <c r="B51" s="1600"/>
      <c r="C51" s="1600"/>
      <c r="D51" s="1600"/>
      <c r="E51" s="1600"/>
      <c r="F51" s="1600"/>
      <c r="G51" s="1"/>
      <c r="H51" s="1"/>
    </row>
    <row r="52" spans="1:8" ht="15.75" x14ac:dyDescent="0.25">
      <c r="A52" s="183"/>
      <c r="B52" s="97" t="s">
        <v>742</v>
      </c>
      <c r="C52" s="97" t="s">
        <v>1547</v>
      </c>
      <c r="D52" s="76" t="s">
        <v>1089</v>
      </c>
      <c r="E52" s="108" t="s">
        <v>1035</v>
      </c>
      <c r="F52" s="77" t="s">
        <v>1549</v>
      </c>
      <c r="G52" s="1"/>
      <c r="H52" s="1"/>
    </row>
    <row r="53" spans="1:8" ht="15.75" x14ac:dyDescent="0.25">
      <c r="A53" s="104" t="s">
        <v>1597</v>
      </c>
      <c r="B53" s="148" t="s">
        <v>2041</v>
      </c>
      <c r="C53" s="148">
        <v>1</v>
      </c>
      <c r="D53" s="107"/>
      <c r="E53" s="109">
        <f>PERLAS!F20</f>
        <v>101.53846153846153</v>
      </c>
      <c r="F53" s="110">
        <f>E53*C53</f>
        <v>101.53846153846153</v>
      </c>
      <c r="G53" s="1"/>
      <c r="H53" s="1"/>
    </row>
    <row r="54" spans="1:8" ht="15.75" x14ac:dyDescent="0.25">
      <c r="A54" s="104" t="s">
        <v>851</v>
      </c>
      <c r="B54" s="148"/>
      <c r="C54" s="148">
        <v>1</v>
      </c>
      <c r="D54" s="107"/>
      <c r="E54" s="109">
        <f>'AROS, CADENAS, DIJES, ETC'!O45</f>
        <v>333</v>
      </c>
      <c r="F54" s="110">
        <f>E54*C54</f>
        <v>333</v>
      </c>
      <c r="G54" s="1"/>
      <c r="H54" s="1"/>
    </row>
    <row r="55" spans="1:8" ht="15.75" x14ac:dyDescent="0.25">
      <c r="A55" s="104" t="s">
        <v>1050</v>
      </c>
      <c r="B55" s="148" t="s">
        <v>1059</v>
      </c>
      <c r="C55" s="148">
        <v>1</v>
      </c>
      <c r="D55" s="107">
        <v>0.06</v>
      </c>
      <c r="E55" s="109">
        <f>FORNITURAS!W5</f>
        <v>906.42857142857144</v>
      </c>
      <c r="F55" s="110">
        <f>E55*D55</f>
        <v>54.385714285714286</v>
      </c>
      <c r="G55" s="1"/>
      <c r="H55" s="1"/>
    </row>
    <row r="56" spans="1:8" ht="15.75" x14ac:dyDescent="0.25">
      <c r="A56" s="104" t="s">
        <v>1555</v>
      </c>
      <c r="B56" s="148" t="s">
        <v>1556</v>
      </c>
      <c r="C56" s="148">
        <v>1</v>
      </c>
      <c r="D56" s="107"/>
      <c r="E56" s="109">
        <f>FORNITURAS!D4</f>
        <v>48.7</v>
      </c>
      <c r="F56" s="110">
        <f>E56*C56</f>
        <v>48.7</v>
      </c>
      <c r="G56" s="1"/>
      <c r="H56" s="1"/>
    </row>
    <row r="57" spans="1:8" ht="15.75" x14ac:dyDescent="0.25">
      <c r="A57" s="104" t="s">
        <v>1586</v>
      </c>
      <c r="B57" s="148"/>
      <c r="C57" s="148">
        <v>4</v>
      </c>
      <c r="D57" s="107"/>
      <c r="E57" s="109">
        <f>FORNITURAS!D17</f>
        <v>45.05</v>
      </c>
      <c r="F57" s="110">
        <f>E57*C57</f>
        <v>180.2</v>
      </c>
      <c r="G57" s="1"/>
      <c r="H57" s="1"/>
    </row>
    <row r="58" spans="1:8" ht="15.75" x14ac:dyDescent="0.25">
      <c r="A58" s="1701" t="s">
        <v>1224</v>
      </c>
      <c r="B58" s="2"/>
      <c r="C58" s="2">
        <v>2</v>
      </c>
      <c r="D58" s="2">
        <v>0.26</v>
      </c>
      <c r="E58" s="109">
        <f>'HILOS-CORDONES-TANZA-CUERO'!E5</f>
        <v>50.35</v>
      </c>
      <c r="F58" s="110">
        <f>D58*E58*C58</f>
        <v>26.182000000000002</v>
      </c>
      <c r="G58" s="1"/>
      <c r="H58" s="1"/>
    </row>
    <row r="59" spans="1:8" ht="15.75" x14ac:dyDescent="0.25">
      <c r="A59" s="1702"/>
      <c r="B59" s="202"/>
      <c r="C59" s="202">
        <v>1</v>
      </c>
      <c r="D59" s="2">
        <v>0.1</v>
      </c>
      <c r="E59" s="109">
        <f>E58</f>
        <v>50.35</v>
      </c>
      <c r="F59" s="110">
        <f>D59*E59*C59</f>
        <v>5.0350000000000001</v>
      </c>
      <c r="G59" s="1"/>
      <c r="H59" s="1"/>
    </row>
    <row r="60" spans="1:8" ht="15.75" x14ac:dyDescent="0.25">
      <c r="A60" s="3" t="s">
        <v>1557</v>
      </c>
      <c r="B60" s="98"/>
      <c r="C60" s="98"/>
      <c r="D60" s="2"/>
      <c r="E60" s="6"/>
      <c r="F60" s="39">
        <f>PACKAGING!E12</f>
        <v>50</v>
      </c>
      <c r="G60" s="1"/>
      <c r="H60" s="1"/>
    </row>
    <row r="61" spans="1:8" ht="15.75" x14ac:dyDescent="0.25">
      <c r="A61" s="3" t="s">
        <v>1558</v>
      </c>
      <c r="B61" s="98">
        <v>60</v>
      </c>
      <c r="C61" s="98">
        <v>15</v>
      </c>
      <c r="D61" s="2"/>
      <c r="E61" s="66">
        <f>'INSUMOS VARIOS'!B3</f>
        <v>3500</v>
      </c>
      <c r="F61" s="39">
        <f>E61*C61/B61</f>
        <v>875</v>
      </c>
      <c r="G61" s="1"/>
      <c r="H61" s="1"/>
    </row>
    <row r="62" spans="1:8" ht="15.75" x14ac:dyDescent="0.25">
      <c r="A62" s="3" t="s">
        <v>1750</v>
      </c>
      <c r="B62" s="98">
        <v>60</v>
      </c>
      <c r="C62" s="98">
        <v>10</v>
      </c>
      <c r="D62" s="2"/>
      <c r="E62" s="66">
        <f>E61</f>
        <v>3500</v>
      </c>
      <c r="F62" s="39">
        <f>E62*C62/B62</f>
        <v>583.33333333333337</v>
      </c>
      <c r="G62" s="1"/>
      <c r="H62" s="1"/>
    </row>
    <row r="63" spans="1:8" ht="16.5" thickBot="1" x14ac:dyDescent="0.3">
      <c r="A63" s="79" t="s">
        <v>525</v>
      </c>
      <c r="B63" s="99"/>
      <c r="C63" s="99"/>
      <c r="D63" s="70"/>
      <c r="E63" s="85"/>
      <c r="F63" s="51">
        <f>SUM(F53:F62)</f>
        <v>2257.3745091575092</v>
      </c>
      <c r="G63" s="1"/>
      <c r="H63" s="1"/>
    </row>
    <row r="64" spans="1:8" ht="18.75" x14ac:dyDescent="0.25">
      <c r="A64" s="80" t="s">
        <v>544</v>
      </c>
      <c r="B64" s="100"/>
      <c r="C64" s="100"/>
      <c r="D64" s="71"/>
      <c r="E64" s="71"/>
      <c r="F64" s="72">
        <f>F63*2</f>
        <v>4514.7490183150185</v>
      </c>
      <c r="G64" s="512">
        <f>F64+F64*70%</f>
        <v>7675.0733311355307</v>
      </c>
      <c r="H64" s="75">
        <v>8400</v>
      </c>
    </row>
    <row r="65" spans="1:8" ht="19.5" thickBot="1" x14ac:dyDescent="0.3">
      <c r="A65" s="81" t="s">
        <v>1559</v>
      </c>
      <c r="B65" s="101"/>
      <c r="C65" s="101"/>
      <c r="D65" s="73"/>
      <c r="E65" s="73"/>
      <c r="F65" s="73"/>
      <c r="G65" s="528"/>
      <c r="H65" s="74"/>
    </row>
    <row r="67" spans="1:8" ht="15.75" x14ac:dyDescent="0.25">
      <c r="A67" s="1576" t="s">
        <v>421</v>
      </c>
      <c r="B67" s="1577"/>
      <c r="C67" s="1577"/>
      <c r="D67" s="1577"/>
      <c r="E67" s="1577"/>
      <c r="F67" s="1577"/>
      <c r="G67" s="1"/>
      <c r="H67" s="1"/>
    </row>
    <row r="68" spans="1:8" ht="15.75" x14ac:dyDescent="0.25">
      <c r="A68" s="183" t="s">
        <v>916</v>
      </c>
      <c r="B68" s="97" t="s">
        <v>1194</v>
      </c>
      <c r="C68" s="97" t="s">
        <v>1089</v>
      </c>
      <c r="D68" s="76" t="s">
        <v>1547</v>
      </c>
      <c r="E68" s="108" t="s">
        <v>1035</v>
      </c>
      <c r="F68" s="77" t="s">
        <v>1549</v>
      </c>
      <c r="G68" s="1"/>
      <c r="H68" s="1"/>
    </row>
    <row r="69" spans="1:8" ht="15.75" x14ac:dyDescent="0.25">
      <c r="A69" s="104" t="s">
        <v>1644</v>
      </c>
      <c r="B69" s="148"/>
      <c r="C69" s="2">
        <v>0.5</v>
      </c>
      <c r="D69" s="107">
        <v>0.17</v>
      </c>
      <c r="E69" s="109">
        <f>VIDRIOS!D44</f>
        <v>2500</v>
      </c>
      <c r="F69" s="110">
        <f>E69*D69/C69</f>
        <v>850.00000000000011</v>
      </c>
      <c r="G69" s="1"/>
      <c r="H69" s="1"/>
    </row>
    <row r="70" spans="1:8" ht="15.75" x14ac:dyDescent="0.25">
      <c r="A70" s="104" t="s">
        <v>2042</v>
      </c>
      <c r="B70" s="148"/>
      <c r="C70" s="2"/>
      <c r="D70" s="107">
        <v>1</v>
      </c>
      <c r="E70" s="109">
        <f>'AROS, CADENAS, DIJES, ETC'!O3</f>
        <v>206</v>
      </c>
      <c r="F70" s="110">
        <f>E70*D70</f>
        <v>206</v>
      </c>
      <c r="G70" s="1"/>
      <c r="H70" s="1"/>
    </row>
    <row r="71" spans="1:8" ht="15.75" x14ac:dyDescent="0.25">
      <c r="A71" s="104" t="s">
        <v>1018</v>
      </c>
      <c r="B71" s="148"/>
      <c r="C71" s="2"/>
      <c r="D71" s="107">
        <v>2</v>
      </c>
      <c r="E71" s="109">
        <f>FORNITURAS!D26</f>
        <v>297.14285714285717</v>
      </c>
      <c r="F71" s="110">
        <f>D71*E71</f>
        <v>594.28571428571433</v>
      </c>
      <c r="G71" s="1"/>
      <c r="H71" s="1"/>
    </row>
    <row r="72" spans="1:8" ht="15.75" x14ac:dyDescent="0.25">
      <c r="A72" s="104" t="s">
        <v>1555</v>
      </c>
      <c r="B72" s="148" t="s">
        <v>1556</v>
      </c>
      <c r="C72" s="2"/>
      <c r="D72" s="107">
        <v>1</v>
      </c>
      <c r="E72" s="109">
        <f>FORNITURAS!D4</f>
        <v>48.7</v>
      </c>
      <c r="F72" s="110">
        <f>D72*E72</f>
        <v>48.7</v>
      </c>
      <c r="G72" s="1"/>
      <c r="H72" s="1"/>
    </row>
    <row r="73" spans="1:8" ht="15.75" x14ac:dyDescent="0.25">
      <c r="A73" s="104" t="s">
        <v>1594</v>
      </c>
      <c r="B73" s="148"/>
      <c r="C73" s="98"/>
      <c r="D73" s="2">
        <v>0.28000000000000003</v>
      </c>
      <c r="E73" s="109">
        <f>'HILOS-CORDONES-TANZA-CUERO'!L5</f>
        <v>7.34</v>
      </c>
      <c r="F73" s="110">
        <f>E73*D73</f>
        <v>2.0552000000000001</v>
      </c>
      <c r="G73" s="1"/>
      <c r="H73" s="1"/>
    </row>
    <row r="74" spans="1:8" ht="15.75" x14ac:dyDescent="0.25">
      <c r="A74" s="3" t="s">
        <v>1557</v>
      </c>
      <c r="B74" s="98"/>
      <c r="C74" s="98"/>
      <c r="D74" s="2"/>
      <c r="E74" s="1"/>
      <c r="F74" s="39">
        <f>PACKAGING!E12</f>
        <v>50</v>
      </c>
      <c r="G74" s="1"/>
      <c r="H74" s="1"/>
    </row>
    <row r="75" spans="1:8" ht="18.75" x14ac:dyDescent="0.25">
      <c r="A75" s="3" t="s">
        <v>1558</v>
      </c>
      <c r="B75" s="98">
        <v>60</v>
      </c>
      <c r="C75" s="98">
        <v>10</v>
      </c>
      <c r="D75" s="2"/>
      <c r="E75" s="66">
        <f>'INSUMOS VARIOS'!B3</f>
        <v>3500</v>
      </c>
      <c r="F75" s="39">
        <f>E75*C75/B75</f>
        <v>583.33333333333337</v>
      </c>
      <c r="G75" s="96"/>
      <c r="H75" s="96"/>
    </row>
    <row r="76" spans="1:8" ht="16.5" thickBot="1" x14ac:dyDescent="0.3">
      <c r="A76" s="79" t="s">
        <v>525</v>
      </c>
      <c r="B76" s="99"/>
      <c r="C76" s="99"/>
      <c r="D76" s="70"/>
      <c r="E76" s="85"/>
      <c r="F76" s="51">
        <f>SUM(F69:F75)</f>
        <v>2334.3742476190478</v>
      </c>
      <c r="G76" s="1"/>
      <c r="H76" s="1"/>
    </row>
    <row r="77" spans="1:8" ht="19.5" thickBot="1" x14ac:dyDescent="0.3">
      <c r="A77" s="80" t="s">
        <v>544</v>
      </c>
      <c r="B77" s="100"/>
      <c r="C77" s="100"/>
      <c r="D77" s="71"/>
      <c r="E77" s="71"/>
      <c r="F77" s="72">
        <f>F76*2</f>
        <v>4668.7484952380955</v>
      </c>
      <c r="G77" s="512">
        <f>F77+F77*70%</f>
        <v>7936.8724419047621</v>
      </c>
      <c r="H77" s="74">
        <v>12000</v>
      </c>
    </row>
    <row r="78" spans="1:8" ht="19.5" thickBot="1" x14ac:dyDescent="0.3">
      <c r="A78" s="81" t="s">
        <v>1559</v>
      </c>
      <c r="B78" s="101"/>
      <c r="C78" s="101"/>
      <c r="D78" s="73"/>
      <c r="E78" s="73"/>
      <c r="F78" s="73"/>
      <c r="G78" s="529"/>
      <c r="H78" s="74"/>
    </row>
    <row r="79" spans="1:8" ht="15.75" thickBot="1" x14ac:dyDescent="0.3"/>
    <row r="80" spans="1:8" ht="16.5" thickBot="1" x14ac:dyDescent="0.3">
      <c r="A80" s="1568" t="s">
        <v>597</v>
      </c>
      <c r="B80" s="1569"/>
      <c r="C80" s="1569"/>
      <c r="D80" s="1569"/>
      <c r="E80" s="1570"/>
      <c r="F80" s="174"/>
      <c r="G80" s="1"/>
    </row>
    <row r="81" spans="1:9" ht="15.75" x14ac:dyDescent="0.25">
      <c r="A81" s="183" t="s">
        <v>916</v>
      </c>
      <c r="B81" s="97" t="s">
        <v>1089</v>
      </c>
      <c r="C81" s="76" t="s">
        <v>1547</v>
      </c>
      <c r="D81" s="108" t="s">
        <v>1035</v>
      </c>
      <c r="E81" s="77" t="s">
        <v>1549</v>
      </c>
      <c r="F81" s="1"/>
      <c r="G81" s="603"/>
    </row>
    <row r="82" spans="1:9" ht="15.75" x14ac:dyDescent="0.25">
      <c r="A82" s="1613" t="s">
        <v>1224</v>
      </c>
      <c r="B82" s="190">
        <v>0.27</v>
      </c>
      <c r="C82" s="107">
        <v>2</v>
      </c>
      <c r="D82" s="109">
        <f>'HILOS-CORDONES-TANZA-CUERO'!E9</f>
        <v>109</v>
      </c>
      <c r="E82" s="110">
        <f>D82*C82*B82</f>
        <v>58.860000000000007</v>
      </c>
      <c r="F82" s="1"/>
      <c r="G82" s="603"/>
    </row>
    <row r="83" spans="1:9" ht="15.75" x14ac:dyDescent="0.25">
      <c r="A83" s="1615"/>
      <c r="B83" s="2">
        <v>0.12</v>
      </c>
      <c r="C83" s="2">
        <v>1</v>
      </c>
      <c r="D83" s="109">
        <f>D82</f>
        <v>109</v>
      </c>
      <c r="E83" s="110">
        <f>D83*C83*B83</f>
        <v>13.08</v>
      </c>
      <c r="F83" s="1"/>
      <c r="G83" s="603"/>
    </row>
    <row r="84" spans="1:9" ht="15.75" x14ac:dyDescent="0.25">
      <c r="A84" s="191" t="s">
        <v>3019</v>
      </c>
      <c r="B84" s="98"/>
      <c r="C84" s="2">
        <v>1</v>
      </c>
      <c r="D84" s="109">
        <f>'AROS, CADENAS, DIJES, ETC'!O166</f>
        <v>357</v>
      </c>
      <c r="E84" s="110">
        <f>C84*D84</f>
        <v>357</v>
      </c>
      <c r="F84" s="1"/>
      <c r="G84" s="603"/>
    </row>
    <row r="85" spans="1:9" ht="15.75" x14ac:dyDescent="0.25">
      <c r="A85" s="191" t="s">
        <v>1012</v>
      </c>
      <c r="B85" s="98"/>
      <c r="C85" s="2">
        <v>4</v>
      </c>
      <c r="D85" s="109">
        <f>FORNITURAS!D17</f>
        <v>45.05</v>
      </c>
      <c r="E85" s="110">
        <f>C85*D85</f>
        <v>180.2</v>
      </c>
      <c r="F85" s="1"/>
      <c r="G85" s="603"/>
    </row>
    <row r="86" spans="1:9" ht="15.75" x14ac:dyDescent="0.25">
      <c r="A86" s="3" t="s">
        <v>1557</v>
      </c>
      <c r="B86" s="98"/>
      <c r="C86" s="2"/>
      <c r="D86" s="6"/>
      <c r="E86" s="39">
        <f>PACKAGING!E12</f>
        <v>50</v>
      </c>
      <c r="F86" s="1"/>
      <c r="G86" s="603"/>
    </row>
    <row r="87" spans="1:9" ht="15.75" x14ac:dyDescent="0.25">
      <c r="A87" s="3" t="s">
        <v>1558</v>
      </c>
      <c r="B87" s="98">
        <v>60</v>
      </c>
      <c r="C87" s="2">
        <v>10</v>
      </c>
      <c r="D87" s="66">
        <f>'INSUMOS VARIOS'!B3</f>
        <v>3500</v>
      </c>
      <c r="E87" s="39">
        <f>D87*C87/B87</f>
        <v>583.33333333333337</v>
      </c>
      <c r="F87" s="1"/>
      <c r="G87" s="603"/>
    </row>
    <row r="88" spans="1:9" ht="16.5" thickBot="1" x14ac:dyDescent="0.3">
      <c r="A88" s="79" t="s">
        <v>525</v>
      </c>
      <c r="B88" s="99"/>
      <c r="C88" s="70"/>
      <c r="D88" s="85"/>
      <c r="E88" s="51">
        <f>SUM(E82:E87)</f>
        <v>1242.4733333333334</v>
      </c>
      <c r="F88" s="1"/>
      <c r="G88" s="603"/>
    </row>
    <row r="89" spans="1:9" ht="18.75" x14ac:dyDescent="0.25">
      <c r="A89" s="80" t="s">
        <v>544</v>
      </c>
      <c r="B89" s="100"/>
      <c r="C89" s="71"/>
      <c r="D89" s="71"/>
      <c r="E89" s="72">
        <f>E88*2</f>
        <v>2484.9466666666667</v>
      </c>
      <c r="F89" s="512">
        <f>E89+E89*50%</f>
        <v>3727.42</v>
      </c>
      <c r="G89" s="75">
        <v>2900</v>
      </c>
    </row>
    <row r="90" spans="1:9" ht="19.5" thickBot="1" x14ac:dyDescent="0.3">
      <c r="A90" s="81" t="s">
        <v>1559</v>
      </c>
      <c r="B90" s="101"/>
      <c r="C90" s="73"/>
      <c r="D90" s="73"/>
      <c r="E90" s="73"/>
      <c r="F90" s="522"/>
      <c r="G90" s="74">
        <f>G89*2</f>
        <v>5800</v>
      </c>
    </row>
    <row r="91" spans="1:9" ht="15.75" thickBot="1" x14ac:dyDescent="0.3"/>
    <row r="92" spans="1:9" ht="16.5" thickBot="1" x14ac:dyDescent="0.3">
      <c r="A92" s="1565" t="s">
        <v>360</v>
      </c>
      <c r="B92" s="1566"/>
      <c r="C92" s="1566"/>
      <c r="D92" s="1566"/>
      <c r="E92" s="1566"/>
      <c r="F92" s="1566"/>
      <c r="G92" s="1567"/>
      <c r="H92" s="421"/>
      <c r="I92" s="421"/>
    </row>
    <row r="93" spans="1:9" ht="15.75" x14ac:dyDescent="0.25">
      <c r="A93" s="78" t="s">
        <v>916</v>
      </c>
      <c r="B93" s="385" t="s">
        <v>743</v>
      </c>
      <c r="C93" s="385" t="s">
        <v>1716</v>
      </c>
      <c r="D93" s="385" t="s">
        <v>1607</v>
      </c>
      <c r="E93" s="385" t="s">
        <v>1566</v>
      </c>
      <c r="F93" s="82" t="s">
        <v>1035</v>
      </c>
      <c r="G93" s="83" t="s">
        <v>1549</v>
      </c>
      <c r="H93" s="421"/>
      <c r="I93" s="421"/>
    </row>
    <row r="94" spans="1:9" ht="15.75" x14ac:dyDescent="0.25">
      <c r="A94" s="184" t="s">
        <v>1982</v>
      </c>
      <c r="B94" s="98"/>
      <c r="C94" s="98">
        <v>0.37</v>
      </c>
      <c r="D94" s="98">
        <v>0.14499999999999999</v>
      </c>
      <c r="E94" s="98"/>
      <c r="F94" s="102">
        <f>PIEDRAS!E24</f>
        <v>6940</v>
      </c>
      <c r="G94" s="39">
        <f>F94*D94/C94</f>
        <v>2719.7297297297296</v>
      </c>
      <c r="H94" s="1"/>
      <c r="I94" s="421"/>
    </row>
    <row r="95" spans="1:9" ht="15.75" x14ac:dyDescent="0.25">
      <c r="A95" s="184" t="s">
        <v>1555</v>
      </c>
      <c r="B95" s="98" t="s">
        <v>1556</v>
      </c>
      <c r="C95" s="98"/>
      <c r="D95" s="98"/>
      <c r="E95" s="98">
        <v>1</v>
      </c>
      <c r="F95" s="102">
        <f>FORNITURAS!D4</f>
        <v>48.7</v>
      </c>
      <c r="G95" s="39">
        <f>F95*E95</f>
        <v>48.7</v>
      </c>
      <c r="H95" s="1"/>
      <c r="I95" s="421"/>
    </row>
    <row r="96" spans="1:9" ht="15.75" x14ac:dyDescent="0.25">
      <c r="A96" s="184" t="s">
        <v>1554</v>
      </c>
      <c r="B96" s="98" t="s">
        <v>777</v>
      </c>
      <c r="C96" s="98"/>
      <c r="D96" s="98"/>
      <c r="E96" s="98">
        <v>2</v>
      </c>
      <c r="F96" s="102">
        <f>FORNITURAS!D26</f>
        <v>297.14285714285717</v>
      </c>
      <c r="G96" s="39">
        <v>21.2</v>
      </c>
      <c r="H96" s="1"/>
      <c r="I96" s="421"/>
    </row>
    <row r="97" spans="1:9" ht="15.75" x14ac:dyDescent="0.25">
      <c r="A97" s="184" t="s">
        <v>1743</v>
      </c>
      <c r="B97" s="98"/>
      <c r="C97" s="98"/>
      <c r="D97" s="98"/>
      <c r="E97" s="98">
        <v>1</v>
      </c>
      <c r="F97" s="102">
        <f>FORNITURAS!D14</f>
        <v>98.8</v>
      </c>
      <c r="G97" s="39">
        <f>F97*E97</f>
        <v>98.8</v>
      </c>
      <c r="H97" s="1"/>
      <c r="I97" s="421"/>
    </row>
    <row r="98" spans="1:9" ht="15.75" x14ac:dyDescent="0.25">
      <c r="A98" s="184" t="s">
        <v>1742</v>
      </c>
      <c r="B98" s="98" t="s">
        <v>1313</v>
      </c>
      <c r="C98" s="98"/>
      <c r="D98" s="98"/>
      <c r="E98" s="98">
        <v>1</v>
      </c>
      <c r="F98" s="102">
        <f>PERLAS!F19</f>
        <v>140.42553191489361</v>
      </c>
      <c r="G98" s="39">
        <f>F98*E98</f>
        <v>140.42553191489361</v>
      </c>
      <c r="H98" s="1"/>
      <c r="I98" s="421"/>
    </row>
    <row r="99" spans="1:9" ht="15.75" x14ac:dyDescent="0.25">
      <c r="A99" s="184" t="s">
        <v>1587</v>
      </c>
      <c r="B99" s="98"/>
      <c r="C99" s="98"/>
      <c r="D99" s="98"/>
      <c r="E99" s="98">
        <v>1</v>
      </c>
      <c r="F99" s="102">
        <f>FORNITURAS!D18</f>
        <v>363</v>
      </c>
      <c r="G99" s="39">
        <f>F99*E99</f>
        <v>363</v>
      </c>
      <c r="H99" s="1"/>
      <c r="I99" s="421"/>
    </row>
    <row r="100" spans="1:9" ht="15.75" x14ac:dyDescent="0.25">
      <c r="A100" s="184" t="s">
        <v>1012</v>
      </c>
      <c r="B100" s="98"/>
      <c r="C100" s="98"/>
      <c r="D100" s="98"/>
      <c r="E100" s="98">
        <v>2</v>
      </c>
      <c r="F100" s="102">
        <f>FORNITURAS!D17</f>
        <v>45.05</v>
      </c>
      <c r="G100" s="39">
        <v>15</v>
      </c>
      <c r="H100" s="1"/>
      <c r="I100" s="421"/>
    </row>
    <row r="101" spans="1:9" ht="15.75" x14ac:dyDescent="0.25">
      <c r="A101" s="184" t="s">
        <v>1424</v>
      </c>
      <c r="B101" s="98"/>
      <c r="C101" s="98"/>
      <c r="D101" s="98">
        <v>0.26</v>
      </c>
      <c r="E101" s="98">
        <v>1</v>
      </c>
      <c r="F101" s="102">
        <f>'HILOS-CORDONES-TANZA-CUERO'!L9</f>
        <v>30</v>
      </c>
      <c r="G101" s="39">
        <f>F101*E101*D101</f>
        <v>7.8000000000000007</v>
      </c>
      <c r="H101" s="1"/>
      <c r="I101" s="421"/>
    </row>
    <row r="102" spans="1:9" ht="15.75" x14ac:dyDescent="0.25">
      <c r="A102" s="184" t="s">
        <v>1608</v>
      </c>
      <c r="B102" s="98"/>
      <c r="C102" s="98"/>
      <c r="D102" s="98"/>
      <c r="E102" s="98">
        <v>3.5000000000000003E-2</v>
      </c>
      <c r="F102" s="102">
        <f>'AROS, CADENAS, DIJES, ETC'!I38</f>
        <v>3630</v>
      </c>
      <c r="G102" s="39">
        <f>F102*E102</f>
        <v>127.05000000000001</v>
      </c>
      <c r="H102" s="1"/>
      <c r="I102" s="421"/>
    </row>
    <row r="103" spans="1:9" ht="15.75" x14ac:dyDescent="0.25">
      <c r="A103" s="3" t="s">
        <v>1557</v>
      </c>
      <c r="B103" s="98"/>
      <c r="C103" s="98"/>
      <c r="D103" s="98"/>
      <c r="E103" s="98"/>
      <c r="F103" s="2"/>
      <c r="G103" s="39">
        <f>PACKAGING!E4</f>
        <v>80</v>
      </c>
      <c r="H103" s="1"/>
      <c r="I103" s="421"/>
    </row>
    <row r="104" spans="1:9" ht="15.75" x14ac:dyDescent="0.25">
      <c r="A104" s="104" t="s">
        <v>1538</v>
      </c>
      <c r="B104" s="98"/>
      <c r="C104" s="98"/>
      <c r="D104" s="98"/>
      <c r="E104" s="98"/>
      <c r="F104" s="2"/>
      <c r="G104" s="39">
        <f>PACKAGING!E8</f>
        <v>420</v>
      </c>
      <c r="H104" s="1"/>
      <c r="I104" s="421"/>
    </row>
    <row r="105" spans="1:9" ht="15.75" x14ac:dyDescent="0.25">
      <c r="A105" s="104" t="s">
        <v>1558</v>
      </c>
      <c r="B105" s="98">
        <v>60</v>
      </c>
      <c r="C105" s="98"/>
      <c r="D105" s="98"/>
      <c r="E105" s="98">
        <v>15</v>
      </c>
      <c r="F105" s="102">
        <f>'INSUMOS VARIOS'!B3</f>
        <v>3500</v>
      </c>
      <c r="G105" s="39">
        <f>F105*E105/B105</f>
        <v>875</v>
      </c>
      <c r="H105" s="1"/>
      <c r="I105" s="421"/>
    </row>
    <row r="106" spans="1:9" ht="16.5" thickBot="1" x14ac:dyDescent="0.3">
      <c r="A106" s="79" t="s">
        <v>525</v>
      </c>
      <c r="B106" s="99"/>
      <c r="C106" s="99"/>
      <c r="D106" s="99"/>
      <c r="E106" s="70"/>
      <c r="F106" s="85"/>
      <c r="G106" s="51">
        <f>SUM(G94:G105)</f>
        <v>4916.7052616446235</v>
      </c>
      <c r="H106" s="603"/>
      <c r="I106" s="603"/>
    </row>
    <row r="107" spans="1:9" ht="19.5" thickBot="1" x14ac:dyDescent="0.3">
      <c r="A107" s="80" t="s">
        <v>544</v>
      </c>
      <c r="B107" s="100"/>
      <c r="C107" s="100"/>
      <c r="D107" s="100"/>
      <c r="E107" s="71"/>
      <c r="F107" s="71"/>
      <c r="G107" s="72">
        <f>G106*2</f>
        <v>9833.4105232892471</v>
      </c>
      <c r="H107" s="512">
        <f>G107+G107*50%</f>
        <v>14750.115784933871</v>
      </c>
      <c r="I107" s="75">
        <v>11800</v>
      </c>
    </row>
    <row r="108" spans="1:9" ht="19.5" thickBot="1" x14ac:dyDescent="0.3">
      <c r="A108" s="81" t="s">
        <v>1559</v>
      </c>
      <c r="B108" s="101"/>
      <c r="C108" s="101"/>
      <c r="D108" s="101"/>
      <c r="E108" s="73"/>
      <c r="F108" s="73"/>
      <c r="G108" s="73"/>
      <c r="H108" s="522"/>
      <c r="I108" s="75">
        <f>I107*2</f>
        <v>23600</v>
      </c>
    </row>
    <row r="109" spans="1:9" ht="15.75" thickBot="1" x14ac:dyDescent="0.3"/>
    <row r="110" spans="1:9" ht="16.5" thickBot="1" x14ac:dyDescent="0.3">
      <c r="A110" s="1565" t="s">
        <v>166</v>
      </c>
      <c r="B110" s="1566"/>
      <c r="C110" s="1566"/>
      <c r="D110" s="1566"/>
      <c r="E110" s="1566"/>
      <c r="F110" s="1566"/>
      <c r="G110" s="1567"/>
      <c r="H110" s="1"/>
      <c r="I110" s="1"/>
    </row>
    <row r="111" spans="1:9" ht="15.75" x14ac:dyDescent="0.25">
      <c r="A111" s="78" t="s">
        <v>916</v>
      </c>
      <c r="B111" s="385" t="s">
        <v>743</v>
      </c>
      <c r="C111" s="385" t="s">
        <v>1716</v>
      </c>
      <c r="D111" s="385" t="s">
        <v>1607</v>
      </c>
      <c r="E111" s="385" t="s">
        <v>1566</v>
      </c>
      <c r="F111" s="82" t="s">
        <v>1035</v>
      </c>
      <c r="G111" s="83" t="s">
        <v>1549</v>
      </c>
      <c r="H111" s="1"/>
      <c r="I111" s="1"/>
    </row>
    <row r="112" spans="1:9" ht="15.75" x14ac:dyDescent="0.25">
      <c r="A112" s="184" t="s">
        <v>2043</v>
      </c>
      <c r="B112" s="98"/>
      <c r="C112" s="98">
        <v>0.38</v>
      </c>
      <c r="D112" s="98">
        <v>0.14499999999999999</v>
      </c>
      <c r="E112" s="98"/>
      <c r="F112" s="102">
        <f>PIEDRAS!E16</f>
        <v>5930</v>
      </c>
      <c r="G112" s="39">
        <f>F112*D112/C112</f>
        <v>2262.7631578947367</v>
      </c>
      <c r="H112" s="1"/>
      <c r="I112" s="1"/>
    </row>
    <row r="113" spans="1:9" ht="15.75" x14ac:dyDescent="0.25">
      <c r="A113" s="184" t="s">
        <v>1555</v>
      </c>
      <c r="B113" s="98" t="s">
        <v>1556</v>
      </c>
      <c r="C113" s="98"/>
      <c r="D113" s="98"/>
      <c r="E113" s="98">
        <v>2</v>
      </c>
      <c r="F113" s="102">
        <f>FORNITURAS!D4</f>
        <v>48.7</v>
      </c>
      <c r="G113" s="39">
        <f t="shared" ref="G113:G118" si="0">F113*E113</f>
        <v>97.4</v>
      </c>
      <c r="H113" s="1"/>
      <c r="I113" s="1"/>
    </row>
    <row r="114" spans="1:9" ht="15.75" x14ac:dyDescent="0.25">
      <c r="A114" s="184" t="s">
        <v>1554</v>
      </c>
      <c r="B114" s="98" t="s">
        <v>777</v>
      </c>
      <c r="C114" s="98"/>
      <c r="D114" s="98"/>
      <c r="E114" s="98">
        <v>2</v>
      </c>
      <c r="F114" s="102">
        <f>FORNITURAS!D26</f>
        <v>297.14285714285717</v>
      </c>
      <c r="G114" s="39">
        <f t="shared" si="0"/>
        <v>594.28571428571433</v>
      </c>
      <c r="H114" s="1"/>
      <c r="I114" s="1"/>
    </row>
    <row r="115" spans="1:9" ht="15.75" x14ac:dyDescent="0.25">
      <c r="A115" s="184" t="s">
        <v>1743</v>
      </c>
      <c r="B115" s="98"/>
      <c r="C115" s="98"/>
      <c r="D115" s="98"/>
      <c r="E115" s="98">
        <v>1</v>
      </c>
      <c r="F115" s="102">
        <f>FORNITURAS!D14</f>
        <v>98.8</v>
      </c>
      <c r="G115" s="39">
        <f t="shared" si="0"/>
        <v>98.8</v>
      </c>
      <c r="H115" s="1"/>
      <c r="I115" s="1"/>
    </row>
    <row r="116" spans="1:9" ht="15.75" x14ac:dyDescent="0.25">
      <c r="A116" s="184" t="s">
        <v>1742</v>
      </c>
      <c r="B116" s="98" t="s">
        <v>1313</v>
      </c>
      <c r="C116" s="98"/>
      <c r="D116" s="98"/>
      <c r="E116" s="98">
        <v>1</v>
      </c>
      <c r="F116" s="102">
        <f>PERLAS!F33</f>
        <v>110</v>
      </c>
      <c r="G116" s="39">
        <f t="shared" si="0"/>
        <v>110</v>
      </c>
      <c r="H116" s="1"/>
      <c r="I116" s="1"/>
    </row>
    <row r="117" spans="1:9" ht="15.75" x14ac:dyDescent="0.25">
      <c r="A117" s="184" t="s">
        <v>1587</v>
      </c>
      <c r="B117" s="98"/>
      <c r="C117" s="98"/>
      <c r="D117" s="98"/>
      <c r="E117" s="98">
        <v>1</v>
      </c>
      <c r="F117" s="102">
        <f>FORNITURAS!D18</f>
        <v>363</v>
      </c>
      <c r="G117" s="39">
        <f t="shared" si="0"/>
        <v>363</v>
      </c>
      <c r="H117" s="1"/>
      <c r="I117" s="1"/>
    </row>
    <row r="118" spans="1:9" ht="15.75" x14ac:dyDescent="0.25">
      <c r="A118" s="184" t="s">
        <v>1012</v>
      </c>
      <c r="B118" s="98"/>
      <c r="C118" s="98"/>
      <c r="D118" s="98"/>
      <c r="E118" s="98">
        <v>2</v>
      </c>
      <c r="F118" s="102">
        <f>FORNITURAS!D17</f>
        <v>45.05</v>
      </c>
      <c r="G118" s="39">
        <f t="shared" si="0"/>
        <v>90.1</v>
      </c>
      <c r="H118" s="1"/>
      <c r="I118" s="1"/>
    </row>
    <row r="119" spans="1:9" ht="15.75" x14ac:dyDescent="0.25">
      <c r="A119" s="184" t="s">
        <v>1424</v>
      </c>
      <c r="B119" s="98"/>
      <c r="C119" s="98"/>
      <c r="D119" s="98">
        <v>0.26</v>
      </c>
      <c r="E119" s="98">
        <v>1</v>
      </c>
      <c r="F119" s="102">
        <f>'HILOS-CORDONES-TANZA-CUERO'!L9</f>
        <v>30</v>
      </c>
      <c r="G119" s="39">
        <f>F119*E119*D119</f>
        <v>7.8000000000000007</v>
      </c>
      <c r="H119" s="1"/>
      <c r="I119" s="1"/>
    </row>
    <row r="120" spans="1:9" ht="15.75" x14ac:dyDescent="0.25">
      <c r="A120" s="184" t="s">
        <v>1608</v>
      </c>
      <c r="B120" s="98"/>
      <c r="C120" s="98"/>
      <c r="D120" s="98"/>
      <c r="E120" s="98">
        <v>3.5000000000000003E-2</v>
      </c>
      <c r="F120" s="102">
        <f>'AROS, CADENAS, DIJES, ETC'!I38</f>
        <v>3630</v>
      </c>
      <c r="G120" s="39">
        <f>F120*E120</f>
        <v>127.05000000000001</v>
      </c>
      <c r="H120" s="1"/>
      <c r="I120" s="1"/>
    </row>
    <row r="121" spans="1:9" ht="15.75" x14ac:dyDescent="0.25">
      <c r="A121" s="3" t="s">
        <v>1557</v>
      </c>
      <c r="B121" s="98"/>
      <c r="C121" s="98"/>
      <c r="D121" s="98"/>
      <c r="E121" s="98"/>
      <c r="F121" s="2"/>
      <c r="G121" s="39">
        <f>PACKAGING!E4</f>
        <v>80</v>
      </c>
      <c r="H121" s="1"/>
      <c r="I121" s="1"/>
    </row>
    <row r="122" spans="1:9" ht="15.75" x14ac:dyDescent="0.25">
      <c r="A122" s="104" t="s">
        <v>1538</v>
      </c>
      <c r="B122" s="98"/>
      <c r="C122" s="98"/>
      <c r="D122" s="98"/>
      <c r="E122" s="98"/>
      <c r="F122" s="2"/>
      <c r="G122" s="39">
        <f>PACKAGING!E8</f>
        <v>420</v>
      </c>
      <c r="H122" s="1"/>
      <c r="I122" s="1"/>
    </row>
    <row r="123" spans="1:9" ht="15.75" x14ac:dyDescent="0.25">
      <c r="A123" s="104" t="s">
        <v>1558</v>
      </c>
      <c r="B123" s="98">
        <v>60</v>
      </c>
      <c r="C123" s="98"/>
      <c r="D123" s="98"/>
      <c r="E123" s="98">
        <v>15</v>
      </c>
      <c r="F123" s="102">
        <f>'INSUMOS VARIOS'!B3</f>
        <v>3500</v>
      </c>
      <c r="G123" s="39">
        <f>F123*E123/B123</f>
        <v>875</v>
      </c>
      <c r="H123" s="1"/>
      <c r="I123" s="1"/>
    </row>
    <row r="124" spans="1:9" ht="16.5" thickBot="1" x14ac:dyDescent="0.3">
      <c r="A124" s="79" t="s">
        <v>525</v>
      </c>
      <c r="B124" s="99"/>
      <c r="C124" s="99"/>
      <c r="D124" s="99"/>
      <c r="E124" s="70"/>
      <c r="F124" s="85"/>
      <c r="G124" s="51">
        <f>SUM(G112:G123)</f>
        <v>5126.1988721804519</v>
      </c>
      <c r="H124" s="1"/>
      <c r="I124" s="1"/>
    </row>
    <row r="125" spans="1:9" ht="19.5" thickBot="1" x14ac:dyDescent="0.3">
      <c r="A125" s="80" t="s">
        <v>544</v>
      </c>
      <c r="B125" s="100"/>
      <c r="C125" s="100"/>
      <c r="D125" s="100"/>
      <c r="E125" s="71"/>
      <c r="F125" s="71"/>
      <c r="G125" s="72">
        <f>G124*2</f>
        <v>10252.397744360904</v>
      </c>
      <c r="H125" s="512">
        <f>G125+G125*50%</f>
        <v>15378.596616541356</v>
      </c>
      <c r="I125" s="75">
        <v>7500</v>
      </c>
    </row>
    <row r="126" spans="1:9" ht="19.5" thickBot="1" x14ac:dyDescent="0.3">
      <c r="A126" s="81" t="s">
        <v>1559</v>
      </c>
      <c r="B126" s="101"/>
      <c r="C126" s="101"/>
      <c r="D126" s="101"/>
      <c r="E126" s="73"/>
      <c r="F126" s="73"/>
      <c r="G126" s="73"/>
      <c r="H126" s="522"/>
      <c r="I126" s="75">
        <f>I125*2</f>
        <v>15000</v>
      </c>
    </row>
    <row r="127" spans="1:9" ht="15.75" x14ac:dyDescent="0.25">
      <c r="A127" s="171"/>
      <c r="B127" s="171"/>
      <c r="C127" s="171"/>
      <c r="D127" s="171"/>
      <c r="E127" s="171"/>
      <c r="F127" s="171"/>
      <c r="G127" s="171"/>
      <c r="H127" s="171"/>
      <c r="I127" s="171"/>
    </row>
    <row r="128" spans="1:9" ht="15.75" x14ac:dyDescent="0.25">
      <c r="A128" s="1602" t="s">
        <v>373</v>
      </c>
      <c r="B128" s="1600"/>
      <c r="C128" s="1600"/>
      <c r="D128" s="1600"/>
      <c r="E128" s="1600"/>
      <c r="F128" s="1600"/>
      <c r="G128" s="63"/>
      <c r="H128" s="585"/>
      <c r="I128" s="171"/>
    </row>
    <row r="129" spans="1:9" ht="15.75" x14ac:dyDescent="0.25">
      <c r="A129" s="554" t="s">
        <v>916</v>
      </c>
      <c r="B129" s="555" t="s">
        <v>742</v>
      </c>
      <c r="C129" s="555" t="s">
        <v>1089</v>
      </c>
      <c r="D129" s="556" t="s">
        <v>1547</v>
      </c>
      <c r="E129" s="557" t="s">
        <v>1035</v>
      </c>
      <c r="F129" s="558" t="s">
        <v>1549</v>
      </c>
      <c r="G129" s="63"/>
      <c r="H129" s="585"/>
      <c r="I129" s="171"/>
    </row>
    <row r="130" spans="1:9" ht="15.75" x14ac:dyDescent="0.25">
      <c r="A130" s="185" t="s">
        <v>1742</v>
      </c>
      <c r="B130" s="20" t="s">
        <v>2044</v>
      </c>
      <c r="C130" s="375"/>
      <c r="D130" s="559">
        <v>1</v>
      </c>
      <c r="E130" s="560">
        <f>PERLAS!F34</f>
        <v>132.0754716981132</v>
      </c>
      <c r="F130" s="561">
        <f>D130*E130</f>
        <v>132.0754716981132</v>
      </c>
      <c r="G130" s="63"/>
      <c r="H130" s="585"/>
      <c r="I130" s="171"/>
    </row>
    <row r="131" spans="1:9" ht="15.75" x14ac:dyDescent="0.25">
      <c r="A131" s="189" t="s">
        <v>2045</v>
      </c>
      <c r="B131" s="20">
        <v>0.39</v>
      </c>
      <c r="C131" s="375">
        <v>6.5000000000000002E-2</v>
      </c>
      <c r="D131" s="559">
        <v>2</v>
      </c>
      <c r="E131" s="560">
        <f>PIEDRAS!E62</f>
        <v>1320</v>
      </c>
      <c r="F131" s="561">
        <f>(E131*C131/B131)*D131</f>
        <v>439.99999999999994</v>
      </c>
      <c r="G131" s="63"/>
      <c r="H131" s="585"/>
      <c r="I131" s="171"/>
    </row>
    <row r="132" spans="1:9" ht="15.75" x14ac:dyDescent="0.25">
      <c r="A132" s="104" t="s">
        <v>1012</v>
      </c>
      <c r="B132" s="145"/>
      <c r="C132" s="145"/>
      <c r="D132" s="20">
        <v>2</v>
      </c>
      <c r="E132" s="560">
        <f>FORNITURAS!D17</f>
        <v>45.05</v>
      </c>
      <c r="F132" s="561">
        <f>D132*E132</f>
        <v>90.1</v>
      </c>
      <c r="G132" s="63"/>
      <c r="H132" s="585"/>
      <c r="I132" s="171"/>
    </row>
    <row r="133" spans="1:9" ht="15.75" x14ac:dyDescent="0.25">
      <c r="A133" s="331" t="s">
        <v>1554</v>
      </c>
      <c r="B133" s="145"/>
      <c r="C133" s="145"/>
      <c r="D133" s="20">
        <v>6</v>
      </c>
      <c r="E133" s="560">
        <f>FORNITURAS!D26</f>
        <v>297.14285714285717</v>
      </c>
      <c r="F133" s="561">
        <f>E133*D133</f>
        <v>1782.8571428571431</v>
      </c>
      <c r="G133" s="63"/>
      <c r="H133" s="585"/>
      <c r="I133" s="171"/>
    </row>
    <row r="134" spans="1:9" ht="15.75" x14ac:dyDescent="0.25">
      <c r="A134" s="1701" t="s">
        <v>1224</v>
      </c>
      <c r="B134" s="145"/>
      <c r="C134" s="145">
        <v>0.19</v>
      </c>
      <c r="D134" s="20">
        <v>2</v>
      </c>
      <c r="E134" s="560">
        <f>'HILOS-CORDONES-TANZA-CUERO'!E7</f>
        <v>50.35</v>
      </c>
      <c r="F134" s="561">
        <f>E134*D134*C134</f>
        <v>19.132999999999999</v>
      </c>
      <c r="G134" s="63"/>
      <c r="H134" s="585"/>
      <c r="I134" s="171"/>
    </row>
    <row r="135" spans="1:9" ht="15.75" x14ac:dyDescent="0.25">
      <c r="A135" s="1702"/>
      <c r="B135" s="145"/>
      <c r="C135" s="145">
        <v>0.12</v>
      </c>
      <c r="D135" s="20">
        <v>1</v>
      </c>
      <c r="E135" s="560">
        <f>E134</f>
        <v>50.35</v>
      </c>
      <c r="F135" s="561">
        <f>E135*D135*C135</f>
        <v>6.0419999999999998</v>
      </c>
      <c r="G135" s="63"/>
      <c r="H135" s="585"/>
      <c r="I135" s="171"/>
    </row>
    <row r="136" spans="1:9" ht="15.75" x14ac:dyDescent="0.25">
      <c r="A136" s="189" t="s">
        <v>1557</v>
      </c>
      <c r="B136" s="145"/>
      <c r="C136" s="145"/>
      <c r="D136" s="20"/>
      <c r="E136" s="562"/>
      <c r="F136" s="563">
        <f>PACKAGING!E12</f>
        <v>50</v>
      </c>
      <c r="G136" s="63"/>
      <c r="H136" s="585"/>
      <c r="I136" s="171"/>
    </row>
    <row r="137" spans="1:9" ht="15.75" x14ac:dyDescent="0.25">
      <c r="A137" s="1701" t="s">
        <v>1558</v>
      </c>
      <c r="B137" s="145"/>
      <c r="C137" s="145">
        <v>60</v>
      </c>
      <c r="D137" s="20">
        <v>15</v>
      </c>
      <c r="E137" s="564">
        <f>'INSUMOS VARIOS'!B3</f>
        <v>3500</v>
      </c>
      <c r="F137" s="563">
        <f>E137*D137/C137</f>
        <v>875</v>
      </c>
      <c r="G137" s="63"/>
      <c r="H137" s="585"/>
      <c r="I137" s="171"/>
    </row>
    <row r="138" spans="1:9" ht="15.75" x14ac:dyDescent="0.25">
      <c r="A138" s="1702"/>
      <c r="B138" s="145" t="s">
        <v>1712</v>
      </c>
      <c r="C138" s="145">
        <v>60</v>
      </c>
      <c r="D138" s="63">
        <v>5</v>
      </c>
      <c r="E138" s="564">
        <f>E137</f>
        <v>3500</v>
      </c>
      <c r="F138" s="563">
        <f>E138*D138/C138</f>
        <v>291.66666666666669</v>
      </c>
      <c r="G138" s="63"/>
      <c r="H138" s="585"/>
      <c r="I138" s="171"/>
    </row>
    <row r="139" spans="1:9" ht="16.5" thickBot="1" x14ac:dyDescent="0.3">
      <c r="A139" s="565" t="s">
        <v>525</v>
      </c>
      <c r="B139" s="566"/>
      <c r="C139" s="566"/>
      <c r="D139" s="567"/>
      <c r="E139" s="581"/>
      <c r="F139" s="568">
        <f>SUM(F130:F138)</f>
        <v>3686.8742812219225</v>
      </c>
      <c r="G139" s="63"/>
      <c r="H139" s="585"/>
      <c r="I139" s="171"/>
    </row>
    <row r="140" spans="1:9" ht="18.75" x14ac:dyDescent="0.25">
      <c r="A140" s="569" t="s">
        <v>544</v>
      </c>
      <c r="B140" s="570"/>
      <c r="C140" s="570"/>
      <c r="D140" s="571"/>
      <c r="E140" s="571"/>
      <c r="F140" s="582">
        <f>F139*2</f>
        <v>7373.748562443845</v>
      </c>
      <c r="G140" s="573">
        <f>F140+F140*50%</f>
        <v>11060.622843665768</v>
      </c>
      <c r="H140" s="583">
        <v>4000</v>
      </c>
      <c r="I140" s="171"/>
    </row>
    <row r="141" spans="1:9" ht="19.5" thickBot="1" x14ac:dyDescent="0.3">
      <c r="A141" s="575" t="s">
        <v>1559</v>
      </c>
      <c r="B141" s="576"/>
      <c r="C141" s="576"/>
      <c r="D141" s="577"/>
      <c r="E141" s="577"/>
      <c r="F141" s="577"/>
      <c r="G141" s="579"/>
      <c r="H141" s="584">
        <f>H140*2</f>
        <v>8000</v>
      </c>
      <c r="I141" s="171"/>
    </row>
    <row r="142" spans="1:9" ht="15.75" x14ac:dyDescent="0.25">
      <c r="A142" s="171"/>
      <c r="B142" s="171"/>
      <c r="C142" s="171"/>
      <c r="D142" s="171"/>
      <c r="E142" s="171"/>
      <c r="F142" s="171"/>
      <c r="G142" s="171"/>
      <c r="H142" s="171"/>
      <c r="I142" s="171"/>
    </row>
    <row r="143" spans="1:9" ht="15.75" x14ac:dyDescent="0.25">
      <c r="A143" s="1602" t="s">
        <v>167</v>
      </c>
      <c r="B143" s="1600"/>
      <c r="C143" s="1600"/>
      <c r="D143" s="1600"/>
      <c r="E143" s="1600"/>
      <c r="F143" s="1600"/>
      <c r="G143" s="63"/>
      <c r="H143" s="585"/>
      <c r="I143" s="171"/>
    </row>
    <row r="144" spans="1:9" ht="15.75" x14ac:dyDescent="0.25">
      <c r="A144" s="554" t="s">
        <v>916</v>
      </c>
      <c r="B144" s="555" t="s">
        <v>1194</v>
      </c>
      <c r="C144" s="555" t="s">
        <v>1089</v>
      </c>
      <c r="D144" s="556" t="s">
        <v>1547</v>
      </c>
      <c r="E144" s="557" t="s">
        <v>1035</v>
      </c>
      <c r="F144" s="558" t="s">
        <v>1549</v>
      </c>
      <c r="G144" s="63"/>
      <c r="H144" s="585"/>
      <c r="I144" s="171"/>
    </row>
    <row r="145" spans="1:18" ht="15.75" x14ac:dyDescent="0.25">
      <c r="A145" s="104" t="s">
        <v>2000</v>
      </c>
      <c r="B145" s="202"/>
      <c r="C145" s="20"/>
      <c r="D145" s="559">
        <v>3</v>
      </c>
      <c r="E145" s="560">
        <f>FORNITURAS!I4</f>
        <v>66.099999999999994</v>
      </c>
      <c r="F145" s="561">
        <f>E145*D145</f>
        <v>198.29999999999998</v>
      </c>
      <c r="G145" s="63"/>
      <c r="H145" s="585"/>
      <c r="I145" s="171"/>
    </row>
    <row r="146" spans="1:18" ht="15.75" x14ac:dyDescent="0.25">
      <c r="A146" s="191" t="s">
        <v>1782</v>
      </c>
      <c r="B146" s="202">
        <v>0.20499999999999999</v>
      </c>
      <c r="C146" s="20">
        <v>5.5E-2</v>
      </c>
      <c r="D146" s="559">
        <v>3</v>
      </c>
      <c r="E146" s="560">
        <f>VIDRIOS!D28</f>
        <v>850</v>
      </c>
      <c r="F146" s="561">
        <f>(E146*C146/B146)*D146</f>
        <v>684.14634146341473</v>
      </c>
      <c r="G146" s="63"/>
      <c r="H146" s="585"/>
      <c r="I146" s="171"/>
    </row>
    <row r="147" spans="1:18" ht="15.75" x14ac:dyDescent="0.25">
      <c r="A147" s="191" t="s">
        <v>1594</v>
      </c>
      <c r="B147" s="202"/>
      <c r="C147" s="145"/>
      <c r="D147" s="20">
        <v>0.28000000000000003</v>
      </c>
      <c r="E147" s="560">
        <f>'HILOS-CORDONES-TANZA-CUERO'!L6</f>
        <v>8</v>
      </c>
      <c r="F147" s="561">
        <f>E147*D147</f>
        <v>2.2400000000000002</v>
      </c>
      <c r="G147" s="63"/>
      <c r="H147" s="585"/>
      <c r="I147" s="171"/>
    </row>
    <row r="148" spans="1:18" ht="15.75" x14ac:dyDescent="0.25">
      <c r="A148" s="189" t="s">
        <v>1557</v>
      </c>
      <c r="B148" s="145"/>
      <c r="C148" s="145"/>
      <c r="D148" s="20"/>
      <c r="E148" s="562"/>
      <c r="F148" s="563">
        <f>PACKAGING!E12</f>
        <v>50</v>
      </c>
      <c r="G148" s="63"/>
      <c r="H148" s="585"/>
      <c r="I148" s="171"/>
    </row>
    <row r="149" spans="1:18" ht="15.75" x14ac:dyDescent="0.25">
      <c r="A149" s="189" t="s">
        <v>1558</v>
      </c>
      <c r="B149" s="145">
        <v>60</v>
      </c>
      <c r="C149" s="586"/>
      <c r="D149" s="20">
        <v>15</v>
      </c>
      <c r="E149" s="564">
        <f>'INSUMOS VARIOS'!B3</f>
        <v>3500</v>
      </c>
      <c r="F149" s="563">
        <f>E149*D149/B149</f>
        <v>875</v>
      </c>
      <c r="G149" s="63"/>
      <c r="H149" s="585"/>
      <c r="I149" s="171"/>
    </row>
    <row r="150" spans="1:18" ht="16.5" thickBot="1" x14ac:dyDescent="0.3">
      <c r="A150" s="565" t="s">
        <v>525</v>
      </c>
      <c r="B150" s="566"/>
      <c r="C150" s="566"/>
      <c r="D150" s="566"/>
      <c r="E150" s="567"/>
      <c r="F150" s="568">
        <f>SUM(F144:F149)</f>
        <v>1809.6863414634147</v>
      </c>
      <c r="G150" s="63"/>
      <c r="H150" s="587"/>
      <c r="I150" s="171"/>
    </row>
    <row r="151" spans="1:18" ht="18.75" x14ac:dyDescent="0.25">
      <c r="A151" s="569" t="s">
        <v>544</v>
      </c>
      <c r="B151" s="570"/>
      <c r="C151" s="570"/>
      <c r="D151" s="570"/>
      <c r="E151" s="571"/>
      <c r="F151" s="572">
        <f>F150*2</f>
        <v>3619.3726829268294</v>
      </c>
      <c r="G151" s="573">
        <f>F151+F151*50%</f>
        <v>5429.0590243902443</v>
      </c>
      <c r="H151" s="574">
        <v>6000</v>
      </c>
      <c r="I151" s="171"/>
    </row>
    <row r="152" spans="1:18" ht="19.5" thickBot="1" x14ac:dyDescent="0.3">
      <c r="A152" s="575" t="s">
        <v>1559</v>
      </c>
      <c r="B152" s="576"/>
      <c r="C152" s="576"/>
      <c r="D152" s="576"/>
      <c r="E152" s="577"/>
      <c r="F152" s="578"/>
      <c r="G152" s="579"/>
      <c r="H152" s="580">
        <f>H151*2</f>
        <v>12000</v>
      </c>
      <c r="I152" s="171"/>
    </row>
    <row r="153" spans="1:18" ht="15.75" x14ac:dyDescent="0.25">
      <c r="A153" s="585"/>
      <c r="B153" s="585"/>
      <c r="C153" s="585"/>
      <c r="D153" s="585"/>
      <c r="E153" s="585"/>
      <c r="F153" s="585"/>
      <c r="G153" s="585"/>
      <c r="H153" s="585"/>
      <c r="I153" s="171"/>
    </row>
    <row r="154" spans="1:18" ht="15.75" x14ac:dyDescent="0.25">
      <c r="A154" s="1576" t="s">
        <v>2046</v>
      </c>
      <c r="B154" s="1577"/>
      <c r="C154" s="1577"/>
      <c r="D154" s="1577"/>
      <c r="E154" s="1577"/>
      <c r="F154" s="1577"/>
      <c r="G154" s="1"/>
      <c r="H154" s="1"/>
      <c r="I154" s="171"/>
    </row>
    <row r="155" spans="1:18" ht="15.75" x14ac:dyDescent="0.25">
      <c r="A155" s="183" t="s">
        <v>916</v>
      </c>
      <c r="B155" s="97" t="s">
        <v>1194</v>
      </c>
      <c r="C155" s="97" t="s">
        <v>1089</v>
      </c>
      <c r="D155" s="76" t="s">
        <v>1547</v>
      </c>
      <c r="E155" s="108" t="s">
        <v>1035</v>
      </c>
      <c r="F155" s="77" t="s">
        <v>1549</v>
      </c>
      <c r="G155" s="1"/>
      <c r="H155" s="1"/>
      <c r="I155" s="171"/>
      <c r="K155" s="1576" t="s">
        <v>2053</v>
      </c>
      <c r="L155" s="1577"/>
      <c r="M155" s="1577"/>
      <c r="N155" s="1577"/>
      <c r="O155" s="1577"/>
      <c r="P155" s="1577"/>
      <c r="Q155" s="1"/>
      <c r="R155" s="1"/>
    </row>
    <row r="156" spans="1:18" ht="15.75" x14ac:dyDescent="0.25">
      <c r="A156" s="104" t="s">
        <v>2264</v>
      </c>
      <c r="B156" s="148">
        <v>0.5</v>
      </c>
      <c r="C156" s="2">
        <v>0.04</v>
      </c>
      <c r="D156" s="107">
        <v>4</v>
      </c>
      <c r="E156" s="109">
        <f>PIEDRAS!E116</f>
        <v>1400</v>
      </c>
      <c r="F156" s="110">
        <f>E156*D156*C156/B156</f>
        <v>448</v>
      </c>
      <c r="G156" s="1"/>
      <c r="H156" s="1"/>
      <c r="I156" s="171"/>
      <c r="K156" s="183" t="s">
        <v>916</v>
      </c>
      <c r="L156" s="97" t="s">
        <v>1194</v>
      </c>
      <c r="M156" s="97" t="s">
        <v>1089</v>
      </c>
      <c r="N156" s="76" t="s">
        <v>1547</v>
      </c>
      <c r="O156" s="108" t="s">
        <v>1035</v>
      </c>
      <c r="P156" s="77" t="s">
        <v>1549</v>
      </c>
      <c r="Q156" s="1"/>
      <c r="R156" s="1"/>
    </row>
    <row r="157" spans="1:18" ht="15.75" x14ac:dyDescent="0.25">
      <c r="A157" s="104" t="s">
        <v>1944</v>
      </c>
      <c r="B157" s="148"/>
      <c r="C157" s="2"/>
      <c r="D157" s="107">
        <v>4</v>
      </c>
      <c r="E157" s="109">
        <f>FORNITURAS!I4</f>
        <v>66.099999999999994</v>
      </c>
      <c r="F157" s="110">
        <f>D157*E157</f>
        <v>264.39999999999998</v>
      </c>
      <c r="G157" s="1"/>
      <c r="H157" s="1"/>
      <c r="I157" s="171"/>
      <c r="K157" s="104" t="s">
        <v>1264</v>
      </c>
      <c r="L157" s="148">
        <v>0.5</v>
      </c>
      <c r="M157" s="2">
        <v>0.04</v>
      </c>
      <c r="N157" s="107">
        <v>4</v>
      </c>
      <c r="O157" s="109">
        <f>PIEDRAS!E109</f>
        <v>120</v>
      </c>
      <c r="P157" s="110">
        <f>O157*N157*M157/L157</f>
        <v>38.4</v>
      </c>
      <c r="Q157" s="1"/>
      <c r="R157" s="1"/>
    </row>
    <row r="158" spans="1:18" ht="15.75" x14ac:dyDescent="0.25">
      <c r="A158" s="104" t="s">
        <v>1594</v>
      </c>
      <c r="B158" s="148"/>
      <c r="C158" s="98"/>
      <c r="D158" s="2">
        <v>0.28000000000000003</v>
      </c>
      <c r="E158" s="109">
        <f>'HILOS-CORDONES-TANZA-CUERO'!L6</f>
        <v>8</v>
      </c>
      <c r="F158" s="110">
        <f>E158*D158</f>
        <v>2.2400000000000002</v>
      </c>
      <c r="G158" s="1"/>
      <c r="H158" s="1"/>
      <c r="I158" s="171"/>
      <c r="K158" s="104" t="s">
        <v>1944</v>
      </c>
      <c r="L158" s="148"/>
      <c r="M158" s="2"/>
      <c r="N158" s="107">
        <v>4</v>
      </c>
      <c r="O158" s="109">
        <f>FORNITURAS!I4</f>
        <v>66.099999999999994</v>
      </c>
      <c r="P158" s="110">
        <f>N158*O158</f>
        <v>264.39999999999998</v>
      </c>
      <c r="Q158" s="1"/>
      <c r="R158" s="1"/>
    </row>
    <row r="159" spans="1:18" ht="15.75" x14ac:dyDescent="0.25">
      <c r="A159" s="3" t="s">
        <v>1557</v>
      </c>
      <c r="B159" s="98"/>
      <c r="C159" s="98"/>
      <c r="D159" s="2"/>
      <c r="E159" s="1"/>
      <c r="F159" s="39">
        <f>PACKAGING!E12</f>
        <v>50</v>
      </c>
      <c r="G159" s="1"/>
      <c r="H159" s="1"/>
      <c r="I159" s="171"/>
      <c r="K159" s="104" t="s">
        <v>1594</v>
      </c>
      <c r="L159" s="148"/>
      <c r="M159" s="98"/>
      <c r="N159" s="2">
        <v>0.28000000000000003</v>
      </c>
      <c r="O159" s="109">
        <f>'HILOS-CORDONES-TANZA-CUERO'!L6</f>
        <v>8</v>
      </c>
      <c r="P159" s="110">
        <f>O159*N159</f>
        <v>2.2400000000000002</v>
      </c>
      <c r="Q159" s="1"/>
      <c r="R159" s="1"/>
    </row>
    <row r="160" spans="1:18" ht="18.75" x14ac:dyDescent="0.25">
      <c r="A160" s="3" t="s">
        <v>1558</v>
      </c>
      <c r="B160" s="98">
        <v>60</v>
      </c>
      <c r="C160" s="98">
        <v>15</v>
      </c>
      <c r="D160" s="2"/>
      <c r="E160" s="66">
        <f>'INSUMOS VARIOS'!B3</f>
        <v>3500</v>
      </c>
      <c r="F160" s="39">
        <f>E160*C160/B160</f>
        <v>875</v>
      </c>
      <c r="G160" s="96"/>
      <c r="H160" s="96"/>
      <c r="I160" s="171"/>
      <c r="K160" s="3" t="s">
        <v>1557</v>
      </c>
      <c r="L160" s="98"/>
      <c r="M160" s="98"/>
      <c r="N160" s="2"/>
      <c r="O160" s="1"/>
      <c r="P160" s="39">
        <f>PACKAGING!E12</f>
        <v>50</v>
      </c>
      <c r="Q160" s="1"/>
      <c r="R160" s="1"/>
    </row>
    <row r="161" spans="1:18" ht="19.5" thickBot="1" x14ac:dyDescent="0.3">
      <c r="A161" s="79" t="s">
        <v>525</v>
      </c>
      <c r="B161" s="99"/>
      <c r="C161" s="99"/>
      <c r="D161" s="70"/>
      <c r="E161" s="85"/>
      <c r="F161" s="51">
        <f>SUM(F156:F160)</f>
        <v>1639.6399999999999</v>
      </c>
      <c r="G161" s="1"/>
      <c r="H161" s="1"/>
      <c r="I161" s="171"/>
      <c r="K161" s="3" t="s">
        <v>1558</v>
      </c>
      <c r="L161" s="98">
        <v>60</v>
      </c>
      <c r="M161" s="98">
        <v>10</v>
      </c>
      <c r="N161" s="2"/>
      <c r="O161" s="66">
        <f>'INSUMOS VARIOS'!B3</f>
        <v>3500</v>
      </c>
      <c r="P161" s="39">
        <f>O161*M161/L161</f>
        <v>583.33333333333337</v>
      </c>
      <c r="Q161" s="96"/>
      <c r="R161" s="96"/>
    </row>
    <row r="162" spans="1:18" ht="19.5" thickBot="1" x14ac:dyDescent="0.3">
      <c r="A162" s="80" t="s">
        <v>544</v>
      </c>
      <c r="B162" s="100"/>
      <c r="C162" s="100"/>
      <c r="D162" s="71"/>
      <c r="E162" s="71"/>
      <c r="F162" s="72">
        <f>F161*2</f>
        <v>3279.2799999999997</v>
      </c>
      <c r="G162" s="512">
        <f>F162+F162*50%</f>
        <v>4918.92</v>
      </c>
      <c r="H162" s="75">
        <v>4800</v>
      </c>
      <c r="I162" s="171"/>
      <c r="K162" s="79" t="s">
        <v>525</v>
      </c>
      <c r="L162" s="99"/>
      <c r="M162" s="99"/>
      <c r="N162" s="70"/>
      <c r="O162" s="85"/>
      <c r="P162" s="51">
        <f>SUM(P157:P161)</f>
        <v>938.37333333333333</v>
      </c>
      <c r="Q162" s="1"/>
      <c r="R162" s="1"/>
    </row>
    <row r="163" spans="1:18" ht="19.5" thickBot="1" x14ac:dyDescent="0.3">
      <c r="A163" s="81" t="s">
        <v>1559</v>
      </c>
      <c r="B163" s="101"/>
      <c r="C163" s="101"/>
      <c r="D163" s="73"/>
      <c r="E163" s="73"/>
      <c r="F163" s="73"/>
      <c r="G163" s="529"/>
      <c r="H163" s="74">
        <f>H162*2</f>
        <v>9600</v>
      </c>
      <c r="I163" s="171"/>
      <c r="K163" s="80" t="s">
        <v>544</v>
      </c>
      <c r="L163" s="100"/>
      <c r="M163" s="100"/>
      <c r="N163" s="71"/>
      <c r="O163" s="71"/>
      <c r="P163" s="72">
        <f>P162*2</f>
        <v>1876.7466666666667</v>
      </c>
      <c r="Q163" s="512">
        <f>P163+P163*25%</f>
        <v>2345.9333333333334</v>
      </c>
      <c r="R163" s="75">
        <v>3800</v>
      </c>
    </row>
    <row r="164" spans="1:18" ht="19.5" thickBot="1" x14ac:dyDescent="0.3">
      <c r="A164" s="171"/>
      <c r="B164" s="171"/>
      <c r="C164" s="171"/>
      <c r="D164" s="171"/>
      <c r="E164" s="171"/>
      <c r="F164" s="171"/>
      <c r="G164" s="171"/>
      <c r="H164" s="171"/>
      <c r="I164" s="171"/>
      <c r="K164" s="81" t="s">
        <v>1559</v>
      </c>
      <c r="L164" s="101"/>
      <c r="M164" s="101"/>
      <c r="N164" s="73"/>
      <c r="O164" s="73"/>
      <c r="P164" s="73"/>
      <c r="Q164" s="529"/>
      <c r="R164" s="74">
        <f>R163*2</f>
        <v>7600</v>
      </c>
    </row>
    <row r="165" spans="1:18" ht="15.75" x14ac:dyDescent="0.25">
      <c r="A165" s="1601" t="s">
        <v>2265</v>
      </c>
      <c r="B165" s="1588"/>
      <c r="C165" s="1588"/>
      <c r="D165" s="1588"/>
      <c r="E165" s="1588"/>
      <c r="F165" s="1"/>
      <c r="G165" s="171"/>
      <c r="H165" s="171"/>
      <c r="I165" s="171"/>
    </row>
    <row r="166" spans="1:18" ht="15.75" x14ac:dyDescent="0.25">
      <c r="A166" s="183" t="s">
        <v>916</v>
      </c>
      <c r="B166" s="76" t="s">
        <v>2031</v>
      </c>
      <c r="C166" s="76" t="s">
        <v>1089</v>
      </c>
      <c r="D166" s="108" t="s">
        <v>2032</v>
      </c>
      <c r="E166" s="77" t="s">
        <v>1549</v>
      </c>
      <c r="F166" s="1"/>
      <c r="G166" s="171"/>
      <c r="H166" s="171"/>
      <c r="I166" s="171"/>
    </row>
    <row r="167" spans="1:18" ht="15.75" x14ac:dyDescent="0.25">
      <c r="A167" s="3" t="s">
        <v>885</v>
      </c>
      <c r="B167" s="186">
        <v>0.5</v>
      </c>
      <c r="C167" s="2">
        <v>0.17499999999999999</v>
      </c>
      <c r="D167" s="66">
        <f>'AROS, CADENAS, DIJES, ETC'!I56</f>
        <v>2614</v>
      </c>
      <c r="E167" s="39">
        <f>D167*C167/B167</f>
        <v>914.9</v>
      </c>
      <c r="F167" s="1"/>
      <c r="G167" s="171"/>
      <c r="H167" s="171"/>
      <c r="I167" s="171"/>
    </row>
    <row r="168" spans="1:18" ht="15.75" x14ac:dyDescent="0.25">
      <c r="A168" s="3" t="s">
        <v>2141</v>
      </c>
      <c r="B168" s="186"/>
      <c r="C168" s="2">
        <v>1</v>
      </c>
      <c r="D168" s="66">
        <f>FORNITURAS!D21</f>
        <v>1500</v>
      </c>
      <c r="E168" s="39">
        <f>D168*C168</f>
        <v>1500</v>
      </c>
      <c r="F168" s="1"/>
      <c r="G168" s="171"/>
      <c r="H168" s="171"/>
      <c r="I168" s="171"/>
    </row>
    <row r="169" spans="1:18" ht="15.75" x14ac:dyDescent="0.25">
      <c r="A169" s="3" t="s">
        <v>1588</v>
      </c>
      <c r="B169" s="98"/>
      <c r="C169" s="2"/>
      <c r="D169" s="6"/>
      <c r="E169" s="39">
        <f>PACKAGING!E4</f>
        <v>80</v>
      </c>
      <c r="F169" s="1"/>
      <c r="G169" s="171"/>
      <c r="H169" s="171"/>
      <c r="I169" s="171"/>
    </row>
    <row r="170" spans="1:18" ht="15.75" x14ac:dyDescent="0.25">
      <c r="A170" s="3" t="s">
        <v>1538</v>
      </c>
      <c r="B170" s="98"/>
      <c r="C170" s="2"/>
      <c r="D170" s="6"/>
      <c r="E170" s="39">
        <f>PACKAGING!E8</f>
        <v>420</v>
      </c>
      <c r="F170" s="1"/>
      <c r="G170" s="171"/>
      <c r="H170" s="171"/>
      <c r="I170" s="171"/>
    </row>
    <row r="171" spans="1:18" ht="15.75" x14ac:dyDescent="0.25">
      <c r="A171" s="3" t="s">
        <v>1558</v>
      </c>
      <c r="B171" s="98">
        <v>60</v>
      </c>
      <c r="C171" s="98">
        <v>10</v>
      </c>
      <c r="D171" s="102">
        <f>'INSUMOS VARIOS'!B3</f>
        <v>3500</v>
      </c>
      <c r="E171" s="39">
        <f>D171*C171/B171</f>
        <v>583.33333333333337</v>
      </c>
      <c r="F171" s="1"/>
      <c r="G171" s="171"/>
      <c r="H171" s="171"/>
      <c r="I171" s="171"/>
    </row>
    <row r="172" spans="1:18" ht="16.5" thickBot="1" x14ac:dyDescent="0.3">
      <c r="A172" s="79" t="s">
        <v>525</v>
      </c>
      <c r="B172" s="99"/>
      <c r="C172" s="70"/>
      <c r="D172" s="85"/>
      <c r="E172" s="51">
        <f>SUM(E167:E171)</f>
        <v>3498.2333333333336</v>
      </c>
      <c r="F172" s="1"/>
      <c r="G172" s="171"/>
      <c r="H172" s="171"/>
      <c r="I172" s="171"/>
    </row>
    <row r="173" spans="1:18" ht="18.75" x14ac:dyDescent="0.25">
      <c r="A173" s="80" t="s">
        <v>544</v>
      </c>
      <c r="B173" s="100"/>
      <c r="C173" s="71"/>
      <c r="D173" s="71"/>
      <c r="E173" s="72">
        <f>E172*2</f>
        <v>6996.4666666666672</v>
      </c>
      <c r="F173" s="512">
        <f>E173+E173*50%</f>
        <v>10494.7</v>
      </c>
      <c r="G173" s="75">
        <v>2000</v>
      </c>
      <c r="H173" s="171"/>
      <c r="I173" s="171"/>
    </row>
    <row r="174" spans="1:18" ht="19.5" thickBot="1" x14ac:dyDescent="0.3">
      <c r="A174" s="81" t="s">
        <v>1559</v>
      </c>
      <c r="B174" s="101"/>
      <c r="C174" s="73"/>
      <c r="D174" s="73"/>
      <c r="E174" s="73"/>
      <c r="F174" s="528"/>
      <c r="G174" s="74">
        <f>G173*2</f>
        <v>4000</v>
      </c>
      <c r="H174" s="171"/>
      <c r="I174" s="171"/>
    </row>
    <row r="175" spans="1:18" ht="15.75" x14ac:dyDescent="0.25">
      <c r="A175" s="171"/>
      <c r="B175" s="171"/>
      <c r="C175" s="171"/>
      <c r="D175" s="171"/>
      <c r="E175" s="171"/>
      <c r="F175" s="171"/>
      <c r="G175" s="171"/>
      <c r="H175" s="171"/>
      <c r="I175" s="171"/>
    </row>
    <row r="176" spans="1:18" ht="15.75" x14ac:dyDescent="0.25">
      <c r="A176" s="1601" t="s">
        <v>458</v>
      </c>
      <c r="B176" s="1588"/>
      <c r="C176" s="1588"/>
      <c r="D176" s="1588"/>
      <c r="E176" s="1588"/>
      <c r="F176" s="1"/>
      <c r="G176" s="1"/>
      <c r="H176" s="171"/>
      <c r="I176" s="171"/>
    </row>
    <row r="177" spans="1:9" ht="15.75" x14ac:dyDescent="0.25">
      <c r="A177" s="183" t="s">
        <v>916</v>
      </c>
      <c r="B177" s="97" t="s">
        <v>743</v>
      </c>
      <c r="C177" s="76" t="s">
        <v>1547</v>
      </c>
      <c r="D177" s="108" t="s">
        <v>1035</v>
      </c>
      <c r="E177" s="77" t="s">
        <v>1549</v>
      </c>
      <c r="F177" s="1"/>
      <c r="G177" s="1"/>
      <c r="H177" s="171"/>
      <c r="I177" s="171"/>
    </row>
    <row r="178" spans="1:9" ht="15.75" x14ac:dyDescent="0.25">
      <c r="A178" s="1613" t="s">
        <v>1684</v>
      </c>
      <c r="B178" s="2">
        <v>0.27</v>
      </c>
      <c r="C178" s="107">
        <v>2</v>
      </c>
      <c r="D178" s="109">
        <f>'HILOS-CORDONES-TANZA-CUERO'!E5</f>
        <v>50.35</v>
      </c>
      <c r="E178" s="110">
        <f>D178*B178*C178</f>
        <v>27.189000000000004</v>
      </c>
      <c r="F178" s="1"/>
      <c r="G178" s="1"/>
      <c r="H178" s="171"/>
      <c r="I178" s="171"/>
    </row>
    <row r="179" spans="1:9" ht="15.75" x14ac:dyDescent="0.25">
      <c r="A179" s="1615"/>
      <c r="B179" s="2">
        <v>0.12</v>
      </c>
      <c r="C179" s="2">
        <v>1</v>
      </c>
      <c r="D179" s="109">
        <f>D178</f>
        <v>50.35</v>
      </c>
      <c r="E179" s="110">
        <f>D179*B179*C179</f>
        <v>6.0419999999999998</v>
      </c>
      <c r="F179" s="1"/>
      <c r="G179" s="1"/>
      <c r="H179" s="171"/>
      <c r="I179" s="171"/>
    </row>
    <row r="180" spans="1:9" ht="15.75" x14ac:dyDescent="0.25">
      <c r="A180" s="104" t="s">
        <v>3204</v>
      </c>
      <c r="B180" s="98"/>
      <c r="C180" s="2">
        <v>1</v>
      </c>
      <c r="D180" s="109">
        <f>'AROS, CADENAS, DIJES, ETC'!O171</f>
        <v>415</v>
      </c>
      <c r="E180" s="110">
        <f>C180*D180</f>
        <v>415</v>
      </c>
      <c r="F180" s="1"/>
      <c r="G180" s="1"/>
      <c r="H180" s="171"/>
      <c r="I180" s="171"/>
    </row>
    <row r="181" spans="1:9" ht="15.75" x14ac:dyDescent="0.25">
      <c r="A181" s="104" t="s">
        <v>1012</v>
      </c>
      <c r="B181" s="98"/>
      <c r="C181" s="2">
        <v>4</v>
      </c>
      <c r="D181" s="109">
        <f>FORNITURAS!D17</f>
        <v>45.05</v>
      </c>
      <c r="E181" s="110">
        <f>D181*C181</f>
        <v>180.2</v>
      </c>
      <c r="F181" s="1"/>
      <c r="G181" s="1"/>
      <c r="H181" s="171"/>
      <c r="I181" s="171"/>
    </row>
    <row r="182" spans="1:9" ht="15.75" x14ac:dyDescent="0.25">
      <c r="A182" s="3" t="s">
        <v>1588</v>
      </c>
      <c r="B182" s="98" t="s">
        <v>1540</v>
      </c>
      <c r="C182" s="2"/>
      <c r="D182" s="6"/>
      <c r="E182" s="39">
        <f>PACKAGING!E12</f>
        <v>50</v>
      </c>
      <c r="F182" s="1"/>
      <c r="G182" s="1"/>
      <c r="H182" s="171"/>
      <c r="I182" s="171"/>
    </row>
    <row r="183" spans="1:9" ht="15.75" x14ac:dyDescent="0.25">
      <c r="A183" s="3" t="s">
        <v>2036</v>
      </c>
      <c r="B183" s="98"/>
      <c r="C183" s="2"/>
      <c r="D183" s="6"/>
      <c r="E183" s="39">
        <v>3</v>
      </c>
      <c r="F183" s="1"/>
      <c r="G183" s="1"/>
      <c r="H183" s="171"/>
      <c r="I183" s="171"/>
    </row>
    <row r="184" spans="1:9" ht="15.75" x14ac:dyDescent="0.25">
      <c r="A184" s="3" t="s">
        <v>1558</v>
      </c>
      <c r="B184" s="98">
        <v>60</v>
      </c>
      <c r="C184" s="2">
        <v>15</v>
      </c>
      <c r="D184" s="66">
        <f>'INSUMOS VARIOS'!B3</f>
        <v>3500</v>
      </c>
      <c r="E184" s="39">
        <f>D184*C184/B184</f>
        <v>875</v>
      </c>
      <c r="F184" s="1"/>
      <c r="G184" s="1"/>
      <c r="H184" s="171"/>
      <c r="I184" s="171"/>
    </row>
    <row r="185" spans="1:9" ht="16.5" thickBot="1" x14ac:dyDescent="0.3">
      <c r="A185" s="79" t="s">
        <v>525</v>
      </c>
      <c r="B185" s="99"/>
      <c r="C185" s="70"/>
      <c r="D185" s="85"/>
      <c r="E185" s="51">
        <f>SUM(E178:E184)</f>
        <v>1556.431</v>
      </c>
      <c r="F185" s="1"/>
      <c r="G185" s="1"/>
      <c r="H185" s="171"/>
      <c r="I185" s="171"/>
    </row>
    <row r="186" spans="1:9" ht="18.75" x14ac:dyDescent="0.25">
      <c r="A186" s="80" t="s">
        <v>544</v>
      </c>
      <c r="B186" s="100"/>
      <c r="C186" s="71"/>
      <c r="D186" s="71"/>
      <c r="E186" s="72">
        <f>E185*2</f>
        <v>3112.8620000000001</v>
      </c>
      <c r="F186" s="512">
        <f>E186+E186*50%</f>
        <v>4669.2929999999997</v>
      </c>
      <c r="G186" s="75">
        <v>2900</v>
      </c>
      <c r="H186" s="171"/>
      <c r="I186" s="171"/>
    </row>
    <row r="187" spans="1:9" ht="19.5" thickBot="1" x14ac:dyDescent="0.3">
      <c r="A187" s="81" t="s">
        <v>1559</v>
      </c>
      <c r="B187" s="101"/>
      <c r="C187" s="73"/>
      <c r="D187" s="73"/>
      <c r="E187" s="73"/>
      <c r="F187" s="522"/>
      <c r="G187" s="74">
        <f>G186*2</f>
        <v>5800</v>
      </c>
      <c r="H187" s="171"/>
      <c r="I187" s="171"/>
    </row>
    <row r="188" spans="1:9" ht="15.75" x14ac:dyDescent="0.25">
      <c r="A188" s="171"/>
      <c r="B188" s="171"/>
      <c r="C188" s="171"/>
      <c r="D188" s="171"/>
      <c r="E188" s="171"/>
      <c r="F188" s="171"/>
      <c r="G188" s="171"/>
      <c r="H188" s="171"/>
      <c r="I188" s="171"/>
    </row>
    <row r="189" spans="1:9" ht="15.75" x14ac:dyDescent="0.25">
      <c r="A189" s="1601" t="s">
        <v>459</v>
      </c>
      <c r="B189" s="1588"/>
      <c r="C189" s="1588"/>
      <c r="D189" s="1588"/>
      <c r="E189" s="1588"/>
      <c r="F189" s="1"/>
      <c r="G189" s="1"/>
      <c r="H189" s="171"/>
      <c r="I189" s="171"/>
    </row>
    <row r="190" spans="1:9" ht="15.75" x14ac:dyDescent="0.25">
      <c r="A190" s="183" t="s">
        <v>916</v>
      </c>
      <c r="B190" s="97" t="s">
        <v>743</v>
      </c>
      <c r="C190" s="76" t="s">
        <v>1547</v>
      </c>
      <c r="D190" s="108" t="s">
        <v>1035</v>
      </c>
      <c r="E190" s="77" t="s">
        <v>1549</v>
      </c>
      <c r="F190" s="1"/>
      <c r="G190" s="1"/>
      <c r="H190" s="171"/>
      <c r="I190" s="171"/>
    </row>
    <row r="191" spans="1:9" ht="15.75" x14ac:dyDescent="0.25">
      <c r="A191" s="1613" t="s">
        <v>2292</v>
      </c>
      <c r="B191" s="2">
        <v>0.27</v>
      </c>
      <c r="C191" s="107">
        <v>2</v>
      </c>
      <c r="D191" s="109">
        <f>'HILOS-CORDONES-TANZA-CUERO'!E5</f>
        <v>50.35</v>
      </c>
      <c r="E191" s="110">
        <f>D191*B191*C191</f>
        <v>27.189000000000004</v>
      </c>
      <c r="F191" s="1"/>
      <c r="G191" s="1"/>
      <c r="H191" s="171"/>
      <c r="I191" s="171"/>
    </row>
    <row r="192" spans="1:9" ht="15.75" x14ac:dyDescent="0.25">
      <c r="A192" s="1615"/>
      <c r="B192" s="2">
        <v>0.12</v>
      </c>
      <c r="C192" s="2">
        <v>1</v>
      </c>
      <c r="D192" s="109">
        <f>D191</f>
        <v>50.35</v>
      </c>
      <c r="E192" s="110">
        <f>D192*B192*C192</f>
        <v>6.0419999999999998</v>
      </c>
      <c r="F192" s="1"/>
      <c r="G192" s="1"/>
      <c r="H192" s="171"/>
      <c r="I192" s="171"/>
    </row>
    <row r="193" spans="1:9" ht="15.75" x14ac:dyDescent="0.25">
      <c r="A193" s="104" t="s">
        <v>2047</v>
      </c>
      <c r="B193" s="98"/>
      <c r="C193" s="2">
        <v>1</v>
      </c>
      <c r="D193" s="109">
        <f>'AROS, CADENAS, DIJES, ETC'!O170</f>
        <v>195</v>
      </c>
      <c r="E193" s="110">
        <f>C193*D193</f>
        <v>195</v>
      </c>
      <c r="F193" s="1"/>
      <c r="G193" s="1"/>
      <c r="H193" s="171"/>
      <c r="I193" s="171"/>
    </row>
    <row r="194" spans="1:9" ht="15.75" x14ac:dyDescent="0.25">
      <c r="A194" s="104" t="s">
        <v>1554</v>
      </c>
      <c r="B194" s="98"/>
      <c r="C194" s="2">
        <v>2</v>
      </c>
      <c r="D194" s="109">
        <f>FORNITURAS!D26</f>
        <v>297.14285714285717</v>
      </c>
      <c r="E194" s="110">
        <f>D194*C194</f>
        <v>594.28571428571433</v>
      </c>
      <c r="F194" s="1"/>
      <c r="G194" s="1"/>
      <c r="H194" s="171"/>
      <c r="I194" s="171"/>
    </row>
    <row r="195" spans="1:9" ht="15.75" x14ac:dyDescent="0.25">
      <c r="A195" s="104" t="s">
        <v>1012</v>
      </c>
      <c r="B195" s="98"/>
      <c r="C195" s="2">
        <v>4</v>
      </c>
      <c r="D195" s="109">
        <f>FORNITURAS!D17</f>
        <v>45.05</v>
      </c>
      <c r="E195" s="110">
        <f>D195*C195</f>
        <v>180.2</v>
      </c>
      <c r="F195" s="1"/>
      <c r="G195" s="1"/>
      <c r="H195" s="171"/>
      <c r="I195" s="171"/>
    </row>
    <row r="196" spans="1:9" ht="15.75" x14ac:dyDescent="0.25">
      <c r="A196" s="3" t="s">
        <v>1588</v>
      </c>
      <c r="B196" s="98" t="s">
        <v>1540</v>
      </c>
      <c r="C196" s="2"/>
      <c r="D196" s="6"/>
      <c r="E196" s="39">
        <f>PACKAGING!E12</f>
        <v>50</v>
      </c>
      <c r="F196" s="1"/>
      <c r="G196" s="1"/>
      <c r="H196" s="171"/>
      <c r="I196" s="171"/>
    </row>
    <row r="197" spans="1:9" ht="15.75" x14ac:dyDescent="0.25">
      <c r="A197" s="3" t="s">
        <v>2036</v>
      </c>
      <c r="B197" s="98"/>
      <c r="C197" s="2"/>
      <c r="D197" s="6"/>
      <c r="E197" s="39">
        <v>3</v>
      </c>
      <c r="F197" s="1"/>
      <c r="G197" s="1"/>
      <c r="H197" s="171"/>
      <c r="I197" s="171"/>
    </row>
    <row r="198" spans="1:9" ht="15.75" x14ac:dyDescent="0.25">
      <c r="A198" s="3" t="s">
        <v>1558</v>
      </c>
      <c r="B198" s="98">
        <v>60</v>
      </c>
      <c r="C198" s="2">
        <v>15</v>
      </c>
      <c r="D198" s="66">
        <f>'INSUMOS VARIOS'!B3</f>
        <v>3500</v>
      </c>
      <c r="E198" s="39">
        <f>D198*C198/B198</f>
        <v>875</v>
      </c>
      <c r="F198" s="1"/>
      <c r="G198" s="1"/>
      <c r="H198" s="171"/>
      <c r="I198" s="171"/>
    </row>
    <row r="199" spans="1:9" ht="16.5" thickBot="1" x14ac:dyDescent="0.3">
      <c r="A199" s="79" t="s">
        <v>525</v>
      </c>
      <c r="B199" s="99"/>
      <c r="C199" s="70"/>
      <c r="D199" s="85"/>
      <c r="E199" s="51">
        <f>SUM(E191:E198)</f>
        <v>1930.7167142857143</v>
      </c>
      <c r="F199" s="1"/>
      <c r="G199" s="1"/>
      <c r="H199" s="171"/>
      <c r="I199" s="171"/>
    </row>
    <row r="200" spans="1:9" ht="18.75" x14ac:dyDescent="0.25">
      <c r="A200" s="80" t="s">
        <v>544</v>
      </c>
      <c r="B200" s="100"/>
      <c r="C200" s="71"/>
      <c r="D200" s="71"/>
      <c r="E200" s="72">
        <f>E199*2</f>
        <v>3861.4334285714285</v>
      </c>
      <c r="F200" s="512">
        <f>E200+E200*50%</f>
        <v>5792.1501428571428</v>
      </c>
      <c r="G200" s="75">
        <v>2900</v>
      </c>
      <c r="H200" s="171"/>
      <c r="I200" s="171"/>
    </row>
    <row r="201" spans="1:9" ht="19.5" thickBot="1" x14ac:dyDescent="0.3">
      <c r="A201" s="81" t="s">
        <v>1559</v>
      </c>
      <c r="B201" s="101"/>
      <c r="C201" s="73"/>
      <c r="D201" s="73"/>
      <c r="E201" s="73"/>
      <c r="F201" s="522"/>
      <c r="G201" s="74">
        <f>G200*2</f>
        <v>5800</v>
      </c>
      <c r="H201" s="171"/>
      <c r="I201" s="171"/>
    </row>
    <row r="203" spans="1:9" ht="15.75" x14ac:dyDescent="0.25">
      <c r="A203" s="1602" t="s">
        <v>460</v>
      </c>
      <c r="B203" s="1600"/>
      <c r="C203" s="1600"/>
      <c r="D203" s="1600"/>
      <c r="E203" s="1600"/>
      <c r="F203" s="63"/>
      <c r="G203" s="585"/>
    </row>
    <row r="204" spans="1:9" ht="15.75" x14ac:dyDescent="0.25">
      <c r="A204" s="554" t="s">
        <v>916</v>
      </c>
      <c r="B204" s="555" t="s">
        <v>743</v>
      </c>
      <c r="C204" s="556" t="s">
        <v>1547</v>
      </c>
      <c r="D204" s="557" t="s">
        <v>1035</v>
      </c>
      <c r="E204" s="558" t="s">
        <v>1549</v>
      </c>
      <c r="F204" s="63"/>
      <c r="G204" s="585"/>
    </row>
    <row r="205" spans="1:9" ht="15.75" x14ac:dyDescent="0.25">
      <c r="A205" s="191" t="s">
        <v>2048</v>
      </c>
      <c r="B205" s="20"/>
      <c r="C205" s="559">
        <v>1</v>
      </c>
      <c r="D205" s="560">
        <f>'AROS, CADENAS, DIJES, ETC'!T12</f>
        <v>820</v>
      </c>
      <c r="E205" s="561">
        <f>C205*D205</f>
        <v>820</v>
      </c>
      <c r="F205" s="63"/>
      <c r="G205" s="585"/>
    </row>
    <row r="206" spans="1:9" ht="15.75" x14ac:dyDescent="0.25">
      <c r="A206" s="189" t="s">
        <v>1557</v>
      </c>
      <c r="B206" s="145"/>
      <c r="C206" s="20"/>
      <c r="D206" s="562"/>
      <c r="E206" s="563">
        <f>PACKAGING!E4</f>
        <v>80</v>
      </c>
      <c r="F206" s="63"/>
      <c r="G206" s="585"/>
    </row>
    <row r="207" spans="1:9" ht="15.75" x14ac:dyDescent="0.25">
      <c r="A207" s="189" t="s">
        <v>1670</v>
      </c>
      <c r="B207" s="145"/>
      <c r="C207" s="20"/>
      <c r="D207" s="562"/>
      <c r="E207" s="563">
        <f>PACKAGING!E8</f>
        <v>420</v>
      </c>
      <c r="F207" s="63"/>
      <c r="G207" s="585"/>
    </row>
    <row r="208" spans="1:9" ht="16.5" thickBot="1" x14ac:dyDescent="0.3">
      <c r="A208" s="565" t="s">
        <v>525</v>
      </c>
      <c r="B208" s="566"/>
      <c r="C208" s="567"/>
      <c r="D208" s="581"/>
      <c r="E208" s="568">
        <f>SUM(E205:E207)</f>
        <v>1320</v>
      </c>
      <c r="F208" s="63"/>
      <c r="G208" s="585"/>
    </row>
    <row r="209" spans="1:9" ht="18.75" x14ac:dyDescent="0.25">
      <c r="A209" s="569" t="s">
        <v>544</v>
      </c>
      <c r="B209" s="570"/>
      <c r="C209" s="570"/>
      <c r="D209" s="571"/>
      <c r="E209" s="582">
        <f>'SALE PULSERAS'!F22*2</f>
        <v>6448.7015384615388</v>
      </c>
      <c r="F209" s="573">
        <f>E209+E209*50%</f>
        <v>9673.0523076923091</v>
      </c>
      <c r="G209" s="583">
        <v>7500</v>
      </c>
    </row>
    <row r="210" spans="1:9" ht="19.5" thickBot="1" x14ac:dyDescent="0.3">
      <c r="A210" s="575" t="s">
        <v>1559</v>
      </c>
      <c r="B210" s="576"/>
      <c r="C210" s="576"/>
      <c r="D210" s="577"/>
      <c r="E210" s="577"/>
      <c r="F210" s="579"/>
      <c r="G210" s="584">
        <f>G209*2</f>
        <v>15000</v>
      </c>
    </row>
    <row r="211" spans="1:9" ht="15.75" x14ac:dyDescent="0.25">
      <c r="A211" s="63"/>
      <c r="B211" s="63"/>
      <c r="C211" s="63"/>
      <c r="D211" s="63"/>
      <c r="E211" s="63"/>
      <c r="F211" s="63"/>
      <c r="G211" s="63"/>
    </row>
    <row r="212" spans="1:9" ht="15.75" x14ac:dyDescent="0.25">
      <c r="A212" s="1601" t="s">
        <v>290</v>
      </c>
      <c r="B212" s="1588"/>
      <c r="C212" s="1588"/>
      <c r="D212" s="1588"/>
      <c r="E212" s="1588"/>
      <c r="F212" s="1"/>
      <c r="G212" s="603"/>
      <c r="H212" s="603"/>
      <c r="I212" s="603"/>
    </row>
    <row r="213" spans="1:9" ht="15.75" x14ac:dyDescent="0.25">
      <c r="A213" s="183" t="s">
        <v>916</v>
      </c>
      <c r="B213" s="97" t="s">
        <v>743</v>
      </c>
      <c r="C213" s="76" t="s">
        <v>1547</v>
      </c>
      <c r="D213" s="108" t="s">
        <v>1035</v>
      </c>
      <c r="E213" s="77" t="s">
        <v>1549</v>
      </c>
      <c r="F213" s="1"/>
      <c r="G213" s="603"/>
      <c r="H213" s="603"/>
      <c r="I213" s="603"/>
    </row>
    <row r="214" spans="1:9" ht="15.75" x14ac:dyDescent="0.25">
      <c r="A214" s="104" t="s">
        <v>1232</v>
      </c>
      <c r="B214" s="2"/>
      <c r="C214" s="107">
        <v>0.25</v>
      </c>
      <c r="D214" s="109">
        <f>'HILOS-CORDONES-TANZA-CUERO'!L9</f>
        <v>30</v>
      </c>
      <c r="E214" s="110">
        <f>D214*C214</f>
        <v>7.5</v>
      </c>
      <c r="F214" s="1"/>
      <c r="G214" s="603"/>
      <c r="H214" s="603"/>
      <c r="I214" s="603"/>
    </row>
    <row r="215" spans="1:9" ht="15.75" x14ac:dyDescent="0.25">
      <c r="A215" s="104" t="s">
        <v>3614</v>
      </c>
      <c r="B215" s="2"/>
      <c r="C215" s="2">
        <v>22</v>
      </c>
      <c r="D215" s="109">
        <f>'PERLAS 2'!H15</f>
        <v>680.16666666666663</v>
      </c>
      <c r="E215" s="110">
        <f>D215*C215</f>
        <v>14963.666666666666</v>
      </c>
      <c r="F215" s="1"/>
      <c r="G215" s="603"/>
      <c r="H215" s="603"/>
      <c r="I215" s="603"/>
    </row>
    <row r="216" spans="1:9" ht="15.75" x14ac:dyDescent="0.25">
      <c r="A216" s="104" t="s">
        <v>1984</v>
      </c>
      <c r="B216" s="98"/>
      <c r="C216" s="2">
        <v>1</v>
      </c>
      <c r="D216" s="109">
        <f>FORNITURAS!D21</f>
        <v>1500</v>
      </c>
      <c r="E216" s="110">
        <f>C216*D216</f>
        <v>1500</v>
      </c>
      <c r="F216" s="1"/>
      <c r="G216" s="603"/>
      <c r="H216" s="603"/>
      <c r="I216" s="603"/>
    </row>
    <row r="217" spans="1:9" ht="15.75" x14ac:dyDescent="0.25">
      <c r="A217" s="104" t="s">
        <v>1012</v>
      </c>
      <c r="B217" s="98"/>
      <c r="C217" s="2">
        <v>2</v>
      </c>
      <c r="D217" s="109">
        <f>FORNITURAS!D17</f>
        <v>45.05</v>
      </c>
      <c r="E217" s="110">
        <f>D217*C217</f>
        <v>90.1</v>
      </c>
      <c r="F217" s="1"/>
      <c r="G217" s="603"/>
      <c r="H217" s="603"/>
      <c r="I217" s="603"/>
    </row>
    <row r="218" spans="1:9" ht="15.75" x14ac:dyDescent="0.25">
      <c r="A218" s="104" t="s">
        <v>2049</v>
      </c>
      <c r="B218" s="98"/>
      <c r="C218" s="2">
        <v>2</v>
      </c>
      <c r="D218" s="109">
        <f>FORNITURAS!D26</f>
        <v>297.14285714285717</v>
      </c>
      <c r="E218" s="110">
        <f>D218*C218</f>
        <v>594.28571428571433</v>
      </c>
      <c r="F218" s="1"/>
      <c r="G218" s="603"/>
      <c r="H218" s="603"/>
      <c r="I218" s="603"/>
    </row>
    <row r="219" spans="1:9" ht="15.75" x14ac:dyDescent="0.25">
      <c r="A219" s="3" t="s">
        <v>1557</v>
      </c>
      <c r="B219" s="98"/>
      <c r="C219" s="2"/>
      <c r="D219" s="6"/>
      <c r="E219" s="39">
        <f>PACKAGING!E4</f>
        <v>80</v>
      </c>
      <c r="F219" s="1"/>
      <c r="G219" s="603"/>
      <c r="H219" s="603"/>
      <c r="I219" s="603"/>
    </row>
    <row r="220" spans="1:9" ht="15.75" x14ac:dyDescent="0.25">
      <c r="A220" s="3" t="s">
        <v>1558</v>
      </c>
      <c r="B220" s="98">
        <v>60</v>
      </c>
      <c r="C220" s="2">
        <v>15</v>
      </c>
      <c r="D220" s="66">
        <f>'INSUMOS VARIOS'!B3</f>
        <v>3500</v>
      </c>
      <c r="E220" s="39">
        <f>D220*C220/B220</f>
        <v>875</v>
      </c>
      <c r="F220" s="658" t="s">
        <v>3023</v>
      </c>
      <c r="G220" s="603"/>
      <c r="H220" s="603"/>
      <c r="I220" s="603"/>
    </row>
    <row r="221" spans="1:9" ht="16.5" thickBot="1" x14ac:dyDescent="0.3">
      <c r="A221" s="79" t="s">
        <v>525</v>
      </c>
      <c r="B221" s="99"/>
      <c r="C221" s="70"/>
      <c r="D221" s="85"/>
      <c r="E221" s="51">
        <f>SUM(E214:E220)</f>
        <v>18110.552380952377</v>
      </c>
      <c r="F221" s="60">
        <f>E221+G222+G223</f>
        <v>21388.552380952377</v>
      </c>
      <c r="G221" s="60" t="s">
        <v>2268</v>
      </c>
      <c r="H221" s="603"/>
      <c r="I221" s="603"/>
    </row>
    <row r="222" spans="1:9" ht="15.75" x14ac:dyDescent="0.25">
      <c r="A222" s="80" t="s">
        <v>544</v>
      </c>
      <c r="B222" s="100"/>
      <c r="C222" s="71"/>
      <c r="D222" s="71"/>
      <c r="E222" s="221">
        <f>E221*2</f>
        <v>36221.104761904753</v>
      </c>
      <c r="F222" s="512">
        <f>E222+E222*50%</f>
        <v>54331.657142857133</v>
      </c>
      <c r="G222" s="680">
        <f>PACKAGING!I3</f>
        <v>2433</v>
      </c>
      <c r="H222" s="681">
        <f>G222+F222+G223</f>
        <v>57609.657142857133</v>
      </c>
      <c r="I222" s="682">
        <v>58000</v>
      </c>
    </row>
    <row r="223" spans="1:9" ht="16.5" thickBot="1" x14ac:dyDescent="0.3">
      <c r="A223" s="81" t="s">
        <v>1559</v>
      </c>
      <c r="B223" s="101"/>
      <c r="C223" s="73"/>
      <c r="D223" s="73"/>
      <c r="E223" s="222"/>
      <c r="F223" s="522"/>
      <c r="G223" s="708">
        <f>PACKAGING!I5</f>
        <v>845</v>
      </c>
      <c r="H223" s="690"/>
      <c r="I223" s="691"/>
    </row>
    <row r="225" spans="1:8" ht="15.75" x14ac:dyDescent="0.25">
      <c r="A225" s="1576" t="s">
        <v>348</v>
      </c>
      <c r="B225" s="1577"/>
      <c r="C225" s="1577"/>
      <c r="D225" s="1577"/>
      <c r="E225" s="1577"/>
      <c r="F225" s="1577"/>
      <c r="G225" s="1"/>
      <c r="H225" s="603"/>
    </row>
    <row r="226" spans="1:8" ht="15.75" x14ac:dyDescent="0.25">
      <c r="A226" s="183" t="s">
        <v>916</v>
      </c>
      <c r="B226" s="97" t="s">
        <v>742</v>
      </c>
      <c r="C226" s="97" t="s">
        <v>1089</v>
      </c>
      <c r="D226" s="76" t="s">
        <v>1547</v>
      </c>
      <c r="E226" s="108" t="s">
        <v>1035</v>
      </c>
      <c r="F226" s="77" t="s">
        <v>1549</v>
      </c>
      <c r="G226" s="1"/>
      <c r="H226" s="603"/>
    </row>
    <row r="227" spans="1:8" ht="15.75" x14ac:dyDescent="0.25">
      <c r="A227" s="1613" t="s">
        <v>1224</v>
      </c>
      <c r="B227" s="2"/>
      <c r="C227" s="190">
        <v>0.32</v>
      </c>
      <c r="D227" s="107">
        <v>1</v>
      </c>
      <c r="E227" s="109">
        <f>'HILOS-CORDONES-TANZA-CUERO'!E5</f>
        <v>50.35</v>
      </c>
      <c r="F227" s="110">
        <f>E227*D227*C227</f>
        <v>16.112000000000002</v>
      </c>
      <c r="G227" s="1"/>
      <c r="H227" s="603"/>
    </row>
    <row r="228" spans="1:8" ht="15.75" x14ac:dyDescent="0.25">
      <c r="A228" s="1615"/>
      <c r="B228" s="2"/>
      <c r="C228" s="2">
        <v>0.12</v>
      </c>
      <c r="D228" s="2">
        <v>1</v>
      </c>
      <c r="E228" s="109">
        <f>E227</f>
        <v>50.35</v>
      </c>
      <c r="F228" s="110">
        <f>E228*D228*C228</f>
        <v>6.0419999999999998</v>
      </c>
      <c r="G228" s="1"/>
      <c r="H228" s="603"/>
    </row>
    <row r="229" spans="1:8" ht="15.75" x14ac:dyDescent="0.25">
      <c r="A229" s="191" t="s">
        <v>2050</v>
      </c>
      <c r="B229" s="98"/>
      <c r="C229" s="98"/>
      <c r="D229" s="2">
        <v>1</v>
      </c>
      <c r="E229" s="109">
        <f>'PALAIS DU BIJOU'!E44</f>
        <v>154.37142857142857</v>
      </c>
      <c r="F229" s="110">
        <f>D229*E229</f>
        <v>154.37142857142857</v>
      </c>
      <c r="G229" s="1"/>
      <c r="H229" s="603"/>
    </row>
    <row r="230" spans="1:8" ht="15.75" x14ac:dyDescent="0.25">
      <c r="A230" s="191" t="s">
        <v>1012</v>
      </c>
      <c r="B230" s="98"/>
      <c r="C230" s="98"/>
      <c r="D230" s="2">
        <v>8</v>
      </c>
      <c r="E230" s="109">
        <f>FORNITURAS!D17</f>
        <v>45.05</v>
      </c>
      <c r="F230" s="110">
        <f>D230*E230</f>
        <v>360.4</v>
      </c>
      <c r="G230" s="1"/>
      <c r="H230" s="603"/>
    </row>
    <row r="231" spans="1:8" ht="15.75" x14ac:dyDescent="0.25">
      <c r="A231" s="191" t="s">
        <v>1697</v>
      </c>
      <c r="B231" s="98" t="s">
        <v>777</v>
      </c>
      <c r="C231" s="98"/>
      <c r="D231" s="2">
        <v>2</v>
      </c>
      <c r="E231" s="109">
        <f>FORNITURAS!D26</f>
        <v>297.14285714285717</v>
      </c>
      <c r="F231" s="110">
        <f>D231*E231</f>
        <v>594.28571428571433</v>
      </c>
      <c r="G231" s="1"/>
      <c r="H231" s="603"/>
    </row>
    <row r="232" spans="1:8" ht="15.75" x14ac:dyDescent="0.25">
      <c r="A232" s="3" t="s">
        <v>1557</v>
      </c>
      <c r="B232" s="98"/>
      <c r="C232" s="98"/>
      <c r="D232" s="2"/>
      <c r="E232" s="6"/>
      <c r="F232" s="39">
        <f>PACKAGING!E12</f>
        <v>50</v>
      </c>
      <c r="G232" s="1"/>
      <c r="H232" s="603"/>
    </row>
    <row r="233" spans="1:8" ht="15.75" x14ac:dyDescent="0.25">
      <c r="A233" s="3" t="s">
        <v>1558</v>
      </c>
      <c r="B233" s="98">
        <v>60</v>
      </c>
      <c r="C233" s="604"/>
      <c r="D233" s="2">
        <v>15</v>
      </c>
      <c r="E233" s="66">
        <f>'INSUMOS VARIOS'!B3</f>
        <v>3500</v>
      </c>
      <c r="F233" s="39">
        <f>E233*D233/B233</f>
        <v>875</v>
      </c>
      <c r="G233" s="1"/>
      <c r="H233" s="603"/>
    </row>
    <row r="234" spans="1:8" ht="16.5" thickBot="1" x14ac:dyDescent="0.3">
      <c r="A234" s="79" t="s">
        <v>525</v>
      </c>
      <c r="B234" s="99"/>
      <c r="C234" s="99"/>
      <c r="D234" s="70"/>
      <c r="E234" s="85"/>
      <c r="F234" s="51">
        <f>SUM(F227:F233)</f>
        <v>2056.2111428571429</v>
      </c>
      <c r="G234" s="1"/>
      <c r="H234" s="603"/>
    </row>
    <row r="235" spans="1:8" ht="18.75" x14ac:dyDescent="0.25">
      <c r="A235" s="80" t="s">
        <v>544</v>
      </c>
      <c r="B235" s="100"/>
      <c r="C235" s="100"/>
      <c r="D235" s="71"/>
      <c r="E235" s="71"/>
      <c r="F235" s="72">
        <f>F234*2</f>
        <v>4112.4222857142859</v>
      </c>
      <c r="G235" s="512">
        <f>F235+F235*50%</f>
        <v>6168.6334285714292</v>
      </c>
      <c r="H235" s="75">
        <v>6500</v>
      </c>
    </row>
    <row r="236" spans="1:8" ht="19.5" thickBot="1" x14ac:dyDescent="0.3">
      <c r="A236" s="81" t="s">
        <v>1559</v>
      </c>
      <c r="B236" s="101"/>
      <c r="C236" s="101"/>
      <c r="D236" s="73"/>
      <c r="E236" s="73"/>
      <c r="F236" s="73"/>
      <c r="G236" s="522"/>
      <c r="H236" s="74">
        <f>H235*2</f>
        <v>13000</v>
      </c>
    </row>
    <row r="238" spans="1:8" ht="15.75" x14ac:dyDescent="0.25">
      <c r="A238" s="1576" t="s">
        <v>435</v>
      </c>
      <c r="B238" s="1577"/>
      <c r="C238" s="1577"/>
      <c r="D238" s="1577"/>
      <c r="E238" s="1577"/>
      <c r="F238" s="1577"/>
      <c r="G238" s="1"/>
      <c r="H238" s="1"/>
    </row>
    <row r="239" spans="1:8" ht="15.75" x14ac:dyDescent="0.25">
      <c r="A239" s="183" t="s">
        <v>916</v>
      </c>
      <c r="B239" s="97" t="s">
        <v>742</v>
      </c>
      <c r="C239" s="97" t="s">
        <v>1089</v>
      </c>
      <c r="D239" s="76" t="s">
        <v>1547</v>
      </c>
      <c r="E239" s="108" t="s">
        <v>1035</v>
      </c>
      <c r="F239" s="77" t="s">
        <v>1549</v>
      </c>
      <c r="G239" s="1"/>
      <c r="H239" s="1"/>
    </row>
    <row r="240" spans="1:8" ht="15.75" x14ac:dyDescent="0.25">
      <c r="A240" s="1613" t="s">
        <v>1224</v>
      </c>
      <c r="B240" s="2"/>
      <c r="C240" s="190">
        <v>0.32</v>
      </c>
      <c r="D240" s="107">
        <v>1</v>
      </c>
      <c r="E240" s="109">
        <f>'HILOS-CORDONES-TANZA-CUERO'!E7</f>
        <v>50.35</v>
      </c>
      <c r="F240" s="110">
        <f>E240*D240*C240</f>
        <v>16.112000000000002</v>
      </c>
      <c r="G240" s="1"/>
      <c r="H240" s="1"/>
    </row>
    <row r="241" spans="1:9" ht="15.75" x14ac:dyDescent="0.25">
      <c r="A241" s="1615"/>
      <c r="B241" s="2"/>
      <c r="C241" s="2">
        <v>0.12</v>
      </c>
      <c r="D241" s="2">
        <v>1</v>
      </c>
      <c r="E241" s="109">
        <f>'HILOS-CORDONES-TANZA-CUERO'!E7</f>
        <v>50.35</v>
      </c>
      <c r="F241" s="110">
        <f>E241*D241*C241</f>
        <v>6.0419999999999998</v>
      </c>
      <c r="G241" s="1"/>
      <c r="H241" s="1"/>
    </row>
    <row r="242" spans="1:9" ht="15.75" x14ac:dyDescent="0.25">
      <c r="A242" s="191" t="s">
        <v>2252</v>
      </c>
      <c r="B242" s="98"/>
      <c r="C242" s="98"/>
      <c r="D242" s="2">
        <v>1</v>
      </c>
      <c r="E242" s="109">
        <f>FORNITURAS!H16</f>
        <v>2310</v>
      </c>
      <c r="F242" s="110">
        <f>D242*E242</f>
        <v>2310</v>
      </c>
      <c r="G242" s="1"/>
      <c r="H242" s="1"/>
    </row>
    <row r="243" spans="1:9" ht="15.75" x14ac:dyDescent="0.25">
      <c r="A243" s="191" t="s">
        <v>1697</v>
      </c>
      <c r="B243" s="98" t="s">
        <v>777</v>
      </c>
      <c r="C243" s="98"/>
      <c r="D243" s="2">
        <v>2</v>
      </c>
      <c r="E243" s="109">
        <f>FORNITURAS!D26</f>
        <v>297.14285714285717</v>
      </c>
      <c r="F243" s="110">
        <f>D243*E243</f>
        <v>594.28571428571433</v>
      </c>
      <c r="G243" s="1"/>
      <c r="H243" s="1"/>
    </row>
    <row r="244" spans="1:9" ht="15.75" x14ac:dyDescent="0.25">
      <c r="A244" s="3" t="s">
        <v>1557</v>
      </c>
      <c r="B244" s="98"/>
      <c r="C244" s="98"/>
      <c r="D244" s="2"/>
      <c r="E244" s="6"/>
      <c r="F244" s="39">
        <f>PACKAGING!E12</f>
        <v>50</v>
      </c>
      <c r="G244" s="1"/>
      <c r="H244" s="1"/>
    </row>
    <row r="245" spans="1:9" ht="15.75" x14ac:dyDescent="0.25">
      <c r="A245" s="3" t="s">
        <v>1558</v>
      </c>
      <c r="B245" s="98">
        <v>60</v>
      </c>
      <c r="C245" s="603"/>
      <c r="D245" s="2">
        <v>10</v>
      </c>
      <c r="E245" s="66">
        <f>'INSUMOS VARIOS'!B3</f>
        <v>3500</v>
      </c>
      <c r="F245" s="39">
        <f>E245*D245/B245</f>
        <v>583.33333333333337</v>
      </c>
      <c r="G245" s="1"/>
      <c r="H245" s="1"/>
    </row>
    <row r="246" spans="1:9" ht="16.5" thickBot="1" x14ac:dyDescent="0.3">
      <c r="A246" s="79" t="s">
        <v>525</v>
      </c>
      <c r="B246" s="99"/>
      <c r="C246" s="99"/>
      <c r="D246" s="70"/>
      <c r="E246" s="85"/>
      <c r="F246" s="51">
        <f>SUM(F240:F245)</f>
        <v>3559.7730476190477</v>
      </c>
      <c r="G246" s="1"/>
      <c r="H246" s="1"/>
    </row>
    <row r="247" spans="1:9" ht="19.5" thickBot="1" x14ac:dyDescent="0.3">
      <c r="A247" s="81" t="s">
        <v>1559</v>
      </c>
      <c r="B247" s="101"/>
      <c r="C247" s="101"/>
      <c r="D247" s="73"/>
      <c r="E247" s="73"/>
      <c r="F247" s="219">
        <f>F246*2</f>
        <v>7119.5460952380954</v>
      </c>
      <c r="G247" s="515">
        <f>F247+F247*70%</f>
        <v>12103.228361904763</v>
      </c>
      <c r="H247" s="530">
        <v>11000</v>
      </c>
    </row>
    <row r="249" spans="1:9" ht="15.75" x14ac:dyDescent="0.25">
      <c r="A249" s="1602" t="s">
        <v>462</v>
      </c>
      <c r="B249" s="1600"/>
      <c r="C249" s="1600"/>
      <c r="D249" s="1600"/>
      <c r="E249" s="1600"/>
      <c r="F249" s="63"/>
      <c r="G249" s="585"/>
      <c r="H249" s="63"/>
      <c r="I249" s="63"/>
    </row>
    <row r="250" spans="1:9" ht="15.75" x14ac:dyDescent="0.25">
      <c r="A250" s="554" t="s">
        <v>916</v>
      </c>
      <c r="B250" s="555" t="s">
        <v>1194</v>
      </c>
      <c r="C250" s="556" t="s">
        <v>1547</v>
      </c>
      <c r="D250" s="557" t="s">
        <v>1035</v>
      </c>
      <c r="E250" s="558" t="s">
        <v>1549</v>
      </c>
      <c r="F250" s="63"/>
      <c r="G250" s="585"/>
      <c r="H250" s="63"/>
      <c r="I250" s="63"/>
    </row>
    <row r="251" spans="1:9" ht="15.75" x14ac:dyDescent="0.25">
      <c r="A251" s="191" t="s">
        <v>2051</v>
      </c>
      <c r="B251" s="202"/>
      <c r="C251" s="559">
        <v>1</v>
      </c>
      <c r="D251" s="560">
        <f>'AROS, CADENAS, DIJES, ETC'!O125</f>
        <v>617</v>
      </c>
      <c r="E251" s="561">
        <f>D251*C251</f>
        <v>617</v>
      </c>
      <c r="F251" s="63"/>
      <c r="G251" s="585"/>
      <c r="H251" s="63"/>
      <c r="I251" s="63"/>
    </row>
    <row r="252" spans="1:9" ht="15.75" x14ac:dyDescent="0.25">
      <c r="A252" s="1701" t="s">
        <v>1224</v>
      </c>
      <c r="B252" s="202"/>
      <c r="C252" s="559">
        <v>0.12</v>
      </c>
      <c r="D252" s="560">
        <f>'HILOS-CORDONES-TANZA-CUERO'!E5</f>
        <v>50.35</v>
      </c>
      <c r="E252" s="561">
        <f>D252*C252</f>
        <v>6.0419999999999998</v>
      </c>
      <c r="F252" s="63"/>
      <c r="G252" s="585"/>
      <c r="H252" s="63"/>
      <c r="I252" s="63"/>
    </row>
    <row r="253" spans="1:9" ht="15.75" x14ac:dyDescent="0.25">
      <c r="A253" s="1702"/>
      <c r="B253" s="202">
        <v>2</v>
      </c>
      <c r="C253" s="20">
        <v>0.26</v>
      </c>
      <c r="D253" s="560">
        <f>D252</f>
        <v>50.35</v>
      </c>
      <c r="E253" s="561">
        <f>D253*C253*B253</f>
        <v>26.182000000000002</v>
      </c>
      <c r="F253" s="63"/>
      <c r="G253" s="585"/>
      <c r="H253" s="63"/>
      <c r="I253" s="63"/>
    </row>
    <row r="254" spans="1:9" ht="15.75" x14ac:dyDescent="0.25">
      <c r="A254" s="189" t="s">
        <v>1557</v>
      </c>
      <c r="B254" s="145"/>
      <c r="C254" s="20"/>
      <c r="D254" s="562"/>
      <c r="E254" s="563">
        <f>PACKAGING!E12</f>
        <v>50</v>
      </c>
      <c r="F254" s="63"/>
      <c r="G254" s="585"/>
      <c r="H254" s="63"/>
      <c r="I254" s="63"/>
    </row>
    <row r="255" spans="1:9" ht="15.75" x14ac:dyDescent="0.25">
      <c r="A255" s="189" t="s">
        <v>1558</v>
      </c>
      <c r="B255" s="145">
        <v>60</v>
      </c>
      <c r="C255" s="20">
        <v>10</v>
      </c>
      <c r="D255" s="564">
        <f>'INSUMOS VARIOS'!B3</f>
        <v>3500</v>
      </c>
      <c r="E255" s="563">
        <f>D255*C255/B255</f>
        <v>583.33333333333337</v>
      </c>
      <c r="F255" s="63"/>
      <c r="G255" s="585"/>
      <c r="H255" s="63"/>
      <c r="I255" s="63"/>
    </row>
    <row r="256" spans="1:9" ht="16.5" thickBot="1" x14ac:dyDescent="0.3">
      <c r="A256" s="565" t="s">
        <v>525</v>
      </c>
      <c r="B256" s="566"/>
      <c r="C256" s="566"/>
      <c r="D256" s="567"/>
      <c r="E256" s="568">
        <f>SUM(E250:E255)</f>
        <v>1282.5573333333334</v>
      </c>
      <c r="F256" s="63"/>
      <c r="G256" s="587"/>
      <c r="H256" s="63"/>
      <c r="I256" s="63"/>
    </row>
    <row r="257" spans="1:9" ht="19.5" thickBot="1" x14ac:dyDescent="0.3">
      <c r="A257" s="81" t="s">
        <v>1559</v>
      </c>
      <c r="B257" s="101"/>
      <c r="C257" s="73"/>
      <c r="D257" s="73"/>
      <c r="E257" s="219">
        <f>E256*2</f>
        <v>2565.1146666666668</v>
      </c>
      <c r="F257" s="610">
        <f>E257+E257*70%</f>
        <v>4360.6949333333332</v>
      </c>
      <c r="G257" s="238">
        <v>5800</v>
      </c>
      <c r="H257" s="63"/>
      <c r="I257" s="63"/>
    </row>
    <row r="258" spans="1:9" ht="15.75" x14ac:dyDescent="0.25">
      <c r="A258" s="63"/>
      <c r="B258" s="63"/>
      <c r="C258" s="63"/>
      <c r="D258" s="63"/>
      <c r="E258" s="63"/>
      <c r="F258" s="63"/>
      <c r="G258" s="63"/>
      <c r="H258" s="63"/>
      <c r="I258" s="63"/>
    </row>
    <row r="259" spans="1:9" ht="15.75" x14ac:dyDescent="0.25">
      <c r="A259" s="1602" t="s">
        <v>461</v>
      </c>
      <c r="B259" s="1600"/>
      <c r="C259" s="1600"/>
      <c r="D259" s="1600"/>
      <c r="E259" s="1600"/>
      <c r="F259" s="1"/>
      <c r="G259" s="1"/>
      <c r="H259" s="63"/>
      <c r="I259" s="63"/>
    </row>
    <row r="260" spans="1:9" ht="15.75" x14ac:dyDescent="0.25">
      <c r="A260" s="183" t="s">
        <v>916</v>
      </c>
      <c r="B260" s="97" t="s">
        <v>743</v>
      </c>
      <c r="C260" s="76" t="s">
        <v>1547</v>
      </c>
      <c r="D260" s="108" t="s">
        <v>1035</v>
      </c>
      <c r="E260" s="77" t="s">
        <v>1549</v>
      </c>
      <c r="F260" s="1"/>
      <c r="G260" s="1"/>
      <c r="H260" s="63"/>
      <c r="I260" s="63"/>
    </row>
    <row r="261" spans="1:9" ht="15.75" x14ac:dyDescent="0.25">
      <c r="A261" s="104" t="s">
        <v>1137</v>
      </c>
      <c r="B261" s="2"/>
      <c r="C261" s="107">
        <v>1</v>
      </c>
      <c r="D261" s="109">
        <f>'AROS, CADENAS, DIJES, ETC'!O129</f>
        <v>1728</v>
      </c>
      <c r="E261" s="110">
        <f>C261*D261</f>
        <v>1728</v>
      </c>
      <c r="F261" s="1"/>
      <c r="G261" s="1"/>
      <c r="H261" s="63"/>
      <c r="I261" s="63"/>
    </row>
    <row r="262" spans="1:9" ht="15.75" x14ac:dyDescent="0.25">
      <c r="A262" s="189" t="s">
        <v>2052</v>
      </c>
      <c r="B262" s="2"/>
      <c r="C262" s="2">
        <v>1</v>
      </c>
      <c r="D262" s="109">
        <v>1515</v>
      </c>
      <c r="E262" s="110">
        <f>C262*D262</f>
        <v>1515</v>
      </c>
      <c r="F262" s="1"/>
      <c r="G262" s="1"/>
      <c r="H262" s="63"/>
      <c r="I262" s="63"/>
    </row>
    <row r="263" spans="1:9" ht="15.75" x14ac:dyDescent="0.25">
      <c r="A263" s="3" t="s">
        <v>1557</v>
      </c>
      <c r="B263" s="98"/>
      <c r="C263" s="2"/>
      <c r="D263" s="6"/>
      <c r="E263" s="39">
        <f>PACKAGING!E4</f>
        <v>80</v>
      </c>
      <c r="F263" s="1"/>
      <c r="G263" s="1"/>
      <c r="H263" s="63"/>
      <c r="I263" s="63"/>
    </row>
    <row r="264" spans="1:9" ht="15.75" x14ac:dyDescent="0.25">
      <c r="A264" s="3" t="s">
        <v>1670</v>
      </c>
      <c r="B264" s="98"/>
      <c r="C264" s="2"/>
      <c r="D264" s="6"/>
      <c r="E264" s="39">
        <f>PACKAGING!E8</f>
        <v>420</v>
      </c>
      <c r="F264" s="1"/>
      <c r="G264" s="1"/>
      <c r="H264" s="63"/>
      <c r="I264" s="63"/>
    </row>
    <row r="265" spans="1:9" ht="15.75" x14ac:dyDescent="0.25">
      <c r="A265" s="3" t="s">
        <v>1558</v>
      </c>
      <c r="B265" s="98">
        <v>60</v>
      </c>
      <c r="C265" s="603">
        <v>2</v>
      </c>
      <c r="D265" s="66">
        <f>'INSUMOS VARIOS'!B3</f>
        <v>3500</v>
      </c>
      <c r="E265" s="39">
        <f>D265*C265/B265</f>
        <v>116.66666666666667</v>
      </c>
      <c r="F265" s="1"/>
      <c r="G265" s="1"/>
      <c r="H265" s="63"/>
      <c r="I265" s="63"/>
    </row>
    <row r="266" spans="1:9" ht="16.5" thickBot="1" x14ac:dyDescent="0.3">
      <c r="A266" s="79" t="s">
        <v>525</v>
      </c>
      <c r="B266" s="99"/>
      <c r="C266" s="70"/>
      <c r="D266" s="85"/>
      <c r="E266" s="51">
        <f>SUM(E261:E265)</f>
        <v>3859.6666666666665</v>
      </c>
      <c r="F266" s="1"/>
      <c r="G266" s="1"/>
      <c r="H266" s="63"/>
      <c r="I266" s="63"/>
    </row>
    <row r="267" spans="1:9" ht="19.5" thickBot="1" x14ac:dyDescent="0.3">
      <c r="A267" s="81" t="s">
        <v>1559</v>
      </c>
      <c r="B267" s="101"/>
      <c r="C267" s="73"/>
      <c r="D267" s="73"/>
      <c r="E267" s="223">
        <f>E266*2</f>
        <v>7719.333333333333</v>
      </c>
      <c r="F267" s="515">
        <f>E267+E267*70%</f>
        <v>13122.866666666665</v>
      </c>
      <c r="G267" s="238">
        <v>17000</v>
      </c>
      <c r="H267" s="63"/>
      <c r="I267" s="63"/>
    </row>
    <row r="268" spans="1:9" ht="16.5" thickBot="1" x14ac:dyDescent="0.3">
      <c r="A268" s="63"/>
      <c r="B268" s="63"/>
      <c r="C268" s="63"/>
      <c r="D268" s="63"/>
      <c r="E268" s="63"/>
      <c r="F268" s="63"/>
      <c r="G268" s="63"/>
      <c r="H268" s="63"/>
      <c r="I268" s="63"/>
    </row>
    <row r="269" spans="1:9" ht="16.5" thickBot="1" x14ac:dyDescent="0.3">
      <c r="A269" s="1565" t="s">
        <v>362</v>
      </c>
      <c r="B269" s="1566"/>
      <c r="C269" s="1566"/>
      <c r="D269" s="1566"/>
      <c r="E269" s="1566"/>
      <c r="F269" s="1566"/>
      <c r="G269" s="1567"/>
      <c r="H269" s="421"/>
      <c r="I269" s="421"/>
    </row>
    <row r="270" spans="1:9" ht="15.75" x14ac:dyDescent="0.25">
      <c r="A270" s="78" t="s">
        <v>916</v>
      </c>
      <c r="B270" s="385" t="s">
        <v>743</v>
      </c>
      <c r="C270" s="385" t="s">
        <v>1716</v>
      </c>
      <c r="D270" s="385" t="s">
        <v>1607</v>
      </c>
      <c r="E270" s="385" t="s">
        <v>1566</v>
      </c>
      <c r="F270" s="82" t="s">
        <v>1035</v>
      </c>
      <c r="G270" s="83" t="s">
        <v>1549</v>
      </c>
      <c r="H270" s="421"/>
      <c r="I270" s="421"/>
    </row>
    <row r="271" spans="1:9" ht="15.75" x14ac:dyDescent="0.25">
      <c r="A271" s="184" t="s">
        <v>2043</v>
      </c>
      <c r="B271" s="98"/>
      <c r="C271" s="98">
        <v>0.37</v>
      </c>
      <c r="D271" s="98">
        <v>0.14499999999999999</v>
      </c>
      <c r="E271" s="98"/>
      <c r="F271" s="102">
        <f>PIEDRAS!E20</f>
        <v>6940</v>
      </c>
      <c r="G271" s="39">
        <f>F271*D271/C271</f>
        <v>2719.7297297297296</v>
      </c>
      <c r="H271" s="1"/>
      <c r="I271" s="421"/>
    </row>
    <row r="272" spans="1:9" ht="15.75" x14ac:dyDescent="0.25">
      <c r="A272" s="184" t="s">
        <v>1555</v>
      </c>
      <c r="B272" s="98" t="s">
        <v>1556</v>
      </c>
      <c r="C272" s="98"/>
      <c r="D272" s="98"/>
      <c r="E272" s="98">
        <v>2</v>
      </c>
      <c r="F272" s="102">
        <f>FORNITURAS!D4</f>
        <v>48.7</v>
      </c>
      <c r="G272" s="39">
        <f>F272*E272</f>
        <v>97.4</v>
      </c>
      <c r="H272" s="1"/>
      <c r="I272" s="421"/>
    </row>
    <row r="273" spans="1:9" ht="15.75" x14ac:dyDescent="0.25">
      <c r="A273" s="184" t="s">
        <v>1554</v>
      </c>
      <c r="B273" s="98" t="s">
        <v>777</v>
      </c>
      <c r="C273" s="98"/>
      <c r="D273" s="98"/>
      <c r="E273" s="98">
        <v>2</v>
      </c>
      <c r="F273" s="102">
        <f>FORNITURAS!D26</f>
        <v>297.14285714285717</v>
      </c>
      <c r="G273" s="39">
        <v>21.2</v>
      </c>
      <c r="H273" s="1"/>
      <c r="I273" s="421"/>
    </row>
    <row r="274" spans="1:9" ht="15.75" x14ac:dyDescent="0.25">
      <c r="A274" s="184" t="s">
        <v>1743</v>
      </c>
      <c r="B274" s="98"/>
      <c r="C274" s="98"/>
      <c r="D274" s="98"/>
      <c r="E274" s="98">
        <v>1</v>
      </c>
      <c r="F274" s="102">
        <f>FORNITURAS!D15</f>
        <v>142</v>
      </c>
      <c r="G274" s="39">
        <f>F274*E274</f>
        <v>142</v>
      </c>
      <c r="H274" s="1"/>
      <c r="I274" s="421"/>
    </row>
    <row r="275" spans="1:9" ht="15.75" x14ac:dyDescent="0.25">
      <c r="A275" s="184" t="s">
        <v>1742</v>
      </c>
      <c r="B275" s="98" t="s">
        <v>1313</v>
      </c>
      <c r="C275" s="98"/>
      <c r="D275" s="98"/>
      <c r="E275" s="98">
        <v>1</v>
      </c>
      <c r="F275" s="102">
        <f>PERLAS!F19</f>
        <v>140.42553191489361</v>
      </c>
      <c r="G275" s="39">
        <f>F275*E275</f>
        <v>140.42553191489361</v>
      </c>
      <c r="H275" s="1"/>
      <c r="I275" s="421"/>
    </row>
    <row r="276" spans="1:9" ht="15.75" x14ac:dyDescent="0.25">
      <c r="A276" s="184" t="s">
        <v>1587</v>
      </c>
      <c r="B276" s="98"/>
      <c r="C276" s="98"/>
      <c r="D276" s="98"/>
      <c r="E276" s="98">
        <v>1</v>
      </c>
      <c r="F276" s="102">
        <f>FORNITURAS!D18</f>
        <v>363</v>
      </c>
      <c r="G276" s="39">
        <f>F276*E276</f>
        <v>363</v>
      </c>
      <c r="H276" s="1"/>
      <c r="I276" s="421"/>
    </row>
    <row r="277" spans="1:9" ht="15.75" x14ac:dyDescent="0.25">
      <c r="A277" s="184" t="s">
        <v>1012</v>
      </c>
      <c r="B277" s="98"/>
      <c r="C277" s="98"/>
      <c r="D277" s="98"/>
      <c r="E277" s="98">
        <v>2</v>
      </c>
      <c r="F277" s="102">
        <f>FORNITURAS!D17</f>
        <v>45.05</v>
      </c>
      <c r="G277" s="39">
        <v>15</v>
      </c>
      <c r="H277" s="1"/>
      <c r="I277" s="421"/>
    </row>
    <row r="278" spans="1:9" ht="15.75" x14ac:dyDescent="0.25">
      <c r="A278" s="184" t="s">
        <v>1424</v>
      </c>
      <c r="B278" s="98"/>
      <c r="C278" s="98"/>
      <c r="D278" s="98">
        <v>0.26</v>
      </c>
      <c r="E278" s="98">
        <v>1</v>
      </c>
      <c r="F278" s="102">
        <f>'HILOS-CORDONES-TANZA-CUERO'!L3</f>
        <v>6.8</v>
      </c>
      <c r="G278" s="39">
        <f>F278*E278*D278</f>
        <v>1.768</v>
      </c>
      <c r="H278" s="1"/>
      <c r="I278" s="421"/>
    </row>
    <row r="279" spans="1:9" ht="15.75" x14ac:dyDescent="0.25">
      <c r="A279" s="184" t="s">
        <v>1608</v>
      </c>
      <c r="B279" s="98"/>
      <c r="C279" s="98"/>
      <c r="D279" s="98"/>
      <c r="E279" s="98">
        <v>3.5000000000000003E-2</v>
      </c>
      <c r="F279" s="102">
        <f>COLLARES!E112</f>
        <v>2000</v>
      </c>
      <c r="G279" s="39">
        <f>F279*E279</f>
        <v>70</v>
      </c>
      <c r="H279" s="1"/>
      <c r="I279" s="421"/>
    </row>
    <row r="280" spans="1:9" ht="15.75" x14ac:dyDescent="0.25">
      <c r="A280" s="3" t="s">
        <v>1557</v>
      </c>
      <c r="B280" s="98"/>
      <c r="C280" s="98"/>
      <c r="D280" s="98"/>
      <c r="E280" s="98"/>
      <c r="F280" s="2"/>
      <c r="G280" s="39">
        <f>PACKAGING!E4</f>
        <v>80</v>
      </c>
      <c r="H280" s="1"/>
      <c r="I280" s="421"/>
    </row>
    <row r="281" spans="1:9" ht="15.75" x14ac:dyDescent="0.25">
      <c r="A281" s="104" t="s">
        <v>1538</v>
      </c>
      <c r="B281" s="98"/>
      <c r="C281" s="98"/>
      <c r="D281" s="98"/>
      <c r="E281" s="98"/>
      <c r="F281" s="2"/>
      <c r="G281" s="39">
        <f>PACKAGING!E8</f>
        <v>420</v>
      </c>
      <c r="H281" s="1"/>
      <c r="I281" s="421"/>
    </row>
    <row r="282" spans="1:9" ht="15.75" x14ac:dyDescent="0.25">
      <c r="A282" s="104" t="s">
        <v>1558</v>
      </c>
      <c r="B282" s="98">
        <v>60</v>
      </c>
      <c r="C282" s="98"/>
      <c r="D282" s="98"/>
      <c r="E282" s="98">
        <v>10</v>
      </c>
      <c r="F282" s="102">
        <f>'INSUMOS VARIOS'!B3</f>
        <v>3500</v>
      </c>
      <c r="G282" s="39">
        <f>F282*E282/B282</f>
        <v>583.33333333333337</v>
      </c>
      <c r="H282" s="1"/>
      <c r="I282" s="421"/>
    </row>
    <row r="283" spans="1:9" ht="16.5" thickBot="1" x14ac:dyDescent="0.3">
      <c r="A283" s="79" t="s">
        <v>525</v>
      </c>
      <c r="B283" s="99"/>
      <c r="C283" s="99"/>
      <c r="D283" s="99"/>
      <c r="E283" s="70"/>
      <c r="F283" s="85"/>
      <c r="G283" s="51">
        <f>SUM(G271:G282)</f>
        <v>4653.8565949779568</v>
      </c>
      <c r="H283" s="603"/>
      <c r="I283" s="603"/>
    </row>
    <row r="284" spans="1:9" ht="18.75" x14ac:dyDescent="0.25">
      <c r="A284" s="80" t="s">
        <v>544</v>
      </c>
      <c r="B284" s="100"/>
      <c r="C284" s="100"/>
      <c r="D284" s="100"/>
      <c r="E284" s="71"/>
      <c r="F284" s="71"/>
      <c r="G284" s="72">
        <f>G283*2</f>
        <v>9307.7131899559135</v>
      </c>
      <c r="H284" s="512">
        <f>G284+G284*50%</f>
        <v>13961.56978493387</v>
      </c>
      <c r="I284" s="75">
        <v>7500</v>
      </c>
    </row>
    <row r="285" spans="1:9" ht="19.5" thickBot="1" x14ac:dyDescent="0.3">
      <c r="A285" s="81" t="s">
        <v>1559</v>
      </c>
      <c r="B285" s="101"/>
      <c r="C285" s="101"/>
      <c r="D285" s="101"/>
      <c r="E285" s="73"/>
      <c r="F285" s="73"/>
      <c r="G285" s="73"/>
      <c r="H285" s="522"/>
      <c r="I285" s="74">
        <f>I284*2</f>
        <v>15000</v>
      </c>
    </row>
    <row r="286" spans="1:9" ht="15.75" x14ac:dyDescent="0.25">
      <c r="A286" s="63"/>
      <c r="B286" s="63"/>
      <c r="C286" s="63"/>
      <c r="D286" s="63"/>
      <c r="E286" s="63"/>
      <c r="F286" s="63"/>
      <c r="G286" s="63"/>
      <c r="H286" s="63"/>
      <c r="I286" s="63"/>
    </row>
    <row r="287" spans="1:9" ht="15.75" x14ac:dyDescent="0.25">
      <c r="A287" s="1576" t="s">
        <v>449</v>
      </c>
      <c r="B287" s="1577"/>
      <c r="C287" s="1577"/>
      <c r="D287" s="1577"/>
      <c r="E287" s="1577"/>
      <c r="F287" s="1577"/>
      <c r="G287" s="1"/>
      <c r="H287" s="1"/>
      <c r="I287" s="63"/>
    </row>
    <row r="288" spans="1:9" ht="15.75" x14ac:dyDescent="0.25">
      <c r="A288" s="183" t="s">
        <v>916</v>
      </c>
      <c r="B288" s="97" t="s">
        <v>742</v>
      </c>
      <c r="C288" s="97" t="s">
        <v>1089</v>
      </c>
      <c r="D288" s="76" t="s">
        <v>1547</v>
      </c>
      <c r="E288" s="108" t="s">
        <v>1035</v>
      </c>
      <c r="F288" s="77" t="s">
        <v>1549</v>
      </c>
      <c r="G288" s="1"/>
      <c r="H288" s="1"/>
      <c r="I288" s="63"/>
    </row>
    <row r="289" spans="1:9" ht="15.75" x14ac:dyDescent="0.25">
      <c r="A289" s="1613" t="s">
        <v>1224</v>
      </c>
      <c r="B289" s="2"/>
      <c r="C289" s="190">
        <v>0.32</v>
      </c>
      <c r="D289" s="107">
        <v>1</v>
      </c>
      <c r="E289" s="109">
        <f>'HILOS-CORDONES-TANZA-CUERO'!E5</f>
        <v>50.35</v>
      </c>
      <c r="F289" s="110">
        <f>E289*D289*C289</f>
        <v>16.112000000000002</v>
      </c>
      <c r="G289" s="1"/>
      <c r="H289" s="1"/>
      <c r="I289" s="63"/>
    </row>
    <row r="290" spans="1:9" ht="15.75" x14ac:dyDescent="0.25">
      <c r="A290" s="1615"/>
      <c r="B290" s="2"/>
      <c r="C290" s="2">
        <v>0.12</v>
      </c>
      <c r="D290" s="2">
        <v>1</v>
      </c>
      <c r="E290" s="109">
        <f>E289</f>
        <v>50.35</v>
      </c>
      <c r="F290" s="110">
        <f>E290*D290*C290</f>
        <v>6.0419999999999998</v>
      </c>
      <c r="G290" s="1"/>
      <c r="H290" s="1"/>
      <c r="I290" s="63"/>
    </row>
    <row r="291" spans="1:9" ht="15.75" x14ac:dyDescent="0.25">
      <c r="A291" s="191" t="s">
        <v>867</v>
      </c>
      <c r="B291" s="98"/>
      <c r="C291" s="98"/>
      <c r="D291" s="2">
        <v>1</v>
      </c>
      <c r="E291" s="109">
        <f>FORNITURAS!H12</f>
        <v>460</v>
      </c>
      <c r="F291" s="110">
        <f>D291*E291</f>
        <v>460</v>
      </c>
      <c r="G291" s="1"/>
      <c r="H291" s="1"/>
      <c r="I291" s="63"/>
    </row>
    <row r="292" spans="1:9" ht="15.75" x14ac:dyDescent="0.25">
      <c r="A292" s="191" t="s">
        <v>1697</v>
      </c>
      <c r="B292" s="98" t="s">
        <v>777</v>
      </c>
      <c r="C292" s="98"/>
      <c r="D292" s="2">
        <v>2</v>
      </c>
      <c r="E292" s="109">
        <f>FORNITURAS!D26</f>
        <v>297.14285714285717</v>
      </c>
      <c r="F292" s="110">
        <f>D292*E292</f>
        <v>594.28571428571433</v>
      </c>
      <c r="G292" s="1"/>
      <c r="H292" s="1"/>
      <c r="I292" s="63"/>
    </row>
    <row r="293" spans="1:9" ht="15.75" x14ac:dyDescent="0.25">
      <c r="A293" s="3" t="s">
        <v>1557</v>
      </c>
      <c r="B293" s="98"/>
      <c r="C293" s="98"/>
      <c r="D293" s="2"/>
      <c r="E293" s="6"/>
      <c r="F293" s="39">
        <f>PACKAGING!E12</f>
        <v>50</v>
      </c>
      <c r="G293" s="1"/>
      <c r="H293" s="1"/>
      <c r="I293" s="63"/>
    </row>
    <row r="294" spans="1:9" ht="15.75" x14ac:dyDescent="0.25">
      <c r="A294" s="3" t="s">
        <v>1558</v>
      </c>
      <c r="B294" s="98">
        <v>60</v>
      </c>
      <c r="C294" s="603"/>
      <c r="D294" s="2">
        <v>15</v>
      </c>
      <c r="E294" s="66">
        <f>'INSUMOS VARIOS'!B3</f>
        <v>3500</v>
      </c>
      <c r="F294" s="39">
        <f>E294*D294/B294</f>
        <v>875</v>
      </c>
      <c r="G294" s="1"/>
      <c r="H294" s="1"/>
      <c r="I294" s="63"/>
    </row>
    <row r="295" spans="1:9" ht="16.5" thickBot="1" x14ac:dyDescent="0.3">
      <c r="A295" s="79" t="s">
        <v>525</v>
      </c>
      <c r="B295" s="99"/>
      <c r="C295" s="99"/>
      <c r="D295" s="70"/>
      <c r="E295" s="85"/>
      <c r="F295" s="51">
        <f>SUM(F289:F294)</f>
        <v>2001.4397142857142</v>
      </c>
      <c r="G295" s="1"/>
      <c r="H295" s="1"/>
      <c r="I295" s="63"/>
    </row>
    <row r="296" spans="1:9" ht="18.75" x14ac:dyDescent="0.25">
      <c r="A296" s="80" t="s">
        <v>544</v>
      </c>
      <c r="B296" s="100"/>
      <c r="C296" s="100"/>
      <c r="D296" s="71"/>
      <c r="E296" s="71"/>
      <c r="F296" s="72">
        <f>F295*2</f>
        <v>4002.8794285714284</v>
      </c>
      <c r="G296" s="606">
        <f>F296+F296*50%</f>
        <v>6004.3191428571427</v>
      </c>
      <c r="H296" s="75">
        <v>3100</v>
      </c>
      <c r="I296" s="63"/>
    </row>
    <row r="297" spans="1:9" ht="19.5" thickBot="1" x14ac:dyDescent="0.3">
      <c r="A297" s="81" t="s">
        <v>1559</v>
      </c>
      <c r="B297" s="101"/>
      <c r="C297" s="101"/>
      <c r="D297" s="73"/>
      <c r="E297" s="73"/>
      <c r="F297" s="73"/>
      <c r="G297" s="607"/>
      <c r="H297" s="74">
        <f>H296*2</f>
        <v>6200</v>
      </c>
      <c r="I297" s="63"/>
    </row>
    <row r="298" spans="1:9" ht="15.75" x14ac:dyDescent="0.25">
      <c r="A298" s="63"/>
      <c r="B298" s="63"/>
      <c r="C298" s="63"/>
      <c r="D298" s="63"/>
      <c r="E298" s="63"/>
      <c r="F298" s="63"/>
      <c r="G298" s="63"/>
      <c r="H298" s="63"/>
      <c r="I298" s="63"/>
    </row>
    <row r="299" spans="1:9" ht="15.75" x14ac:dyDescent="0.25">
      <c r="A299" s="1601" t="s">
        <v>286</v>
      </c>
      <c r="B299" s="1588"/>
      <c r="C299" s="1588"/>
      <c r="D299" s="1588"/>
      <c r="E299" s="1588"/>
      <c r="F299" s="1"/>
      <c r="G299" s="171"/>
      <c r="H299" s="63"/>
      <c r="I299" s="63"/>
    </row>
    <row r="300" spans="1:9" ht="15.75" x14ac:dyDescent="0.25">
      <c r="A300" s="183" t="s">
        <v>916</v>
      </c>
      <c r="B300" s="76" t="s">
        <v>2031</v>
      </c>
      <c r="C300" s="76" t="s">
        <v>1089</v>
      </c>
      <c r="D300" s="108" t="s">
        <v>2032</v>
      </c>
      <c r="E300" s="77" t="s">
        <v>1549</v>
      </c>
      <c r="F300" s="1"/>
      <c r="G300" s="171"/>
      <c r="H300" s="63"/>
      <c r="I300" s="63"/>
    </row>
    <row r="301" spans="1:9" ht="15.75" x14ac:dyDescent="0.25">
      <c r="A301" s="3" t="s">
        <v>885</v>
      </c>
      <c r="B301" s="186">
        <v>0.5</v>
      </c>
      <c r="C301" s="2">
        <v>0.18</v>
      </c>
      <c r="D301" s="66">
        <f>'AROS, CADENAS, DIJES, ETC'!I56</f>
        <v>2614</v>
      </c>
      <c r="E301" s="39">
        <f>D301*C301/B301</f>
        <v>941.04</v>
      </c>
      <c r="F301" s="1"/>
      <c r="G301" s="171"/>
      <c r="H301" s="63"/>
      <c r="I301" s="63"/>
    </row>
    <row r="302" spans="1:9" ht="15.75" x14ac:dyDescent="0.25">
      <c r="A302" s="3" t="s">
        <v>1587</v>
      </c>
      <c r="B302" s="186"/>
      <c r="C302" s="2">
        <v>1</v>
      </c>
      <c r="D302" s="66">
        <f>FORNITURAS!D18</f>
        <v>363</v>
      </c>
      <c r="E302" s="39">
        <f>D302*C302</f>
        <v>363</v>
      </c>
      <c r="F302" s="1"/>
      <c r="G302" s="171"/>
      <c r="H302" s="63"/>
      <c r="I302" s="63"/>
    </row>
    <row r="303" spans="1:9" ht="15.75" x14ac:dyDescent="0.25">
      <c r="A303" s="191" t="s">
        <v>1555</v>
      </c>
      <c r="B303" s="98" t="s">
        <v>1933</v>
      </c>
      <c r="C303" s="2">
        <v>1</v>
      </c>
      <c r="D303" s="109">
        <f>FORNITURAS!D5</f>
        <v>46.8</v>
      </c>
      <c r="E303" s="110">
        <f>C303*D303</f>
        <v>46.8</v>
      </c>
      <c r="F303" s="1"/>
      <c r="G303" s="1"/>
      <c r="H303" s="63"/>
      <c r="I303" s="63"/>
    </row>
    <row r="304" spans="1:9" ht="15.75" x14ac:dyDescent="0.25">
      <c r="A304" s="3" t="s">
        <v>1588</v>
      </c>
      <c r="B304" s="98"/>
      <c r="C304" s="2"/>
      <c r="D304" s="6"/>
      <c r="E304" s="39">
        <f>PACKAGING!E4</f>
        <v>80</v>
      </c>
      <c r="F304" s="1"/>
      <c r="G304" s="171"/>
      <c r="H304" s="63"/>
      <c r="I304" s="63"/>
    </row>
    <row r="305" spans="1:9" ht="15.75" x14ac:dyDescent="0.25">
      <c r="A305" s="3" t="s">
        <v>1538</v>
      </c>
      <c r="B305" s="98"/>
      <c r="C305" s="2"/>
      <c r="D305" s="6"/>
      <c r="E305" s="39">
        <f>PACKAGING!E8</f>
        <v>420</v>
      </c>
      <c r="F305" s="1"/>
      <c r="G305" s="171"/>
      <c r="H305" s="63"/>
      <c r="I305" s="63"/>
    </row>
    <row r="306" spans="1:9" ht="15.75" x14ac:dyDescent="0.25">
      <c r="A306" s="3" t="s">
        <v>1558</v>
      </c>
      <c r="B306" s="98">
        <v>60</v>
      </c>
      <c r="C306" s="98">
        <v>10</v>
      </c>
      <c r="D306" s="102">
        <f>'INSUMOS VARIOS'!B3</f>
        <v>3500</v>
      </c>
      <c r="E306" s="39">
        <f>D306*C306/B306</f>
        <v>583.33333333333337</v>
      </c>
      <c r="F306" s="1"/>
      <c r="G306" s="171"/>
      <c r="H306" s="63"/>
      <c r="I306" s="63"/>
    </row>
    <row r="307" spans="1:9" ht="16.5" thickBot="1" x14ac:dyDescent="0.3">
      <c r="A307" s="79" t="s">
        <v>525</v>
      </c>
      <c r="B307" s="99"/>
      <c r="C307" s="70"/>
      <c r="D307" s="85"/>
      <c r="E307" s="51">
        <f>SUM(E301:E306)</f>
        <v>2434.1733333333332</v>
      </c>
      <c r="F307" s="1"/>
      <c r="G307" s="171"/>
      <c r="H307" s="63"/>
      <c r="I307" s="63"/>
    </row>
    <row r="308" spans="1:9" ht="18.75" x14ac:dyDescent="0.25">
      <c r="A308" s="80" t="s">
        <v>544</v>
      </c>
      <c r="B308" s="100"/>
      <c r="C308" s="71"/>
      <c r="D308" s="71"/>
      <c r="E308" s="72">
        <f>E307*2</f>
        <v>4868.3466666666664</v>
      </c>
      <c r="F308" s="512">
        <f>E308+E308*50%</f>
        <v>7302.5199999999995</v>
      </c>
      <c r="G308" s="75">
        <v>7000</v>
      </c>
      <c r="H308" s="63"/>
      <c r="I308" s="63"/>
    </row>
    <row r="309" spans="1:9" ht="19.5" thickBot="1" x14ac:dyDescent="0.3">
      <c r="A309" s="81" t="s">
        <v>1559</v>
      </c>
      <c r="B309" s="101"/>
      <c r="C309" s="73"/>
      <c r="D309" s="73"/>
      <c r="E309" s="73"/>
      <c r="F309" s="528"/>
      <c r="G309" s="74">
        <f>G308*2</f>
        <v>14000</v>
      </c>
      <c r="H309" s="63"/>
      <c r="I309" s="63"/>
    </row>
    <row r="311" spans="1:9" ht="15.75" x14ac:dyDescent="0.25">
      <c r="A311" s="1576" t="s">
        <v>450</v>
      </c>
      <c r="B311" s="1577"/>
      <c r="C311" s="1577"/>
      <c r="D311" s="1577"/>
      <c r="E311" s="1577"/>
      <c r="F311" s="1577"/>
      <c r="G311" s="1"/>
      <c r="H311" s="603"/>
    </row>
    <row r="312" spans="1:9" ht="15.75" x14ac:dyDescent="0.25">
      <c r="A312" s="183" t="s">
        <v>916</v>
      </c>
      <c r="B312" s="97" t="s">
        <v>1194</v>
      </c>
      <c r="C312" s="97" t="s">
        <v>1089</v>
      </c>
      <c r="D312" s="76" t="s">
        <v>1547</v>
      </c>
      <c r="E312" s="108" t="s">
        <v>1035</v>
      </c>
      <c r="F312" s="77" t="s">
        <v>1549</v>
      </c>
      <c r="G312" s="1"/>
      <c r="H312" s="603"/>
    </row>
    <row r="313" spans="1:9" ht="15.75" x14ac:dyDescent="0.25">
      <c r="A313" s="104" t="s">
        <v>1644</v>
      </c>
      <c r="B313" s="148"/>
      <c r="C313" s="2"/>
      <c r="D313" s="107">
        <v>42</v>
      </c>
      <c r="E313" s="109">
        <f>VIDRIOS!E44</f>
        <v>20.833333333333332</v>
      </c>
      <c r="F313" s="110">
        <f>E313*D313</f>
        <v>875</v>
      </c>
      <c r="G313" s="1"/>
      <c r="H313" s="603"/>
    </row>
    <row r="314" spans="1:9" ht="15.75" x14ac:dyDescent="0.25">
      <c r="A314" s="104" t="s">
        <v>1701</v>
      </c>
      <c r="B314" s="148"/>
      <c r="C314" s="2"/>
      <c r="D314" s="107">
        <v>1</v>
      </c>
      <c r="E314" s="109">
        <f>'PALAIS DU BIJOU'!E45</f>
        <v>200.11111111111111</v>
      </c>
      <c r="F314" s="110">
        <f>E314*D314</f>
        <v>200.11111111111111</v>
      </c>
      <c r="G314" s="1"/>
      <c r="H314" s="603"/>
    </row>
    <row r="315" spans="1:9" ht="15.75" x14ac:dyDescent="0.25">
      <c r="A315" s="104" t="s">
        <v>2168</v>
      </c>
      <c r="B315" s="148"/>
      <c r="C315" s="2"/>
      <c r="D315" s="107">
        <v>1</v>
      </c>
      <c r="E315" s="109">
        <f>'PALAIS DU BIJOU'!E47</f>
        <v>95</v>
      </c>
      <c r="F315" s="110">
        <f>E315*D315</f>
        <v>95</v>
      </c>
      <c r="G315" s="1"/>
      <c r="H315" s="603"/>
    </row>
    <row r="316" spans="1:9" ht="15.75" x14ac:dyDescent="0.25">
      <c r="A316" s="104" t="s">
        <v>1554</v>
      </c>
      <c r="B316" s="148" t="s">
        <v>777</v>
      </c>
      <c r="C316" s="2"/>
      <c r="D316" s="107">
        <v>2</v>
      </c>
      <c r="E316" s="109">
        <f>FORNITURAS!D26</f>
        <v>297.14285714285717</v>
      </c>
      <c r="F316" s="110">
        <f>D316*E316</f>
        <v>594.28571428571433</v>
      </c>
      <c r="G316" s="1"/>
      <c r="H316" s="603"/>
    </row>
    <row r="317" spans="1:9" ht="15.75" x14ac:dyDescent="0.25">
      <c r="A317" s="104" t="s">
        <v>2176</v>
      </c>
      <c r="B317" s="148"/>
      <c r="C317" s="98"/>
      <c r="D317" s="2">
        <v>0.28000000000000003</v>
      </c>
      <c r="E317" s="109">
        <f>'HILOS-CORDONES-TANZA-CUERO'!L6</f>
        <v>8</v>
      </c>
      <c r="F317" s="110">
        <f>E317*D317</f>
        <v>2.2400000000000002</v>
      </c>
      <c r="G317" s="1"/>
      <c r="H317" s="603"/>
    </row>
    <row r="318" spans="1:9" ht="15.75" x14ac:dyDescent="0.25">
      <c r="A318" s="3" t="s">
        <v>1557</v>
      </c>
      <c r="B318" s="98"/>
      <c r="C318" s="98"/>
      <c r="D318" s="2"/>
      <c r="E318" s="6"/>
      <c r="F318" s="39">
        <f>PACKAGING!E3</f>
        <v>150</v>
      </c>
      <c r="G318" s="1"/>
      <c r="H318" s="603"/>
    </row>
    <row r="319" spans="1:9" ht="18.75" x14ac:dyDescent="0.25">
      <c r="A319" s="3" t="s">
        <v>1558</v>
      </c>
      <c r="B319" s="98">
        <v>60</v>
      </c>
      <c r="C319" s="604"/>
      <c r="D319" s="2">
        <v>15</v>
      </c>
      <c r="E319" s="66">
        <f>'INSUMOS VARIOS'!B3</f>
        <v>3500</v>
      </c>
      <c r="F319" s="39">
        <f>D319*E319/B319</f>
        <v>875</v>
      </c>
      <c r="G319" s="96"/>
      <c r="H319" s="603"/>
    </row>
    <row r="320" spans="1:9" ht="16.5" thickBot="1" x14ac:dyDescent="0.3">
      <c r="A320" s="79" t="s">
        <v>525</v>
      </c>
      <c r="B320" s="99"/>
      <c r="C320" s="99"/>
      <c r="D320" s="70"/>
      <c r="E320" s="85"/>
      <c r="F320" s="51">
        <f>SUM(F313:F319)</f>
        <v>2791.6368253968258</v>
      </c>
      <c r="G320" s="1"/>
      <c r="H320" s="603"/>
    </row>
    <row r="321" spans="1:9" ht="18.75" x14ac:dyDescent="0.25">
      <c r="A321" s="80" t="s">
        <v>544</v>
      </c>
      <c r="B321" s="100"/>
      <c r="C321" s="100"/>
      <c r="D321" s="71"/>
      <c r="E321" s="71"/>
      <c r="F321" s="72">
        <f>F320*2</f>
        <v>5583.2736507936515</v>
      </c>
      <c r="G321" s="512">
        <f>F321+F321*50%</f>
        <v>8374.9104761904782</v>
      </c>
      <c r="H321" s="75">
        <v>3200</v>
      </c>
    </row>
    <row r="322" spans="1:9" ht="19.5" thickBot="1" x14ac:dyDescent="0.3">
      <c r="A322" s="81" t="s">
        <v>1559</v>
      </c>
      <c r="B322" s="101"/>
      <c r="C322" s="101"/>
      <c r="D322" s="73"/>
      <c r="E322" s="73"/>
      <c r="F322" s="73"/>
      <c r="G322" s="522"/>
      <c r="H322" s="74">
        <f>H321*2</f>
        <v>6400</v>
      </c>
    </row>
    <row r="324" spans="1:9" ht="15.75" x14ac:dyDescent="0.25">
      <c r="A324" s="1602" t="s">
        <v>2293</v>
      </c>
      <c r="B324" s="1600"/>
      <c r="C324" s="1600"/>
      <c r="D324" s="1600"/>
      <c r="E324" s="1600"/>
      <c r="F324" s="1"/>
      <c r="G324" s="1"/>
    </row>
    <row r="325" spans="1:9" ht="15.75" x14ac:dyDescent="0.25">
      <c r="A325" s="183" t="s">
        <v>916</v>
      </c>
      <c r="B325" s="97" t="s">
        <v>743</v>
      </c>
      <c r="C325" s="76" t="s">
        <v>1547</v>
      </c>
      <c r="D325" s="108" t="s">
        <v>1035</v>
      </c>
      <c r="E325" s="77" t="s">
        <v>1549</v>
      </c>
      <c r="F325" s="1"/>
      <c r="G325" s="1"/>
    </row>
    <row r="326" spans="1:9" ht="15.75" x14ac:dyDescent="0.25">
      <c r="A326" s="104" t="s">
        <v>2293</v>
      </c>
      <c r="B326" s="2"/>
      <c r="C326" s="107">
        <v>1</v>
      </c>
      <c r="D326" s="109">
        <f>'AROS, CADENAS, DIJES, ETC'!O167</f>
        <v>620</v>
      </c>
      <c r="E326" s="110">
        <f>C326*D326</f>
        <v>620</v>
      </c>
      <c r="F326" s="1"/>
      <c r="G326" s="1"/>
    </row>
    <row r="327" spans="1:9" ht="15.75" x14ac:dyDescent="0.25">
      <c r="A327" s="189" t="s">
        <v>2294</v>
      </c>
      <c r="B327" s="2"/>
      <c r="C327" s="2">
        <v>1</v>
      </c>
      <c r="D327" s="109">
        <f>'AROS, CADENAS, DIJES, ETC'!T5</f>
        <v>3590</v>
      </c>
      <c r="E327" s="110">
        <f>C327*D327</f>
        <v>3590</v>
      </c>
      <c r="F327" s="1"/>
      <c r="G327" s="1"/>
    </row>
    <row r="328" spans="1:9" ht="15.75" x14ac:dyDescent="0.25">
      <c r="A328" s="3" t="s">
        <v>1557</v>
      </c>
      <c r="B328" s="98"/>
      <c r="C328" s="2"/>
      <c r="D328" s="6"/>
      <c r="E328" s="39">
        <f>PACKAGING!E3</f>
        <v>150</v>
      </c>
      <c r="F328" s="1"/>
      <c r="G328" s="1"/>
    </row>
    <row r="329" spans="1:9" ht="15.75" x14ac:dyDescent="0.25">
      <c r="A329" s="3" t="s">
        <v>1670</v>
      </c>
      <c r="B329" s="98"/>
      <c r="C329" s="2"/>
      <c r="D329" s="6"/>
      <c r="E329" s="39">
        <f>PACKAGING!E8</f>
        <v>420</v>
      </c>
      <c r="F329" s="1"/>
      <c r="G329" s="1"/>
    </row>
    <row r="330" spans="1:9" ht="15.75" x14ac:dyDescent="0.25">
      <c r="A330" s="3" t="s">
        <v>1558</v>
      </c>
      <c r="B330" s="98">
        <v>60</v>
      </c>
      <c r="C330" s="603">
        <v>2</v>
      </c>
      <c r="D330" s="66">
        <f>'INSUMOS VARIOS'!B3</f>
        <v>3500</v>
      </c>
      <c r="E330" s="39">
        <f>D330*C330/B330</f>
        <v>116.66666666666667</v>
      </c>
      <c r="F330" s="1"/>
      <c r="G330" s="1"/>
    </row>
    <row r="331" spans="1:9" ht="16.5" thickBot="1" x14ac:dyDescent="0.3">
      <c r="A331" s="79" t="s">
        <v>525</v>
      </c>
      <c r="B331" s="99"/>
      <c r="C331" s="70"/>
      <c r="D331" s="85"/>
      <c r="E331" s="51">
        <f>SUM(E326:E330)</f>
        <v>4896.666666666667</v>
      </c>
      <c r="F331" s="1"/>
      <c r="G331" s="1"/>
    </row>
    <row r="332" spans="1:9" ht="19.5" thickBot="1" x14ac:dyDescent="0.3">
      <c r="A332" s="81" t="s">
        <v>1559</v>
      </c>
      <c r="B332" s="101"/>
      <c r="C332" s="73"/>
      <c r="D332" s="73"/>
      <c r="E332" s="223">
        <f>E331*2</f>
        <v>9793.3333333333339</v>
      </c>
      <c r="F332" s="515">
        <f>E332+E332*70%</f>
        <v>16648.666666666668</v>
      </c>
      <c r="G332" s="238">
        <v>11000</v>
      </c>
    </row>
    <row r="335" spans="1:9" ht="15.75" x14ac:dyDescent="0.25">
      <c r="A335" s="1602" t="s">
        <v>3083</v>
      </c>
      <c r="B335" s="1600"/>
      <c r="C335" s="1600"/>
      <c r="D335" s="1600"/>
      <c r="E335" s="1600"/>
      <c r="F335" s="171"/>
      <c r="G335" s="171"/>
      <c r="H335" s="653"/>
      <c r="I335" s="653"/>
    </row>
    <row r="336" spans="1:9" ht="15.75" x14ac:dyDescent="0.25">
      <c r="A336" s="183" t="s">
        <v>916</v>
      </c>
      <c r="B336" s="97" t="s">
        <v>743</v>
      </c>
      <c r="C336" s="76" t="s">
        <v>1547</v>
      </c>
      <c r="D336" s="108" t="s">
        <v>747</v>
      </c>
      <c r="E336" s="77" t="s">
        <v>1549</v>
      </c>
      <c r="F336" s="1"/>
      <c r="G336" s="1"/>
      <c r="H336" s="653"/>
      <c r="I336" s="653"/>
    </row>
    <row r="337" spans="1:9" ht="15.75" x14ac:dyDescent="0.25">
      <c r="A337" s="3" t="s">
        <v>57</v>
      </c>
      <c r="B337" s="98"/>
      <c r="C337" s="2">
        <v>1</v>
      </c>
      <c r="D337" s="66">
        <v>16000</v>
      </c>
      <c r="E337" s="39">
        <f>D337</f>
        <v>16000</v>
      </c>
      <c r="F337" s="1"/>
      <c r="G337" s="1"/>
      <c r="H337" s="653"/>
      <c r="I337" s="653"/>
    </row>
    <row r="338" spans="1:9" ht="15.75" x14ac:dyDescent="0.25">
      <c r="A338" s="20" t="s">
        <v>1557</v>
      </c>
      <c r="B338" s="98" t="s">
        <v>1535</v>
      </c>
      <c r="C338" s="2"/>
      <c r="D338" s="6"/>
      <c r="E338" s="39">
        <f>PACKAGING!E3</f>
        <v>150</v>
      </c>
      <c r="F338" s="658" t="s">
        <v>3023</v>
      </c>
      <c r="G338" s="653"/>
      <c r="H338" s="653"/>
      <c r="I338" s="653"/>
    </row>
    <row r="339" spans="1:9" ht="16.5" thickBot="1" x14ac:dyDescent="0.3">
      <c r="A339" s="79" t="s">
        <v>525</v>
      </c>
      <c r="B339" s="99"/>
      <c r="C339" s="70"/>
      <c r="D339" s="85"/>
      <c r="E339" s="51">
        <f>SUM(E337:E338)</f>
        <v>16150</v>
      </c>
      <c r="F339" s="698">
        <f>E339+G340+G341</f>
        <v>16995</v>
      </c>
      <c r="G339" s="658" t="s">
        <v>2028</v>
      </c>
      <c r="H339" s="658" t="s">
        <v>2029</v>
      </c>
      <c r="I339" s="653"/>
    </row>
    <row r="340" spans="1:9" ht="15.75" x14ac:dyDescent="0.25">
      <c r="A340" s="80" t="s">
        <v>544</v>
      </c>
      <c r="B340" s="100"/>
      <c r="C340" s="71"/>
      <c r="D340" s="71"/>
      <c r="E340" s="72">
        <f>E339*2</f>
        <v>32300</v>
      </c>
      <c r="F340" s="679">
        <f>E340+E340*50%</f>
        <v>48450</v>
      </c>
      <c r="G340" s="680"/>
      <c r="H340" s="681">
        <f>G340+F340+G341</f>
        <v>49295</v>
      </c>
      <c r="I340" s="682">
        <v>52000</v>
      </c>
    </row>
    <row r="341" spans="1:9" ht="16.5" thickBot="1" x14ac:dyDescent="0.3">
      <c r="A341" s="81" t="s">
        <v>1559</v>
      </c>
      <c r="B341" s="101"/>
      <c r="C341" s="73"/>
      <c r="D341" s="73"/>
      <c r="E341" s="73"/>
      <c r="F341" s="688"/>
      <c r="G341" s="689">
        <f>PACKAGING!I5</f>
        <v>845</v>
      </c>
      <c r="H341" s="690"/>
      <c r="I341" s="691"/>
    </row>
    <row r="343" spans="1:9" ht="15.75" x14ac:dyDescent="0.25">
      <c r="A343" s="1576" t="s">
        <v>2289</v>
      </c>
      <c r="B343" s="1577"/>
      <c r="C343" s="1577"/>
      <c r="D343" s="1577"/>
      <c r="E343" s="1577"/>
      <c r="F343" s="1577"/>
      <c r="G343" s="1"/>
      <c r="H343" s="603"/>
    </row>
    <row r="344" spans="1:9" ht="15.75" x14ac:dyDescent="0.25">
      <c r="A344" s="1130" t="s">
        <v>916</v>
      </c>
      <c r="B344" s="97" t="s">
        <v>1194</v>
      </c>
      <c r="C344" s="97" t="s">
        <v>1089</v>
      </c>
      <c r="D344" s="76" t="s">
        <v>1547</v>
      </c>
      <c r="E344" s="108" t="s">
        <v>1035</v>
      </c>
      <c r="F344" s="77" t="s">
        <v>1549</v>
      </c>
      <c r="G344" s="1"/>
      <c r="H344" s="603"/>
    </row>
    <row r="345" spans="1:9" ht="15.75" x14ac:dyDescent="0.25">
      <c r="A345" s="2" t="s">
        <v>3053</v>
      </c>
      <c r="B345" s="148"/>
      <c r="C345" s="2"/>
      <c r="D345" s="107">
        <v>55</v>
      </c>
      <c r="E345" s="109">
        <f>PIEDRAS!F14</f>
        <v>38.863636363636367</v>
      </c>
      <c r="F345" s="110">
        <f>E345*D345</f>
        <v>2137.5</v>
      </c>
      <c r="G345" s="1"/>
      <c r="H345" s="603"/>
    </row>
    <row r="346" spans="1:9" ht="15.75" x14ac:dyDescent="0.25">
      <c r="A346" s="104" t="s">
        <v>3054</v>
      </c>
      <c r="B346" s="148" t="s">
        <v>777</v>
      </c>
      <c r="C346" s="2"/>
      <c r="D346" s="107">
        <v>1</v>
      </c>
      <c r="E346" s="109">
        <f>FORNITURAS!I6</f>
        <v>155.52941176470588</v>
      </c>
      <c r="F346" s="110">
        <f>D346*E346</f>
        <v>155.52941176470588</v>
      </c>
      <c r="G346" s="1"/>
      <c r="H346" s="603"/>
    </row>
    <row r="347" spans="1:9" ht="15.75" x14ac:dyDescent="0.25">
      <c r="A347" s="104" t="s">
        <v>2176</v>
      </c>
      <c r="B347" s="148"/>
      <c r="C347" s="98"/>
      <c r="D347" s="2">
        <v>0.28000000000000003</v>
      </c>
      <c r="E347" s="109">
        <f>'HILOS-CORDONES-TANZA-CUERO'!L6</f>
        <v>8</v>
      </c>
      <c r="F347" s="110">
        <f>E347*D347</f>
        <v>2.2400000000000002</v>
      </c>
      <c r="G347" s="1"/>
      <c r="H347" s="603"/>
    </row>
    <row r="348" spans="1:9" ht="15.75" x14ac:dyDescent="0.25">
      <c r="A348" s="3" t="s">
        <v>1557</v>
      </c>
      <c r="B348" s="98"/>
      <c r="C348" s="98"/>
      <c r="D348" s="2"/>
      <c r="E348" s="6"/>
      <c r="F348" s="39">
        <f>PACKAGING!E3</f>
        <v>150</v>
      </c>
      <c r="G348" s="1"/>
      <c r="H348" s="603"/>
    </row>
    <row r="349" spans="1:9" ht="18.75" x14ac:dyDescent="0.25">
      <c r="A349" s="3" t="s">
        <v>1558</v>
      </c>
      <c r="B349" s="98">
        <v>60</v>
      </c>
      <c r="C349" s="604"/>
      <c r="D349" s="2">
        <v>15</v>
      </c>
      <c r="E349" s="66">
        <f>'INSUMOS VARIOS'!B3</f>
        <v>3500</v>
      </c>
      <c r="F349" s="39">
        <f>D349*E349/B349</f>
        <v>875</v>
      </c>
      <c r="G349" s="96"/>
      <c r="H349" s="603"/>
    </row>
    <row r="350" spans="1:9" ht="16.5" thickBot="1" x14ac:dyDescent="0.3">
      <c r="A350" s="79" t="s">
        <v>525</v>
      </c>
      <c r="B350" s="99"/>
      <c r="C350" s="99"/>
      <c r="D350" s="70"/>
      <c r="E350" s="85"/>
      <c r="F350" s="51">
        <f>SUM(F345:F349)</f>
        <v>3320.2694117647056</v>
      </c>
      <c r="G350" s="1"/>
      <c r="H350" s="603"/>
    </row>
    <row r="351" spans="1:9" ht="18.75" x14ac:dyDescent="0.25">
      <c r="A351" s="80" t="s">
        <v>544</v>
      </c>
      <c r="B351" s="100"/>
      <c r="C351" s="100"/>
      <c r="D351" s="71"/>
      <c r="E351" s="71"/>
      <c r="F351" s="72">
        <f>F350*2</f>
        <v>6640.5388235294113</v>
      </c>
      <c r="G351" s="512">
        <f>F351+F351*50%</f>
        <v>9960.8082352941165</v>
      </c>
      <c r="H351" s="75">
        <v>8000</v>
      </c>
    </row>
    <row r="352" spans="1:9" ht="19.5" thickBot="1" x14ac:dyDescent="0.3">
      <c r="A352" s="81" t="s">
        <v>1559</v>
      </c>
      <c r="B352" s="101"/>
      <c r="C352" s="101"/>
      <c r="D352" s="73"/>
      <c r="E352" s="73"/>
      <c r="F352" s="73"/>
      <c r="G352" s="522"/>
      <c r="H352" s="74">
        <f>H351*2</f>
        <v>16000</v>
      </c>
    </row>
    <row r="354" spans="1:8" ht="15.75" x14ac:dyDescent="0.25">
      <c r="A354" s="1576" t="s">
        <v>413</v>
      </c>
      <c r="B354" s="1577"/>
      <c r="C354" s="1577"/>
      <c r="D354" s="1577"/>
      <c r="E354" s="1577"/>
      <c r="F354" s="1577"/>
      <c r="G354" s="1"/>
      <c r="H354" s="603"/>
    </row>
    <row r="355" spans="1:8" ht="15.75" x14ac:dyDescent="0.25">
      <c r="A355" s="1130" t="s">
        <v>916</v>
      </c>
      <c r="B355" s="97" t="s">
        <v>1194</v>
      </c>
      <c r="C355" s="97" t="s">
        <v>1089</v>
      </c>
      <c r="D355" s="76" t="s">
        <v>1547</v>
      </c>
      <c r="E355" s="108" t="s">
        <v>1035</v>
      </c>
      <c r="F355" s="77" t="s">
        <v>1549</v>
      </c>
      <c r="G355" s="1"/>
      <c r="H355" s="603"/>
    </row>
    <row r="356" spans="1:8" ht="15.75" x14ac:dyDescent="0.25">
      <c r="A356" s="2" t="s">
        <v>3095</v>
      </c>
      <c r="B356" s="148"/>
      <c r="C356" s="2"/>
      <c r="D356" s="107">
        <v>14</v>
      </c>
      <c r="E356" s="109">
        <f>PERLAS!F35</f>
        <v>76.428571428571431</v>
      </c>
      <c r="F356" s="110">
        <f>E356*D356</f>
        <v>1070</v>
      </c>
      <c r="G356" s="1"/>
      <c r="H356" s="603"/>
    </row>
    <row r="357" spans="1:8" ht="15.75" x14ac:dyDescent="0.25">
      <c r="A357" s="2" t="s">
        <v>3048</v>
      </c>
      <c r="B357" s="148"/>
      <c r="C357" s="2"/>
      <c r="D357" s="107">
        <v>14</v>
      </c>
      <c r="E357" s="109">
        <f>VIDRIOS!L53</f>
        <v>54.615384615384613</v>
      </c>
      <c r="F357" s="110">
        <f>E357*D357</f>
        <v>764.61538461538453</v>
      </c>
      <c r="G357" s="1"/>
      <c r="H357" s="603"/>
    </row>
    <row r="358" spans="1:8" ht="15.75" x14ac:dyDescent="0.25">
      <c r="A358" s="104" t="s">
        <v>3054</v>
      </c>
      <c r="B358" s="148" t="s">
        <v>846</v>
      </c>
      <c r="C358" s="2"/>
      <c r="D358" s="107">
        <v>1</v>
      </c>
      <c r="E358" s="109">
        <f>FORNITURAS!I6</f>
        <v>155.52941176470588</v>
      </c>
      <c r="F358" s="110">
        <f>D358*E358</f>
        <v>155.52941176470588</v>
      </c>
      <c r="G358" s="1"/>
      <c r="H358" s="603"/>
    </row>
    <row r="359" spans="1:8" ht="15.75" x14ac:dyDescent="0.25">
      <c r="A359" s="104" t="s">
        <v>2176</v>
      </c>
      <c r="B359" s="148"/>
      <c r="C359" s="98"/>
      <c r="D359" s="2">
        <v>0.28000000000000003</v>
      </c>
      <c r="E359" s="109">
        <f>'HILOS-CORDONES-TANZA-CUERO'!L6</f>
        <v>8</v>
      </c>
      <c r="F359" s="110">
        <f>E359*D359</f>
        <v>2.2400000000000002</v>
      </c>
      <c r="G359" s="1"/>
      <c r="H359" s="603"/>
    </row>
    <row r="360" spans="1:8" ht="15.75" x14ac:dyDescent="0.25">
      <c r="A360" s="3" t="s">
        <v>1557</v>
      </c>
      <c r="B360" s="98"/>
      <c r="C360" s="98"/>
      <c r="D360" s="2">
        <v>1</v>
      </c>
      <c r="E360" s="6"/>
      <c r="F360" s="39">
        <f>PACKAGING!E3</f>
        <v>150</v>
      </c>
      <c r="G360" s="1"/>
      <c r="H360" s="603"/>
    </row>
    <row r="361" spans="1:8" ht="15.75" x14ac:dyDescent="0.25">
      <c r="A361" s="3" t="s">
        <v>3100</v>
      </c>
      <c r="B361" s="98"/>
      <c r="C361" s="98"/>
      <c r="D361" s="2">
        <v>1</v>
      </c>
      <c r="E361" s="6"/>
      <c r="F361" s="39">
        <f>PACKAGING!E8</f>
        <v>420</v>
      </c>
      <c r="G361" s="1"/>
      <c r="H361" s="603"/>
    </row>
    <row r="362" spans="1:8" ht="18.75" x14ac:dyDescent="0.25">
      <c r="A362" s="3" t="s">
        <v>1558</v>
      </c>
      <c r="B362" s="98">
        <v>60</v>
      </c>
      <c r="C362" s="604"/>
      <c r="D362" s="2">
        <v>15</v>
      </c>
      <c r="E362" s="66">
        <f>'INSUMOS VARIOS'!B3</f>
        <v>3500</v>
      </c>
      <c r="F362" s="39">
        <f>D362*E362/B362</f>
        <v>875</v>
      </c>
      <c r="G362" s="96"/>
      <c r="H362" s="603"/>
    </row>
    <row r="363" spans="1:8" ht="16.5" thickBot="1" x14ac:dyDescent="0.3">
      <c r="A363" s="79" t="s">
        <v>525</v>
      </c>
      <c r="B363" s="99"/>
      <c r="C363" s="99"/>
      <c r="D363" s="70"/>
      <c r="E363" s="85"/>
      <c r="F363" s="51">
        <f>SUM(F356:F362)</f>
        <v>3437.3847963800904</v>
      </c>
      <c r="G363" s="1"/>
      <c r="H363" s="603"/>
    </row>
    <row r="364" spans="1:8" ht="18.75" x14ac:dyDescent="0.25">
      <c r="A364" s="80" t="s">
        <v>544</v>
      </c>
      <c r="B364" s="100"/>
      <c r="C364" s="100"/>
      <c r="D364" s="71"/>
      <c r="E364" s="71"/>
      <c r="F364" s="72">
        <f>F363*2</f>
        <v>6874.7695927601808</v>
      </c>
      <c r="G364" s="512">
        <f>F364+F364*50%</f>
        <v>10312.154389140271</v>
      </c>
      <c r="H364" s="75">
        <v>8500</v>
      </c>
    </row>
    <row r="365" spans="1:8" ht="19.5" thickBot="1" x14ac:dyDescent="0.3">
      <c r="A365" s="81" t="s">
        <v>1559</v>
      </c>
      <c r="B365" s="101"/>
      <c r="C365" s="101"/>
      <c r="D365" s="73"/>
      <c r="E365" s="73"/>
      <c r="F365" s="73"/>
      <c r="G365" s="522"/>
      <c r="H365" s="74">
        <f>H364*2</f>
        <v>17000</v>
      </c>
    </row>
    <row r="369" spans="1:8" ht="15.75" x14ac:dyDescent="0.25">
      <c r="A369" s="1576" t="s">
        <v>3121</v>
      </c>
      <c r="B369" s="1577"/>
      <c r="C369" s="1577"/>
      <c r="D369" s="1577"/>
      <c r="E369" s="1577"/>
      <c r="F369" s="1577"/>
      <c r="G369" s="1"/>
      <c r="H369" s="603"/>
    </row>
    <row r="370" spans="1:8" ht="15.75" x14ac:dyDescent="0.25">
      <c r="A370" s="183" t="s">
        <v>916</v>
      </c>
      <c r="B370" s="97" t="s">
        <v>1194</v>
      </c>
      <c r="C370" s="97" t="s">
        <v>1089</v>
      </c>
      <c r="D370" s="76" t="s">
        <v>1547</v>
      </c>
      <c r="E370" s="108" t="s">
        <v>1035</v>
      </c>
      <c r="F370" s="77" t="s">
        <v>1549</v>
      </c>
      <c r="G370" s="1"/>
      <c r="H370" s="603"/>
    </row>
    <row r="371" spans="1:8" ht="15.75" x14ac:dyDescent="0.25">
      <c r="A371" s="104" t="s">
        <v>1552</v>
      </c>
      <c r="B371" s="148"/>
      <c r="C371" s="2">
        <v>0.39</v>
      </c>
      <c r="D371" s="107">
        <v>0.15</v>
      </c>
      <c r="E371" s="109">
        <f>'INSUMOS VARIOS'!M53</f>
        <v>160.4</v>
      </c>
      <c r="F371" s="110">
        <f>E371*D371/C371</f>
        <v>61.692307692307686</v>
      </c>
      <c r="G371" s="1"/>
      <c r="H371" s="603"/>
    </row>
    <row r="372" spans="1:8" ht="15.75" x14ac:dyDescent="0.25">
      <c r="A372" s="104" t="s">
        <v>3120</v>
      </c>
      <c r="B372" s="148"/>
      <c r="C372" s="2"/>
      <c r="D372" s="107">
        <v>1</v>
      </c>
      <c r="E372" s="109">
        <f>'INSUMOS VARIOS'!K42</f>
        <v>44.375</v>
      </c>
      <c r="F372" s="110">
        <f>E372</f>
        <v>44.375</v>
      </c>
      <c r="G372" s="1"/>
      <c r="H372" s="603"/>
    </row>
    <row r="373" spans="1:8" ht="15.75" x14ac:dyDescent="0.25">
      <c r="A373" s="104" t="s">
        <v>1554</v>
      </c>
      <c r="B373" s="148" t="s">
        <v>777</v>
      </c>
      <c r="C373" s="2"/>
      <c r="D373" s="107">
        <v>2</v>
      </c>
      <c r="E373" s="109">
        <f>FORNITURAS!D26</f>
        <v>297.14285714285717</v>
      </c>
      <c r="F373" s="110">
        <f>D373*E373</f>
        <v>594.28571428571433</v>
      </c>
      <c r="G373" s="1"/>
      <c r="H373" s="603"/>
    </row>
    <row r="374" spans="1:8" ht="15.75" x14ac:dyDescent="0.25">
      <c r="A374" s="104" t="s">
        <v>2176</v>
      </c>
      <c r="B374" s="148"/>
      <c r="C374" s="98"/>
      <c r="D374" s="2">
        <v>0.28000000000000003</v>
      </c>
      <c r="E374" s="109">
        <f>'HILOS-CORDONES-TANZA-CUERO'!L6</f>
        <v>8</v>
      </c>
      <c r="F374" s="110">
        <f>E374*D374</f>
        <v>2.2400000000000002</v>
      </c>
      <c r="G374" s="1"/>
      <c r="H374" s="603"/>
    </row>
    <row r="375" spans="1:8" ht="15.75" x14ac:dyDescent="0.25">
      <c r="A375" s="3" t="s">
        <v>1557</v>
      </c>
      <c r="B375" s="98"/>
      <c r="C375" s="98"/>
      <c r="D375" s="2"/>
      <c r="E375" s="6"/>
      <c r="F375" s="39">
        <f>PACKAGING!E3</f>
        <v>150</v>
      </c>
      <c r="G375" s="1"/>
      <c r="H375" s="603"/>
    </row>
    <row r="376" spans="1:8" ht="18.75" x14ac:dyDescent="0.25">
      <c r="A376" s="3" t="s">
        <v>1558</v>
      </c>
      <c r="B376" s="98">
        <v>60</v>
      </c>
      <c r="C376" s="604"/>
      <c r="D376" s="2">
        <v>15</v>
      </c>
      <c r="E376" s="66">
        <f>'INSUMOS VARIOS'!B3</f>
        <v>3500</v>
      </c>
      <c r="F376" s="39">
        <f>D376*E376/B376</f>
        <v>875</v>
      </c>
      <c r="G376" s="96"/>
      <c r="H376" s="603"/>
    </row>
    <row r="377" spans="1:8" ht="16.5" thickBot="1" x14ac:dyDescent="0.3">
      <c r="A377" s="79" t="s">
        <v>525</v>
      </c>
      <c r="B377" s="99"/>
      <c r="C377" s="99"/>
      <c r="D377" s="70"/>
      <c r="E377" s="85"/>
      <c r="F377" s="51">
        <f>SUM(F371:F376)</f>
        <v>1727.5930219780221</v>
      </c>
      <c r="G377" s="1"/>
      <c r="H377" s="603"/>
    </row>
    <row r="378" spans="1:8" ht="18.75" x14ac:dyDescent="0.25">
      <c r="A378" s="80" t="s">
        <v>544</v>
      </c>
      <c r="B378" s="100"/>
      <c r="C378" s="100"/>
      <c r="D378" s="71"/>
      <c r="E378" s="71"/>
      <c r="F378" s="72">
        <f>F377*2</f>
        <v>3455.1860439560442</v>
      </c>
      <c r="G378" s="512">
        <f>F378+F378*50%</f>
        <v>5182.7790659340662</v>
      </c>
      <c r="H378" s="75">
        <v>1600</v>
      </c>
    </row>
    <row r="379" spans="1:8" ht="19.5" thickBot="1" x14ac:dyDescent="0.3">
      <c r="A379" s="81" t="s">
        <v>1559</v>
      </c>
      <c r="B379" s="101"/>
      <c r="C379" s="101"/>
      <c r="D379" s="73"/>
      <c r="E379" s="73"/>
      <c r="F379" s="73"/>
      <c r="G379" s="522"/>
      <c r="H379" s="74">
        <f>H378*2</f>
        <v>3200</v>
      </c>
    </row>
    <row r="380" spans="1:8" ht="15.75" thickBot="1" x14ac:dyDescent="0.3"/>
    <row r="381" spans="1:8" ht="16.5" thickBot="1" x14ac:dyDescent="0.3">
      <c r="A381" s="1716" t="s">
        <v>101</v>
      </c>
      <c r="B381" s="1717"/>
      <c r="C381" s="1717"/>
      <c r="D381" s="1717"/>
      <c r="E381" s="1717"/>
      <c r="F381" s="1298"/>
      <c r="G381" s="171"/>
    </row>
    <row r="382" spans="1:8" ht="15.75" x14ac:dyDescent="0.25">
      <c r="A382" s="183" t="s">
        <v>916</v>
      </c>
      <c r="B382" s="76" t="s">
        <v>2031</v>
      </c>
      <c r="C382" s="76" t="s">
        <v>1089</v>
      </c>
      <c r="D382" s="108" t="s">
        <v>2032</v>
      </c>
      <c r="E382" s="77" t="s">
        <v>1549</v>
      </c>
      <c r="F382" s="1"/>
      <c r="G382" s="171"/>
    </row>
    <row r="383" spans="1:8" ht="15.75" x14ac:dyDescent="0.25">
      <c r="A383" s="3" t="s">
        <v>3154</v>
      </c>
      <c r="B383" s="186">
        <v>0.18</v>
      </c>
      <c r="C383" s="2">
        <v>0.18</v>
      </c>
      <c r="D383" s="66">
        <f>'AROS, CADENAS, DIJES, ETC'!V15</f>
        <v>7577</v>
      </c>
      <c r="E383" s="39">
        <f>D383*C383/B383</f>
        <v>7577</v>
      </c>
      <c r="F383" s="1"/>
      <c r="G383" s="171"/>
    </row>
    <row r="384" spans="1:8" ht="15.75" x14ac:dyDescent="0.25">
      <c r="A384" s="3" t="s">
        <v>1587</v>
      </c>
      <c r="B384" s="186"/>
      <c r="C384" s="2">
        <v>1</v>
      </c>
      <c r="D384" s="66">
        <f>FORNITURAS!D18</f>
        <v>363</v>
      </c>
      <c r="E384" s="39">
        <f>D384*C384</f>
        <v>363</v>
      </c>
      <c r="F384" s="1"/>
      <c r="G384" s="171"/>
    </row>
    <row r="385" spans="1:7" ht="15.75" x14ac:dyDescent="0.25">
      <c r="A385" s="3" t="s">
        <v>1588</v>
      </c>
      <c r="B385" s="98"/>
      <c r="C385" s="2"/>
      <c r="D385" s="6"/>
      <c r="E385" s="39">
        <f>PACKAGING!E3</f>
        <v>150</v>
      </c>
      <c r="F385" s="1"/>
      <c r="G385" s="1"/>
    </row>
    <row r="386" spans="1:7" ht="15.75" x14ac:dyDescent="0.25">
      <c r="A386" s="3" t="s">
        <v>1538</v>
      </c>
      <c r="B386" s="98"/>
      <c r="C386" s="2"/>
      <c r="D386" s="6"/>
      <c r="E386" s="39">
        <f>PACKAGING!E8</f>
        <v>420</v>
      </c>
      <c r="F386" s="1"/>
      <c r="G386" s="171"/>
    </row>
    <row r="387" spans="1:7" ht="15.75" x14ac:dyDescent="0.25">
      <c r="A387" s="3" t="s">
        <v>1558</v>
      </c>
      <c r="B387" s="98">
        <v>60</v>
      </c>
      <c r="C387" s="98">
        <v>10</v>
      </c>
      <c r="D387" s="102">
        <f>'INSUMOS VARIOS'!B3</f>
        <v>3500</v>
      </c>
      <c r="E387" s="39">
        <f>D387*C387/B387</f>
        <v>583.33333333333337</v>
      </c>
      <c r="F387" s="1"/>
      <c r="G387" s="171"/>
    </row>
    <row r="388" spans="1:7" ht="16.5" thickBot="1" x14ac:dyDescent="0.3">
      <c r="A388" s="79" t="s">
        <v>525</v>
      </c>
      <c r="B388" s="99"/>
      <c r="C388" s="70"/>
      <c r="D388" s="85"/>
      <c r="E388" s="51">
        <f>SUM(E383:E387)</f>
        <v>9093.3333333333339</v>
      </c>
      <c r="F388" s="1"/>
      <c r="G388" s="171"/>
    </row>
    <row r="389" spans="1:7" ht="18.75" x14ac:dyDescent="0.25">
      <c r="A389" s="80" t="s">
        <v>544</v>
      </c>
      <c r="B389" s="100"/>
      <c r="C389" s="71"/>
      <c r="D389" s="71"/>
      <c r="E389" s="72">
        <f>E388*2</f>
        <v>18186.666666666668</v>
      </c>
      <c r="F389" s="512">
        <f>E389+E389*50%</f>
        <v>27280</v>
      </c>
      <c r="G389" s="75">
        <v>28000</v>
      </c>
    </row>
    <row r="390" spans="1:7" ht="19.5" thickBot="1" x14ac:dyDescent="0.3">
      <c r="A390" s="81" t="s">
        <v>1559</v>
      </c>
      <c r="B390" s="101"/>
      <c r="C390" s="73"/>
      <c r="D390" s="73"/>
      <c r="E390" s="73"/>
      <c r="F390" s="528"/>
      <c r="G390" s="74"/>
    </row>
    <row r="393" spans="1:7" ht="15.75" x14ac:dyDescent="0.25">
      <c r="A393" s="1601" t="s">
        <v>3155</v>
      </c>
      <c r="B393" s="1588"/>
      <c r="C393" s="1588"/>
      <c r="D393" s="1588"/>
      <c r="E393" s="1588"/>
      <c r="F393" s="1"/>
      <c r="G393" s="171"/>
    </row>
    <row r="394" spans="1:7" ht="15.75" x14ac:dyDescent="0.25">
      <c r="A394" s="183" t="s">
        <v>916</v>
      </c>
      <c r="B394" s="76" t="s">
        <v>2031</v>
      </c>
      <c r="C394" s="76" t="s">
        <v>1089</v>
      </c>
      <c r="D394" s="108" t="s">
        <v>2032</v>
      </c>
      <c r="E394" s="77" t="s">
        <v>1549</v>
      </c>
      <c r="F394" s="1"/>
      <c r="G394" s="171"/>
    </row>
    <row r="395" spans="1:7" ht="15.75" x14ac:dyDescent="0.25">
      <c r="A395" s="3" t="s">
        <v>3107</v>
      </c>
      <c r="B395" s="186">
        <v>0.55000000000000004</v>
      </c>
      <c r="C395" s="2">
        <v>0.18</v>
      </c>
      <c r="D395" s="66">
        <f>'AROS, CADENAS, DIJES, ETC'!K63</f>
        <v>6442</v>
      </c>
      <c r="E395" s="39">
        <f>D395*C395/B395</f>
        <v>2108.2909090909088</v>
      </c>
      <c r="F395" s="1"/>
      <c r="G395" s="171"/>
    </row>
    <row r="396" spans="1:7" ht="15.75" x14ac:dyDescent="0.25">
      <c r="A396" s="3" t="s">
        <v>1587</v>
      </c>
      <c r="B396" s="186"/>
      <c r="C396" s="2">
        <v>1</v>
      </c>
      <c r="D396" s="66">
        <f>FORNITURAS!D18</f>
        <v>363</v>
      </c>
      <c r="E396" s="39">
        <f>D396*C396</f>
        <v>363</v>
      </c>
      <c r="F396" s="1"/>
      <c r="G396" s="171"/>
    </row>
    <row r="397" spans="1:7" ht="15.75" x14ac:dyDescent="0.25">
      <c r="A397" s="3" t="s">
        <v>1588</v>
      </c>
      <c r="B397" s="98"/>
      <c r="C397" s="2"/>
      <c r="D397" s="6"/>
      <c r="E397" s="39">
        <f>PACKAGING!E3</f>
        <v>150</v>
      </c>
      <c r="F397" s="1"/>
      <c r="G397" s="1"/>
    </row>
    <row r="398" spans="1:7" ht="15.75" x14ac:dyDescent="0.25">
      <c r="A398" s="3" t="s">
        <v>1538</v>
      </c>
      <c r="B398" s="98"/>
      <c r="C398" s="2"/>
      <c r="D398" s="6"/>
      <c r="E398" s="39">
        <f>PACKAGING!E8</f>
        <v>420</v>
      </c>
      <c r="F398" s="1"/>
      <c r="G398" s="171"/>
    </row>
    <row r="399" spans="1:7" ht="15.75" x14ac:dyDescent="0.25">
      <c r="A399" s="3" t="s">
        <v>1558</v>
      </c>
      <c r="B399" s="98">
        <v>60</v>
      </c>
      <c r="C399" s="98">
        <v>10</v>
      </c>
      <c r="D399" s="102">
        <f>'INSUMOS VARIOS'!B3</f>
        <v>3500</v>
      </c>
      <c r="E399" s="39">
        <f>D399*C399/B399</f>
        <v>583.33333333333337</v>
      </c>
      <c r="F399" s="1"/>
      <c r="G399" s="171"/>
    </row>
    <row r="400" spans="1:7" ht="16.5" thickBot="1" x14ac:dyDescent="0.3">
      <c r="A400" s="79" t="s">
        <v>525</v>
      </c>
      <c r="B400" s="99"/>
      <c r="C400" s="70"/>
      <c r="D400" s="85"/>
      <c r="E400" s="51">
        <f>SUM(E395:E399)</f>
        <v>3624.6242424242423</v>
      </c>
      <c r="F400" s="1"/>
      <c r="G400" s="171"/>
    </row>
    <row r="401" spans="1:8" ht="18.75" x14ac:dyDescent="0.25">
      <c r="A401" s="80" t="s">
        <v>544</v>
      </c>
      <c r="B401" s="100"/>
      <c r="C401" s="71"/>
      <c r="D401" s="71"/>
      <c r="E401" s="72">
        <f>E400*2</f>
        <v>7249.2484848484846</v>
      </c>
      <c r="F401" s="512">
        <f>E401+E401*50%</f>
        <v>10873.872727272726</v>
      </c>
      <c r="G401" s="75">
        <v>7000</v>
      </c>
    </row>
    <row r="402" spans="1:8" ht="19.5" thickBot="1" x14ac:dyDescent="0.3">
      <c r="A402" s="81" t="s">
        <v>1559</v>
      </c>
      <c r="B402" s="101"/>
      <c r="C402" s="73"/>
      <c r="D402" s="73"/>
      <c r="E402" s="73"/>
      <c r="F402" s="528"/>
      <c r="G402" s="74">
        <f>G401*2</f>
        <v>14000</v>
      </c>
    </row>
    <row r="404" spans="1:8" ht="15.75" x14ac:dyDescent="0.25">
      <c r="A404" s="1576" t="s">
        <v>162</v>
      </c>
      <c r="B404" s="1577"/>
      <c r="C404" s="1577"/>
      <c r="D404" s="1577"/>
      <c r="E404" s="1577"/>
      <c r="F404" s="1577"/>
      <c r="G404" s="1"/>
      <c r="H404" s="603"/>
    </row>
    <row r="405" spans="1:8" ht="15.75" x14ac:dyDescent="0.25">
      <c r="A405" s="1130" t="s">
        <v>916</v>
      </c>
      <c r="B405" s="97" t="s">
        <v>1194</v>
      </c>
      <c r="C405" s="97" t="s">
        <v>1089</v>
      </c>
      <c r="D405" s="76" t="s">
        <v>1547</v>
      </c>
      <c r="E405" s="108" t="s">
        <v>1035</v>
      </c>
      <c r="F405" s="77" t="s">
        <v>1549</v>
      </c>
      <c r="G405" s="1"/>
      <c r="H405" s="603"/>
    </row>
    <row r="406" spans="1:8" ht="15.75" x14ac:dyDescent="0.25">
      <c r="A406" s="98" t="s">
        <v>3158</v>
      </c>
      <c r="B406" s="148"/>
      <c r="C406" s="2"/>
      <c r="D406" s="107">
        <v>30</v>
      </c>
      <c r="E406" s="109">
        <f>'PALAIS DU BIJOU'!F33</f>
        <v>53.333333333333336</v>
      </c>
      <c r="F406" s="110">
        <f>E406*D406</f>
        <v>1600</v>
      </c>
      <c r="G406" s="1"/>
      <c r="H406" s="603"/>
    </row>
    <row r="407" spans="1:8" ht="15.75" x14ac:dyDescent="0.25">
      <c r="A407" s="104" t="s">
        <v>3054</v>
      </c>
      <c r="B407" s="148" t="s">
        <v>777</v>
      </c>
      <c r="C407" s="2"/>
      <c r="D407" s="107">
        <v>1</v>
      </c>
      <c r="E407" s="109">
        <f>FORNITURAS!I6</f>
        <v>155.52941176470588</v>
      </c>
      <c r="F407" s="110">
        <f>D407*E407</f>
        <v>155.52941176470588</v>
      </c>
      <c r="G407" s="1"/>
      <c r="H407" s="603"/>
    </row>
    <row r="408" spans="1:8" ht="15.75" x14ac:dyDescent="0.25">
      <c r="A408" s="104" t="s">
        <v>2176</v>
      </c>
      <c r="B408" s="148"/>
      <c r="C408" s="98"/>
      <c r="D408" s="2">
        <v>0.28000000000000003</v>
      </c>
      <c r="E408" s="109">
        <f>'HILOS-CORDONES-TANZA-CUERO'!L6</f>
        <v>8</v>
      </c>
      <c r="F408" s="110">
        <f>E408*D408</f>
        <v>2.2400000000000002</v>
      </c>
      <c r="G408" s="1"/>
      <c r="H408" s="603"/>
    </row>
    <row r="409" spans="1:8" ht="15.75" x14ac:dyDescent="0.25">
      <c r="A409" s="3" t="s">
        <v>1557</v>
      </c>
      <c r="B409" s="98"/>
      <c r="C409" s="98"/>
      <c r="D409" s="2"/>
      <c r="E409" s="6"/>
      <c r="F409" s="39">
        <f>PACKAGING!E3</f>
        <v>150</v>
      </c>
      <c r="G409" s="1"/>
      <c r="H409" s="603"/>
    </row>
    <row r="410" spans="1:8" ht="15.75" x14ac:dyDescent="0.25">
      <c r="A410" s="3" t="s">
        <v>3162</v>
      </c>
      <c r="B410" s="98"/>
      <c r="C410" s="98"/>
      <c r="D410" s="2"/>
      <c r="E410" s="6"/>
      <c r="F410" s="39">
        <f>PACKAGING!E8</f>
        <v>420</v>
      </c>
      <c r="G410" s="1"/>
      <c r="H410" s="603"/>
    </row>
    <row r="411" spans="1:8" ht="18.75" x14ac:dyDescent="0.25">
      <c r="A411" s="3" t="s">
        <v>1558</v>
      </c>
      <c r="B411" s="98">
        <v>60</v>
      </c>
      <c r="C411" s="604"/>
      <c r="D411" s="2">
        <v>15</v>
      </c>
      <c r="E411" s="66">
        <f>'INSUMOS VARIOS'!B3</f>
        <v>3500</v>
      </c>
      <c r="F411" s="39">
        <f>D411*E411/B411</f>
        <v>875</v>
      </c>
      <c r="G411" s="96"/>
      <c r="H411" s="603"/>
    </row>
    <row r="412" spans="1:8" ht="16.5" thickBot="1" x14ac:dyDescent="0.3">
      <c r="A412" s="79" t="s">
        <v>525</v>
      </c>
      <c r="B412" s="99"/>
      <c r="C412" s="99"/>
      <c r="D412" s="70"/>
      <c r="E412" s="85"/>
      <c r="F412" s="51">
        <f>SUM(F406:F411)</f>
        <v>3202.7694117647061</v>
      </c>
      <c r="G412" s="1"/>
      <c r="H412" s="603"/>
    </row>
    <row r="413" spans="1:8" ht="18.75" x14ac:dyDescent="0.25">
      <c r="A413" s="80" t="s">
        <v>544</v>
      </c>
      <c r="B413" s="100"/>
      <c r="C413" s="100"/>
      <c r="D413" s="71"/>
      <c r="E413" s="71"/>
      <c r="F413" s="72">
        <f>F412*2</f>
        <v>6405.5388235294122</v>
      </c>
      <c r="G413" s="512">
        <f>F413+F413*50%</f>
        <v>9608.3082352941183</v>
      </c>
      <c r="H413" s="75">
        <v>7000</v>
      </c>
    </row>
    <row r="414" spans="1:8" ht="19.5" thickBot="1" x14ac:dyDescent="0.3">
      <c r="A414" s="81" t="s">
        <v>1559</v>
      </c>
      <c r="B414" s="101"/>
      <c r="C414" s="101"/>
      <c r="D414" s="73"/>
      <c r="E414" s="73"/>
      <c r="F414" s="73"/>
      <c r="G414" s="522"/>
      <c r="H414" s="74">
        <v>16000</v>
      </c>
    </row>
    <row r="416" spans="1:8" ht="15.75" x14ac:dyDescent="0.25">
      <c r="A416" s="1576" t="s">
        <v>3159</v>
      </c>
      <c r="B416" s="1577"/>
      <c r="C416" s="1577"/>
      <c r="D416" s="1577"/>
      <c r="E416" s="1577"/>
      <c r="F416" s="1577"/>
      <c r="G416" s="1"/>
      <c r="H416" s="603"/>
    </row>
    <row r="417" spans="1:19" ht="15.75" x14ac:dyDescent="0.25">
      <c r="A417" s="1129" t="s">
        <v>916</v>
      </c>
      <c r="B417" s="97" t="s">
        <v>1194</v>
      </c>
      <c r="C417" s="97" t="s">
        <v>1089</v>
      </c>
      <c r="D417" s="76" t="s">
        <v>1547</v>
      </c>
      <c r="E417" s="108" t="s">
        <v>1035</v>
      </c>
      <c r="F417" s="77" t="s">
        <v>1549</v>
      </c>
      <c r="G417" s="1"/>
      <c r="H417" s="603"/>
    </row>
    <row r="418" spans="1:19" ht="15.75" x14ac:dyDescent="0.25">
      <c r="A418" s="1125" t="s">
        <v>3160</v>
      </c>
      <c r="B418" s="1126"/>
      <c r="C418" s="1126">
        <v>1</v>
      </c>
      <c r="D418" s="107">
        <v>14</v>
      </c>
      <c r="E418" s="109">
        <f>VIDRIOS!E21</f>
        <v>65</v>
      </c>
      <c r="F418" s="110">
        <f>E418*D418</f>
        <v>910</v>
      </c>
      <c r="G418" s="958"/>
      <c r="H418" s="1127"/>
      <c r="I418" s="1128"/>
      <c r="K418" s="1128"/>
    </row>
    <row r="419" spans="1:19" ht="15.75" x14ac:dyDescent="0.25">
      <c r="A419" s="2" t="s">
        <v>3161</v>
      </c>
      <c r="B419" s="148"/>
      <c r="C419" s="2"/>
      <c r="D419" s="107">
        <v>13</v>
      </c>
      <c r="E419" s="109">
        <v>2</v>
      </c>
      <c r="F419" s="110">
        <f>E419*D419</f>
        <v>26</v>
      </c>
      <c r="G419" s="1"/>
      <c r="H419" s="603"/>
      <c r="J419" s="1128"/>
    </row>
    <row r="420" spans="1:19" ht="15.75" x14ac:dyDescent="0.25">
      <c r="A420" s="104" t="s">
        <v>3054</v>
      </c>
      <c r="B420" s="148" t="s">
        <v>777</v>
      </c>
      <c r="C420" s="2"/>
      <c r="D420" s="107">
        <v>1</v>
      </c>
      <c r="E420" s="109">
        <f>FORNITURAS!I6</f>
        <v>155.52941176470588</v>
      </c>
      <c r="F420" s="110">
        <f>D420*E420</f>
        <v>155.52941176470588</v>
      </c>
      <c r="G420" s="1"/>
      <c r="H420" s="603"/>
    </row>
    <row r="421" spans="1:19" ht="15.75" x14ac:dyDescent="0.25">
      <c r="A421" s="104" t="s">
        <v>1555</v>
      </c>
      <c r="B421" s="148"/>
      <c r="C421" s="98"/>
      <c r="D421" s="107">
        <v>1</v>
      </c>
      <c r="E421" s="109">
        <f>FORNITURAS!D8</f>
        <v>192.77777777777777</v>
      </c>
      <c r="F421" s="110">
        <f>E421</f>
        <v>192.77777777777777</v>
      </c>
      <c r="G421" s="1"/>
      <c r="H421" s="603"/>
    </row>
    <row r="422" spans="1:19" ht="15.75" x14ac:dyDescent="0.25">
      <c r="A422" s="104" t="s">
        <v>1537</v>
      </c>
      <c r="B422" s="148"/>
      <c r="C422" s="98"/>
      <c r="D422" s="107">
        <v>1</v>
      </c>
      <c r="E422" s="109"/>
      <c r="F422" s="110">
        <f>PACKAGING!E7</f>
        <v>170</v>
      </c>
      <c r="G422" s="1"/>
      <c r="H422" s="603"/>
    </row>
    <row r="423" spans="1:19" ht="15.75" x14ac:dyDescent="0.25">
      <c r="A423" s="104" t="s">
        <v>2176</v>
      </c>
      <c r="B423" s="148"/>
      <c r="C423" s="98"/>
      <c r="D423" s="2">
        <v>0.28000000000000003</v>
      </c>
      <c r="E423" s="109">
        <f>'HILOS-CORDONES-TANZA-CUERO'!L6</f>
        <v>8</v>
      </c>
      <c r="F423" s="110">
        <f>E423*D423</f>
        <v>2.2400000000000002</v>
      </c>
      <c r="G423" s="1"/>
      <c r="H423" s="603"/>
    </row>
    <row r="424" spans="1:19" ht="18.75" x14ac:dyDescent="0.25">
      <c r="A424" s="3" t="s">
        <v>1557</v>
      </c>
      <c r="B424" s="98"/>
      <c r="C424" s="98"/>
      <c r="D424" s="2"/>
      <c r="E424" s="6"/>
      <c r="F424" s="39">
        <f>PACKAGING!E3</f>
        <v>150</v>
      </c>
      <c r="G424" s="96"/>
      <c r="H424" s="603"/>
    </row>
    <row r="425" spans="1:19" ht="15.75" x14ac:dyDescent="0.25">
      <c r="A425" s="3" t="s">
        <v>1670</v>
      </c>
      <c r="B425" s="98"/>
      <c r="C425" s="98"/>
      <c r="D425" s="2">
        <v>1</v>
      </c>
      <c r="E425" s="6"/>
      <c r="F425" s="39">
        <f>PACKAGING!E8</f>
        <v>420</v>
      </c>
      <c r="G425" s="1"/>
      <c r="H425" s="603"/>
    </row>
    <row r="426" spans="1:19" ht="15.75" x14ac:dyDescent="0.25">
      <c r="A426" s="3" t="s">
        <v>1558</v>
      </c>
      <c r="B426" s="98">
        <v>60</v>
      </c>
      <c r="C426" s="604"/>
      <c r="D426" s="2">
        <v>20</v>
      </c>
      <c r="E426" s="66">
        <f>'INSUMOS VARIOS'!B3</f>
        <v>3500</v>
      </c>
      <c r="F426" s="39">
        <f>D426*E426/B426</f>
        <v>1166.6666666666667</v>
      </c>
    </row>
    <row r="427" spans="1:19" s="1128" customFormat="1" ht="16.5" thickBot="1" x14ac:dyDescent="0.3">
      <c r="A427" s="79" t="s">
        <v>525</v>
      </c>
      <c r="B427" s="99"/>
      <c r="C427" s="99"/>
      <c r="D427" s="70"/>
      <c r="E427" s="85"/>
      <c r="F427" s="51">
        <f>SUM(F419:F426)</f>
        <v>2283.2138562091504</v>
      </c>
      <c r="G427"/>
      <c r="H427"/>
      <c r="I427"/>
      <c r="J427"/>
      <c r="K427"/>
      <c r="L427"/>
      <c r="M427"/>
      <c r="N427"/>
      <c r="O427"/>
      <c r="P427"/>
      <c r="Q427"/>
      <c r="R427"/>
      <c r="S427"/>
    </row>
    <row r="428" spans="1:19" ht="18.75" x14ac:dyDescent="0.25">
      <c r="A428" s="80" t="s">
        <v>544</v>
      </c>
      <c r="B428" s="100"/>
      <c r="C428" s="100"/>
      <c r="D428" s="71"/>
      <c r="E428" s="71"/>
      <c r="F428" s="72">
        <f>F427*2</f>
        <v>4566.4277124183009</v>
      </c>
      <c r="G428" s="512">
        <f>F428+F428*50%</f>
        <v>6849.6415686274513</v>
      </c>
      <c r="H428" s="75">
        <v>6500</v>
      </c>
      <c r="L428" s="1128"/>
      <c r="M428" s="1128"/>
      <c r="N428" s="1128"/>
      <c r="O428" s="1128"/>
      <c r="P428" s="1128"/>
      <c r="Q428" s="1128"/>
      <c r="R428" s="1128"/>
      <c r="S428" s="1128"/>
    </row>
    <row r="429" spans="1:19" ht="19.5" thickBot="1" x14ac:dyDescent="0.3">
      <c r="A429" s="81" t="s">
        <v>1559</v>
      </c>
      <c r="B429" s="101"/>
      <c r="C429" s="101"/>
      <c r="D429" s="73"/>
      <c r="E429" s="73"/>
      <c r="F429" s="73"/>
      <c r="G429" s="522"/>
      <c r="H429" s="74">
        <f>H428*2</f>
        <v>13000</v>
      </c>
    </row>
    <row r="431" spans="1:19" ht="15.75" x14ac:dyDescent="0.25">
      <c r="A431" s="1576" t="s">
        <v>3164</v>
      </c>
      <c r="B431" s="1577"/>
      <c r="C431" s="1577"/>
      <c r="D431" s="1577"/>
      <c r="E431" s="1577"/>
      <c r="F431" s="1577"/>
      <c r="G431" s="1"/>
      <c r="H431" s="1"/>
    </row>
    <row r="432" spans="1:19" ht="15.75" x14ac:dyDescent="0.25">
      <c r="A432" s="183" t="s">
        <v>916</v>
      </c>
      <c r="B432" s="97" t="s">
        <v>742</v>
      </c>
      <c r="C432" s="97" t="s">
        <v>1089</v>
      </c>
      <c r="D432" s="76" t="s">
        <v>1547</v>
      </c>
      <c r="E432" s="108" t="s">
        <v>1035</v>
      </c>
      <c r="F432" s="77" t="s">
        <v>1549</v>
      </c>
      <c r="G432" s="1"/>
      <c r="H432" s="1"/>
    </row>
    <row r="433" spans="1:8" ht="15.75" x14ac:dyDescent="0.25">
      <c r="A433" s="1613" t="s">
        <v>1224</v>
      </c>
      <c r="B433" s="2"/>
      <c r="C433" s="190">
        <v>0.32</v>
      </c>
      <c r="D433" s="107">
        <v>1</v>
      </c>
      <c r="E433" s="109">
        <f>'HILOS-CORDONES-TANZA-CUERO'!E5</f>
        <v>50.35</v>
      </c>
      <c r="F433" s="110">
        <f>E433*D433*C433</f>
        <v>16.112000000000002</v>
      </c>
      <c r="G433" s="1"/>
      <c r="H433" s="1"/>
    </row>
    <row r="434" spans="1:8" ht="15.75" x14ac:dyDescent="0.25">
      <c r="A434" s="1615"/>
      <c r="B434" s="2"/>
      <c r="C434" s="2">
        <v>0.12</v>
      </c>
      <c r="D434" s="2">
        <v>1</v>
      </c>
      <c r="E434" s="109">
        <f>E433</f>
        <v>50.35</v>
      </c>
      <c r="F434" s="110">
        <f>E434*D434*C434</f>
        <v>6.0419999999999998</v>
      </c>
      <c r="G434" s="1"/>
      <c r="H434" s="1"/>
    </row>
    <row r="435" spans="1:8" ht="15.75" x14ac:dyDescent="0.25">
      <c r="A435" s="191" t="s">
        <v>3163</v>
      </c>
      <c r="B435" s="98"/>
      <c r="C435" s="98"/>
      <c r="D435" s="2">
        <v>1</v>
      </c>
      <c r="E435" s="109">
        <f>VIDRIOS!L53</f>
        <v>54.615384615384613</v>
      </c>
      <c r="F435" s="110">
        <f>D435*E435</f>
        <v>54.615384615384613</v>
      </c>
      <c r="G435" s="1"/>
      <c r="H435" s="1"/>
    </row>
    <row r="436" spans="1:8" ht="15.75" x14ac:dyDescent="0.25">
      <c r="A436" s="191" t="s">
        <v>3161</v>
      </c>
      <c r="B436" s="98"/>
      <c r="C436" s="98"/>
      <c r="D436" s="2">
        <v>2</v>
      </c>
      <c r="E436" s="109">
        <v>2</v>
      </c>
      <c r="F436" s="110">
        <f>D436*E436</f>
        <v>4</v>
      </c>
      <c r="G436" s="1"/>
      <c r="H436" s="1"/>
    </row>
    <row r="437" spans="1:8" ht="15.75" x14ac:dyDescent="0.25">
      <c r="A437" s="3" t="s">
        <v>1557</v>
      </c>
      <c r="B437" s="98"/>
      <c r="C437" s="98"/>
      <c r="D437" s="2"/>
      <c r="E437" s="6"/>
      <c r="F437" s="39">
        <f>PACKAGING!E3</f>
        <v>150</v>
      </c>
      <c r="G437" s="1"/>
      <c r="H437" s="1"/>
    </row>
    <row r="438" spans="1:8" ht="15.75" x14ac:dyDescent="0.25">
      <c r="A438" s="3" t="s">
        <v>1558</v>
      </c>
      <c r="B438" s="98">
        <v>60</v>
      </c>
      <c r="C438" s="603"/>
      <c r="D438" s="2">
        <v>15</v>
      </c>
      <c r="E438" s="66">
        <f>'INSUMOS VARIOS'!B3</f>
        <v>3500</v>
      </c>
      <c r="F438" s="39">
        <f>E438*D438/B438</f>
        <v>875</v>
      </c>
      <c r="G438" s="1"/>
      <c r="H438" s="1"/>
    </row>
    <row r="439" spans="1:8" ht="16.5" thickBot="1" x14ac:dyDescent="0.3">
      <c r="A439" s="79" t="s">
        <v>525</v>
      </c>
      <c r="B439" s="99"/>
      <c r="C439" s="99"/>
      <c r="D439" s="70"/>
      <c r="E439" s="85"/>
      <c r="F439" s="51">
        <f>SUM(F433:F438)</f>
        <v>1105.7693846153845</v>
      </c>
      <c r="G439" s="1"/>
      <c r="H439" s="1"/>
    </row>
    <row r="440" spans="1:8" ht="18.75" x14ac:dyDescent="0.25">
      <c r="A440" s="80" t="s">
        <v>544</v>
      </c>
      <c r="B440" s="100"/>
      <c r="C440" s="100"/>
      <c r="D440" s="71"/>
      <c r="E440" s="71"/>
      <c r="F440" s="72">
        <f>F439*2</f>
        <v>2211.538769230769</v>
      </c>
      <c r="G440" s="606">
        <f>F440+F440*70%</f>
        <v>3759.6159076923072</v>
      </c>
      <c r="H440" s="75">
        <v>2000</v>
      </c>
    </row>
    <row r="441" spans="1:8" ht="19.5" thickBot="1" x14ac:dyDescent="0.3">
      <c r="A441" s="81" t="s">
        <v>1559</v>
      </c>
      <c r="B441" s="101"/>
      <c r="C441" s="101"/>
      <c r="D441" s="73"/>
      <c r="E441" s="73"/>
      <c r="F441" s="73"/>
      <c r="G441" s="607"/>
      <c r="H441" s="74">
        <f>H440*2</f>
        <v>4000</v>
      </c>
    </row>
    <row r="443" spans="1:8" ht="15.75" x14ac:dyDescent="0.25">
      <c r="A443" s="1602" t="s">
        <v>209</v>
      </c>
      <c r="B443" s="1600"/>
      <c r="C443" s="1600"/>
      <c r="D443" s="1600"/>
      <c r="E443" s="1600"/>
      <c r="F443" s="1"/>
      <c r="G443" s="1"/>
    </row>
    <row r="444" spans="1:8" ht="15.75" x14ac:dyDescent="0.25">
      <c r="A444" s="183" t="s">
        <v>916</v>
      </c>
      <c r="B444" s="97" t="s">
        <v>743</v>
      </c>
      <c r="C444" s="76" t="s">
        <v>1547</v>
      </c>
      <c r="D444" s="108" t="s">
        <v>1035</v>
      </c>
      <c r="E444" s="77" t="s">
        <v>1549</v>
      </c>
      <c r="F444" s="1"/>
      <c r="G444" s="1"/>
    </row>
    <row r="445" spans="1:8" ht="15.75" x14ac:dyDescent="0.25">
      <c r="A445" s="104" t="s">
        <v>3169</v>
      </c>
      <c r="B445" s="2"/>
      <c r="C445" s="107">
        <v>1</v>
      </c>
      <c r="D445" s="109">
        <f>'AROS, CADENAS, DIJES, ETC'!O115</f>
        <v>1909</v>
      </c>
      <c r="E445" s="110">
        <f>C445*D445</f>
        <v>1909</v>
      </c>
      <c r="F445" s="1"/>
      <c r="G445" s="1"/>
    </row>
    <row r="446" spans="1:8" ht="15.75" x14ac:dyDescent="0.25">
      <c r="A446" s="189" t="s">
        <v>2294</v>
      </c>
      <c r="B446" s="2"/>
      <c r="C446" s="2">
        <v>1</v>
      </c>
      <c r="D446" s="109">
        <f>'AROS, CADENAS, DIJES, ETC'!T4</f>
        <v>4395</v>
      </c>
      <c r="E446" s="110">
        <f>C446*D446</f>
        <v>4395</v>
      </c>
      <c r="F446" s="1"/>
      <c r="G446" s="1"/>
    </row>
    <row r="447" spans="1:8" ht="15.75" x14ac:dyDescent="0.25">
      <c r="A447" s="3" t="s">
        <v>1557</v>
      </c>
      <c r="B447" s="98"/>
      <c r="C447" s="2"/>
      <c r="D447" s="6"/>
      <c r="E447" s="39">
        <f>PACKAGING!E3</f>
        <v>150</v>
      </c>
      <c r="F447" s="1"/>
      <c r="G447" s="1"/>
    </row>
    <row r="448" spans="1:8" ht="15.75" x14ac:dyDescent="0.25">
      <c r="A448" s="3" t="s">
        <v>1670</v>
      </c>
      <c r="B448" s="98"/>
      <c r="C448" s="2"/>
      <c r="D448" s="6"/>
      <c r="E448" s="39">
        <f>PACKAGING!E8</f>
        <v>420</v>
      </c>
      <c r="F448" s="1"/>
      <c r="G448" s="1"/>
    </row>
    <row r="449" spans="1:8" ht="15.75" x14ac:dyDescent="0.25">
      <c r="A449" s="3" t="s">
        <v>1558</v>
      </c>
      <c r="B449" s="98">
        <v>60</v>
      </c>
      <c r="C449" s="603">
        <v>2</v>
      </c>
      <c r="D449" s="66">
        <f>'INSUMOS VARIOS'!B3</f>
        <v>3500</v>
      </c>
      <c r="E449" s="39">
        <f>D449*C449/B449</f>
        <v>116.66666666666667</v>
      </c>
      <c r="F449" s="1"/>
      <c r="G449" s="1"/>
    </row>
    <row r="450" spans="1:8" ht="16.5" thickBot="1" x14ac:dyDescent="0.3">
      <c r="A450" s="79" t="s">
        <v>525</v>
      </c>
      <c r="B450" s="99"/>
      <c r="C450" s="70"/>
      <c r="D450" s="85"/>
      <c r="E450" s="51">
        <f>SUM(E445:E449)</f>
        <v>6990.666666666667</v>
      </c>
      <c r="F450" s="1"/>
      <c r="G450" s="1"/>
    </row>
    <row r="451" spans="1:8" ht="19.5" thickBot="1" x14ac:dyDescent="0.3">
      <c r="A451" s="81" t="s">
        <v>1559</v>
      </c>
      <c r="B451" s="101"/>
      <c r="C451" s="73"/>
      <c r="D451" s="73"/>
      <c r="E451" s="223">
        <f>E450*2</f>
        <v>13981.333333333334</v>
      </c>
      <c r="F451" s="515">
        <f>E451+E451*70%</f>
        <v>23768.266666666666</v>
      </c>
      <c r="G451" s="238">
        <v>18000</v>
      </c>
    </row>
    <row r="453" spans="1:8" ht="15.75" x14ac:dyDescent="0.25">
      <c r="A453" s="1576" t="s">
        <v>359</v>
      </c>
      <c r="B453" s="1577"/>
      <c r="C453" s="1577"/>
      <c r="D453" s="1577"/>
      <c r="E453" s="1577"/>
      <c r="F453" s="1577"/>
      <c r="G453" s="1"/>
      <c r="H453" s="603"/>
    </row>
    <row r="454" spans="1:8" ht="15.75" x14ac:dyDescent="0.25">
      <c r="A454" s="183" t="s">
        <v>916</v>
      </c>
      <c r="B454" s="97" t="s">
        <v>1194</v>
      </c>
      <c r="C454" s="97" t="s">
        <v>1089</v>
      </c>
      <c r="D454" s="76" t="s">
        <v>1547</v>
      </c>
      <c r="E454" s="108" t="s">
        <v>1035</v>
      </c>
      <c r="F454" s="77" t="s">
        <v>1549</v>
      </c>
      <c r="G454" s="1"/>
      <c r="H454" s="603"/>
    </row>
    <row r="455" spans="1:8" ht="15.75" x14ac:dyDescent="0.25">
      <c r="A455" s="3" t="s">
        <v>1847</v>
      </c>
      <c r="B455" s="148"/>
      <c r="C455" s="2"/>
      <c r="D455" s="107">
        <v>93</v>
      </c>
      <c r="E455" s="109">
        <f>VIDRIOS!E8</f>
        <v>8.9473684210526319</v>
      </c>
      <c r="F455" s="110">
        <f>E455*D455</f>
        <v>832.1052631578948</v>
      </c>
      <c r="G455" s="1"/>
      <c r="H455" s="603"/>
    </row>
    <row r="456" spans="1:8" ht="15.75" x14ac:dyDescent="0.25">
      <c r="A456" s="104" t="s">
        <v>3054</v>
      </c>
      <c r="B456" s="148" t="s">
        <v>777</v>
      </c>
      <c r="C456" s="2"/>
      <c r="D456" s="107">
        <v>1</v>
      </c>
      <c r="E456" s="109">
        <f>FORNITURAS!I6</f>
        <v>155.52941176470588</v>
      </c>
      <c r="F456" s="110">
        <f>D456*E456</f>
        <v>155.52941176470588</v>
      </c>
      <c r="G456" s="1"/>
      <c r="H456" s="603"/>
    </row>
    <row r="457" spans="1:8" ht="15.75" x14ac:dyDescent="0.25">
      <c r="A457" s="104" t="s">
        <v>2176</v>
      </c>
      <c r="B457" s="148"/>
      <c r="C457" s="98"/>
      <c r="D457" s="2">
        <v>0.28000000000000003</v>
      </c>
      <c r="E457" s="109">
        <f>'HILOS-CORDONES-TANZA-CUERO'!L6</f>
        <v>8</v>
      </c>
      <c r="F457" s="110">
        <f>E457*D457</f>
        <v>2.2400000000000002</v>
      </c>
      <c r="G457" s="1"/>
      <c r="H457" s="603"/>
    </row>
    <row r="458" spans="1:8" ht="15.75" x14ac:dyDescent="0.25">
      <c r="A458" s="3" t="s">
        <v>1557</v>
      </c>
      <c r="B458" s="98"/>
      <c r="C458" s="98"/>
      <c r="D458" s="2"/>
      <c r="E458" s="6"/>
      <c r="F458" s="39">
        <f>PACKAGING!E3</f>
        <v>150</v>
      </c>
      <c r="G458" s="1"/>
      <c r="H458" s="603"/>
    </row>
    <row r="459" spans="1:8" ht="15.75" x14ac:dyDescent="0.25">
      <c r="A459" s="3" t="s">
        <v>3180</v>
      </c>
      <c r="B459" s="98"/>
      <c r="C459" s="98"/>
      <c r="D459" s="2"/>
      <c r="E459" s="6"/>
      <c r="F459" s="39">
        <f>PACKAGING!E8</f>
        <v>420</v>
      </c>
      <c r="G459" s="1"/>
      <c r="H459" s="603"/>
    </row>
    <row r="460" spans="1:8" ht="18.75" x14ac:dyDescent="0.25">
      <c r="A460" s="3" t="s">
        <v>1558</v>
      </c>
      <c r="B460" s="98">
        <v>60</v>
      </c>
      <c r="C460" s="604"/>
      <c r="D460" s="2">
        <v>15</v>
      </c>
      <c r="E460" s="66">
        <f>'INSUMOS VARIOS'!B3</f>
        <v>3500</v>
      </c>
      <c r="F460" s="39">
        <f>D460*E460/B460</f>
        <v>875</v>
      </c>
      <c r="G460" s="96"/>
      <c r="H460" s="603"/>
    </row>
    <row r="461" spans="1:8" ht="16.5" thickBot="1" x14ac:dyDescent="0.3">
      <c r="A461" s="79" t="s">
        <v>525</v>
      </c>
      <c r="B461" s="99"/>
      <c r="C461" s="99"/>
      <c r="D461" s="70"/>
      <c r="E461" s="85"/>
      <c r="F461" s="51">
        <f>SUM(F455:F460)</f>
        <v>2434.8746749226007</v>
      </c>
      <c r="G461" s="1"/>
      <c r="H461" s="603"/>
    </row>
    <row r="462" spans="1:8" ht="18.75" x14ac:dyDescent="0.25">
      <c r="A462" s="80" t="s">
        <v>544</v>
      </c>
      <c r="B462" s="100"/>
      <c r="C462" s="100"/>
      <c r="D462" s="71"/>
      <c r="E462" s="71"/>
      <c r="F462" s="72">
        <f>F461*2</f>
        <v>4869.7493498452013</v>
      </c>
      <c r="G462" s="512">
        <f>F462+F462*50%</f>
        <v>7304.6240247678015</v>
      </c>
      <c r="H462" s="75">
        <v>5100</v>
      </c>
    </row>
    <row r="463" spans="1:8" ht="19.5" thickBot="1" x14ac:dyDescent="0.3">
      <c r="A463" s="81" t="s">
        <v>1559</v>
      </c>
      <c r="B463" s="101"/>
      <c r="C463" s="101"/>
      <c r="D463" s="73"/>
      <c r="E463" s="73"/>
      <c r="F463" s="73"/>
      <c r="G463" s="522"/>
      <c r="H463" s="74">
        <f>H462*2</f>
        <v>10200</v>
      </c>
    </row>
    <row r="465" spans="1:8" ht="15.75" x14ac:dyDescent="0.25">
      <c r="A465" s="1576" t="s">
        <v>3288</v>
      </c>
      <c r="B465" s="1577"/>
      <c r="C465" s="1577"/>
      <c r="D465" s="1577"/>
      <c r="E465" s="1577"/>
      <c r="F465" s="1577"/>
      <c r="G465" s="1"/>
      <c r="H465" s="603"/>
    </row>
    <row r="466" spans="1:8" ht="15.75" x14ac:dyDescent="0.25">
      <c r="A466" s="183" t="s">
        <v>916</v>
      </c>
      <c r="B466" s="97" t="s">
        <v>1194</v>
      </c>
      <c r="C466" s="97" t="s">
        <v>1089</v>
      </c>
      <c r="D466" s="76" t="s">
        <v>1547</v>
      </c>
      <c r="E466" s="108" t="s">
        <v>1035</v>
      </c>
      <c r="F466" s="77" t="s">
        <v>1549</v>
      </c>
      <c r="G466" s="1"/>
      <c r="H466" s="603"/>
    </row>
    <row r="467" spans="1:8" ht="15.75" x14ac:dyDescent="0.25">
      <c r="A467" s="3" t="s">
        <v>3181</v>
      </c>
      <c r="B467" s="148"/>
      <c r="C467" s="2"/>
      <c r="D467" s="107">
        <v>40</v>
      </c>
      <c r="E467" s="109">
        <f>VIDRIOS!E34</f>
        <v>18.478260869565219</v>
      </c>
      <c r="F467" s="110">
        <f>E467*D467</f>
        <v>739.13043478260875</v>
      </c>
      <c r="G467" s="1"/>
      <c r="H467" s="603"/>
    </row>
    <row r="468" spans="1:8" ht="15.75" x14ac:dyDescent="0.25">
      <c r="A468" s="104" t="s">
        <v>3054</v>
      </c>
      <c r="B468" s="148" t="s">
        <v>777</v>
      </c>
      <c r="C468" s="2"/>
      <c r="D468" s="107">
        <v>1</v>
      </c>
      <c r="E468" s="109">
        <f>FORNITURAS!I6</f>
        <v>155.52941176470588</v>
      </c>
      <c r="F468" s="110">
        <f>D468*E468</f>
        <v>155.52941176470588</v>
      </c>
      <c r="G468" s="1"/>
      <c r="H468" s="603"/>
    </row>
    <row r="469" spans="1:8" ht="15.75" x14ac:dyDescent="0.25">
      <c r="A469" s="104" t="s">
        <v>2176</v>
      </c>
      <c r="B469" s="148"/>
      <c r="C469" s="98"/>
      <c r="D469" s="2">
        <v>0.28000000000000003</v>
      </c>
      <c r="E469" s="109">
        <f>'HILOS-CORDONES-TANZA-CUERO'!L6</f>
        <v>8</v>
      </c>
      <c r="F469" s="110">
        <f>E469*D469</f>
        <v>2.2400000000000002</v>
      </c>
      <c r="G469" s="1"/>
      <c r="H469" s="603"/>
    </row>
    <row r="470" spans="1:8" ht="15.75" x14ac:dyDescent="0.25">
      <c r="A470" s="3" t="s">
        <v>1557</v>
      </c>
      <c r="B470" s="98"/>
      <c r="C470" s="98"/>
      <c r="D470" s="2"/>
      <c r="E470" s="6"/>
      <c r="F470" s="39">
        <f>PACKAGING!E3</f>
        <v>150</v>
      </c>
      <c r="G470" s="1"/>
      <c r="H470" s="603"/>
    </row>
    <row r="471" spans="1:8" ht="15.75" x14ac:dyDescent="0.25">
      <c r="A471" s="3" t="s">
        <v>3180</v>
      </c>
      <c r="B471" s="98"/>
      <c r="C471" s="98"/>
      <c r="D471" s="2"/>
      <c r="E471" s="6"/>
      <c r="F471" s="39">
        <f>PACKAGING!E8</f>
        <v>420</v>
      </c>
      <c r="G471" s="1"/>
      <c r="H471" s="603"/>
    </row>
    <row r="472" spans="1:8" ht="18.75" x14ac:dyDescent="0.25">
      <c r="A472" s="3" t="s">
        <v>1558</v>
      </c>
      <c r="B472" s="98">
        <v>60</v>
      </c>
      <c r="C472" s="604"/>
      <c r="D472" s="2">
        <v>15</v>
      </c>
      <c r="E472" s="66">
        <f>'INSUMOS VARIOS'!B3</f>
        <v>3500</v>
      </c>
      <c r="F472" s="39">
        <f>D472*E472/B472</f>
        <v>875</v>
      </c>
      <c r="G472" s="96"/>
      <c r="H472" s="603"/>
    </row>
    <row r="473" spans="1:8" ht="16.5" thickBot="1" x14ac:dyDescent="0.3">
      <c r="A473" s="79" t="s">
        <v>525</v>
      </c>
      <c r="B473" s="99"/>
      <c r="C473" s="99"/>
      <c r="D473" s="70"/>
      <c r="E473" s="85"/>
      <c r="F473" s="51">
        <f>SUM(F467:F472)</f>
        <v>2341.8998465473146</v>
      </c>
      <c r="G473" s="1"/>
      <c r="H473" s="603"/>
    </row>
    <row r="474" spans="1:8" ht="18.75" x14ac:dyDescent="0.25">
      <c r="A474" s="80" t="s">
        <v>544</v>
      </c>
      <c r="B474" s="100"/>
      <c r="C474" s="100"/>
      <c r="D474" s="71"/>
      <c r="E474" s="71"/>
      <c r="F474" s="72">
        <f>F473*2</f>
        <v>4683.7996930946292</v>
      </c>
      <c r="G474" s="512">
        <f>F474+F474*50%</f>
        <v>7025.6995396419443</v>
      </c>
      <c r="H474" s="75">
        <v>5100</v>
      </c>
    </row>
    <row r="475" spans="1:8" ht="19.5" thickBot="1" x14ac:dyDescent="0.3">
      <c r="A475" s="81" t="s">
        <v>1559</v>
      </c>
      <c r="B475" s="101"/>
      <c r="C475" s="101"/>
      <c r="D475" s="73"/>
      <c r="E475" s="73"/>
      <c r="F475" s="73"/>
      <c r="G475" s="522"/>
      <c r="H475" s="74">
        <f>H474*2</f>
        <v>10200</v>
      </c>
    </row>
    <row r="477" spans="1:8" ht="15.75" x14ac:dyDescent="0.25">
      <c r="A477" s="1576" t="s">
        <v>148</v>
      </c>
      <c r="B477" s="1577"/>
      <c r="C477" s="1577"/>
      <c r="D477" s="1577"/>
      <c r="E477" s="1577"/>
      <c r="F477" s="1577"/>
      <c r="G477" s="1"/>
      <c r="H477" s="603"/>
    </row>
    <row r="478" spans="1:8" ht="15.75" x14ac:dyDescent="0.25">
      <c r="A478" s="183" t="s">
        <v>916</v>
      </c>
      <c r="B478" s="97" t="s">
        <v>1194</v>
      </c>
      <c r="C478" s="97" t="s">
        <v>1089</v>
      </c>
      <c r="D478" s="76" t="s">
        <v>1547</v>
      </c>
      <c r="E478" s="108" t="s">
        <v>1035</v>
      </c>
      <c r="F478" s="77" t="s">
        <v>1549</v>
      </c>
      <c r="G478" s="1"/>
      <c r="H478" s="603"/>
    </row>
    <row r="479" spans="1:8" ht="15.75" x14ac:dyDescent="0.25">
      <c r="A479" s="3" t="s">
        <v>3182</v>
      </c>
      <c r="B479" s="148"/>
      <c r="C479" s="2"/>
      <c r="D479" s="107">
        <v>32</v>
      </c>
      <c r="E479" s="109">
        <f>PIEDRAS!F121</f>
        <v>23.094594594594593</v>
      </c>
      <c r="F479" s="110">
        <f>E479*D479</f>
        <v>739.02702702702697</v>
      </c>
      <c r="G479" s="1"/>
      <c r="H479" s="603"/>
    </row>
    <row r="480" spans="1:8" ht="15.75" x14ac:dyDescent="0.25">
      <c r="A480" s="104" t="s">
        <v>3054</v>
      </c>
      <c r="B480" s="148" t="s">
        <v>777</v>
      </c>
      <c r="C480" s="2"/>
      <c r="D480" s="107">
        <v>1</v>
      </c>
      <c r="E480" s="109">
        <f>FORNITURAS!I6</f>
        <v>155.52941176470588</v>
      </c>
      <c r="F480" s="110">
        <f>D480*E480</f>
        <v>155.52941176470588</v>
      </c>
      <c r="G480" s="1"/>
      <c r="H480" s="603"/>
    </row>
    <row r="481" spans="1:8" ht="15.75" x14ac:dyDescent="0.25">
      <c r="A481" s="104" t="s">
        <v>2176</v>
      </c>
      <c r="B481" s="148"/>
      <c r="C481" s="98"/>
      <c r="D481" s="2">
        <v>0.28000000000000003</v>
      </c>
      <c r="E481" s="109">
        <f>'HILOS-CORDONES-TANZA-CUERO'!L6</f>
        <v>8</v>
      </c>
      <c r="F481" s="110">
        <f>E481*D481</f>
        <v>2.2400000000000002</v>
      </c>
      <c r="G481" s="1"/>
      <c r="H481" s="603"/>
    </row>
    <row r="482" spans="1:8" ht="15.75" x14ac:dyDescent="0.25">
      <c r="A482" s="3" t="s">
        <v>1557</v>
      </c>
      <c r="B482" s="98"/>
      <c r="C482" s="98"/>
      <c r="D482" s="2"/>
      <c r="E482" s="6"/>
      <c r="F482" s="39">
        <f>PACKAGING!E3</f>
        <v>150</v>
      </c>
      <c r="G482" s="1"/>
      <c r="H482" s="603"/>
    </row>
    <row r="483" spans="1:8" ht="15.75" x14ac:dyDescent="0.25">
      <c r="A483" s="3" t="s">
        <v>3180</v>
      </c>
      <c r="B483" s="98"/>
      <c r="C483" s="98"/>
      <c r="D483" s="2"/>
      <c r="E483" s="6"/>
      <c r="F483" s="39">
        <f>PACKAGING!E8</f>
        <v>420</v>
      </c>
      <c r="G483" s="1"/>
      <c r="H483" s="603"/>
    </row>
    <row r="484" spans="1:8" ht="18.75" x14ac:dyDescent="0.25">
      <c r="A484" s="3" t="s">
        <v>1558</v>
      </c>
      <c r="B484" s="98">
        <v>60</v>
      </c>
      <c r="C484" s="604"/>
      <c r="D484" s="2">
        <v>15</v>
      </c>
      <c r="E484" s="66">
        <f>'INSUMOS VARIOS'!B3</f>
        <v>3500</v>
      </c>
      <c r="F484" s="39">
        <f>D484*E484/B484</f>
        <v>875</v>
      </c>
      <c r="G484" s="96"/>
      <c r="H484" s="603"/>
    </row>
    <row r="485" spans="1:8" ht="16.5" thickBot="1" x14ac:dyDescent="0.3">
      <c r="A485" s="79" t="s">
        <v>525</v>
      </c>
      <c r="B485" s="99"/>
      <c r="C485" s="99"/>
      <c r="D485" s="70"/>
      <c r="E485" s="85"/>
      <c r="F485" s="51">
        <f>SUM(F479:F484)</f>
        <v>2341.7964387917327</v>
      </c>
      <c r="G485" s="1"/>
      <c r="H485" s="603"/>
    </row>
    <row r="486" spans="1:8" ht="18.75" x14ac:dyDescent="0.25">
      <c r="A486" s="80" t="s">
        <v>544</v>
      </c>
      <c r="B486" s="100"/>
      <c r="C486" s="100"/>
      <c r="D486" s="71"/>
      <c r="E486" s="71"/>
      <c r="F486" s="72">
        <f>F485*2</f>
        <v>4683.5928775834655</v>
      </c>
      <c r="G486" s="512">
        <f>F486+F486*50%</f>
        <v>7025.3893163751982</v>
      </c>
      <c r="H486" s="75">
        <v>7000</v>
      </c>
    </row>
    <row r="487" spans="1:8" ht="19.5" thickBot="1" x14ac:dyDescent="0.3">
      <c r="A487" s="81" t="s">
        <v>1559</v>
      </c>
      <c r="B487" s="101"/>
      <c r="C487" s="101"/>
      <c r="D487" s="73"/>
      <c r="E487" s="73"/>
      <c r="F487" s="73"/>
      <c r="G487" s="522"/>
      <c r="H487" s="74">
        <f>H486*2</f>
        <v>14000</v>
      </c>
    </row>
    <row r="489" spans="1:8" ht="15.75" x14ac:dyDescent="0.25">
      <c r="A489" s="1576" t="s">
        <v>3223</v>
      </c>
      <c r="B489" s="1577"/>
      <c r="C489" s="1577"/>
      <c r="D489" s="1577"/>
      <c r="E489" s="1577"/>
      <c r="F489" s="1577"/>
      <c r="G489" s="1"/>
      <c r="H489" s="603"/>
    </row>
    <row r="490" spans="1:8" ht="15.75" x14ac:dyDescent="0.25">
      <c r="A490" s="183" t="s">
        <v>916</v>
      </c>
      <c r="B490" s="97" t="s">
        <v>1194</v>
      </c>
      <c r="C490" s="97" t="s">
        <v>1089</v>
      </c>
      <c r="D490" s="76" t="s">
        <v>1547</v>
      </c>
      <c r="E490" s="108" t="s">
        <v>1035</v>
      </c>
      <c r="F490" s="77" t="s">
        <v>1549</v>
      </c>
      <c r="G490" s="1"/>
      <c r="H490" s="603"/>
    </row>
    <row r="491" spans="1:8" ht="15.75" x14ac:dyDescent="0.25">
      <c r="A491" s="3" t="s">
        <v>3183</v>
      </c>
      <c r="B491" s="148"/>
      <c r="C491" s="2"/>
      <c r="D491" s="107">
        <v>29</v>
      </c>
      <c r="E491" s="109">
        <f>PIEDRAS!F132</f>
        <v>60</v>
      </c>
      <c r="F491" s="110">
        <f>E491*D491</f>
        <v>1740</v>
      </c>
      <c r="G491" s="1"/>
      <c r="H491" s="603"/>
    </row>
    <row r="492" spans="1:8" ht="15.75" x14ac:dyDescent="0.25">
      <c r="A492" s="104" t="s">
        <v>3054</v>
      </c>
      <c r="B492" s="148" t="s">
        <v>777</v>
      </c>
      <c r="C492" s="2"/>
      <c r="D492" s="107">
        <v>1</v>
      </c>
      <c r="E492" s="109">
        <f>FORNITURAS!I6</f>
        <v>155.52941176470588</v>
      </c>
      <c r="F492" s="110">
        <f>D492*E492</f>
        <v>155.52941176470588</v>
      </c>
      <c r="G492" s="1"/>
      <c r="H492" s="603"/>
    </row>
    <row r="493" spans="1:8" ht="15.75" x14ac:dyDescent="0.25">
      <c r="A493" s="104" t="s">
        <v>2176</v>
      </c>
      <c r="B493" s="148"/>
      <c r="C493" s="98"/>
      <c r="D493" s="2">
        <v>0.28000000000000003</v>
      </c>
      <c r="E493" s="109">
        <f>'HILOS-CORDONES-TANZA-CUERO'!L6</f>
        <v>8</v>
      </c>
      <c r="F493" s="110">
        <f>E493*D493</f>
        <v>2.2400000000000002</v>
      </c>
      <c r="G493" s="1"/>
      <c r="H493" s="603"/>
    </row>
    <row r="494" spans="1:8" ht="15.75" x14ac:dyDescent="0.25">
      <c r="A494" s="3" t="s">
        <v>1557</v>
      </c>
      <c r="B494" s="98"/>
      <c r="C494" s="98"/>
      <c r="D494" s="2"/>
      <c r="E494" s="6"/>
      <c r="F494" s="39">
        <f>PACKAGING!E3</f>
        <v>150</v>
      </c>
      <c r="G494" s="1"/>
      <c r="H494" s="603"/>
    </row>
    <row r="495" spans="1:8" ht="15.75" x14ac:dyDescent="0.25">
      <c r="A495" s="3" t="s">
        <v>3180</v>
      </c>
      <c r="B495" s="98"/>
      <c r="C495" s="98"/>
      <c r="D495" s="2"/>
      <c r="E495" s="6"/>
      <c r="F495" s="39">
        <f>PACKAGING!E8</f>
        <v>420</v>
      </c>
      <c r="G495" s="1"/>
      <c r="H495" s="603"/>
    </row>
    <row r="496" spans="1:8" ht="18.75" x14ac:dyDescent="0.25">
      <c r="A496" s="3" t="s">
        <v>1558</v>
      </c>
      <c r="B496" s="98">
        <v>60</v>
      </c>
      <c r="C496" s="604"/>
      <c r="D496" s="2">
        <v>15</v>
      </c>
      <c r="E496" s="66">
        <f>'INSUMOS VARIOS'!B3</f>
        <v>3500</v>
      </c>
      <c r="F496" s="39">
        <f>D496*E496/B496</f>
        <v>875</v>
      </c>
      <c r="G496" s="96"/>
      <c r="H496" s="603"/>
    </row>
    <row r="497" spans="1:8" ht="16.5" thickBot="1" x14ac:dyDescent="0.3">
      <c r="A497" s="79" t="s">
        <v>525</v>
      </c>
      <c r="B497" s="99"/>
      <c r="C497" s="99"/>
      <c r="D497" s="70"/>
      <c r="E497" s="85"/>
      <c r="F497" s="51">
        <f>SUM(F491:F496)</f>
        <v>3342.7694117647061</v>
      </c>
      <c r="G497" s="1"/>
      <c r="H497" s="603"/>
    </row>
    <row r="498" spans="1:8" ht="18.75" x14ac:dyDescent="0.25">
      <c r="A498" s="80" t="s">
        <v>544</v>
      </c>
      <c r="B498" s="100"/>
      <c r="C498" s="100"/>
      <c r="D498" s="71"/>
      <c r="E498" s="71"/>
      <c r="F498" s="72">
        <f>F497*2</f>
        <v>6685.5388235294122</v>
      </c>
      <c r="G498" s="512">
        <f>F498+F498*50%</f>
        <v>10028.308235294118</v>
      </c>
      <c r="H498" s="75">
        <v>7000</v>
      </c>
    </row>
    <row r="499" spans="1:8" ht="19.5" thickBot="1" x14ac:dyDescent="0.3">
      <c r="A499" s="81" t="s">
        <v>1559</v>
      </c>
      <c r="B499" s="101"/>
      <c r="C499" s="101"/>
      <c r="D499" s="73"/>
      <c r="E499" s="73"/>
      <c r="F499" s="73"/>
      <c r="G499" s="522"/>
      <c r="H499" s="74">
        <f>H498*2</f>
        <v>14000</v>
      </c>
    </row>
    <row r="501" spans="1:8" ht="15.75" x14ac:dyDescent="0.25">
      <c r="A501" s="1576" t="s">
        <v>152</v>
      </c>
      <c r="B501" s="1577"/>
      <c r="C501" s="1577"/>
      <c r="D501" s="1577"/>
      <c r="E501" s="1577"/>
      <c r="F501" s="1577"/>
      <c r="G501" s="1"/>
      <c r="H501" s="1"/>
    </row>
    <row r="502" spans="1:8" ht="15.75" x14ac:dyDescent="0.25">
      <c r="A502" s="183" t="s">
        <v>916</v>
      </c>
      <c r="B502" s="97" t="s">
        <v>742</v>
      </c>
      <c r="C502" s="97" t="s">
        <v>1089</v>
      </c>
      <c r="D502" s="76" t="s">
        <v>1547</v>
      </c>
      <c r="E502" s="108" t="s">
        <v>1035</v>
      </c>
      <c r="F502" s="77" t="s">
        <v>1549</v>
      </c>
      <c r="G502" s="1"/>
      <c r="H502" s="1"/>
    </row>
    <row r="503" spans="1:8" ht="15.75" x14ac:dyDescent="0.25">
      <c r="A503" s="1613" t="s">
        <v>1234</v>
      </c>
      <c r="B503" s="2"/>
      <c r="C503" s="190">
        <v>0.32</v>
      </c>
      <c r="D503" s="107">
        <v>1</v>
      </c>
      <c r="E503" s="109">
        <f>'HILOS-CORDONES-TANZA-CUERO'!E36</f>
        <v>329</v>
      </c>
      <c r="F503" s="110">
        <f>E503*D503*C503</f>
        <v>105.28</v>
      </c>
      <c r="G503" s="1"/>
      <c r="H503" s="1"/>
    </row>
    <row r="504" spans="1:8" ht="15.75" x14ac:dyDescent="0.25">
      <c r="A504" s="1615"/>
      <c r="B504" s="2"/>
      <c r="C504" s="2">
        <v>0.1</v>
      </c>
      <c r="D504" s="2">
        <v>1</v>
      </c>
      <c r="E504" s="109">
        <f>E503</f>
        <v>329</v>
      </c>
      <c r="F504" s="110">
        <f>E504*D504*C504</f>
        <v>32.9</v>
      </c>
      <c r="G504" s="1"/>
      <c r="H504" s="1"/>
    </row>
    <row r="505" spans="1:8" ht="15.75" x14ac:dyDescent="0.25">
      <c r="A505" s="191" t="s">
        <v>1748</v>
      </c>
      <c r="B505" s="98"/>
      <c r="C505" s="98"/>
      <c r="D505" s="2">
        <v>1</v>
      </c>
      <c r="E505" s="109">
        <f>PERLAS!F41</f>
        <v>845.88571428571424</v>
      </c>
      <c r="F505" s="110">
        <f>D505*E505</f>
        <v>845.88571428571424</v>
      </c>
      <c r="G505" s="1"/>
      <c r="H505" s="1"/>
    </row>
    <row r="506" spans="1:8" ht="15.75" x14ac:dyDescent="0.25">
      <c r="A506" s="3" t="s">
        <v>1557</v>
      </c>
      <c r="B506" s="98"/>
      <c r="C506" s="98"/>
      <c r="D506" s="2"/>
      <c r="E506" s="6"/>
      <c r="F506" s="39">
        <f>PACKAGING!E3</f>
        <v>150</v>
      </c>
      <c r="G506" s="1"/>
      <c r="H506" s="1"/>
    </row>
    <row r="507" spans="1:8" ht="15.75" x14ac:dyDescent="0.25">
      <c r="A507" s="3" t="s">
        <v>1558</v>
      </c>
      <c r="B507" s="98">
        <v>60</v>
      </c>
      <c r="C507" s="603"/>
      <c r="D507" s="2">
        <v>20</v>
      </c>
      <c r="E507" s="66">
        <f>'INSUMOS VARIOS'!B3</f>
        <v>3500</v>
      </c>
      <c r="F507" s="39">
        <f>E507*D507/B507</f>
        <v>1166.6666666666667</v>
      </c>
      <c r="G507" s="1"/>
      <c r="H507" s="1"/>
    </row>
    <row r="508" spans="1:8" ht="16.5" thickBot="1" x14ac:dyDescent="0.3">
      <c r="A508" s="79" t="s">
        <v>525</v>
      </c>
      <c r="B508" s="99"/>
      <c r="C508" s="99"/>
      <c r="D508" s="70"/>
      <c r="E508" s="85"/>
      <c r="F508" s="51">
        <f>SUM(F503:F507)</f>
        <v>2300.7323809523809</v>
      </c>
      <c r="G508" s="1"/>
      <c r="H508" s="1"/>
    </row>
    <row r="509" spans="1:8" ht="18.75" x14ac:dyDescent="0.25">
      <c r="A509" s="80" t="s">
        <v>544</v>
      </c>
      <c r="B509" s="100"/>
      <c r="C509" s="100"/>
      <c r="D509" s="71"/>
      <c r="E509" s="71"/>
      <c r="F509" s="72">
        <f>F508*2</f>
        <v>4601.4647619047619</v>
      </c>
      <c r="G509" s="606">
        <f>F509+F509*50%</f>
        <v>6902.1971428571433</v>
      </c>
      <c r="H509" s="75">
        <v>4400</v>
      </c>
    </row>
    <row r="510" spans="1:8" ht="19.5" thickBot="1" x14ac:dyDescent="0.3">
      <c r="A510" s="81" t="s">
        <v>1559</v>
      </c>
      <c r="B510" s="101"/>
      <c r="C510" s="101"/>
      <c r="D510" s="73"/>
      <c r="E510" s="73"/>
      <c r="F510" s="73"/>
      <c r="G510" s="607"/>
      <c r="H510" s="74">
        <f>H509*2</f>
        <v>8800</v>
      </c>
    </row>
    <row r="512" spans="1:8" ht="15.75" x14ac:dyDescent="0.25">
      <c r="A512" s="1576" t="s">
        <v>3231</v>
      </c>
      <c r="B512" s="1577"/>
      <c r="C512" s="1577"/>
      <c r="D512" s="1577"/>
      <c r="E512" s="1577"/>
      <c r="F512" s="1577"/>
      <c r="G512" s="1"/>
      <c r="H512" s="603"/>
    </row>
    <row r="513" spans="1:13" ht="15.75" x14ac:dyDescent="0.25">
      <c r="A513" s="1130" t="s">
        <v>916</v>
      </c>
      <c r="B513" s="97" t="s">
        <v>1194</v>
      </c>
      <c r="C513" s="97" t="s">
        <v>1089</v>
      </c>
      <c r="D513" s="76" t="s">
        <v>1547</v>
      </c>
      <c r="E513" s="108" t="s">
        <v>1035</v>
      </c>
      <c r="F513" s="77" t="s">
        <v>1549</v>
      </c>
      <c r="G513" s="1"/>
      <c r="H513" s="603"/>
    </row>
    <row r="514" spans="1:13" ht="15.75" x14ac:dyDescent="0.25">
      <c r="A514" s="2" t="s">
        <v>3095</v>
      </c>
      <c r="B514" s="148"/>
      <c r="C514" s="2"/>
      <c r="D514" s="107">
        <v>14</v>
      </c>
      <c r="E514" s="109">
        <f>PERLAS!F35</f>
        <v>76.428571428571431</v>
      </c>
      <c r="F514" s="110">
        <f>E514*D514</f>
        <v>1070</v>
      </c>
      <c r="G514" s="1"/>
      <c r="H514" s="603"/>
    </row>
    <row r="515" spans="1:13" ht="15.75" x14ac:dyDescent="0.25">
      <c r="A515" s="2" t="s">
        <v>3125</v>
      </c>
      <c r="B515" s="148"/>
      <c r="C515" s="2"/>
      <c r="D515" s="107">
        <v>14</v>
      </c>
      <c r="E515" s="109">
        <f>VIDRIOS!L54</f>
        <v>60.655737704918032</v>
      </c>
      <c r="F515" s="110">
        <f>E515*D515</f>
        <v>849.18032786885249</v>
      </c>
      <c r="G515" s="1"/>
      <c r="H515" s="603"/>
    </row>
    <row r="516" spans="1:13" ht="15.75" x14ac:dyDescent="0.25">
      <c r="A516" s="104" t="s">
        <v>3054</v>
      </c>
      <c r="B516" s="148" t="s">
        <v>846</v>
      </c>
      <c r="C516" s="2"/>
      <c r="D516" s="107">
        <v>1</v>
      </c>
      <c r="E516" s="109">
        <f>FORNITURAS!I6</f>
        <v>155.52941176470588</v>
      </c>
      <c r="F516" s="110">
        <f>D516*E516</f>
        <v>155.52941176470588</v>
      </c>
      <c r="G516" s="1"/>
      <c r="H516" s="603"/>
    </row>
    <row r="517" spans="1:13" ht="15.75" x14ac:dyDescent="0.25">
      <c r="A517" s="104" t="s">
        <v>2176</v>
      </c>
      <c r="B517" s="148"/>
      <c r="C517" s="98"/>
      <c r="D517" s="2">
        <v>0.28000000000000003</v>
      </c>
      <c r="E517" s="109">
        <f>'HILOS-CORDONES-TANZA-CUERO'!L6</f>
        <v>8</v>
      </c>
      <c r="F517" s="110">
        <f>E517*D517</f>
        <v>2.2400000000000002</v>
      </c>
      <c r="G517" s="1"/>
      <c r="H517" s="603"/>
    </row>
    <row r="518" spans="1:13" ht="15.75" x14ac:dyDescent="0.25">
      <c r="A518" s="3" t="s">
        <v>1557</v>
      </c>
      <c r="B518" s="98"/>
      <c r="C518" s="98"/>
      <c r="D518" s="2">
        <v>1</v>
      </c>
      <c r="E518" s="6"/>
      <c r="F518" s="39">
        <f>PACKAGING!E3</f>
        <v>150</v>
      </c>
      <c r="G518" s="1"/>
      <c r="H518" s="603"/>
    </row>
    <row r="519" spans="1:13" ht="15.75" x14ac:dyDescent="0.25">
      <c r="A519" s="3" t="s">
        <v>3100</v>
      </c>
      <c r="B519" s="98"/>
      <c r="C519" s="98"/>
      <c r="D519" s="2">
        <v>1</v>
      </c>
      <c r="E519" s="6"/>
      <c r="F519" s="39">
        <f>PACKAGING!E8</f>
        <v>420</v>
      </c>
      <c r="G519" s="1"/>
      <c r="H519" s="603"/>
    </row>
    <row r="520" spans="1:13" ht="18.75" x14ac:dyDescent="0.25">
      <c r="A520" s="3" t="s">
        <v>1558</v>
      </c>
      <c r="B520" s="98">
        <v>60</v>
      </c>
      <c r="C520" s="604"/>
      <c r="D520" s="2">
        <v>15</v>
      </c>
      <c r="E520" s="66">
        <f>'INSUMOS VARIOS'!B3</f>
        <v>3500</v>
      </c>
      <c r="F520" s="39">
        <f>D520*E520/B520</f>
        <v>875</v>
      </c>
      <c r="G520" s="96"/>
      <c r="H520" s="603"/>
    </row>
    <row r="521" spans="1:13" ht="16.5" thickBot="1" x14ac:dyDescent="0.3">
      <c r="A521" s="79" t="s">
        <v>525</v>
      </c>
      <c r="B521" s="99"/>
      <c r="C521" s="99"/>
      <c r="D521" s="70"/>
      <c r="E521" s="85"/>
      <c r="F521" s="51">
        <f>SUM(F514:F520)</f>
        <v>3521.9497396335582</v>
      </c>
      <c r="G521" s="1"/>
      <c r="H521" s="603"/>
    </row>
    <row r="522" spans="1:13" ht="18.75" x14ac:dyDescent="0.25">
      <c r="A522" s="80" t="s">
        <v>544</v>
      </c>
      <c r="B522" s="100"/>
      <c r="C522" s="100"/>
      <c r="D522" s="71"/>
      <c r="E522" s="71"/>
      <c r="F522" s="72">
        <f>F521*2</f>
        <v>7043.8994792671165</v>
      </c>
      <c r="G522" s="512">
        <f>F522+F522*50%</f>
        <v>10565.849218900676</v>
      </c>
      <c r="H522" s="75">
        <v>7000</v>
      </c>
    </row>
    <row r="523" spans="1:13" ht="19.5" thickBot="1" x14ac:dyDescent="0.3">
      <c r="A523" s="81" t="s">
        <v>1559</v>
      </c>
      <c r="B523" s="101"/>
      <c r="C523" s="101"/>
      <c r="D523" s="73"/>
      <c r="E523" s="73"/>
      <c r="F523" s="73"/>
      <c r="G523" s="522"/>
      <c r="H523" s="74">
        <f>H522*2</f>
        <v>14000</v>
      </c>
    </row>
    <row r="524" spans="1:13" ht="15.75" thickBot="1" x14ac:dyDescent="0.3"/>
    <row r="525" spans="1:13" ht="16.5" thickBot="1" x14ac:dyDescent="0.3">
      <c r="A525" s="1565" t="s">
        <v>321</v>
      </c>
      <c r="B525" s="1566"/>
      <c r="C525" s="1566"/>
      <c r="D525" s="1566"/>
      <c r="E525" s="1566"/>
      <c r="F525" s="1566"/>
      <c r="G525" s="1567"/>
      <c r="H525" s="421"/>
      <c r="I525" s="421"/>
      <c r="L525" s="1139"/>
      <c r="M525" s="1138"/>
    </row>
    <row r="526" spans="1:13" ht="15.75" x14ac:dyDescent="0.25">
      <c r="A526" s="78" t="s">
        <v>916</v>
      </c>
      <c r="B526" s="385" t="s">
        <v>743</v>
      </c>
      <c r="C526" s="385" t="s">
        <v>1716</v>
      </c>
      <c r="D526" s="385" t="s">
        <v>1607</v>
      </c>
      <c r="E526" s="385" t="s">
        <v>1566</v>
      </c>
      <c r="F526" s="82" t="s">
        <v>1035</v>
      </c>
      <c r="G526" s="83" t="s">
        <v>1549</v>
      </c>
      <c r="H526" s="421"/>
      <c r="I526" s="421"/>
      <c r="L526" s="1137"/>
    </row>
    <row r="527" spans="1:13" ht="15.75" x14ac:dyDescent="0.25">
      <c r="A527" s="184" t="s">
        <v>3613</v>
      </c>
      <c r="B527" s="98"/>
      <c r="C527" s="98">
        <v>0.37</v>
      </c>
      <c r="D527" s="98">
        <v>0.14499999999999999</v>
      </c>
      <c r="E527" s="98">
        <v>25</v>
      </c>
      <c r="F527" s="102">
        <f>'PERLAS 2'!O24</f>
        <v>0</v>
      </c>
      <c r="G527" s="39">
        <f>F527*E527</f>
        <v>0</v>
      </c>
      <c r="H527" s="1"/>
      <c r="I527" s="421"/>
    </row>
    <row r="528" spans="1:13" ht="15.75" x14ac:dyDescent="0.25">
      <c r="A528" s="184" t="s">
        <v>1555</v>
      </c>
      <c r="B528" s="98" t="s">
        <v>1556</v>
      </c>
      <c r="C528" s="98"/>
      <c r="D528" s="98"/>
      <c r="E528" s="98">
        <v>2</v>
      </c>
      <c r="F528" s="102">
        <f>FORNITURAS!D4</f>
        <v>48.7</v>
      </c>
      <c r="G528" s="39">
        <f>F528*E528</f>
        <v>97.4</v>
      </c>
      <c r="H528" s="1"/>
      <c r="I528" s="421"/>
    </row>
    <row r="529" spans="1:11" ht="15.75" x14ac:dyDescent="0.25">
      <c r="A529" s="184" t="s">
        <v>1554</v>
      </c>
      <c r="B529" s="98" t="s">
        <v>777</v>
      </c>
      <c r="C529" s="98"/>
      <c r="D529" s="98"/>
      <c r="E529" s="98">
        <v>2</v>
      </c>
      <c r="F529" s="102">
        <f>FORNITURAS!D26</f>
        <v>297.14285714285717</v>
      </c>
      <c r="G529" s="39">
        <f>F529*E529</f>
        <v>594.28571428571433</v>
      </c>
      <c r="H529" s="1"/>
      <c r="I529" s="421"/>
    </row>
    <row r="530" spans="1:11" ht="15.75" x14ac:dyDescent="0.25">
      <c r="A530" s="184" t="s">
        <v>1743</v>
      </c>
      <c r="B530" s="98"/>
      <c r="C530" s="98"/>
      <c r="D530" s="98"/>
      <c r="E530" s="98">
        <v>1</v>
      </c>
      <c r="F530" s="102">
        <f>FORNITURAS!D14</f>
        <v>98.8</v>
      </c>
      <c r="G530" s="39">
        <f>F530</f>
        <v>98.8</v>
      </c>
      <c r="H530" s="1"/>
      <c r="I530" s="421"/>
    </row>
    <row r="531" spans="1:11" ht="15.75" x14ac:dyDescent="0.25">
      <c r="A531" s="184" t="s">
        <v>3099</v>
      </c>
      <c r="B531" s="98" t="s">
        <v>1313</v>
      </c>
      <c r="C531" s="98"/>
      <c r="D531" s="98"/>
      <c r="E531" s="98">
        <v>1</v>
      </c>
      <c r="F531" s="102">
        <f>PERLAS!F33</f>
        <v>110</v>
      </c>
      <c r="G531" s="39">
        <f>F531</f>
        <v>110</v>
      </c>
      <c r="H531" s="1"/>
      <c r="I531" s="421"/>
    </row>
    <row r="532" spans="1:11" ht="15.75" x14ac:dyDescent="0.25">
      <c r="A532" s="184" t="s">
        <v>1587</v>
      </c>
      <c r="B532" s="98"/>
      <c r="C532" s="98"/>
      <c r="D532" s="98"/>
      <c r="E532" s="98">
        <v>1</v>
      </c>
      <c r="F532" s="102">
        <f>FORNITURAS!D18</f>
        <v>363</v>
      </c>
      <c r="G532" s="39">
        <f>F532*E532</f>
        <v>363</v>
      </c>
      <c r="H532" s="1"/>
      <c r="I532" s="421"/>
    </row>
    <row r="533" spans="1:11" ht="15.75" x14ac:dyDescent="0.25">
      <c r="A533" s="184" t="s">
        <v>1012</v>
      </c>
      <c r="B533" s="98"/>
      <c r="C533" s="98"/>
      <c r="D533" s="98"/>
      <c r="E533" s="98">
        <v>2</v>
      </c>
      <c r="F533" s="102">
        <f>FORNITURAS!D16</f>
        <v>45.05</v>
      </c>
      <c r="G533" s="39">
        <f>F533*E533</f>
        <v>90.1</v>
      </c>
      <c r="H533" s="1"/>
      <c r="I533" s="421"/>
    </row>
    <row r="534" spans="1:11" ht="15.75" x14ac:dyDescent="0.25">
      <c r="A534" s="184" t="s">
        <v>1424</v>
      </c>
      <c r="B534" s="98"/>
      <c r="C534" s="98"/>
      <c r="D534" s="98">
        <v>0.26</v>
      </c>
      <c r="E534" s="98">
        <v>1</v>
      </c>
      <c r="F534" s="102">
        <f>'HILOS-CORDONES-TANZA-CUERO'!L9</f>
        <v>30</v>
      </c>
      <c r="G534" s="39">
        <f>F534*E534*D534</f>
        <v>7.8000000000000007</v>
      </c>
      <c r="H534" s="1"/>
      <c r="I534" s="421"/>
    </row>
    <row r="535" spans="1:11" ht="15.75" x14ac:dyDescent="0.25">
      <c r="A535" s="184" t="s">
        <v>1608</v>
      </c>
      <c r="B535" s="98"/>
      <c r="C535" s="98"/>
      <c r="D535" s="98"/>
      <c r="E535" s="98">
        <v>3.5000000000000003E-2</v>
      </c>
      <c r="F535" s="102">
        <f>'AROS, CADENAS, DIJES, ETC'!I38</f>
        <v>3630</v>
      </c>
      <c r="G535" s="39">
        <f>F535*E535</f>
        <v>127.05000000000001</v>
      </c>
      <c r="H535" s="1"/>
      <c r="I535" s="421"/>
    </row>
    <row r="536" spans="1:11" ht="15.75" x14ac:dyDescent="0.25">
      <c r="A536" s="3" t="s">
        <v>1557</v>
      </c>
      <c r="B536" s="98"/>
      <c r="C536" s="98"/>
      <c r="D536" s="98"/>
      <c r="E536" s="98"/>
      <c r="F536" s="2"/>
      <c r="G536" s="39">
        <f>PACKAGING!E3</f>
        <v>150</v>
      </c>
    </row>
    <row r="537" spans="1:11" ht="15.75" x14ac:dyDescent="0.25">
      <c r="A537" s="104" t="s">
        <v>1538</v>
      </c>
      <c r="B537" s="98"/>
      <c r="C537" s="98"/>
      <c r="D537" s="98"/>
      <c r="E537" s="98"/>
      <c r="F537" s="2"/>
      <c r="G537" s="39">
        <f>PACKAGING!E8</f>
        <v>420</v>
      </c>
    </row>
    <row r="538" spans="1:11" ht="15.75" x14ac:dyDescent="0.25">
      <c r="A538" s="104" t="s">
        <v>1558</v>
      </c>
      <c r="B538" s="98">
        <v>60</v>
      </c>
      <c r="C538" s="98"/>
      <c r="D538" s="98"/>
      <c r="E538" s="98">
        <v>15</v>
      </c>
      <c r="F538" s="102">
        <f>'INSUMOS VARIOS'!B3</f>
        <v>3500</v>
      </c>
      <c r="G538" s="39">
        <f>F538*E538/B538</f>
        <v>875</v>
      </c>
      <c r="H538" s="1" t="s">
        <v>3242</v>
      </c>
      <c r="I538" s="421"/>
    </row>
    <row r="539" spans="1:11" ht="16.5" thickBot="1" x14ac:dyDescent="0.3">
      <c r="A539" s="79" t="s">
        <v>525</v>
      </c>
      <c r="B539" s="99"/>
      <c r="C539" s="99"/>
      <c r="D539" s="99"/>
      <c r="E539" s="70"/>
      <c r="F539" s="85"/>
      <c r="G539" s="51">
        <f>SUM(G527:G538)</f>
        <v>2933.4357142857143</v>
      </c>
      <c r="H539" s="60">
        <f>G539+I540+I541</f>
        <v>6211.4357142857143</v>
      </c>
      <c r="I539" s="421" t="s">
        <v>2268</v>
      </c>
    </row>
    <row r="540" spans="1:11" ht="19.5" thickBot="1" x14ac:dyDescent="0.3">
      <c r="A540" s="80" t="s">
        <v>544</v>
      </c>
      <c r="B540" s="100"/>
      <c r="C540" s="100"/>
      <c r="D540" s="100"/>
      <c r="E540" s="71"/>
      <c r="F540" s="71"/>
      <c r="G540" s="72">
        <f>G539*2</f>
        <v>5866.8714285714286</v>
      </c>
      <c r="H540" s="512">
        <f>G540+G540*70%</f>
        <v>9973.6814285714281</v>
      </c>
      <c r="I540" s="75">
        <f>PACKAGING!I3</f>
        <v>2433</v>
      </c>
    </row>
    <row r="541" spans="1:11" ht="19.5" thickBot="1" x14ac:dyDescent="0.35">
      <c r="A541" s="81" t="s">
        <v>1559</v>
      </c>
      <c r="B541" s="101"/>
      <c r="C541" s="101"/>
      <c r="D541" s="101"/>
      <c r="E541" s="73"/>
      <c r="F541" s="73"/>
      <c r="G541" s="73"/>
      <c r="H541" s="522"/>
      <c r="I541" s="75">
        <f>PACKAGING!I5</f>
        <v>845</v>
      </c>
      <c r="J541" s="1140">
        <f>H540+I540+I541</f>
        <v>13251.681428571428</v>
      </c>
      <c r="K541" s="238">
        <v>24000</v>
      </c>
    </row>
    <row r="543" spans="1:11" ht="15.75" x14ac:dyDescent="0.25">
      <c r="A543" s="1576" t="s">
        <v>3299</v>
      </c>
      <c r="B543" s="1577"/>
      <c r="C543" s="1577"/>
      <c r="D543" s="1577"/>
      <c r="E543" s="1577"/>
      <c r="F543" s="1577"/>
      <c r="G543" s="1"/>
      <c r="H543" s="603"/>
    </row>
    <row r="544" spans="1:11" ht="15.75" x14ac:dyDescent="0.25">
      <c r="A544" s="1130" t="s">
        <v>916</v>
      </c>
      <c r="B544" s="97" t="s">
        <v>1194</v>
      </c>
      <c r="C544" s="97" t="s">
        <v>1089</v>
      </c>
      <c r="D544" s="76" t="s">
        <v>1547</v>
      </c>
      <c r="E544" s="108" t="s">
        <v>1035</v>
      </c>
      <c r="F544" s="77" t="s">
        <v>1549</v>
      </c>
      <c r="G544" s="1"/>
      <c r="H544" s="603"/>
    </row>
    <row r="545" spans="1:9" ht="15.75" x14ac:dyDescent="0.25">
      <c r="A545" s="2" t="s">
        <v>3271</v>
      </c>
      <c r="B545" s="148"/>
      <c r="C545" s="2"/>
      <c r="D545" s="107">
        <v>34</v>
      </c>
      <c r="E545" s="109">
        <f>VIDRIOS!E32</f>
        <v>59.583333333333336</v>
      </c>
      <c r="F545" s="110">
        <f>E545*D545</f>
        <v>2025.8333333333335</v>
      </c>
      <c r="G545" s="1"/>
      <c r="H545" s="603"/>
    </row>
    <row r="546" spans="1:9" ht="15.75" x14ac:dyDescent="0.25">
      <c r="A546" s="104" t="s">
        <v>3054</v>
      </c>
      <c r="B546" s="148"/>
      <c r="C546" s="2"/>
      <c r="D546" s="107">
        <v>1</v>
      </c>
      <c r="E546" s="109">
        <f>FORNITURAS!I5</f>
        <v>188.85714285714286</v>
      </c>
      <c r="F546" s="110">
        <f>D546*E546</f>
        <v>188.85714285714286</v>
      </c>
      <c r="G546" s="1"/>
      <c r="H546" s="603"/>
    </row>
    <row r="547" spans="1:9" ht="15.75" x14ac:dyDescent="0.25">
      <c r="A547" s="104" t="s">
        <v>2176</v>
      </c>
      <c r="B547" s="148"/>
      <c r="C547" s="98"/>
      <c r="D547" s="2">
        <v>0.28000000000000003</v>
      </c>
      <c r="E547" s="109">
        <f>'HILOS-CORDONES-TANZA-CUERO'!L6</f>
        <v>8</v>
      </c>
      <c r="F547" s="110">
        <f>E547*D547</f>
        <v>2.2400000000000002</v>
      </c>
      <c r="G547" s="1"/>
      <c r="H547" s="603"/>
    </row>
    <row r="548" spans="1:9" ht="15.75" x14ac:dyDescent="0.25">
      <c r="A548" s="104" t="s">
        <v>1742</v>
      </c>
      <c r="B548" s="148"/>
      <c r="C548" s="98"/>
      <c r="D548" s="2">
        <v>1</v>
      </c>
      <c r="E548" s="109">
        <f>PERLAS!F31</f>
        <v>127.61904761904762</v>
      </c>
      <c r="F548" s="110">
        <f>E548*D548</f>
        <v>127.61904761904762</v>
      </c>
      <c r="G548" s="1"/>
      <c r="H548" s="603"/>
    </row>
    <row r="549" spans="1:9" ht="15.75" x14ac:dyDescent="0.25">
      <c r="A549" s="104" t="s">
        <v>2049</v>
      </c>
      <c r="B549" s="148"/>
      <c r="C549" s="98"/>
      <c r="D549" s="2">
        <v>2</v>
      </c>
      <c r="E549" s="109">
        <f>FORNITURAS!D26</f>
        <v>297.14285714285717</v>
      </c>
      <c r="F549" s="110">
        <f>E549*D549</f>
        <v>594.28571428571433</v>
      </c>
      <c r="G549" s="1"/>
      <c r="H549" s="603"/>
    </row>
    <row r="550" spans="1:9" ht="15.75" x14ac:dyDescent="0.25">
      <c r="A550" s="3" t="s">
        <v>1557</v>
      </c>
      <c r="B550" s="98"/>
      <c r="C550" s="98"/>
      <c r="D550" s="2"/>
      <c r="E550" s="6"/>
      <c r="F550" s="39">
        <f>PACKAGING!E3</f>
        <v>150</v>
      </c>
      <c r="G550" s="1"/>
      <c r="H550" s="603"/>
    </row>
    <row r="551" spans="1:9" ht="18.75" x14ac:dyDescent="0.25">
      <c r="A551" s="3" t="s">
        <v>1558</v>
      </c>
      <c r="B551" s="98">
        <v>60</v>
      </c>
      <c r="C551" s="604"/>
      <c r="D551" s="2">
        <v>15</v>
      </c>
      <c r="E551" s="66">
        <f>'INSUMOS VARIOS'!B3</f>
        <v>3500</v>
      </c>
      <c r="F551" s="39">
        <f>D551*E551/B551</f>
        <v>875</v>
      </c>
      <c r="G551" s="96"/>
      <c r="H551" s="603"/>
    </row>
    <row r="552" spans="1:9" ht="16.5" thickBot="1" x14ac:dyDescent="0.3">
      <c r="A552" s="79" t="s">
        <v>525</v>
      </c>
      <c r="B552" s="99"/>
      <c r="C552" s="99"/>
      <c r="D552" s="70"/>
      <c r="E552" s="85"/>
      <c r="F552" s="51">
        <f>SUM(F545:F551)</f>
        <v>3963.8352380952379</v>
      </c>
      <c r="G552" s="1"/>
      <c r="H552" s="603"/>
    </row>
    <row r="553" spans="1:9" ht="18.75" x14ac:dyDescent="0.25">
      <c r="A553" s="80" t="s">
        <v>544</v>
      </c>
      <c r="B553" s="100"/>
      <c r="C553" s="100"/>
      <c r="D553" s="71"/>
      <c r="E553" s="71"/>
      <c r="F553" s="72">
        <f>F552*2</f>
        <v>7927.6704761904757</v>
      </c>
      <c r="G553" s="512">
        <f>F553+F553*50%</f>
        <v>11891.505714285713</v>
      </c>
      <c r="H553" s="75">
        <v>6000</v>
      </c>
    </row>
    <row r="554" spans="1:9" ht="19.5" thickBot="1" x14ac:dyDescent="0.3">
      <c r="A554" s="81" t="s">
        <v>1559</v>
      </c>
      <c r="B554" s="101"/>
      <c r="C554" s="101"/>
      <c r="D554" s="73"/>
      <c r="E554" s="73"/>
      <c r="F554" s="73"/>
      <c r="G554" s="522"/>
      <c r="H554" s="74">
        <f>H553*2</f>
        <v>12000</v>
      </c>
    </row>
    <row r="556" spans="1:9" ht="15.75" x14ac:dyDescent="0.25">
      <c r="A556" s="1576" t="s">
        <v>2046</v>
      </c>
      <c r="B556" s="1577"/>
      <c r="C556" s="1577"/>
      <c r="D556" s="1577"/>
      <c r="E556" s="1577"/>
      <c r="F556" s="1577"/>
      <c r="G556" s="1"/>
      <c r="H556" s="1"/>
      <c r="I556" s="171"/>
    </row>
    <row r="557" spans="1:9" ht="15.75" x14ac:dyDescent="0.25">
      <c r="A557" s="183" t="s">
        <v>916</v>
      </c>
      <c r="B557" s="97" t="s">
        <v>1194</v>
      </c>
      <c r="C557" s="97" t="s">
        <v>1089</v>
      </c>
      <c r="D557" s="76" t="s">
        <v>1547</v>
      </c>
      <c r="E557" s="108" t="s">
        <v>1035</v>
      </c>
      <c r="F557" s="77" t="s">
        <v>1549</v>
      </c>
      <c r="G557" s="1"/>
      <c r="H557" s="1"/>
      <c r="I557" s="171"/>
    </row>
    <row r="558" spans="1:9" ht="15.75" x14ac:dyDescent="0.25">
      <c r="A558" s="104" t="s">
        <v>3303</v>
      </c>
      <c r="B558" s="148">
        <v>0.6</v>
      </c>
      <c r="C558" s="2">
        <v>0.04</v>
      </c>
      <c r="D558" s="107">
        <v>4</v>
      </c>
      <c r="E558" s="109">
        <f>PIEDRAS!E4</f>
        <v>4000</v>
      </c>
      <c r="F558" s="110">
        <f>E558*D558*C558/B558</f>
        <v>1066.6666666666667</v>
      </c>
      <c r="G558" s="1"/>
      <c r="H558" s="1"/>
      <c r="I558" s="171"/>
    </row>
    <row r="559" spans="1:9" ht="15.75" x14ac:dyDescent="0.25">
      <c r="A559" s="104" t="s">
        <v>1944</v>
      </c>
      <c r="B559" s="148"/>
      <c r="C559" s="2"/>
      <c r="D559" s="107">
        <v>4</v>
      </c>
      <c r="E559" s="109">
        <f>FORNITURAS!I3</f>
        <v>66.099999999999994</v>
      </c>
      <c r="F559" s="110">
        <f>D559*E559</f>
        <v>264.39999999999998</v>
      </c>
      <c r="G559" s="1"/>
      <c r="H559" s="1"/>
      <c r="I559" s="171"/>
    </row>
    <row r="560" spans="1:9" ht="15.75" x14ac:dyDescent="0.25">
      <c r="A560" s="104" t="s">
        <v>1594</v>
      </c>
      <c r="B560" s="148"/>
      <c r="C560" s="98"/>
      <c r="D560" s="2">
        <v>0.28000000000000003</v>
      </c>
      <c r="E560" s="109">
        <f>'HILOS-CORDONES-TANZA-CUERO'!L6</f>
        <v>8</v>
      </c>
      <c r="F560" s="110">
        <f>E560*D560</f>
        <v>2.2400000000000002</v>
      </c>
      <c r="G560" s="1"/>
      <c r="H560" s="1"/>
      <c r="I560" s="171"/>
    </row>
    <row r="561" spans="1:10" ht="15.75" x14ac:dyDescent="0.25">
      <c r="A561" s="3" t="s">
        <v>1557</v>
      </c>
      <c r="B561" s="98"/>
      <c r="C561" s="98"/>
      <c r="D561" s="2"/>
      <c r="E561" s="60">
        <f>PACKAGING!E3</f>
        <v>150</v>
      </c>
      <c r="F561" s="39">
        <f>E561</f>
        <v>150</v>
      </c>
      <c r="G561" s="1"/>
      <c r="H561" s="1"/>
      <c r="I561" s="171"/>
    </row>
    <row r="562" spans="1:10" ht="18.75" x14ac:dyDescent="0.25">
      <c r="A562" s="3" t="s">
        <v>1558</v>
      </c>
      <c r="B562" s="98">
        <v>60</v>
      </c>
      <c r="C562" s="98">
        <v>15</v>
      </c>
      <c r="D562" s="2"/>
      <c r="E562" s="66">
        <f>'INSUMOS VARIOS'!B3</f>
        <v>3500</v>
      </c>
      <c r="F562" s="39">
        <f>E562*C562/B562</f>
        <v>875</v>
      </c>
      <c r="G562" s="96"/>
      <c r="H562" s="96"/>
      <c r="I562" s="171"/>
    </row>
    <row r="563" spans="1:10" ht="16.5" thickBot="1" x14ac:dyDescent="0.3">
      <c r="A563" s="79" t="s">
        <v>525</v>
      </c>
      <c r="B563" s="99"/>
      <c r="C563" s="99"/>
      <c r="D563" s="70"/>
      <c r="E563" s="85"/>
      <c r="F563" s="51">
        <f>SUM(F558:F562)</f>
        <v>2358.3066666666664</v>
      </c>
      <c r="G563" s="1"/>
      <c r="H563" s="1"/>
      <c r="I563" s="171"/>
    </row>
    <row r="564" spans="1:10" ht="18.75" x14ac:dyDescent="0.25">
      <c r="A564" s="80" t="s">
        <v>544</v>
      </c>
      <c r="B564" s="100"/>
      <c r="C564" s="100"/>
      <c r="D564" s="71"/>
      <c r="E564" s="71"/>
      <c r="F564" s="72">
        <f>F563*2</f>
        <v>4716.6133333333328</v>
      </c>
      <c r="G564" s="512">
        <f>F564+F564*50%</f>
        <v>7074.9199999999992</v>
      </c>
      <c r="H564" s="75">
        <v>4800</v>
      </c>
      <c r="I564" s="171"/>
    </row>
    <row r="565" spans="1:10" ht="19.5" thickBot="1" x14ac:dyDescent="0.3">
      <c r="A565" s="81" t="s">
        <v>1559</v>
      </c>
      <c r="B565" s="101"/>
      <c r="C565" s="101"/>
      <c r="D565" s="73"/>
      <c r="E565" s="73"/>
      <c r="F565" s="73"/>
      <c r="G565" s="529"/>
      <c r="H565" s="74">
        <f>H564*2</f>
        <v>9600</v>
      </c>
      <c r="I565" s="171"/>
    </row>
    <row r="567" spans="1:10" ht="15.75" x14ac:dyDescent="0.25">
      <c r="A567" s="1602" t="s">
        <v>3683</v>
      </c>
      <c r="B567" s="1600"/>
      <c r="C567" s="1600"/>
      <c r="D567" s="1600"/>
      <c r="E567" s="1600"/>
      <c r="F567" s="171"/>
      <c r="G567" s="171"/>
      <c r="H567" s="1168"/>
      <c r="I567" s="1168"/>
    </row>
    <row r="568" spans="1:10" ht="15.75" x14ac:dyDescent="0.25">
      <c r="A568" s="183" t="s">
        <v>916</v>
      </c>
      <c r="B568" s="97" t="s">
        <v>743</v>
      </c>
      <c r="C568" s="76" t="s">
        <v>1547</v>
      </c>
      <c r="D568" s="108" t="s">
        <v>747</v>
      </c>
      <c r="E568" s="77" t="s">
        <v>1549</v>
      </c>
      <c r="F568" s="1"/>
      <c r="G568" s="1"/>
      <c r="H568" s="1168"/>
      <c r="I568" s="1168"/>
    </row>
    <row r="569" spans="1:10" ht="15.75" x14ac:dyDescent="0.25">
      <c r="A569" s="3" t="s">
        <v>57</v>
      </c>
      <c r="B569" s="98"/>
      <c r="C569" s="2">
        <v>1</v>
      </c>
      <c r="D569" s="66">
        <v>30000</v>
      </c>
      <c r="E569" s="39">
        <f>D569</f>
        <v>30000</v>
      </c>
      <c r="F569" s="1"/>
      <c r="G569" s="1"/>
      <c r="H569" s="1168"/>
      <c r="I569" s="1168"/>
    </row>
    <row r="570" spans="1:10" ht="15.75" x14ac:dyDescent="0.25">
      <c r="A570" s="20" t="s">
        <v>1557</v>
      </c>
      <c r="B570" s="98" t="s">
        <v>1535</v>
      </c>
      <c r="C570" s="2"/>
      <c r="D570" s="6"/>
      <c r="E570" s="39"/>
      <c r="F570" s="1171" t="s">
        <v>3342</v>
      </c>
      <c r="G570" s="1168"/>
      <c r="H570" s="1168"/>
      <c r="I570" s="1168"/>
    </row>
    <row r="571" spans="1:10" ht="16.5" thickBot="1" x14ac:dyDescent="0.3">
      <c r="A571" s="79" t="s">
        <v>525</v>
      </c>
      <c r="B571" s="99"/>
      <c r="C571" s="70"/>
      <c r="D571" s="85"/>
      <c r="E571" s="51">
        <f>SUM(E569:E570)</f>
        <v>30000</v>
      </c>
      <c r="F571" s="1172">
        <f>E571+G572+G573</f>
        <v>31070</v>
      </c>
      <c r="G571" s="1171" t="s">
        <v>3343</v>
      </c>
      <c r="H571" s="1171" t="s">
        <v>3344</v>
      </c>
      <c r="I571" s="1168"/>
    </row>
    <row r="572" spans="1:10" ht="15.75" x14ac:dyDescent="0.25">
      <c r="A572" s="80" t="s">
        <v>544</v>
      </c>
      <c r="B572" s="100"/>
      <c r="C572" s="71"/>
      <c r="D572" s="71"/>
      <c r="E572" s="72">
        <f>E571*2</f>
        <v>60000</v>
      </c>
      <c r="F572" s="1173">
        <f>E572+E572*20%</f>
        <v>72000</v>
      </c>
      <c r="G572" s="1174">
        <f>PACKAGING!I6</f>
        <v>1070</v>
      </c>
      <c r="H572" s="1175">
        <f>F572+G572</f>
        <v>73070</v>
      </c>
      <c r="I572" s="1176">
        <v>72000</v>
      </c>
    </row>
    <row r="573" spans="1:10" ht="16.5" thickBot="1" x14ac:dyDescent="0.3">
      <c r="A573" s="81" t="s">
        <v>1559</v>
      </c>
      <c r="B573" s="101"/>
      <c r="C573" s="73"/>
      <c r="D573" s="73"/>
      <c r="E573" s="73"/>
      <c r="F573" s="1177"/>
      <c r="G573" s="1178"/>
      <c r="H573" s="1179"/>
      <c r="I573" s="1180"/>
    </row>
    <row r="574" spans="1:10" x14ac:dyDescent="0.25">
      <c r="J574" t="s">
        <v>3646</v>
      </c>
    </row>
    <row r="575" spans="1:10" ht="15.75" x14ac:dyDescent="0.25">
      <c r="A575" s="1602" t="s">
        <v>3649</v>
      </c>
      <c r="B575" s="1600"/>
      <c r="C575" s="1600"/>
      <c r="D575" s="1600"/>
      <c r="E575" s="1600"/>
      <c r="F575" s="171"/>
      <c r="G575" s="171"/>
      <c r="H575" s="1168"/>
      <c r="I575" s="1168"/>
    </row>
    <row r="576" spans="1:10" ht="15.75" x14ac:dyDescent="0.25">
      <c r="A576" s="183" t="s">
        <v>916</v>
      </c>
      <c r="B576" s="97" t="s">
        <v>743</v>
      </c>
      <c r="C576" s="76" t="s">
        <v>1547</v>
      </c>
      <c r="D576" s="108" t="s">
        <v>747</v>
      </c>
      <c r="E576" s="77" t="s">
        <v>1549</v>
      </c>
      <c r="F576" s="1"/>
      <c r="G576" s="1"/>
      <c r="H576" s="1168"/>
      <c r="I576" s="1168"/>
    </row>
    <row r="577" spans="1:9" ht="15.75" x14ac:dyDescent="0.25">
      <c r="A577" s="3" t="s">
        <v>57</v>
      </c>
      <c r="B577" s="98"/>
      <c r="C577" s="2">
        <v>1</v>
      </c>
      <c r="D577" s="66">
        <v>35000</v>
      </c>
      <c r="E577" s="39">
        <f>D577</f>
        <v>35000</v>
      </c>
      <c r="F577" s="1"/>
      <c r="G577" s="1"/>
      <c r="H577" s="1168"/>
      <c r="I577" s="1168"/>
    </row>
    <row r="578" spans="1:9" ht="15.75" x14ac:dyDescent="0.25">
      <c r="A578" s="20" t="s">
        <v>1557</v>
      </c>
      <c r="B578" s="98" t="s">
        <v>1535</v>
      </c>
      <c r="C578" s="2"/>
      <c r="D578" s="6"/>
      <c r="E578" s="39"/>
      <c r="F578" s="1171" t="s">
        <v>3342</v>
      </c>
      <c r="G578" s="1168"/>
      <c r="H578" s="1168"/>
      <c r="I578" s="1168"/>
    </row>
    <row r="579" spans="1:9" ht="16.5" thickBot="1" x14ac:dyDescent="0.3">
      <c r="A579" s="79" t="s">
        <v>525</v>
      </c>
      <c r="B579" s="99"/>
      <c r="C579" s="70"/>
      <c r="D579" s="85"/>
      <c r="E579" s="51">
        <f>SUM(E577:E578)</f>
        <v>35000</v>
      </c>
      <c r="F579" s="1172">
        <f>E579+G580+G581</f>
        <v>36070</v>
      </c>
      <c r="G579" s="1171" t="s">
        <v>3343</v>
      </c>
      <c r="H579" s="1171" t="s">
        <v>3344</v>
      </c>
      <c r="I579" s="1168"/>
    </row>
    <row r="580" spans="1:9" ht="15.75" x14ac:dyDescent="0.25">
      <c r="A580" s="80" t="s">
        <v>544</v>
      </c>
      <c r="B580" s="100"/>
      <c r="C580" s="71"/>
      <c r="D580" s="71"/>
      <c r="E580" s="72">
        <f>E579*2</f>
        <v>70000</v>
      </c>
      <c r="F580" s="1173">
        <f>E580+E580*20%</f>
        <v>84000</v>
      </c>
      <c r="G580" s="1174">
        <f>PACKAGING!I6</f>
        <v>1070</v>
      </c>
      <c r="H580" s="1175">
        <f>F580+G580</f>
        <v>85070</v>
      </c>
      <c r="I580" s="1176">
        <v>88000</v>
      </c>
    </row>
    <row r="581" spans="1:9" ht="16.5" thickBot="1" x14ac:dyDescent="0.3">
      <c r="A581" s="81" t="s">
        <v>1559</v>
      </c>
      <c r="B581" s="101"/>
      <c r="C581" s="73"/>
      <c r="D581" s="73"/>
      <c r="E581" s="73"/>
      <c r="F581" s="1177"/>
      <c r="G581" s="1178"/>
      <c r="H581" s="1179"/>
      <c r="I581" s="1180"/>
    </row>
    <row r="583" spans="1:9" ht="15.75" x14ac:dyDescent="0.25">
      <c r="A583" s="1602" t="s">
        <v>3684</v>
      </c>
      <c r="B583" s="1600"/>
      <c r="C583" s="1600"/>
      <c r="D583" s="1600"/>
      <c r="E583" s="1600"/>
      <c r="F583" s="171"/>
      <c r="G583" s="171"/>
      <c r="H583" s="1168"/>
      <c r="I583" s="1168"/>
    </row>
    <row r="584" spans="1:9" ht="15.75" x14ac:dyDescent="0.25">
      <c r="A584" s="183" t="s">
        <v>916</v>
      </c>
      <c r="B584" s="97" t="s">
        <v>743</v>
      </c>
      <c r="C584" s="76" t="s">
        <v>1547</v>
      </c>
      <c r="D584" s="108" t="s">
        <v>747</v>
      </c>
      <c r="E584" s="77" t="s">
        <v>1549</v>
      </c>
      <c r="F584" s="1"/>
      <c r="G584" s="1"/>
      <c r="H584" s="1168"/>
      <c r="I584" s="1168"/>
    </row>
    <row r="585" spans="1:9" ht="15.75" x14ac:dyDescent="0.25">
      <c r="A585" s="3" t="s">
        <v>57</v>
      </c>
      <c r="B585" s="98"/>
      <c r="C585" s="2">
        <v>1</v>
      </c>
      <c r="D585" s="66">
        <v>25000</v>
      </c>
      <c r="E585" s="39">
        <f>D585</f>
        <v>25000</v>
      </c>
      <c r="F585" s="1"/>
      <c r="G585" s="1"/>
      <c r="H585" s="1168"/>
      <c r="I585" s="1168"/>
    </row>
    <row r="586" spans="1:9" ht="15.75" x14ac:dyDescent="0.25">
      <c r="A586" s="20" t="s">
        <v>1557</v>
      </c>
      <c r="B586" s="98" t="s">
        <v>1535</v>
      </c>
      <c r="C586" s="2"/>
      <c r="D586" s="6"/>
      <c r="E586" s="39"/>
      <c r="F586" s="1171" t="s">
        <v>3342</v>
      </c>
      <c r="G586" s="1168"/>
      <c r="H586" s="1168"/>
      <c r="I586" s="1168"/>
    </row>
    <row r="587" spans="1:9" ht="16.5" thickBot="1" x14ac:dyDescent="0.3">
      <c r="A587" s="79" t="s">
        <v>525</v>
      </c>
      <c r="B587" s="99"/>
      <c r="C587" s="70"/>
      <c r="D587" s="85"/>
      <c r="E587" s="51">
        <f>SUM(E585:E586)</f>
        <v>25000</v>
      </c>
      <c r="F587" s="1172">
        <f>E587+G588+G589</f>
        <v>25845</v>
      </c>
      <c r="G587" s="1171" t="s">
        <v>3343</v>
      </c>
      <c r="H587" s="1171" t="s">
        <v>3344</v>
      </c>
      <c r="I587" s="1168"/>
    </row>
    <row r="588" spans="1:9" ht="15.75" x14ac:dyDescent="0.25">
      <c r="A588" s="80" t="s">
        <v>544</v>
      </c>
      <c r="B588" s="100"/>
      <c r="C588" s="71"/>
      <c r="D588" s="71"/>
      <c r="E588" s="72">
        <f>E587*2</f>
        <v>50000</v>
      </c>
      <c r="F588" s="1173">
        <f>E588+E588*40%</f>
        <v>70000</v>
      </c>
      <c r="G588" s="1174">
        <f>PACKAGING!I5</f>
        <v>845</v>
      </c>
      <c r="H588" s="1175">
        <f>F588+G588</f>
        <v>70845</v>
      </c>
      <c r="I588" s="1176">
        <v>72000</v>
      </c>
    </row>
    <row r="589" spans="1:9" ht="16.5" thickBot="1" x14ac:dyDescent="0.3">
      <c r="A589" s="81" t="s">
        <v>1559</v>
      </c>
      <c r="B589" s="101"/>
      <c r="C589" s="73"/>
      <c r="D589" s="73"/>
      <c r="E589" s="73"/>
      <c r="F589" s="1177"/>
      <c r="G589" s="1178"/>
      <c r="H589" s="1179"/>
      <c r="I589" s="1180"/>
    </row>
    <row r="591" spans="1:9" ht="15.75" x14ac:dyDescent="0.25">
      <c r="A591" s="1602" t="s">
        <v>3647</v>
      </c>
      <c r="B591" s="1600"/>
      <c r="C591" s="1600"/>
      <c r="D591" s="1600"/>
      <c r="E591" s="1600"/>
      <c r="F591" s="171"/>
      <c r="G591" s="171"/>
      <c r="H591" s="1168"/>
      <c r="I591" s="1168"/>
    </row>
    <row r="592" spans="1:9" ht="15.75" x14ac:dyDescent="0.25">
      <c r="A592" s="183" t="s">
        <v>916</v>
      </c>
      <c r="B592" s="97" t="s">
        <v>743</v>
      </c>
      <c r="C592" s="76" t="s">
        <v>1547</v>
      </c>
      <c r="D592" s="108" t="s">
        <v>747</v>
      </c>
      <c r="E592" s="77" t="s">
        <v>1549</v>
      </c>
      <c r="F592" s="1"/>
      <c r="G592" s="1"/>
      <c r="H592" s="1168"/>
      <c r="I592" s="1168"/>
    </row>
    <row r="593" spans="1:9" ht="15.75" x14ac:dyDescent="0.25">
      <c r="A593" s="3" t="s">
        <v>57</v>
      </c>
      <c r="B593" s="98"/>
      <c r="C593" s="2">
        <v>1</v>
      </c>
      <c r="D593" s="66">
        <v>16000</v>
      </c>
      <c r="E593" s="39">
        <f>D593</f>
        <v>16000</v>
      </c>
      <c r="F593" s="1"/>
      <c r="G593" s="1"/>
      <c r="H593" s="1168"/>
      <c r="I593" s="1168"/>
    </row>
    <row r="594" spans="1:9" ht="15.75" x14ac:dyDescent="0.25">
      <c r="A594" s="20" t="s">
        <v>1557</v>
      </c>
      <c r="B594" s="98" t="s">
        <v>1535</v>
      </c>
      <c r="C594" s="2"/>
      <c r="D594" s="6"/>
      <c r="E594" s="39"/>
      <c r="F594" s="1171" t="s">
        <v>3342</v>
      </c>
      <c r="G594" s="1168"/>
      <c r="H594" s="1168"/>
      <c r="I594" s="1168"/>
    </row>
    <row r="595" spans="1:9" ht="16.5" thickBot="1" x14ac:dyDescent="0.3">
      <c r="A595" s="79" t="s">
        <v>525</v>
      </c>
      <c r="B595" s="99"/>
      <c r="C595" s="70"/>
      <c r="D595" s="85"/>
      <c r="E595" s="51">
        <f>SUM(E593:E594)</f>
        <v>16000</v>
      </c>
      <c r="F595" s="1172">
        <f>E595+G596+G597</f>
        <v>16845</v>
      </c>
      <c r="G595" s="1171" t="s">
        <v>3343</v>
      </c>
      <c r="H595" s="1171" t="s">
        <v>3344</v>
      </c>
      <c r="I595" s="1168"/>
    </row>
    <row r="596" spans="1:9" ht="15.75" x14ac:dyDescent="0.25">
      <c r="A596" s="80" t="s">
        <v>544</v>
      </c>
      <c r="B596" s="100"/>
      <c r="C596" s="71"/>
      <c r="D596" s="71"/>
      <c r="E596" s="72">
        <f>E595*2</f>
        <v>32000</v>
      </c>
      <c r="F596" s="1173">
        <f>E596+E596*40%</f>
        <v>44800</v>
      </c>
      <c r="G596" s="1174">
        <f>PACKAGING!I5</f>
        <v>845</v>
      </c>
      <c r="H596" s="1175">
        <f>F596+G596</f>
        <v>45645</v>
      </c>
      <c r="I596" s="1176">
        <v>53000</v>
      </c>
    </row>
    <row r="597" spans="1:9" ht="16.5" thickBot="1" x14ac:dyDescent="0.3">
      <c r="A597" s="81" t="s">
        <v>1559</v>
      </c>
      <c r="B597" s="101"/>
      <c r="C597" s="73"/>
      <c r="D597" s="73"/>
      <c r="E597" s="73"/>
      <c r="F597" s="1177"/>
      <c r="G597" s="1178"/>
      <c r="H597" s="1179"/>
      <c r="I597" s="1180"/>
    </row>
    <row r="599" spans="1:9" ht="15.75" x14ac:dyDescent="0.25">
      <c r="A599" s="1602" t="s">
        <v>3685</v>
      </c>
      <c r="B599" s="1600"/>
      <c r="C599" s="1600"/>
      <c r="D599" s="1600"/>
      <c r="E599" s="1600"/>
      <c r="F599" s="171"/>
      <c r="G599" s="171"/>
      <c r="H599" s="1168"/>
      <c r="I599" s="1168"/>
    </row>
    <row r="600" spans="1:9" ht="15.75" x14ac:dyDescent="0.25">
      <c r="A600" s="183" t="s">
        <v>916</v>
      </c>
      <c r="B600" s="97" t="s">
        <v>743</v>
      </c>
      <c r="C600" s="76" t="s">
        <v>1547</v>
      </c>
      <c r="D600" s="108" t="s">
        <v>747</v>
      </c>
      <c r="E600" s="77" t="s">
        <v>1549</v>
      </c>
      <c r="F600" s="1"/>
      <c r="G600" s="1"/>
      <c r="H600" s="1168"/>
      <c r="I600" s="1168"/>
    </row>
    <row r="601" spans="1:9" ht="15.75" x14ac:dyDescent="0.25">
      <c r="A601" s="3" t="s">
        <v>57</v>
      </c>
      <c r="B601" s="98"/>
      <c r="C601" s="2">
        <v>1</v>
      </c>
      <c r="D601" s="66">
        <v>17000</v>
      </c>
      <c r="E601" s="39">
        <f>D601</f>
        <v>17000</v>
      </c>
      <c r="F601" s="1"/>
      <c r="G601" s="1"/>
      <c r="H601" s="1168"/>
      <c r="I601" s="1168"/>
    </row>
    <row r="602" spans="1:9" ht="15.75" x14ac:dyDescent="0.25">
      <c r="A602" s="20" t="s">
        <v>1557</v>
      </c>
      <c r="B602" s="98" t="s">
        <v>1535</v>
      </c>
      <c r="C602" s="2"/>
      <c r="D602" s="6"/>
      <c r="E602" s="39"/>
      <c r="F602" s="1171" t="s">
        <v>3342</v>
      </c>
      <c r="G602" s="1168"/>
      <c r="H602" s="1168"/>
      <c r="I602" s="1168"/>
    </row>
    <row r="603" spans="1:9" ht="16.5" thickBot="1" x14ac:dyDescent="0.3">
      <c r="A603" s="79" t="s">
        <v>525</v>
      </c>
      <c r="B603" s="99"/>
      <c r="C603" s="70"/>
      <c r="D603" s="85"/>
      <c r="E603" s="51">
        <f>SUM(E601:E602)</f>
        <v>17000</v>
      </c>
      <c r="F603" s="1172">
        <f>E603+G604+G605</f>
        <v>18000</v>
      </c>
      <c r="G603" s="658" t="s">
        <v>4622</v>
      </c>
      <c r="H603" s="1171" t="s">
        <v>3344</v>
      </c>
      <c r="I603" s="1168"/>
    </row>
    <row r="604" spans="1:9" ht="15.75" x14ac:dyDescent="0.25">
      <c r="A604" s="80" t="s">
        <v>544</v>
      </c>
      <c r="B604" s="100"/>
      <c r="C604" s="71"/>
      <c r="D604" s="71"/>
      <c r="E604" s="72">
        <f>E603*2</f>
        <v>34000</v>
      </c>
      <c r="F604" s="1173">
        <f>E604+E604*60%</f>
        <v>54400</v>
      </c>
      <c r="G604" s="1174">
        <f>PACKAGING!I9</f>
        <v>1000</v>
      </c>
      <c r="H604" s="1175">
        <f>F604+G604</f>
        <v>55400</v>
      </c>
      <c r="I604" s="1176">
        <v>56000</v>
      </c>
    </row>
    <row r="605" spans="1:9" ht="16.5" thickBot="1" x14ac:dyDescent="0.3">
      <c r="A605" s="81" t="s">
        <v>1559</v>
      </c>
      <c r="B605" s="101"/>
      <c r="C605" s="73"/>
      <c r="D605" s="73"/>
      <c r="E605" s="73"/>
      <c r="F605" s="1177"/>
      <c r="G605" s="1178"/>
      <c r="H605" s="1179"/>
      <c r="I605" s="1180"/>
    </row>
    <row r="607" spans="1:9" ht="15.75" x14ac:dyDescent="0.25">
      <c r="A607" s="1602" t="s">
        <v>3648</v>
      </c>
      <c r="B607" s="1600"/>
      <c r="C607" s="1600"/>
      <c r="D607" s="1600"/>
      <c r="E607" s="1600"/>
      <c r="F607" s="171"/>
      <c r="G607" s="171"/>
      <c r="H607" s="1168"/>
      <c r="I607" s="1168"/>
    </row>
    <row r="608" spans="1:9" ht="15.75" x14ac:dyDescent="0.25">
      <c r="A608" s="183" t="s">
        <v>916</v>
      </c>
      <c r="B608" s="97" t="s">
        <v>743</v>
      </c>
      <c r="C608" s="76" t="s">
        <v>1547</v>
      </c>
      <c r="D608" s="108" t="s">
        <v>747</v>
      </c>
      <c r="E608" s="77" t="s">
        <v>1549</v>
      </c>
      <c r="F608" s="1"/>
      <c r="G608" s="1"/>
      <c r="H608" s="1168"/>
      <c r="I608" s="1168"/>
    </row>
    <row r="609" spans="1:9" ht="15.75" x14ac:dyDescent="0.25">
      <c r="A609" s="3" t="s">
        <v>57</v>
      </c>
      <c r="B609" s="98"/>
      <c r="C609" s="2">
        <v>1</v>
      </c>
      <c r="D609" s="66">
        <v>24000</v>
      </c>
      <c r="E609" s="39">
        <f>D609</f>
        <v>24000</v>
      </c>
      <c r="F609" s="1"/>
      <c r="G609" s="1"/>
      <c r="H609" s="1168"/>
      <c r="I609" s="1168"/>
    </row>
    <row r="610" spans="1:9" ht="15.75" x14ac:dyDescent="0.25">
      <c r="A610" s="20" t="s">
        <v>1557</v>
      </c>
      <c r="B610" s="98" t="s">
        <v>1535</v>
      </c>
      <c r="C610" s="2"/>
      <c r="D610" s="6"/>
      <c r="E610" s="39"/>
      <c r="F610" s="1171" t="s">
        <v>3342</v>
      </c>
      <c r="G610" s="1168"/>
      <c r="H610" s="1168"/>
      <c r="I610" s="1168"/>
    </row>
    <row r="611" spans="1:9" ht="16.5" thickBot="1" x14ac:dyDescent="0.3">
      <c r="A611" s="79" t="s">
        <v>525</v>
      </c>
      <c r="B611" s="99"/>
      <c r="C611" s="70"/>
      <c r="D611" s="85"/>
      <c r="E611" s="51">
        <f>SUM(E609:E610)</f>
        <v>24000</v>
      </c>
      <c r="F611" s="1172">
        <f>E611+G612+G613</f>
        <v>25070</v>
      </c>
      <c r="G611" s="1171" t="s">
        <v>3343</v>
      </c>
      <c r="H611" s="1171" t="s">
        <v>3344</v>
      </c>
      <c r="I611" s="1168"/>
    </row>
    <row r="612" spans="1:9" ht="15.75" x14ac:dyDescent="0.25">
      <c r="A612" s="80" t="s">
        <v>544</v>
      </c>
      <c r="B612" s="100"/>
      <c r="C612" s="71"/>
      <c r="D612" s="71"/>
      <c r="E612" s="72">
        <f>E611*2</f>
        <v>48000</v>
      </c>
      <c r="F612" s="1173">
        <f>E612+E612*40%</f>
        <v>67200</v>
      </c>
      <c r="G612" s="1174">
        <f>PACKAGING!I6</f>
        <v>1070</v>
      </c>
      <c r="H612" s="1175">
        <f>F612+G612</f>
        <v>68270</v>
      </c>
      <c r="I612" s="1176">
        <v>72000</v>
      </c>
    </row>
    <row r="613" spans="1:9" ht="16.5" thickBot="1" x14ac:dyDescent="0.3">
      <c r="A613" s="81" t="s">
        <v>1559</v>
      </c>
      <c r="B613" s="101"/>
      <c r="C613" s="73"/>
      <c r="D613" s="73"/>
      <c r="E613" s="73"/>
      <c r="F613" s="1177"/>
      <c r="G613" s="1178"/>
      <c r="H613" s="1179"/>
      <c r="I613" s="1180"/>
    </row>
    <row r="615" spans="1:9" ht="16.5" customHeight="1" x14ac:dyDescent="0.25">
      <c r="A615" s="1602" t="s">
        <v>4621</v>
      </c>
      <c r="B615" s="1600"/>
      <c r="C615" s="1600"/>
      <c r="D615" s="1600"/>
      <c r="E615" s="1600"/>
      <c r="F615" s="171"/>
      <c r="G615" s="171"/>
      <c r="H615" s="1168"/>
      <c r="I615" s="1168"/>
    </row>
    <row r="616" spans="1:9" ht="15.75" x14ac:dyDescent="0.25">
      <c r="A616" s="183" t="s">
        <v>916</v>
      </c>
      <c r="B616" s="97" t="s">
        <v>743</v>
      </c>
      <c r="C616" s="76" t="s">
        <v>1547</v>
      </c>
      <c r="D616" s="108" t="s">
        <v>747</v>
      </c>
      <c r="E616" s="77" t="s">
        <v>1549</v>
      </c>
      <c r="F616" s="1"/>
      <c r="G616" s="1"/>
      <c r="H616" s="1168"/>
      <c r="I616" s="1168"/>
    </row>
    <row r="617" spans="1:9" ht="15.75" x14ac:dyDescent="0.25">
      <c r="A617" s="3" t="s">
        <v>57</v>
      </c>
      <c r="B617" s="98"/>
      <c r="C617" s="2">
        <v>1</v>
      </c>
      <c r="D617" s="66">
        <v>27000</v>
      </c>
      <c r="E617" s="39">
        <f>D617</f>
        <v>27000</v>
      </c>
      <c r="F617" s="1"/>
      <c r="G617" s="1"/>
      <c r="H617" s="1168"/>
      <c r="I617" s="1168"/>
    </row>
    <row r="618" spans="1:9" ht="15.75" x14ac:dyDescent="0.25">
      <c r="A618" s="20" t="s">
        <v>1557</v>
      </c>
      <c r="B618" s="98" t="s">
        <v>1535</v>
      </c>
      <c r="C618" s="2"/>
      <c r="D618" s="6"/>
      <c r="E618" s="39"/>
      <c r="F618" s="1171" t="s">
        <v>3342</v>
      </c>
      <c r="G618" s="1168"/>
      <c r="H618" s="1168"/>
      <c r="I618" s="1168"/>
    </row>
    <row r="619" spans="1:9" ht="16.5" thickBot="1" x14ac:dyDescent="0.3">
      <c r="A619" s="79" t="s">
        <v>525</v>
      </c>
      <c r="B619" s="99"/>
      <c r="C619" s="70"/>
      <c r="D619" s="85"/>
      <c r="E619" s="51">
        <f>SUM(E617:E618)</f>
        <v>27000</v>
      </c>
      <c r="F619" s="1172">
        <f>E619+G620+G621</f>
        <v>28070</v>
      </c>
      <c r="G619" s="1171" t="s">
        <v>3343</v>
      </c>
      <c r="H619" s="1171" t="s">
        <v>3344</v>
      </c>
      <c r="I619" s="1168"/>
    </row>
    <row r="620" spans="1:9" ht="15.75" x14ac:dyDescent="0.25">
      <c r="A620" s="80" t="s">
        <v>544</v>
      </c>
      <c r="B620" s="100"/>
      <c r="C620" s="71"/>
      <c r="D620" s="71"/>
      <c r="E620" s="72">
        <f>E619*2</f>
        <v>54000</v>
      </c>
      <c r="F620" s="1173">
        <f>E620+E620*20%</f>
        <v>64800</v>
      </c>
      <c r="G620" s="1174">
        <f>PACKAGING!I6</f>
        <v>1070</v>
      </c>
      <c r="H620" s="1175">
        <f>F620+G620</f>
        <v>65870</v>
      </c>
      <c r="I620" s="1176">
        <v>88000</v>
      </c>
    </row>
    <row r="621" spans="1:9" ht="16.5" thickBot="1" x14ac:dyDescent="0.3">
      <c r="A621" s="81" t="s">
        <v>1559</v>
      </c>
      <c r="B621" s="101"/>
      <c r="C621" s="73"/>
      <c r="D621" s="73"/>
      <c r="E621" s="73"/>
      <c r="F621" s="1177"/>
      <c r="G621" s="1178"/>
      <c r="H621" s="1179"/>
      <c r="I621" s="1180"/>
    </row>
    <row r="622" spans="1:9" ht="15.75" thickBot="1" x14ac:dyDescent="0.3"/>
    <row r="623" spans="1:9" ht="16.5" thickBot="1" x14ac:dyDescent="0.3">
      <c r="A623" s="1565" t="s">
        <v>3380</v>
      </c>
      <c r="B623" s="1566"/>
      <c r="C623" s="1566"/>
      <c r="D623" s="1566"/>
      <c r="E623" s="1566"/>
      <c r="F623" s="1566"/>
      <c r="G623" s="1567"/>
      <c r="H623" s="1"/>
      <c r="I623" s="1"/>
    </row>
    <row r="624" spans="1:9" ht="15.75" x14ac:dyDescent="0.25">
      <c r="A624" s="78" t="s">
        <v>916</v>
      </c>
      <c r="B624" s="385" t="s">
        <v>743</v>
      </c>
      <c r="C624" s="385" t="s">
        <v>1716</v>
      </c>
      <c r="D624" s="385" t="s">
        <v>1607</v>
      </c>
      <c r="E624" s="385" t="s">
        <v>1566</v>
      </c>
      <c r="F624" s="82" t="s">
        <v>1035</v>
      </c>
      <c r="G624" s="83" t="s">
        <v>1549</v>
      </c>
      <c r="H624" s="1"/>
      <c r="I624" s="1"/>
    </row>
    <row r="625" spans="1:9" ht="15.75" x14ac:dyDescent="0.25">
      <c r="A625" s="184" t="s">
        <v>3381</v>
      </c>
      <c r="B625" s="98" t="s">
        <v>805</v>
      </c>
      <c r="C625" s="98"/>
      <c r="D625" s="98"/>
      <c r="E625" s="98">
        <v>14</v>
      </c>
      <c r="F625" s="102">
        <f>PIEDRAS!F119</f>
        <v>95.238095238095241</v>
      </c>
      <c r="G625" s="39">
        <f>F625*E625</f>
        <v>1333.3333333333335</v>
      </c>
      <c r="H625" s="1"/>
      <c r="I625" s="1"/>
    </row>
    <row r="626" spans="1:9" ht="15.75" x14ac:dyDescent="0.25">
      <c r="A626" s="184" t="s">
        <v>3382</v>
      </c>
      <c r="B626" s="98"/>
      <c r="C626" s="98"/>
      <c r="D626" s="98"/>
      <c r="E626" s="98">
        <v>1</v>
      </c>
      <c r="F626" s="102">
        <f>FORNITURAS!I9</f>
        <v>60.526315789473685</v>
      </c>
      <c r="G626" s="39">
        <f t="shared" ref="G626:G629" si="1">F626*E626</f>
        <v>60.526315789473685</v>
      </c>
      <c r="H626" s="1"/>
      <c r="I626" s="1"/>
    </row>
    <row r="627" spans="1:9" ht="15.75" x14ac:dyDescent="0.25">
      <c r="A627" s="184" t="s">
        <v>1554</v>
      </c>
      <c r="B627" s="98" t="s">
        <v>777</v>
      </c>
      <c r="C627" s="98"/>
      <c r="D627" s="98"/>
      <c r="E627" s="98">
        <v>2</v>
      </c>
      <c r="F627" s="102">
        <f>FORNITURAS!D26</f>
        <v>297.14285714285717</v>
      </c>
      <c r="G627" s="39">
        <f t="shared" si="1"/>
        <v>594.28571428571433</v>
      </c>
      <c r="H627" s="1"/>
      <c r="I627" s="1"/>
    </row>
    <row r="628" spans="1:9" ht="15.75" x14ac:dyDescent="0.25">
      <c r="A628" s="184" t="s">
        <v>1587</v>
      </c>
      <c r="B628" s="98"/>
      <c r="C628" s="98"/>
      <c r="D628" s="98"/>
      <c r="E628" s="98">
        <v>1</v>
      </c>
      <c r="F628" s="102">
        <f>FORNITURAS!D18</f>
        <v>363</v>
      </c>
      <c r="G628" s="39">
        <f t="shared" si="1"/>
        <v>363</v>
      </c>
      <c r="H628" s="1"/>
      <c r="I628" s="1"/>
    </row>
    <row r="629" spans="1:9" ht="15.75" x14ac:dyDescent="0.25">
      <c r="A629" s="184" t="s">
        <v>1012</v>
      </c>
      <c r="B629" s="98"/>
      <c r="C629" s="98"/>
      <c r="D629" s="98"/>
      <c r="E629" s="98">
        <v>2</v>
      </c>
      <c r="F629" s="102">
        <f>FORNITURAS!D17</f>
        <v>45.05</v>
      </c>
      <c r="G629" s="39">
        <f t="shared" si="1"/>
        <v>90.1</v>
      </c>
      <c r="H629" s="1"/>
      <c r="I629" s="1"/>
    </row>
    <row r="630" spans="1:9" ht="15.75" x14ac:dyDescent="0.25">
      <c r="A630" s="184" t="s">
        <v>1424</v>
      </c>
      <c r="B630" s="98"/>
      <c r="C630" s="98"/>
      <c r="D630" s="98">
        <v>0.26</v>
      </c>
      <c r="E630" s="98">
        <v>1</v>
      </c>
      <c r="F630" s="102">
        <f>'HILOS-CORDONES-TANZA-CUERO'!L9</f>
        <v>30</v>
      </c>
      <c r="G630" s="39">
        <f>F630*E630*D630</f>
        <v>7.8000000000000007</v>
      </c>
      <c r="H630" s="1"/>
      <c r="I630" s="1"/>
    </row>
    <row r="631" spans="1:9" ht="15.75" x14ac:dyDescent="0.25">
      <c r="A631" s="184" t="s">
        <v>1608</v>
      </c>
      <c r="B631" s="98"/>
      <c r="C631" s="98"/>
      <c r="D631" s="98"/>
      <c r="E631" s="98">
        <v>3.5000000000000003E-2</v>
      </c>
      <c r="F631" s="102">
        <f>'AROS, CADENAS, DIJES, ETC'!I38</f>
        <v>3630</v>
      </c>
      <c r="G631" s="39">
        <f>F631*E631</f>
        <v>127.05000000000001</v>
      </c>
      <c r="H631" s="1"/>
      <c r="I631" s="1"/>
    </row>
    <row r="632" spans="1:9" ht="15.75" x14ac:dyDescent="0.25">
      <c r="A632" s="3" t="s">
        <v>1557</v>
      </c>
      <c r="B632" s="98"/>
      <c r="C632" s="98"/>
      <c r="D632" s="98"/>
      <c r="E632" s="98"/>
      <c r="F632" s="2"/>
      <c r="G632" s="39">
        <f>PACKAGING!E3</f>
        <v>150</v>
      </c>
      <c r="H632" s="1"/>
      <c r="I632" s="1"/>
    </row>
    <row r="633" spans="1:9" ht="15.75" x14ac:dyDescent="0.25">
      <c r="A633" s="104" t="s">
        <v>1538</v>
      </c>
      <c r="B633" s="98"/>
      <c r="C633" s="98"/>
      <c r="D633" s="98"/>
      <c r="E633" s="98"/>
      <c r="F633" s="2"/>
      <c r="G633" s="39">
        <f>PACKAGING!E8</f>
        <v>420</v>
      </c>
      <c r="H633" s="1"/>
      <c r="I633" s="1"/>
    </row>
    <row r="634" spans="1:9" ht="15.75" x14ac:dyDescent="0.25">
      <c r="A634" s="104" t="s">
        <v>1558</v>
      </c>
      <c r="B634" s="98">
        <v>60</v>
      </c>
      <c r="C634" s="98"/>
      <c r="D634" s="98"/>
      <c r="E634" s="98">
        <v>15</v>
      </c>
      <c r="F634" s="102">
        <f>'INSUMOS VARIOS'!B3</f>
        <v>3500</v>
      </c>
      <c r="G634" s="39">
        <f>F634*E634/B634</f>
        <v>875</v>
      </c>
      <c r="H634" s="1"/>
      <c r="I634" s="1"/>
    </row>
    <row r="635" spans="1:9" ht="16.5" thickBot="1" x14ac:dyDescent="0.3">
      <c r="A635" s="79" t="s">
        <v>525</v>
      </c>
      <c r="B635" s="99"/>
      <c r="C635" s="99"/>
      <c r="D635" s="99"/>
      <c r="E635" s="70"/>
      <c r="F635" s="85"/>
      <c r="G635" s="51">
        <f>SUM(G625:G634)</f>
        <v>4021.0953634085217</v>
      </c>
      <c r="H635" s="1"/>
      <c r="I635" s="1"/>
    </row>
    <row r="636" spans="1:9" ht="19.5" thickBot="1" x14ac:dyDescent="0.3">
      <c r="A636" s="80" t="s">
        <v>544</v>
      </c>
      <c r="B636" s="100"/>
      <c r="C636" s="100"/>
      <c r="D636" s="100"/>
      <c r="E636" s="71"/>
      <c r="F636" s="71"/>
      <c r="G636" s="72">
        <f>G635*2</f>
        <v>8042.1907268170435</v>
      </c>
      <c r="H636" s="512">
        <f>G636+G636*50%</f>
        <v>12063.286090225565</v>
      </c>
      <c r="I636" s="75">
        <v>7500</v>
      </c>
    </row>
    <row r="637" spans="1:9" ht="19.5" thickBot="1" x14ac:dyDescent="0.3">
      <c r="A637" s="81" t="s">
        <v>1559</v>
      </c>
      <c r="B637" s="101"/>
      <c r="C637" s="101"/>
      <c r="D637" s="101"/>
      <c r="E637" s="73"/>
      <c r="F637" s="73"/>
      <c r="G637" s="73"/>
      <c r="H637" s="522"/>
      <c r="I637" s="75">
        <f>I636*2</f>
        <v>15000</v>
      </c>
    </row>
    <row r="639" spans="1:9" ht="15.75" x14ac:dyDescent="0.25">
      <c r="A639" s="1576" t="s">
        <v>3387</v>
      </c>
      <c r="B639" s="1577"/>
      <c r="C639" s="1577"/>
      <c r="D639" s="1577"/>
      <c r="E639" s="1577"/>
      <c r="F639" s="1577"/>
      <c r="G639" s="1"/>
      <c r="H639" s="1"/>
    </row>
    <row r="640" spans="1:9" ht="15.75" x14ac:dyDescent="0.25">
      <c r="A640" s="183" t="s">
        <v>916</v>
      </c>
      <c r="B640" s="97" t="s">
        <v>1194</v>
      </c>
      <c r="C640" s="97" t="s">
        <v>1089</v>
      </c>
      <c r="D640" s="76" t="s">
        <v>1547</v>
      </c>
      <c r="E640" s="108" t="s">
        <v>1035</v>
      </c>
      <c r="F640" s="77" t="s">
        <v>1549</v>
      </c>
      <c r="G640" s="1"/>
      <c r="H640" s="1"/>
    </row>
    <row r="641" spans="1:8" ht="15.75" x14ac:dyDescent="0.25">
      <c r="A641" s="104" t="s">
        <v>2065</v>
      </c>
      <c r="B641" s="148"/>
      <c r="C641" s="2"/>
      <c r="D641" s="107">
        <v>1</v>
      </c>
      <c r="E641" s="109">
        <f>'INSUMOS VARIOS'!E65</f>
        <v>44.2</v>
      </c>
      <c r="F641" s="110">
        <f>E641*D641</f>
        <v>44.2</v>
      </c>
      <c r="G641" s="1"/>
      <c r="H641" s="1"/>
    </row>
    <row r="642" spans="1:8" ht="15.75" x14ac:dyDescent="0.25">
      <c r="A642" s="104" t="s">
        <v>3389</v>
      </c>
      <c r="B642" s="148"/>
      <c r="C642" s="2"/>
      <c r="D642" s="107">
        <v>1</v>
      </c>
      <c r="E642" s="109">
        <f>VIDRIOS!E34</f>
        <v>18.478260869565219</v>
      </c>
      <c r="F642" s="110">
        <f>D642*E642</f>
        <v>18.478260869565219</v>
      </c>
      <c r="G642" s="1"/>
      <c r="H642" s="1"/>
    </row>
    <row r="643" spans="1:8" ht="15.75" x14ac:dyDescent="0.25">
      <c r="A643" s="104" t="s">
        <v>3388</v>
      </c>
      <c r="B643" s="148"/>
      <c r="C643" s="98"/>
      <c r="D643" s="2">
        <v>0.42</v>
      </c>
      <c r="E643" s="109">
        <f>'HILOS-CORDONES-TANZA-CUERO'!E19</f>
        <v>300</v>
      </c>
      <c r="F643" s="110">
        <f>E643*D643</f>
        <v>126</v>
      </c>
      <c r="G643" s="1"/>
      <c r="H643" s="1"/>
    </row>
    <row r="644" spans="1:8" ht="15.75" x14ac:dyDescent="0.25">
      <c r="A644" s="104" t="s">
        <v>3390</v>
      </c>
      <c r="B644" s="148"/>
      <c r="C644" s="98"/>
      <c r="D644" s="2">
        <v>0.2</v>
      </c>
      <c r="E644" s="1186">
        <f>'HILOS-CORDONES-TANZA-CUERO'!E7</f>
        <v>50.35</v>
      </c>
      <c r="F644" s="110">
        <f>E644*D644</f>
        <v>10.07</v>
      </c>
      <c r="G644" s="1"/>
      <c r="H644" s="1"/>
    </row>
    <row r="645" spans="1:8" ht="15.75" x14ac:dyDescent="0.25">
      <c r="A645" s="3" t="s">
        <v>1557</v>
      </c>
      <c r="B645" s="98"/>
      <c r="C645" s="98"/>
      <c r="D645" s="2"/>
      <c r="E645" s="102"/>
      <c r="F645" s="39">
        <f>PACKAGING!E3</f>
        <v>150</v>
      </c>
      <c r="G645" s="1"/>
      <c r="H645" s="1"/>
    </row>
    <row r="646" spans="1:8" ht="18.75" x14ac:dyDescent="0.25">
      <c r="A646" s="3" t="s">
        <v>1558</v>
      </c>
      <c r="B646" s="98">
        <v>60</v>
      </c>
      <c r="C646" s="98">
        <v>20</v>
      </c>
      <c r="D646" s="2"/>
      <c r="E646" s="66">
        <f>'INSUMOS VARIOS'!B3</f>
        <v>3500</v>
      </c>
      <c r="F646" s="39">
        <f>E646*C646/B646</f>
        <v>1166.6666666666667</v>
      </c>
      <c r="G646" s="96"/>
      <c r="H646" s="96"/>
    </row>
    <row r="647" spans="1:8" ht="16.5" thickBot="1" x14ac:dyDescent="0.3">
      <c r="A647" s="79" t="s">
        <v>525</v>
      </c>
      <c r="B647" s="99"/>
      <c r="C647" s="99"/>
      <c r="D647" s="70"/>
      <c r="E647" s="85"/>
      <c r="F647" s="51">
        <f>SUM(F641:F646)</f>
        <v>1515.414927536232</v>
      </c>
      <c r="G647" s="1"/>
      <c r="H647" s="1"/>
    </row>
    <row r="648" spans="1:8" ht="18.75" x14ac:dyDescent="0.25">
      <c r="A648" s="80" t="s">
        <v>544</v>
      </c>
      <c r="B648" s="100"/>
      <c r="C648" s="100"/>
      <c r="D648" s="71"/>
      <c r="E648" s="71"/>
      <c r="F648" s="72">
        <f>F647*2</f>
        <v>3030.8298550724639</v>
      </c>
      <c r="G648" s="512">
        <f>F648+F648*50%</f>
        <v>4546.2447826086955</v>
      </c>
      <c r="H648" s="75">
        <v>3200</v>
      </c>
    </row>
    <row r="649" spans="1:8" ht="19.5" thickBot="1" x14ac:dyDescent="0.3">
      <c r="A649" s="81" t="s">
        <v>1559</v>
      </c>
      <c r="B649" s="101"/>
      <c r="C649" s="101"/>
      <c r="D649" s="73"/>
      <c r="E649" s="73"/>
      <c r="F649" s="73"/>
      <c r="G649" s="529"/>
      <c r="H649" s="74">
        <f>H648*2</f>
        <v>6400</v>
      </c>
    </row>
    <row r="651" spans="1:8" ht="15.75" x14ac:dyDescent="0.25">
      <c r="A651" s="1576" t="s">
        <v>3391</v>
      </c>
      <c r="B651" s="1577"/>
      <c r="C651" s="1577"/>
      <c r="D651" s="1577"/>
      <c r="E651" s="1577"/>
      <c r="F651" s="1577"/>
      <c r="G651" s="1"/>
      <c r="H651" s="1"/>
    </row>
    <row r="652" spans="1:8" ht="15.75" x14ac:dyDescent="0.25">
      <c r="A652" s="183" t="s">
        <v>916</v>
      </c>
      <c r="B652" s="97" t="s">
        <v>1194</v>
      </c>
      <c r="C652" s="97" t="s">
        <v>1089</v>
      </c>
      <c r="D652" s="76" t="s">
        <v>1547</v>
      </c>
      <c r="E652" s="108" t="s">
        <v>1035</v>
      </c>
      <c r="F652" s="77" t="s">
        <v>1549</v>
      </c>
      <c r="G652" s="1"/>
      <c r="H652" s="1"/>
    </row>
    <row r="653" spans="1:8" ht="15.75" x14ac:dyDescent="0.25">
      <c r="A653" s="104" t="s">
        <v>2065</v>
      </c>
      <c r="B653" s="148"/>
      <c r="C653" s="2"/>
      <c r="D653" s="107">
        <v>1</v>
      </c>
      <c r="E653" s="109">
        <f>'INSUMOS VARIOS'!E65</f>
        <v>44.2</v>
      </c>
      <c r="F653" s="110">
        <f>E653*D653</f>
        <v>44.2</v>
      </c>
      <c r="G653" s="1"/>
      <c r="H653" s="1"/>
    </row>
    <row r="654" spans="1:8" ht="15.75" x14ac:dyDescent="0.25">
      <c r="A654" s="104" t="s">
        <v>3376</v>
      </c>
      <c r="B654" s="148" t="s">
        <v>1022</v>
      </c>
      <c r="C654" s="2"/>
      <c r="D654" s="107">
        <v>1</v>
      </c>
      <c r="E654" s="109">
        <f>PIEDRAS!F132</f>
        <v>60</v>
      </c>
      <c r="F654" s="110">
        <f>D654*E654</f>
        <v>60</v>
      </c>
      <c r="G654" s="1"/>
      <c r="H654" s="1"/>
    </row>
    <row r="655" spans="1:8" ht="15.75" x14ac:dyDescent="0.25">
      <c r="A655" s="104" t="s">
        <v>3375</v>
      </c>
      <c r="B655" s="148"/>
      <c r="C655" s="98"/>
      <c r="D655" s="2">
        <v>0.42</v>
      </c>
      <c r="E655" s="109">
        <f>'HILOS-CORDONES-TANZA-CUERO'!E18</f>
        <v>300</v>
      </c>
      <c r="F655" s="110">
        <f>E655*D655</f>
        <v>126</v>
      </c>
      <c r="G655" s="1"/>
      <c r="H655" s="1"/>
    </row>
    <row r="656" spans="1:8" ht="15.75" x14ac:dyDescent="0.25">
      <c r="A656" s="104" t="s">
        <v>3390</v>
      </c>
      <c r="B656" s="148"/>
      <c r="C656" s="98"/>
      <c r="D656" s="2">
        <v>0.2</v>
      </c>
      <c r="E656" s="1186">
        <f>'HILOS-CORDONES-TANZA-CUERO'!E7</f>
        <v>50.35</v>
      </c>
      <c r="F656" s="110">
        <f>E656*D656</f>
        <v>10.07</v>
      </c>
      <c r="G656" s="1"/>
      <c r="H656" s="1"/>
    </row>
    <row r="657" spans="1:8" ht="15.75" x14ac:dyDescent="0.25">
      <c r="A657" s="3" t="s">
        <v>1557</v>
      </c>
      <c r="B657" s="98"/>
      <c r="C657" s="98"/>
      <c r="D657" s="2"/>
      <c r="E657" s="102"/>
      <c r="F657" s="39">
        <f>PACKAGING!E3</f>
        <v>150</v>
      </c>
      <c r="G657" s="1"/>
      <c r="H657" s="1"/>
    </row>
    <row r="658" spans="1:8" ht="18.75" x14ac:dyDescent="0.25">
      <c r="A658" s="3" t="s">
        <v>1558</v>
      </c>
      <c r="B658" s="98">
        <v>60</v>
      </c>
      <c r="C658" s="98">
        <v>20</v>
      </c>
      <c r="D658" s="2"/>
      <c r="E658" s="66">
        <f>'INSUMOS VARIOS'!B3</f>
        <v>3500</v>
      </c>
      <c r="F658" s="39">
        <f>E658*C658/B658</f>
        <v>1166.6666666666667</v>
      </c>
      <c r="G658" s="96"/>
      <c r="H658" s="96"/>
    </row>
    <row r="659" spans="1:8" ht="16.5" thickBot="1" x14ac:dyDescent="0.3">
      <c r="A659" s="79" t="s">
        <v>525</v>
      </c>
      <c r="B659" s="99"/>
      <c r="C659" s="99"/>
      <c r="D659" s="70"/>
      <c r="E659" s="85"/>
      <c r="F659" s="51">
        <f>SUM(F653:F658)</f>
        <v>1556.9366666666667</v>
      </c>
      <c r="G659" s="1"/>
      <c r="H659" s="1"/>
    </row>
    <row r="660" spans="1:8" ht="18.75" x14ac:dyDescent="0.25">
      <c r="A660" s="80" t="s">
        <v>544</v>
      </c>
      <c r="B660" s="100"/>
      <c r="C660" s="100"/>
      <c r="D660" s="71"/>
      <c r="E660" s="71"/>
      <c r="F660" s="72">
        <f>F659*2</f>
        <v>3113.8733333333334</v>
      </c>
      <c r="G660" s="512">
        <f>F660+F660*50%</f>
        <v>4670.8100000000004</v>
      </c>
      <c r="H660" s="75">
        <v>3200</v>
      </c>
    </row>
    <row r="661" spans="1:8" ht="19.5" thickBot="1" x14ac:dyDescent="0.3">
      <c r="A661" s="81" t="s">
        <v>1559</v>
      </c>
      <c r="B661" s="101"/>
      <c r="C661" s="101"/>
      <c r="D661" s="73"/>
      <c r="E661" s="73"/>
      <c r="F661" s="73"/>
      <c r="G661" s="529"/>
      <c r="H661" s="74">
        <f>H660*2</f>
        <v>6400</v>
      </c>
    </row>
    <row r="664" spans="1:8" ht="15.75" x14ac:dyDescent="0.25">
      <c r="A664" s="1576" t="s">
        <v>442</v>
      </c>
      <c r="B664" s="1577"/>
      <c r="C664" s="1577"/>
      <c r="D664" s="1577"/>
      <c r="E664" s="1577"/>
      <c r="F664" s="1577"/>
      <c r="G664" s="1"/>
      <c r="H664" s="603"/>
    </row>
    <row r="665" spans="1:8" ht="15.75" x14ac:dyDescent="0.25">
      <c r="A665" s="1130" t="s">
        <v>916</v>
      </c>
      <c r="B665" s="97" t="s">
        <v>1194</v>
      </c>
      <c r="C665" s="97" t="s">
        <v>1089</v>
      </c>
      <c r="D665" s="76" t="s">
        <v>1547</v>
      </c>
      <c r="E665" s="108" t="s">
        <v>1035</v>
      </c>
      <c r="F665" s="77" t="s">
        <v>1549</v>
      </c>
      <c r="G665" s="1"/>
      <c r="H665" s="603"/>
    </row>
    <row r="666" spans="1:8" ht="15.75" x14ac:dyDescent="0.25">
      <c r="A666" s="98" t="s">
        <v>3572</v>
      </c>
      <c r="B666" s="148"/>
      <c r="C666" s="2"/>
      <c r="D666" s="107">
        <v>18</v>
      </c>
      <c r="E666" s="109">
        <f>PIEDRAS!F136</f>
        <v>56.333333333333336</v>
      </c>
      <c r="F666" s="110">
        <f t="shared" ref="F666:F671" si="2">E666*D666</f>
        <v>1014</v>
      </c>
      <c r="G666" s="1"/>
      <c r="H666" s="603"/>
    </row>
    <row r="667" spans="1:8" ht="15.75" x14ac:dyDescent="0.25">
      <c r="A667" s="104" t="s">
        <v>3573</v>
      </c>
      <c r="B667" s="148"/>
      <c r="C667" s="2"/>
      <c r="D667" s="107">
        <v>5</v>
      </c>
      <c r="E667" s="109">
        <f>PIEDRAS!F141</f>
        <v>71.25</v>
      </c>
      <c r="F667" s="110">
        <f t="shared" si="2"/>
        <v>356.25</v>
      </c>
      <c r="G667" s="1"/>
      <c r="H667" s="603"/>
    </row>
    <row r="668" spans="1:8" ht="15.75" x14ac:dyDescent="0.25">
      <c r="A668" s="104" t="s">
        <v>1594</v>
      </c>
      <c r="B668" s="148"/>
      <c r="C668" s="98"/>
      <c r="D668" s="2">
        <v>0.28000000000000003</v>
      </c>
      <c r="E668" s="109">
        <f>'HILOS-CORDONES-TANZA-CUERO'!L6</f>
        <v>8</v>
      </c>
      <c r="F668" s="110">
        <f t="shared" si="2"/>
        <v>2.2400000000000002</v>
      </c>
      <c r="G668" s="1"/>
      <c r="H668" s="603"/>
    </row>
    <row r="669" spans="1:8" ht="15.75" x14ac:dyDescent="0.25">
      <c r="A669" s="3" t="s">
        <v>1585</v>
      </c>
      <c r="B669" s="98"/>
      <c r="C669" s="98"/>
      <c r="D669" s="2">
        <v>20</v>
      </c>
      <c r="E669" s="66">
        <f>'PALAIS DU BIJOU'!O18</f>
        <v>2.625</v>
      </c>
      <c r="F669" s="39">
        <f t="shared" si="2"/>
        <v>52.5</v>
      </c>
      <c r="G669" s="1"/>
      <c r="H669" s="603"/>
    </row>
    <row r="670" spans="1:8" ht="15.75" x14ac:dyDescent="0.25">
      <c r="A670" s="104" t="s">
        <v>3507</v>
      </c>
      <c r="B670" s="98"/>
      <c r="C670" s="98"/>
      <c r="D670" s="2">
        <v>4</v>
      </c>
      <c r="E670" s="66">
        <f>FORNITURAS!I13</f>
        <v>274.44444444444446</v>
      </c>
      <c r="F670" s="39">
        <f t="shared" si="2"/>
        <v>1097.7777777777778</v>
      </c>
      <c r="G670" s="1"/>
      <c r="H670" s="603"/>
    </row>
    <row r="671" spans="1:8" ht="15.75" x14ac:dyDescent="0.25">
      <c r="A671" s="104" t="s">
        <v>3203</v>
      </c>
      <c r="B671" s="98"/>
      <c r="C671" s="98"/>
      <c r="D671" s="2">
        <v>1</v>
      </c>
      <c r="E671" s="66">
        <f>FORNITURAS!I5</f>
        <v>188.85714285714286</v>
      </c>
      <c r="F671" s="39">
        <f t="shared" si="2"/>
        <v>188.85714285714286</v>
      </c>
      <c r="G671" s="1"/>
      <c r="H671" s="603"/>
    </row>
    <row r="672" spans="1:8" ht="15.75" x14ac:dyDescent="0.25">
      <c r="A672" s="104" t="s">
        <v>3571</v>
      </c>
      <c r="B672" s="98"/>
      <c r="C672" s="98"/>
      <c r="D672" s="2"/>
      <c r="E672" s="66"/>
      <c r="F672" s="39">
        <f>PACKAGING!E7</f>
        <v>170</v>
      </c>
      <c r="G672" s="1"/>
      <c r="H672" s="603"/>
    </row>
    <row r="673" spans="1:9" ht="15.75" x14ac:dyDescent="0.25">
      <c r="A673" s="104" t="s">
        <v>1555</v>
      </c>
      <c r="B673" s="98"/>
      <c r="C673" s="98"/>
      <c r="D673" s="2">
        <v>1</v>
      </c>
      <c r="E673" s="66">
        <f>FORNITURAS!D7</f>
        <v>52</v>
      </c>
      <c r="F673" s="39">
        <f>E673</f>
        <v>52</v>
      </c>
      <c r="G673" s="1"/>
      <c r="H673" s="603"/>
    </row>
    <row r="674" spans="1:9" ht="15.75" x14ac:dyDescent="0.25">
      <c r="A674" s="104" t="s">
        <v>1557</v>
      </c>
      <c r="B674" s="98"/>
      <c r="C674" s="98"/>
      <c r="D674" s="2"/>
      <c r="E674" s="66"/>
      <c r="F674" s="39">
        <f>PACKAGING!E3</f>
        <v>150</v>
      </c>
      <c r="G674" s="1"/>
      <c r="H674" s="603"/>
    </row>
    <row r="675" spans="1:9" ht="15.75" x14ac:dyDescent="0.25">
      <c r="A675" s="3" t="s">
        <v>1670</v>
      </c>
      <c r="B675" s="98"/>
      <c r="C675" s="98"/>
      <c r="D675" s="2"/>
      <c r="E675" s="6"/>
      <c r="F675" s="39">
        <f>PACKAGING!E8</f>
        <v>420</v>
      </c>
      <c r="G675" s="1"/>
      <c r="H675" s="603"/>
    </row>
    <row r="676" spans="1:9" ht="18.75" x14ac:dyDescent="0.25">
      <c r="A676" s="3" t="s">
        <v>1558</v>
      </c>
      <c r="B676" s="98">
        <v>60</v>
      </c>
      <c r="C676" s="604"/>
      <c r="D676" s="2">
        <v>20</v>
      </c>
      <c r="E676" s="66">
        <f>'INSUMOS VARIOS'!B3</f>
        <v>3500</v>
      </c>
      <c r="F676" s="39">
        <f>D676*E676/B676</f>
        <v>1166.6666666666667</v>
      </c>
      <c r="G676" s="96"/>
      <c r="H676" s="603"/>
    </row>
    <row r="677" spans="1:9" ht="16.5" thickBot="1" x14ac:dyDescent="0.3">
      <c r="A677" s="79" t="s">
        <v>525</v>
      </c>
      <c r="B677" s="99"/>
      <c r="C677" s="99"/>
      <c r="D677" s="70"/>
      <c r="E677" s="85"/>
      <c r="F677" s="51">
        <f>SUM(F666:F676)</f>
        <v>4670.2915873015872</v>
      </c>
      <c r="G677" s="1"/>
      <c r="H677" s="603"/>
    </row>
    <row r="678" spans="1:9" ht="18.75" x14ac:dyDescent="0.25">
      <c r="A678" s="80" t="s">
        <v>544</v>
      </c>
      <c r="B678" s="100"/>
      <c r="C678" s="100"/>
      <c r="D678" s="71"/>
      <c r="E678" s="71"/>
      <c r="F678" s="72">
        <f>F677*2</f>
        <v>9340.5831746031745</v>
      </c>
      <c r="G678" s="512">
        <f>F678+F678*70%</f>
        <v>15878.991396825397</v>
      </c>
      <c r="H678" s="75">
        <v>16000</v>
      </c>
    </row>
    <row r="679" spans="1:9" ht="19.5" thickBot="1" x14ac:dyDescent="0.3">
      <c r="A679" s="81" t="s">
        <v>1559</v>
      </c>
      <c r="B679" s="101"/>
      <c r="C679" s="101"/>
      <c r="D679" s="73"/>
      <c r="E679" s="73"/>
      <c r="F679" s="73"/>
      <c r="G679" s="522"/>
      <c r="H679" s="1281">
        <f>H678*60%</f>
        <v>9600</v>
      </c>
      <c r="I679" s="1273" t="s">
        <v>3687</v>
      </c>
    </row>
    <row r="681" spans="1:9" ht="15.75" x14ac:dyDescent="0.25">
      <c r="A681" s="1576" t="s">
        <v>3653</v>
      </c>
      <c r="B681" s="1577"/>
      <c r="C681" s="1577"/>
      <c r="D681" s="1577"/>
      <c r="E681" s="1577"/>
      <c r="F681" s="1577"/>
      <c r="G681" s="1"/>
      <c r="H681" s="603"/>
    </row>
    <row r="682" spans="1:9" ht="15.75" x14ac:dyDescent="0.25">
      <c r="A682" s="1130" t="s">
        <v>916</v>
      </c>
      <c r="B682" s="97" t="s">
        <v>1194</v>
      </c>
      <c r="C682" s="97" t="s">
        <v>1089</v>
      </c>
      <c r="D682" s="76" t="s">
        <v>1547</v>
      </c>
      <c r="E682" s="108" t="s">
        <v>1035</v>
      </c>
      <c r="F682" s="77" t="s">
        <v>1549</v>
      </c>
      <c r="G682" s="1"/>
      <c r="H682" s="603"/>
    </row>
    <row r="683" spans="1:9" ht="15.75" x14ac:dyDescent="0.25">
      <c r="A683" s="98" t="s">
        <v>3574</v>
      </c>
      <c r="B683" s="148"/>
      <c r="C683" s="2">
        <v>0.37</v>
      </c>
      <c r="D683" s="107">
        <v>0.16</v>
      </c>
      <c r="E683" s="109">
        <f>PIEDRAS!E33</f>
        <v>4212</v>
      </c>
      <c r="F683" s="110">
        <f>E683*D683/C683</f>
        <v>1821.4054054054054</v>
      </c>
      <c r="G683" s="1"/>
      <c r="H683" s="603"/>
    </row>
    <row r="684" spans="1:9" ht="15.75" x14ac:dyDescent="0.25">
      <c r="A684" s="104" t="s">
        <v>3575</v>
      </c>
      <c r="B684" s="148"/>
      <c r="C684" s="2"/>
      <c r="D684" s="107">
        <v>1</v>
      </c>
      <c r="E684" s="109">
        <f>'AROS, CADENAS, DIJES, ETC'!O54</f>
        <v>2920</v>
      </c>
      <c r="F684" s="110">
        <f>E684*D684</f>
        <v>2920</v>
      </c>
      <c r="G684" s="1"/>
      <c r="H684" s="603"/>
    </row>
    <row r="685" spans="1:9" ht="15.75" x14ac:dyDescent="0.25">
      <c r="A685" s="104" t="s">
        <v>1554</v>
      </c>
      <c r="B685" s="148"/>
      <c r="C685" s="98"/>
      <c r="D685" s="2">
        <v>2</v>
      </c>
      <c r="E685" s="109">
        <f>FORNITURAS!D24</f>
        <v>34.666666666666664</v>
      </c>
      <c r="F685" s="110">
        <f>E685*D685</f>
        <v>69.333333333333329</v>
      </c>
      <c r="G685" s="1"/>
      <c r="H685" s="603"/>
    </row>
    <row r="686" spans="1:9" ht="15.75" x14ac:dyDescent="0.25">
      <c r="A686" s="104" t="s">
        <v>3507</v>
      </c>
      <c r="B686" s="98"/>
      <c r="C686" s="98"/>
      <c r="D686" s="2">
        <v>2</v>
      </c>
      <c r="E686" s="66">
        <f>FORNITURAS!I13</f>
        <v>274.44444444444446</v>
      </c>
      <c r="F686" s="39">
        <f>E686*D686</f>
        <v>548.88888888888891</v>
      </c>
      <c r="G686" s="1"/>
      <c r="H686" s="603"/>
    </row>
    <row r="687" spans="1:9" ht="15.75" x14ac:dyDescent="0.25">
      <c r="A687" s="104" t="s">
        <v>3522</v>
      </c>
      <c r="B687" s="98"/>
      <c r="C687" s="98"/>
      <c r="D687" s="2">
        <v>0.8</v>
      </c>
      <c r="E687" s="66">
        <f>'HILOS-CORDONES-TANZA-CUERO'!E27</f>
        <v>25</v>
      </c>
      <c r="F687" s="39">
        <f>E687*D687</f>
        <v>20</v>
      </c>
      <c r="G687" s="1"/>
      <c r="H687" s="603"/>
    </row>
    <row r="688" spans="1:9" ht="15.75" x14ac:dyDescent="0.25">
      <c r="A688" s="104" t="s">
        <v>1557</v>
      </c>
      <c r="B688" s="98"/>
      <c r="C688" s="98"/>
      <c r="D688" s="2"/>
      <c r="E688" s="66"/>
      <c r="F688" s="39">
        <f>PACKAGING!E3</f>
        <v>150</v>
      </c>
      <c r="G688" s="1"/>
      <c r="H688" s="603"/>
    </row>
    <row r="689" spans="1:9" ht="15.75" x14ac:dyDescent="0.25">
      <c r="A689" s="3" t="s">
        <v>1670</v>
      </c>
      <c r="B689" s="98"/>
      <c r="C689" s="98"/>
      <c r="D689" s="2"/>
      <c r="E689" s="6"/>
      <c r="F689" s="39">
        <f>PACKAGING!E8</f>
        <v>420</v>
      </c>
      <c r="G689" s="1"/>
      <c r="H689" s="603"/>
    </row>
    <row r="690" spans="1:9" ht="18.75" x14ac:dyDescent="0.25">
      <c r="A690" s="3" t="s">
        <v>1558</v>
      </c>
      <c r="B690" s="98">
        <v>60</v>
      </c>
      <c r="C690" s="604"/>
      <c r="D690" s="2">
        <v>20</v>
      </c>
      <c r="E690" s="66">
        <f>'INSUMOS VARIOS'!B3</f>
        <v>3500</v>
      </c>
      <c r="F690" s="39">
        <f>D690*E690/B690</f>
        <v>1166.6666666666667</v>
      </c>
      <c r="G690" s="96"/>
      <c r="H690" s="603"/>
    </row>
    <row r="691" spans="1:9" ht="16.5" thickBot="1" x14ac:dyDescent="0.3">
      <c r="A691" s="79" t="s">
        <v>525</v>
      </c>
      <c r="B691" s="99"/>
      <c r="C691" s="99"/>
      <c r="D691" s="70"/>
      <c r="E691" s="85"/>
      <c r="F691" s="51">
        <f>SUM(F683:F690)</f>
        <v>7116.2942942942936</v>
      </c>
      <c r="G691" s="1"/>
      <c r="H691" s="603"/>
    </row>
    <row r="692" spans="1:9" ht="18.75" x14ac:dyDescent="0.25">
      <c r="A692" s="80" t="s">
        <v>544</v>
      </c>
      <c r="B692" s="100"/>
      <c r="C692" s="100"/>
      <c r="D692" s="71"/>
      <c r="E692" s="71"/>
      <c r="F692" s="72">
        <f>F691*2</f>
        <v>14232.588588588587</v>
      </c>
      <c r="G692" s="512">
        <f>F692+F692*70%</f>
        <v>24195.400600600598</v>
      </c>
      <c r="H692" s="75">
        <v>24000</v>
      </c>
    </row>
    <row r="693" spans="1:9" ht="19.5" thickBot="1" x14ac:dyDescent="0.3">
      <c r="A693" s="81" t="s">
        <v>1559</v>
      </c>
      <c r="B693" s="101"/>
      <c r="C693" s="101"/>
      <c r="D693" s="73"/>
      <c r="E693" s="73"/>
      <c r="F693" s="73"/>
      <c r="G693" s="522"/>
      <c r="H693" s="1281">
        <f>H692*60%</f>
        <v>14400</v>
      </c>
      <c r="I693" s="1273" t="s">
        <v>3687</v>
      </c>
    </row>
    <row r="695" spans="1:9" ht="15.75" x14ac:dyDescent="0.25">
      <c r="A695" s="1602" t="s">
        <v>305</v>
      </c>
      <c r="B695" s="1600"/>
      <c r="C695" s="1600"/>
      <c r="D695" s="1600"/>
      <c r="E695" s="1600"/>
      <c r="F695" s="1"/>
      <c r="G695" s="1"/>
    </row>
    <row r="696" spans="1:9" ht="15.75" x14ac:dyDescent="0.25">
      <c r="A696" s="183" t="s">
        <v>916</v>
      </c>
      <c r="B696" s="97" t="s">
        <v>743</v>
      </c>
      <c r="C696" s="76" t="s">
        <v>1547</v>
      </c>
      <c r="D696" s="108" t="s">
        <v>1035</v>
      </c>
      <c r="E696" s="77" t="s">
        <v>1549</v>
      </c>
      <c r="F696" s="1"/>
      <c r="G696" s="1"/>
    </row>
    <row r="697" spans="1:9" ht="15.75" x14ac:dyDescent="0.25">
      <c r="A697" s="104" t="s">
        <v>4550</v>
      </c>
      <c r="B697" s="2">
        <v>0.45</v>
      </c>
      <c r="C697" s="107">
        <v>0.17</v>
      </c>
      <c r="D697" s="109">
        <f>'AROS, CADENAS, DIJES, ETC'!I20</f>
        <v>3300</v>
      </c>
      <c r="E697" s="110">
        <f>D697*C697/B697</f>
        <v>1246.6666666666667</v>
      </c>
      <c r="F697" s="1"/>
      <c r="G697" s="1"/>
    </row>
    <row r="698" spans="1:9" ht="15.75" x14ac:dyDescent="0.25">
      <c r="A698" s="3" t="s">
        <v>1557</v>
      </c>
      <c r="B698" s="98"/>
      <c r="C698" s="2"/>
      <c r="D698" s="6"/>
      <c r="E698" s="39">
        <f>PACKAGING!E4</f>
        <v>80</v>
      </c>
      <c r="F698" s="1"/>
      <c r="G698" s="1"/>
    </row>
    <row r="699" spans="1:9" ht="15.75" x14ac:dyDescent="0.25">
      <c r="A699" s="3" t="s">
        <v>3180</v>
      </c>
      <c r="B699" s="98"/>
      <c r="C699" s="2"/>
      <c r="D699" s="6"/>
      <c r="E699" s="39">
        <f>PACKAGING!E8</f>
        <v>420</v>
      </c>
      <c r="F699" s="1"/>
      <c r="G699" s="1"/>
    </row>
    <row r="700" spans="1:9" ht="15.75" x14ac:dyDescent="0.25">
      <c r="A700" s="3" t="s">
        <v>1558</v>
      </c>
      <c r="B700" s="98">
        <v>60</v>
      </c>
      <c r="C700" s="603">
        <v>20</v>
      </c>
      <c r="D700" s="66">
        <f>'INSUMOS VARIOS'!B3</f>
        <v>3500</v>
      </c>
      <c r="E700" s="39">
        <f>D700*C700/B700</f>
        <v>1166.6666666666667</v>
      </c>
      <c r="F700" s="1"/>
      <c r="G700" s="1"/>
    </row>
    <row r="701" spans="1:9" ht="16.5" thickBot="1" x14ac:dyDescent="0.3">
      <c r="A701" s="79" t="s">
        <v>525</v>
      </c>
      <c r="B701" s="99"/>
      <c r="C701" s="70"/>
      <c r="D701" s="85"/>
      <c r="E701" s="51">
        <f>SUM(E697:E700)</f>
        <v>2913.3333333333335</v>
      </c>
      <c r="F701" s="1"/>
      <c r="G701" s="1"/>
    </row>
    <row r="702" spans="1:9" ht="19.5" thickBot="1" x14ac:dyDescent="0.3">
      <c r="A702" s="81" t="s">
        <v>1559</v>
      </c>
      <c r="B702" s="101"/>
      <c r="C702" s="73"/>
      <c r="D702" s="73"/>
      <c r="E702" s="223">
        <f>E701*2</f>
        <v>5826.666666666667</v>
      </c>
      <c r="F702" s="515">
        <f>E702+E702*70%</f>
        <v>9905.3333333333339</v>
      </c>
      <c r="G702" s="238">
        <v>14000</v>
      </c>
    </row>
    <row r="704" spans="1:9" ht="15.75" thickBot="1" x14ac:dyDescent="0.3"/>
    <row r="705" spans="1:7" ht="16.5" thickBot="1" x14ac:dyDescent="0.3">
      <c r="A705" s="1738" t="s">
        <v>3652</v>
      </c>
      <c r="B705" s="1739"/>
      <c r="C705" s="1739"/>
      <c r="D705" s="1739"/>
      <c r="E705" s="1740"/>
      <c r="F705" s="653"/>
      <c r="G705" s="653"/>
    </row>
    <row r="706" spans="1:7" ht="15.75" x14ac:dyDescent="0.25">
      <c r="A706" s="654" t="s">
        <v>916</v>
      </c>
      <c r="B706" s="655" t="s">
        <v>743</v>
      </c>
      <c r="C706" s="655" t="s">
        <v>1566</v>
      </c>
      <c r="D706" s="656" t="s">
        <v>1035</v>
      </c>
      <c r="E706" s="657" t="s">
        <v>1549</v>
      </c>
      <c r="F706" s="658"/>
      <c r="G706" s="653"/>
    </row>
    <row r="707" spans="1:7" ht="15.75" x14ac:dyDescent="0.25">
      <c r="A707" s="1241" t="s">
        <v>3495</v>
      </c>
      <c r="B707" s="660">
        <v>0.9</v>
      </c>
      <c r="C707" s="660">
        <v>6.5000000000000002E-2</v>
      </c>
      <c r="D707" s="661">
        <f>PIEDRAS!E147</f>
        <v>3600</v>
      </c>
      <c r="E707" s="662">
        <f>D707*C707/B707</f>
        <v>260</v>
      </c>
      <c r="F707" s="658"/>
      <c r="G707" s="653"/>
    </row>
    <row r="708" spans="1:7" ht="15.75" x14ac:dyDescent="0.25">
      <c r="A708" s="666" t="s">
        <v>1555</v>
      </c>
      <c r="B708" s="660" t="s">
        <v>1556</v>
      </c>
      <c r="C708" s="660">
        <v>2</v>
      </c>
      <c r="D708" s="661">
        <f>FORNITURAS!D4</f>
        <v>48.7</v>
      </c>
      <c r="E708" s="662">
        <f t="shared" ref="E708:E712" si="3">D708*C708</f>
        <v>97.4</v>
      </c>
      <c r="F708" s="658"/>
      <c r="G708" s="653"/>
    </row>
    <row r="709" spans="1:7" ht="15.75" x14ac:dyDescent="0.25">
      <c r="A709" s="666" t="s">
        <v>1742</v>
      </c>
      <c r="B709" s="660" t="s">
        <v>3564</v>
      </c>
      <c r="C709" s="660">
        <v>1</v>
      </c>
      <c r="D709" s="661">
        <f>'PERLAS 2'!H14</f>
        <v>324.8</v>
      </c>
      <c r="E709" s="662">
        <f>D709</f>
        <v>324.8</v>
      </c>
      <c r="F709" s="658"/>
      <c r="G709" s="653"/>
    </row>
    <row r="710" spans="1:7" ht="15.75" x14ac:dyDescent="0.25">
      <c r="A710" s="666" t="s">
        <v>3111</v>
      </c>
      <c r="B710" s="660"/>
      <c r="C710" s="660">
        <v>1</v>
      </c>
      <c r="D710" s="661">
        <f>FORNITURAS!D14</f>
        <v>98.8</v>
      </c>
      <c r="E710" s="662">
        <f>D710*C710</f>
        <v>98.8</v>
      </c>
      <c r="F710" s="658"/>
      <c r="G710" s="653"/>
    </row>
    <row r="711" spans="1:7" ht="15.75" x14ac:dyDescent="0.25">
      <c r="A711" s="666" t="s">
        <v>3497</v>
      </c>
      <c r="B711" s="660"/>
      <c r="C711" s="660">
        <v>11</v>
      </c>
      <c r="D711" s="661">
        <f>PIEDRAS!F38</f>
        <v>66.666666666666671</v>
      </c>
      <c r="E711" s="662">
        <f>D711*C711</f>
        <v>733.33333333333337</v>
      </c>
      <c r="F711" s="658"/>
      <c r="G711" s="653"/>
    </row>
    <row r="712" spans="1:7" ht="15.75" x14ac:dyDescent="0.25">
      <c r="A712" s="666" t="s">
        <v>1424</v>
      </c>
      <c r="B712" s="660"/>
      <c r="C712" s="660">
        <v>0.26</v>
      </c>
      <c r="D712" s="661">
        <f>'HILOS-CORDONES-TANZA-CUERO'!L9</f>
        <v>30</v>
      </c>
      <c r="E712" s="662">
        <f t="shared" si="3"/>
        <v>7.8000000000000007</v>
      </c>
      <c r="F712" s="658"/>
      <c r="G712" s="653"/>
    </row>
    <row r="713" spans="1:7" ht="15.75" x14ac:dyDescent="0.25">
      <c r="A713" s="666" t="s">
        <v>1608</v>
      </c>
      <c r="B713" s="660"/>
      <c r="C713" s="660">
        <v>3.5000000000000003E-2</v>
      </c>
      <c r="D713" s="661">
        <f>'AROS, CADENAS, DIJES, ETC'!I38</f>
        <v>3630</v>
      </c>
      <c r="E713" s="662">
        <f>D713*C713</f>
        <v>127.05000000000001</v>
      </c>
      <c r="F713" s="658"/>
      <c r="G713" s="653"/>
    </row>
    <row r="714" spans="1:7" ht="15.75" x14ac:dyDescent="0.25">
      <c r="A714" s="666" t="s">
        <v>1554</v>
      </c>
      <c r="B714" s="660"/>
      <c r="C714" s="660">
        <v>8</v>
      </c>
      <c r="D714" s="661">
        <f>FORNITURAS!D24</f>
        <v>34.666666666666664</v>
      </c>
      <c r="E714" s="662">
        <f>D714*C714</f>
        <v>277.33333333333331</v>
      </c>
      <c r="F714" s="658"/>
      <c r="G714" s="653"/>
    </row>
    <row r="715" spans="1:7" ht="15.75" x14ac:dyDescent="0.25">
      <c r="A715" s="666" t="s">
        <v>1012</v>
      </c>
      <c r="B715" s="660"/>
      <c r="C715" s="660">
        <v>2</v>
      </c>
      <c r="D715" s="661">
        <f>FORNITURAS!D17</f>
        <v>45.05</v>
      </c>
      <c r="E715" s="662">
        <f>D715*C715</f>
        <v>90.1</v>
      </c>
      <c r="F715" s="658"/>
      <c r="G715" s="653"/>
    </row>
    <row r="716" spans="1:7" ht="15.75" x14ac:dyDescent="0.25">
      <c r="A716" s="666" t="s">
        <v>1587</v>
      </c>
      <c r="B716" s="660"/>
      <c r="C716" s="660">
        <v>1</v>
      </c>
      <c r="D716" s="661">
        <f>FORNITURAS!D18</f>
        <v>363</v>
      </c>
      <c r="E716" s="662">
        <f t="shared" ref="E716" si="4">C716*D716</f>
        <v>363</v>
      </c>
      <c r="F716" s="658"/>
      <c r="G716" s="653"/>
    </row>
    <row r="717" spans="1:7" ht="15.75" x14ac:dyDescent="0.25">
      <c r="A717" s="666" t="s">
        <v>1557</v>
      </c>
      <c r="B717" s="660"/>
      <c r="C717" s="660"/>
      <c r="D717" s="661"/>
      <c r="E717" s="667">
        <f>PACKAGING!E3</f>
        <v>150</v>
      </c>
      <c r="F717" s="653"/>
      <c r="G717" s="658"/>
    </row>
    <row r="718" spans="1:7" ht="15.75" x14ac:dyDescent="0.25">
      <c r="A718" s="666" t="s">
        <v>3362</v>
      </c>
      <c r="B718" s="660"/>
      <c r="C718" s="660"/>
      <c r="D718" s="661"/>
      <c r="E718" s="667">
        <f>PACKAGING!E17</f>
        <v>7.5</v>
      </c>
      <c r="F718" s="653"/>
      <c r="G718" s="658"/>
    </row>
    <row r="719" spans="1:7" ht="15.75" x14ac:dyDescent="0.25">
      <c r="A719" s="666" t="s">
        <v>1634</v>
      </c>
      <c r="B719" s="660"/>
      <c r="C719" s="660"/>
      <c r="D719" s="661"/>
      <c r="E719" s="667">
        <f>PACKAGING!E7</f>
        <v>170</v>
      </c>
      <c r="F719" s="653"/>
      <c r="G719" s="658"/>
    </row>
    <row r="720" spans="1:7" ht="15.75" x14ac:dyDescent="0.25">
      <c r="A720" s="666" t="s">
        <v>3496</v>
      </c>
      <c r="B720" s="660"/>
      <c r="C720" s="660"/>
      <c r="D720" s="661"/>
      <c r="E720" s="667">
        <f>PACKAGING!E8</f>
        <v>420</v>
      </c>
      <c r="F720" s="653"/>
      <c r="G720" s="658"/>
    </row>
    <row r="721" spans="1:8" ht="15.75" x14ac:dyDescent="0.25">
      <c r="A721" s="683" t="s">
        <v>1618</v>
      </c>
      <c r="B721" s="660">
        <v>60</v>
      </c>
      <c r="C721" s="660">
        <v>20</v>
      </c>
      <c r="D721" s="668">
        <f>'INSUMOS VARIOS'!B3</f>
        <v>3500</v>
      </c>
      <c r="E721" s="669">
        <f>D721*C721/B721</f>
        <v>1166.6666666666667</v>
      </c>
      <c r="F721" s="653"/>
      <c r="G721" s="658"/>
    </row>
    <row r="722" spans="1:8" ht="16.5" thickBot="1" x14ac:dyDescent="0.3">
      <c r="A722" s="670" t="s">
        <v>525</v>
      </c>
      <c r="B722" s="671"/>
      <c r="C722" s="671"/>
      <c r="D722" s="672"/>
      <c r="E722" s="673">
        <f>SUM(E707:E721)</f>
        <v>4293.7833333333338</v>
      </c>
      <c r="F722" s="658"/>
      <c r="G722" s="653"/>
    </row>
    <row r="723" spans="1:8" ht="16.5" thickBot="1" x14ac:dyDescent="0.3">
      <c r="A723" s="675" t="s">
        <v>544</v>
      </c>
      <c r="B723" s="676"/>
      <c r="C723" s="676"/>
      <c r="D723" s="677"/>
      <c r="E723" s="692">
        <f>E722*2</f>
        <v>8587.5666666666675</v>
      </c>
      <c r="F723" s="957">
        <f>E723+E723*70%</f>
        <v>14598.863333333335</v>
      </c>
      <c r="G723" s="681">
        <v>16000</v>
      </c>
    </row>
    <row r="724" spans="1:8" ht="16.5" thickBot="1" x14ac:dyDescent="0.3">
      <c r="A724" s="684" t="s">
        <v>1559</v>
      </c>
      <c r="B724" s="685"/>
      <c r="C724" s="685"/>
      <c r="D724" s="686"/>
      <c r="E724" s="686"/>
      <c r="F724" s="816"/>
      <c r="G724" s="1275">
        <f>G723*60%</f>
        <v>9600</v>
      </c>
      <c r="H724" s="1273" t="s">
        <v>3687</v>
      </c>
    </row>
    <row r="725" spans="1:8" ht="15.75" thickBot="1" x14ac:dyDescent="0.3"/>
    <row r="726" spans="1:8" ht="15.75" x14ac:dyDescent="0.25">
      <c r="A726" s="1746" t="s">
        <v>287</v>
      </c>
      <c r="B726" s="1747"/>
      <c r="C726" s="1747"/>
      <c r="D726" s="1747"/>
      <c r="E726" s="1747"/>
      <c r="F726" s="1748"/>
      <c r="G726" s="653"/>
      <c r="H726" s="653"/>
    </row>
    <row r="727" spans="1:8" ht="15.75" x14ac:dyDescent="0.25">
      <c r="A727" s="654" t="s">
        <v>916</v>
      </c>
      <c r="B727" s="655" t="s">
        <v>743</v>
      </c>
      <c r="C727" s="655" t="s">
        <v>1089</v>
      </c>
      <c r="D727" s="655" t="s">
        <v>1566</v>
      </c>
      <c r="E727" s="656" t="s">
        <v>1035</v>
      </c>
      <c r="F727" s="657" t="s">
        <v>1549</v>
      </c>
      <c r="G727" s="658"/>
      <c r="H727" s="653"/>
    </row>
    <row r="728" spans="1:8" ht="15.75" x14ac:dyDescent="0.25">
      <c r="A728" s="1258" t="s">
        <v>1691</v>
      </c>
      <c r="B728" s="660" t="s">
        <v>3537</v>
      </c>
      <c r="C728" s="660"/>
      <c r="D728" s="660">
        <v>1</v>
      </c>
      <c r="E728" s="661">
        <f>'PERLAS 2'!H25</f>
        <v>770</v>
      </c>
      <c r="F728" s="664">
        <f>E728*D728</f>
        <v>770</v>
      </c>
      <c r="G728" s="658"/>
      <c r="H728" s="653"/>
    </row>
    <row r="729" spans="1:8" ht="15.75" x14ac:dyDescent="0.25">
      <c r="A729" s="820" t="s">
        <v>1569</v>
      </c>
      <c r="B729" s="660">
        <v>0.9</v>
      </c>
      <c r="C729" s="660"/>
      <c r="D729" s="660">
        <v>0.01</v>
      </c>
      <c r="E729" s="661">
        <f>PIEDRAS!E4</f>
        <v>4000</v>
      </c>
      <c r="F729" s="664">
        <f>E729*D729/B729</f>
        <v>44.444444444444443</v>
      </c>
      <c r="G729" s="658"/>
      <c r="H729" s="653"/>
    </row>
    <row r="730" spans="1:8" ht="15.75" x14ac:dyDescent="0.25">
      <c r="A730" s="820" t="s">
        <v>3508</v>
      </c>
      <c r="B730" s="660" t="s">
        <v>805</v>
      </c>
      <c r="C730" s="660"/>
      <c r="D730" s="660">
        <v>1</v>
      </c>
      <c r="E730" s="661">
        <f>PIEDRAS!F73</f>
        <v>152.85714285714286</v>
      </c>
      <c r="F730" s="664">
        <f t="shared" ref="F730:F742" si="5">E730*D730</f>
        <v>152.85714285714286</v>
      </c>
      <c r="G730" s="658"/>
      <c r="H730" s="653"/>
    </row>
    <row r="731" spans="1:8" ht="15.75" x14ac:dyDescent="0.25">
      <c r="A731" s="820" t="s">
        <v>3509</v>
      </c>
      <c r="B731" s="660" t="s">
        <v>3521</v>
      </c>
      <c r="C731" s="660"/>
      <c r="D731" s="660">
        <v>2</v>
      </c>
      <c r="E731" s="661">
        <f>PIEDRAS!F25</f>
        <v>102.05882352941177</v>
      </c>
      <c r="F731" s="664">
        <f t="shared" si="5"/>
        <v>204.11764705882354</v>
      </c>
      <c r="G731" s="658"/>
      <c r="H731" s="653"/>
    </row>
    <row r="732" spans="1:8" ht="15.75" x14ac:dyDescent="0.25">
      <c r="A732" s="820" t="s">
        <v>3404</v>
      </c>
      <c r="B732" s="660" t="s">
        <v>805</v>
      </c>
      <c r="C732" s="660"/>
      <c r="D732" s="660">
        <v>1</v>
      </c>
      <c r="E732" s="661">
        <f>PIEDRAS!F79</f>
        <v>257.14285714285717</v>
      </c>
      <c r="F732" s="664">
        <f t="shared" si="5"/>
        <v>257.14285714285717</v>
      </c>
      <c r="G732" s="658"/>
      <c r="H732" s="653"/>
    </row>
    <row r="733" spans="1:8" ht="15.75" x14ac:dyDescent="0.25">
      <c r="A733" s="660" t="s">
        <v>3510</v>
      </c>
      <c r="B733" s="660" t="s">
        <v>937</v>
      </c>
      <c r="C733" s="660"/>
      <c r="D733" s="660">
        <v>2</v>
      </c>
      <c r="E733" s="661">
        <f>PIEDRAS!F133</f>
        <v>170</v>
      </c>
      <c r="F733" s="664">
        <f t="shared" si="5"/>
        <v>340</v>
      </c>
      <c r="G733" s="658"/>
      <c r="H733" s="653"/>
    </row>
    <row r="734" spans="1:8" ht="15.75" x14ac:dyDescent="0.25">
      <c r="A734" s="820" t="s">
        <v>3511</v>
      </c>
      <c r="B734" s="660" t="s">
        <v>805</v>
      </c>
      <c r="C734" s="660"/>
      <c r="D734" s="660">
        <v>2</v>
      </c>
      <c r="E734" s="661">
        <f>PIEDRAS!F119</f>
        <v>95.238095238095241</v>
      </c>
      <c r="F734" s="664">
        <f t="shared" si="5"/>
        <v>190.47619047619048</v>
      </c>
      <c r="G734" s="658"/>
      <c r="H734" s="653"/>
    </row>
    <row r="735" spans="1:8" ht="15.75" x14ac:dyDescent="0.25">
      <c r="A735" s="820" t="s">
        <v>3512</v>
      </c>
      <c r="B735" s="660" t="s">
        <v>805</v>
      </c>
      <c r="C735" s="660"/>
      <c r="D735" s="660">
        <v>2</v>
      </c>
      <c r="E735" s="661">
        <f>VIDRIOS!E21</f>
        <v>65</v>
      </c>
      <c r="F735" s="664">
        <f t="shared" si="5"/>
        <v>130</v>
      </c>
      <c r="G735" s="658"/>
      <c r="H735" s="653"/>
    </row>
    <row r="736" spans="1:8" ht="15.75" x14ac:dyDescent="0.25">
      <c r="A736" s="820" t="s">
        <v>3513</v>
      </c>
      <c r="B736" s="660" t="s">
        <v>805</v>
      </c>
      <c r="C736" s="660"/>
      <c r="D736" s="660">
        <v>2</v>
      </c>
      <c r="E736" s="661">
        <f>PIEDRAS!F80</f>
        <v>162.12121212121212</v>
      </c>
      <c r="F736" s="664">
        <f t="shared" si="5"/>
        <v>324.24242424242425</v>
      </c>
      <c r="G736" s="658"/>
      <c r="H736" s="653"/>
    </row>
    <row r="737" spans="1:9" ht="15.75" x14ac:dyDescent="0.25">
      <c r="A737" s="820" t="s">
        <v>3514</v>
      </c>
      <c r="B737" s="660"/>
      <c r="C737" s="660"/>
      <c r="D737" s="660">
        <v>2</v>
      </c>
      <c r="E737" s="661">
        <f>VIDRIOS!E37</f>
        <v>30.927835051546392</v>
      </c>
      <c r="F737" s="664">
        <f t="shared" si="5"/>
        <v>61.855670103092784</v>
      </c>
      <c r="G737" s="658"/>
      <c r="H737" s="653"/>
    </row>
    <row r="738" spans="1:9" ht="15.75" x14ac:dyDescent="0.25">
      <c r="A738" s="820" t="s">
        <v>1944</v>
      </c>
      <c r="B738" s="660" t="s">
        <v>846</v>
      </c>
      <c r="C738" s="660"/>
      <c r="D738" s="660">
        <v>2</v>
      </c>
      <c r="E738" s="661">
        <f>FORNITURAS!I5</f>
        <v>188.85714285714286</v>
      </c>
      <c r="F738" s="662">
        <f t="shared" si="5"/>
        <v>377.71428571428572</v>
      </c>
      <c r="G738" s="658"/>
      <c r="H738" s="653"/>
    </row>
    <row r="739" spans="1:9" ht="15.75" x14ac:dyDescent="0.25">
      <c r="A739" s="820" t="s">
        <v>1012</v>
      </c>
      <c r="B739" s="660"/>
      <c r="C739" s="660"/>
      <c r="D739" s="660">
        <v>2</v>
      </c>
      <c r="E739" s="661">
        <f>FORNITURAS!D16</f>
        <v>45.05</v>
      </c>
      <c r="F739" s="662">
        <f t="shared" si="5"/>
        <v>90.1</v>
      </c>
      <c r="G739" s="658"/>
      <c r="H739" s="653"/>
    </row>
    <row r="740" spans="1:9" ht="15.75" x14ac:dyDescent="0.25">
      <c r="A740" s="820" t="s">
        <v>3520</v>
      </c>
      <c r="B740" s="660"/>
      <c r="C740" s="660"/>
      <c r="D740" s="660">
        <v>3.5000000000000003E-2</v>
      </c>
      <c r="E740" s="661">
        <f>'AROS, CADENAS, DIJES, ETC'!I56</f>
        <v>2614</v>
      </c>
      <c r="F740" s="662">
        <f t="shared" si="5"/>
        <v>91.490000000000009</v>
      </c>
      <c r="G740" s="658"/>
      <c r="H740" s="653"/>
    </row>
    <row r="741" spans="1:9" ht="15.75" x14ac:dyDescent="0.25">
      <c r="A741" s="820" t="s">
        <v>1587</v>
      </c>
      <c r="B741" s="660" t="s">
        <v>930</v>
      </c>
      <c r="C741" s="660"/>
      <c r="D741" s="660">
        <v>1</v>
      </c>
      <c r="E741" s="661">
        <f>FORNITURAS!D20</f>
        <v>1066</v>
      </c>
      <c r="F741" s="662">
        <f t="shared" si="5"/>
        <v>1066</v>
      </c>
      <c r="G741" s="658"/>
      <c r="H741" s="653"/>
      <c r="I741" s="652"/>
    </row>
    <row r="742" spans="1:9" ht="15.75" x14ac:dyDescent="0.25">
      <c r="A742" s="1734" t="s">
        <v>1572</v>
      </c>
      <c r="B742" s="660" t="s">
        <v>1556</v>
      </c>
      <c r="C742" s="660"/>
      <c r="D742" s="660">
        <v>2</v>
      </c>
      <c r="E742" s="661">
        <f>FORNITURAS!D4</f>
        <v>48.7</v>
      </c>
      <c r="F742" s="662">
        <f t="shared" si="5"/>
        <v>97.4</v>
      </c>
      <c r="G742" s="658"/>
      <c r="H742" s="653"/>
      <c r="I742" s="652"/>
    </row>
    <row r="743" spans="1:9" ht="15.75" x14ac:dyDescent="0.25">
      <c r="A743" s="1735"/>
      <c r="B743" s="660" t="s">
        <v>1573</v>
      </c>
      <c r="C743" s="660"/>
      <c r="D743" s="660">
        <v>1</v>
      </c>
      <c r="E743" s="661">
        <f>FORNITURAS!D7</f>
        <v>52</v>
      </c>
      <c r="F743" s="662">
        <f>E743</f>
        <v>52</v>
      </c>
      <c r="G743" s="658"/>
      <c r="H743" s="653"/>
      <c r="I743" s="652"/>
    </row>
    <row r="744" spans="1:9" ht="15.75" x14ac:dyDescent="0.25">
      <c r="A744" s="820" t="s">
        <v>3650</v>
      </c>
      <c r="B744" s="660" t="s">
        <v>1022</v>
      </c>
      <c r="C744" s="660"/>
      <c r="D744" s="660">
        <v>1</v>
      </c>
      <c r="E744" s="661">
        <f>VIDRIOS!E27</f>
        <v>23.611111111111111</v>
      </c>
      <c r="F744" s="662">
        <f>E744</f>
        <v>23.611111111111111</v>
      </c>
      <c r="G744" s="658"/>
      <c r="H744" s="653"/>
      <c r="I744" s="652"/>
    </row>
    <row r="745" spans="1:9" ht="15.75" x14ac:dyDescent="0.25">
      <c r="A745" s="820" t="s">
        <v>3117</v>
      </c>
      <c r="B745" s="660"/>
      <c r="C745" s="660"/>
      <c r="D745" s="660">
        <v>1</v>
      </c>
      <c r="E745" s="661">
        <f>FORNITURAS!D14</f>
        <v>98.8</v>
      </c>
      <c r="F745" s="662">
        <f>E745</f>
        <v>98.8</v>
      </c>
      <c r="G745" s="658"/>
      <c r="H745" s="653"/>
      <c r="I745" s="652"/>
    </row>
    <row r="746" spans="1:9" ht="15.75" x14ac:dyDescent="0.25">
      <c r="A746" s="820" t="s">
        <v>1537</v>
      </c>
      <c r="B746" s="660"/>
      <c r="C746" s="660"/>
      <c r="D746" s="660"/>
      <c r="E746" s="661"/>
      <c r="F746" s="662">
        <f>PACKAGING!E7</f>
        <v>170</v>
      </c>
      <c r="G746" s="658"/>
      <c r="H746" s="653"/>
      <c r="I746" s="652"/>
    </row>
    <row r="747" spans="1:9" x14ac:dyDescent="0.25">
      <c r="A747" s="666" t="s">
        <v>1557</v>
      </c>
      <c r="B747" s="660"/>
      <c r="C747" s="660"/>
      <c r="D747" s="660"/>
      <c r="E747" s="661"/>
      <c r="F747" s="662">
        <f>PACKAGING!E3</f>
        <v>150</v>
      </c>
      <c r="I747" s="652"/>
    </row>
    <row r="748" spans="1:9" x14ac:dyDescent="0.25">
      <c r="A748" s="768" t="s">
        <v>1879</v>
      </c>
      <c r="B748" s="660"/>
      <c r="C748" s="660"/>
      <c r="D748" s="660"/>
      <c r="E748" s="668"/>
      <c r="F748" s="662">
        <f>PACKAGING!I5</f>
        <v>845</v>
      </c>
      <c r="I748" s="652"/>
    </row>
    <row r="749" spans="1:9" ht="15.75" x14ac:dyDescent="0.25">
      <c r="A749" s="663" t="s">
        <v>1618</v>
      </c>
      <c r="B749" s="660"/>
      <c r="C749" s="660">
        <v>60</v>
      </c>
      <c r="D749" s="660">
        <v>20</v>
      </c>
      <c r="E749" s="668">
        <f>'INSUMOS VARIOS'!B3</f>
        <v>3500</v>
      </c>
      <c r="F749" s="669">
        <f>E749*D749/C749</f>
        <v>1166.6666666666667</v>
      </c>
      <c r="I749" s="652"/>
    </row>
    <row r="750" spans="1:9" ht="15.75" thickBot="1" x14ac:dyDescent="0.3">
      <c r="A750" s="670" t="s">
        <v>525</v>
      </c>
      <c r="B750" s="671"/>
      <c r="C750" s="671"/>
      <c r="D750" s="671"/>
      <c r="E750" s="672"/>
      <c r="F750" s="673">
        <f>SUM(F728:F749)</f>
        <v>6703.9184398170391</v>
      </c>
      <c r="I750" s="652"/>
    </row>
    <row r="751" spans="1:9" ht="16.5" thickBot="1" x14ac:dyDescent="0.3">
      <c r="A751" s="675" t="s">
        <v>544</v>
      </c>
      <c r="B751" s="676"/>
      <c r="C751" s="676"/>
      <c r="D751" s="676"/>
      <c r="E751" s="677"/>
      <c r="F751" s="678">
        <f>F750*2</f>
        <v>13407.836879634078</v>
      </c>
      <c r="G751" s="679">
        <f>F751+F751*70%</f>
        <v>22793.32269537793</v>
      </c>
      <c r="H751" s="681">
        <v>28000</v>
      </c>
      <c r="I751" s="652"/>
    </row>
    <row r="752" spans="1:9" ht="16.5" thickBot="1" x14ac:dyDescent="0.3">
      <c r="A752" s="684" t="s">
        <v>1559</v>
      </c>
      <c r="B752" s="685"/>
      <c r="C752" s="685"/>
      <c r="D752" s="685"/>
      <c r="E752" s="686"/>
      <c r="F752" s="687"/>
      <c r="G752" s="688"/>
      <c r="H752" s="1275">
        <f>H751*60%</f>
        <v>16800</v>
      </c>
      <c r="I752" s="1120" t="s">
        <v>3687</v>
      </c>
    </row>
    <row r="753" spans="1:9" ht="15.75" thickBot="1" x14ac:dyDescent="0.3">
      <c r="I753" s="652"/>
    </row>
    <row r="754" spans="1:9" ht="16.5" thickBot="1" x14ac:dyDescent="0.3">
      <c r="A754" s="1716" t="s">
        <v>3821</v>
      </c>
      <c r="B754" s="1717"/>
      <c r="C754" s="1717"/>
      <c r="D754" s="1717"/>
      <c r="E754" s="1717"/>
      <c r="F754" s="1294"/>
      <c r="G754" s="653"/>
      <c r="I754" s="652"/>
    </row>
    <row r="755" spans="1:9" ht="15.75" x14ac:dyDescent="0.25">
      <c r="A755" s="654" t="s">
        <v>916</v>
      </c>
      <c r="B755" s="655" t="s">
        <v>743</v>
      </c>
      <c r="C755" s="655" t="s">
        <v>1566</v>
      </c>
      <c r="D755" s="656" t="s">
        <v>1035</v>
      </c>
      <c r="E755" s="657" t="s">
        <v>1549</v>
      </c>
      <c r="F755" s="658"/>
      <c r="G755" s="653"/>
      <c r="I755" s="652"/>
    </row>
    <row r="756" spans="1:9" ht="15.75" x14ac:dyDescent="0.25">
      <c r="A756" s="1749" t="s">
        <v>3726</v>
      </c>
      <c r="B756" s="660" t="s">
        <v>1022</v>
      </c>
      <c r="C756" s="660">
        <v>10</v>
      </c>
      <c r="D756" s="661">
        <f>PIEDRAS!F74</f>
        <v>103.44827586206897</v>
      </c>
      <c r="E756" s="662">
        <f>D756*C756</f>
        <v>1034.4827586206898</v>
      </c>
      <c r="F756" s="658"/>
      <c r="G756" s="653"/>
      <c r="I756" s="652"/>
    </row>
    <row r="757" spans="1:9" ht="15.75" x14ac:dyDescent="0.25">
      <c r="A757" s="1751"/>
      <c r="B757" s="660" t="s">
        <v>805</v>
      </c>
      <c r="C757" s="660">
        <v>1</v>
      </c>
      <c r="D757" s="661">
        <f>PIEDRAS!F75</f>
        <v>250.28571428571428</v>
      </c>
      <c r="E757" s="662">
        <f t="shared" ref="E757" si="6">D757*C757</f>
        <v>250.28571428571428</v>
      </c>
      <c r="F757" s="658"/>
      <c r="G757" s="653"/>
      <c r="I757" s="652"/>
    </row>
    <row r="758" spans="1:9" ht="15.75" x14ac:dyDescent="0.25">
      <c r="A758" s="666" t="s">
        <v>3381</v>
      </c>
      <c r="B758" s="660" t="s">
        <v>805</v>
      </c>
      <c r="C758" s="660">
        <v>3</v>
      </c>
      <c r="D758" s="661">
        <f>PIEDRAS!F119</f>
        <v>95.238095238095241</v>
      </c>
      <c r="E758" s="662">
        <f>D758</f>
        <v>95.238095238095241</v>
      </c>
      <c r="F758" s="658"/>
      <c r="G758" s="653"/>
      <c r="I758" s="652"/>
    </row>
    <row r="759" spans="1:9" ht="15.75" x14ac:dyDescent="0.25">
      <c r="A759" s="666" t="s">
        <v>2098</v>
      </c>
      <c r="B759" s="660" t="s">
        <v>781</v>
      </c>
      <c r="C759" s="660">
        <v>4</v>
      </c>
      <c r="D759" s="661">
        <f>VIDRIOS!E21</f>
        <v>65</v>
      </c>
      <c r="E759" s="662">
        <f>D759*C759</f>
        <v>260</v>
      </c>
      <c r="F759" s="658"/>
      <c r="G759" s="653"/>
      <c r="I759" s="652"/>
    </row>
    <row r="760" spans="1:9" ht="15.75" x14ac:dyDescent="0.25">
      <c r="A760" s="1736" t="s">
        <v>3716</v>
      </c>
      <c r="B760" s="660" t="s">
        <v>3494</v>
      </c>
      <c r="C760" s="660">
        <v>3</v>
      </c>
      <c r="D760" s="661">
        <f>VIDRIOS!E27</f>
        <v>23.611111111111111</v>
      </c>
      <c r="E760" s="662">
        <f>D760*C760</f>
        <v>70.833333333333329</v>
      </c>
      <c r="F760" s="658"/>
      <c r="G760" s="653"/>
    </row>
    <row r="761" spans="1:9" ht="15.75" x14ac:dyDescent="0.25">
      <c r="A761" s="1737"/>
      <c r="B761" s="660" t="s">
        <v>805</v>
      </c>
      <c r="C761" s="660">
        <v>2</v>
      </c>
      <c r="D761" s="661">
        <f>VIDRIOS!E30</f>
        <v>65</v>
      </c>
      <c r="E761" s="662">
        <f t="shared" ref="E761" si="7">D761*C761</f>
        <v>130</v>
      </c>
      <c r="F761" s="658"/>
      <c r="G761" s="653"/>
    </row>
    <row r="762" spans="1:9" ht="15.75" x14ac:dyDescent="0.25">
      <c r="A762" s="666" t="s">
        <v>3483</v>
      </c>
      <c r="B762" s="660" t="s">
        <v>781</v>
      </c>
      <c r="C762" s="660">
        <v>2</v>
      </c>
      <c r="D762" s="661">
        <f>PLATEADO!F6</f>
        <v>561.98</v>
      </c>
      <c r="E762" s="662">
        <f>D762*C762</f>
        <v>1123.96</v>
      </c>
      <c r="F762" s="658"/>
      <c r="G762" s="653"/>
    </row>
    <row r="763" spans="1:9" ht="15.75" x14ac:dyDescent="0.25">
      <c r="A763" s="666" t="s">
        <v>1594</v>
      </c>
      <c r="B763" s="660"/>
      <c r="C763" s="660">
        <v>0.28000000000000003</v>
      </c>
      <c r="D763" s="661">
        <f>'HILOS-CORDONES-TANZA-CUERO'!L6</f>
        <v>8</v>
      </c>
      <c r="E763" s="662">
        <f t="shared" ref="E763" si="8">C763*D763</f>
        <v>2.2400000000000002</v>
      </c>
      <c r="F763" s="658"/>
      <c r="G763" s="653"/>
    </row>
    <row r="764" spans="1:9" ht="15.75" x14ac:dyDescent="0.25">
      <c r="A764" s="666" t="s">
        <v>1557</v>
      </c>
      <c r="B764" s="660"/>
      <c r="C764" s="660"/>
      <c r="D764" s="661"/>
      <c r="E764" s="667">
        <f>PACKAGING!E3</f>
        <v>150</v>
      </c>
      <c r="F764" s="653"/>
      <c r="G764" s="658"/>
    </row>
    <row r="765" spans="1:9" ht="15.75" x14ac:dyDescent="0.25">
      <c r="A765" s="683" t="s">
        <v>1618</v>
      </c>
      <c r="B765" s="660">
        <v>60</v>
      </c>
      <c r="C765" s="660">
        <v>20</v>
      </c>
      <c r="D765" s="668">
        <f>'INSUMOS VARIOS'!B3</f>
        <v>3500</v>
      </c>
      <c r="E765" s="669">
        <f>D765*C765/B765</f>
        <v>1166.6666666666667</v>
      </c>
      <c r="F765" s="653"/>
      <c r="G765" s="658"/>
    </row>
    <row r="766" spans="1:9" ht="16.5" thickBot="1" x14ac:dyDescent="0.3">
      <c r="A766" s="670" t="s">
        <v>525</v>
      </c>
      <c r="B766" s="671"/>
      <c r="C766" s="671"/>
      <c r="D766" s="672"/>
      <c r="E766" s="673">
        <f>SUM(E756:E765)</f>
        <v>4283.7065681444992</v>
      </c>
      <c r="F766" s="658"/>
      <c r="G766" s="653"/>
    </row>
    <row r="767" spans="1:9" ht="16.5" thickBot="1" x14ac:dyDescent="0.3">
      <c r="A767" s="675" t="s">
        <v>544</v>
      </c>
      <c r="B767" s="676"/>
      <c r="C767" s="676"/>
      <c r="D767" s="677"/>
      <c r="E767" s="692">
        <f>E766*2</f>
        <v>8567.4131362889984</v>
      </c>
      <c r="F767" s="957">
        <f>E767+E767*70%</f>
        <v>14564.602331691298</v>
      </c>
      <c r="G767" s="681">
        <v>16000</v>
      </c>
      <c r="H767" s="1120"/>
    </row>
    <row r="768" spans="1:9" ht="16.5" thickBot="1" x14ac:dyDescent="0.3">
      <c r="A768" s="684" t="s">
        <v>1559</v>
      </c>
      <c r="B768" s="685"/>
      <c r="C768" s="685"/>
      <c r="D768" s="686"/>
      <c r="E768" s="686"/>
      <c r="F768" s="816"/>
      <c r="G768" s="1275">
        <f>G767*60%</f>
        <v>9600</v>
      </c>
      <c r="H768" s="1120" t="s">
        <v>3687</v>
      </c>
    </row>
    <row r="769" spans="1:8" ht="15.75" thickBot="1" x14ac:dyDescent="0.3"/>
    <row r="770" spans="1:8" ht="16.5" thickBot="1" x14ac:dyDescent="0.3">
      <c r="A770" s="1716" t="s">
        <v>3812</v>
      </c>
      <c r="B770" s="1717"/>
      <c r="C770" s="1717"/>
      <c r="D770" s="1717"/>
      <c r="E770" s="1717"/>
      <c r="F770" s="1294"/>
      <c r="G770" s="653"/>
    </row>
    <row r="771" spans="1:8" ht="15.75" x14ac:dyDescent="0.25">
      <c r="A771" s="654" t="s">
        <v>916</v>
      </c>
      <c r="B771" s="655" t="s">
        <v>743</v>
      </c>
      <c r="C771" s="655" t="s">
        <v>1566</v>
      </c>
      <c r="D771" s="656" t="s">
        <v>1035</v>
      </c>
      <c r="E771" s="657" t="s">
        <v>1549</v>
      </c>
      <c r="F771" s="658"/>
      <c r="G771" s="653"/>
    </row>
    <row r="772" spans="1:8" ht="15.75" x14ac:dyDescent="0.25">
      <c r="A772" s="666" t="s">
        <v>3404</v>
      </c>
      <c r="B772" s="660" t="s">
        <v>1022</v>
      </c>
      <c r="C772" s="660">
        <v>19</v>
      </c>
      <c r="D772" s="661">
        <f>PIEDRAS!F78</f>
        <v>93.793103448275858</v>
      </c>
      <c r="E772" s="662">
        <f>D772*C772</f>
        <v>1782.0689655172414</v>
      </c>
      <c r="F772" s="658"/>
      <c r="G772" s="653"/>
    </row>
    <row r="773" spans="1:8" ht="15.75" x14ac:dyDescent="0.25">
      <c r="A773" s="1287" t="s">
        <v>3716</v>
      </c>
      <c r="B773" s="660" t="s">
        <v>1022</v>
      </c>
      <c r="C773" s="660">
        <v>6</v>
      </c>
      <c r="D773" s="661">
        <f>VIDRIOS!E27</f>
        <v>23.611111111111111</v>
      </c>
      <c r="E773" s="662">
        <f t="shared" ref="E773" si="9">D773*C773</f>
        <v>141.66666666666666</v>
      </c>
      <c r="F773" s="658"/>
      <c r="G773" s="653"/>
    </row>
    <row r="774" spans="1:8" ht="15.75" x14ac:dyDescent="0.25">
      <c r="A774" s="666" t="s">
        <v>1742</v>
      </c>
      <c r="B774" s="660" t="s">
        <v>3532</v>
      </c>
      <c r="C774" s="660">
        <v>3</v>
      </c>
      <c r="D774" s="661">
        <f>'PERLAS 2'!H23</f>
        <v>281.60000000000002</v>
      </c>
      <c r="E774" s="662">
        <f>D774</f>
        <v>281.60000000000002</v>
      </c>
      <c r="F774" s="658"/>
      <c r="G774" s="653"/>
    </row>
    <row r="775" spans="1:8" ht="15.75" x14ac:dyDescent="0.25">
      <c r="A775" s="666" t="s">
        <v>3727</v>
      </c>
      <c r="B775" s="660" t="s">
        <v>803</v>
      </c>
      <c r="C775" s="660">
        <v>1</v>
      </c>
      <c r="D775" s="661">
        <f>PLATEADO!F5</f>
        <v>83</v>
      </c>
      <c r="E775" s="662">
        <f>D775*C775</f>
        <v>83</v>
      </c>
      <c r="F775" s="658"/>
      <c r="G775" s="653"/>
    </row>
    <row r="776" spans="1:8" ht="15.75" x14ac:dyDescent="0.25">
      <c r="A776" s="666" t="s">
        <v>1594</v>
      </c>
      <c r="B776" s="660"/>
      <c r="C776" s="660">
        <v>0.28000000000000003</v>
      </c>
      <c r="D776" s="661">
        <f>'HILOS-CORDONES-TANZA-CUERO'!L5</f>
        <v>7.34</v>
      </c>
      <c r="E776" s="662">
        <f t="shared" ref="E776" si="10">C776*D776</f>
        <v>2.0552000000000001</v>
      </c>
      <c r="F776" s="658"/>
      <c r="G776" s="653"/>
    </row>
    <row r="777" spans="1:8" ht="15.75" x14ac:dyDescent="0.25">
      <c r="A777" s="666" t="s">
        <v>1557</v>
      </c>
      <c r="B777" s="660"/>
      <c r="C777" s="660"/>
      <c r="D777" s="661"/>
      <c r="E777" s="667">
        <f>PACKAGING!E3</f>
        <v>150</v>
      </c>
      <c r="F777" s="653"/>
      <c r="G777" s="658"/>
    </row>
    <row r="778" spans="1:8" ht="15.75" x14ac:dyDescent="0.25">
      <c r="A778" s="683" t="s">
        <v>1618</v>
      </c>
      <c r="B778" s="660">
        <v>60</v>
      </c>
      <c r="C778" s="660">
        <v>20</v>
      </c>
      <c r="D778" s="668">
        <f>'INSUMOS VARIOS'!B3</f>
        <v>3500</v>
      </c>
      <c r="E778" s="669">
        <f>D778*C778/B778</f>
        <v>1166.6666666666667</v>
      </c>
      <c r="F778" s="653"/>
      <c r="G778" s="658"/>
    </row>
    <row r="779" spans="1:8" ht="16.5" thickBot="1" x14ac:dyDescent="0.3">
      <c r="A779" s="670" t="s">
        <v>525</v>
      </c>
      <c r="B779" s="671"/>
      <c r="C779" s="671"/>
      <c r="D779" s="672"/>
      <c r="E779" s="673">
        <f>SUM(E772:E778)</f>
        <v>3607.057498850575</v>
      </c>
      <c r="F779" s="658"/>
      <c r="G779" s="653"/>
    </row>
    <row r="780" spans="1:8" ht="16.5" thickBot="1" x14ac:dyDescent="0.3">
      <c r="A780" s="675" t="s">
        <v>544</v>
      </c>
      <c r="B780" s="676"/>
      <c r="C780" s="676"/>
      <c r="D780" s="677"/>
      <c r="E780" s="692">
        <f>E779*2</f>
        <v>7214.1149977011501</v>
      </c>
      <c r="F780" s="957">
        <f>E780+E780*70%</f>
        <v>12263.995496091955</v>
      </c>
      <c r="G780" s="681">
        <v>16000</v>
      </c>
      <c r="H780" s="1120"/>
    </row>
    <row r="781" spans="1:8" ht="16.5" thickBot="1" x14ac:dyDescent="0.3">
      <c r="A781" s="684" t="s">
        <v>1559</v>
      </c>
      <c r="B781" s="685"/>
      <c r="C781" s="685"/>
      <c r="D781" s="686"/>
      <c r="E781" s="686"/>
      <c r="F781" s="816"/>
      <c r="G781" s="1275">
        <f>G780*60%</f>
        <v>9600</v>
      </c>
      <c r="H781" s="1120" t="s">
        <v>3687</v>
      </c>
    </row>
    <row r="783" spans="1:8" ht="15.75" thickBot="1" x14ac:dyDescent="0.3"/>
    <row r="784" spans="1:8" ht="16.5" thickBot="1" x14ac:dyDescent="0.3">
      <c r="A784" s="1716" t="s">
        <v>3733</v>
      </c>
      <c r="B784" s="1717"/>
      <c r="C784" s="1717"/>
      <c r="D784" s="1717"/>
      <c r="E784" s="1717"/>
      <c r="F784" s="194"/>
      <c r="G784" s="171"/>
    </row>
    <row r="785" spans="1:8" ht="15.75" x14ac:dyDescent="0.25">
      <c r="A785" s="183" t="s">
        <v>916</v>
      </c>
      <c r="B785" s="76" t="s">
        <v>2031</v>
      </c>
      <c r="C785" s="76" t="s">
        <v>1089</v>
      </c>
      <c r="D785" s="108" t="s">
        <v>2032</v>
      </c>
      <c r="E785" s="77" t="s">
        <v>1549</v>
      </c>
      <c r="F785" s="1"/>
      <c r="G785" s="171"/>
    </row>
    <row r="786" spans="1:8" ht="15.75" x14ac:dyDescent="0.25">
      <c r="A786" s="3" t="s">
        <v>3154</v>
      </c>
      <c r="B786" s="186">
        <v>0.18</v>
      </c>
      <c r="C786" s="2">
        <v>0.18</v>
      </c>
      <c r="D786" s="66">
        <f>PLATEADO!F65</f>
        <v>2800</v>
      </c>
      <c r="E786" s="39">
        <f>D786*C786/B786</f>
        <v>2800</v>
      </c>
      <c r="F786" s="1"/>
      <c r="G786" s="171"/>
    </row>
    <row r="787" spans="1:8" ht="15.75" x14ac:dyDescent="0.25">
      <c r="A787" s="3" t="s">
        <v>1587</v>
      </c>
      <c r="B787" s="186"/>
      <c r="C787" s="2">
        <v>1</v>
      </c>
      <c r="D787" s="66">
        <f>PLATEADO!L23</f>
        <v>409</v>
      </c>
      <c r="E787" s="39">
        <f>D787*C787</f>
        <v>409</v>
      </c>
      <c r="F787" s="1"/>
      <c r="G787" s="171"/>
    </row>
    <row r="788" spans="1:8" ht="15.75" x14ac:dyDescent="0.25">
      <c r="A788" s="3" t="s">
        <v>1588</v>
      </c>
      <c r="B788" s="98"/>
      <c r="C788" s="2"/>
      <c r="D788" s="6"/>
      <c r="E788" s="39">
        <f>PACKAGING!E3</f>
        <v>150</v>
      </c>
      <c r="F788" s="1"/>
      <c r="G788" s="1"/>
    </row>
    <row r="789" spans="1:8" ht="15.75" x14ac:dyDescent="0.25">
      <c r="A789" s="3" t="s">
        <v>1538</v>
      </c>
      <c r="B789" s="98"/>
      <c r="C789" s="2"/>
      <c r="D789" s="6"/>
      <c r="E789" s="39">
        <f>PACKAGING!E8</f>
        <v>420</v>
      </c>
      <c r="F789" s="1"/>
      <c r="G789" s="171"/>
    </row>
    <row r="790" spans="1:8" ht="15.75" x14ac:dyDescent="0.25">
      <c r="A790" s="3" t="s">
        <v>1558</v>
      </c>
      <c r="B790" s="98">
        <v>60</v>
      </c>
      <c r="C790" s="98">
        <v>10</v>
      </c>
      <c r="D790" s="102">
        <f>'INSUMOS VARIOS'!B3</f>
        <v>3500</v>
      </c>
      <c r="E790" s="39">
        <f>D790*C790/B790</f>
        <v>583.33333333333337</v>
      </c>
      <c r="F790" s="1"/>
      <c r="G790" s="171"/>
    </row>
    <row r="791" spans="1:8" ht="16.5" thickBot="1" x14ac:dyDescent="0.3">
      <c r="A791" s="79" t="s">
        <v>525</v>
      </c>
      <c r="B791" s="99"/>
      <c r="C791" s="70"/>
      <c r="D791" s="85"/>
      <c r="E791" s="51">
        <f>SUM(E786:E790)</f>
        <v>4362.333333333333</v>
      </c>
      <c r="F791" s="1"/>
      <c r="G791" s="171"/>
    </row>
    <row r="792" spans="1:8" ht="19.5" thickBot="1" x14ac:dyDescent="0.3">
      <c r="A792" s="80" t="s">
        <v>544</v>
      </c>
      <c r="B792" s="100"/>
      <c r="C792" s="71"/>
      <c r="D792" s="71"/>
      <c r="E792" s="72">
        <f>E791*2</f>
        <v>8724.6666666666661</v>
      </c>
      <c r="F792" s="512">
        <f>E792+E792*70%</f>
        <v>14831.933333333331</v>
      </c>
      <c r="G792" s="75">
        <v>16000</v>
      </c>
    </row>
    <row r="793" spans="1:8" ht="16.5" thickBot="1" x14ac:dyDescent="0.3">
      <c r="A793" s="81" t="s">
        <v>1559</v>
      </c>
      <c r="B793" s="101"/>
      <c r="C793" s="73"/>
      <c r="D793" s="73"/>
      <c r="E793" s="73"/>
      <c r="F793" s="528"/>
      <c r="G793" s="1275">
        <f>G792*60%</f>
        <v>9600</v>
      </c>
      <c r="H793" s="1120" t="s">
        <v>3687</v>
      </c>
    </row>
    <row r="794" spans="1:8" ht="15.75" thickBot="1" x14ac:dyDescent="0.3"/>
    <row r="795" spans="1:8" ht="16.5" thickBot="1" x14ac:dyDescent="0.3">
      <c r="A795" s="1716" t="s">
        <v>3834</v>
      </c>
      <c r="B795" s="1717"/>
      <c r="C795" s="1717"/>
      <c r="D795" s="1717"/>
      <c r="E795" s="1717"/>
      <c r="F795" s="1294"/>
      <c r="G795" s="653"/>
    </row>
    <row r="796" spans="1:8" ht="15.75" x14ac:dyDescent="0.25">
      <c r="A796" s="654" t="s">
        <v>916</v>
      </c>
      <c r="B796" s="655" t="s">
        <v>743</v>
      </c>
      <c r="C796" s="655" t="s">
        <v>1566</v>
      </c>
      <c r="D796" s="656" t="s">
        <v>1035</v>
      </c>
      <c r="E796" s="657" t="s">
        <v>1549</v>
      </c>
      <c r="F796" s="658"/>
      <c r="G796" s="653"/>
    </row>
    <row r="797" spans="1:8" ht="15.75" x14ac:dyDescent="0.25">
      <c r="A797" s="666" t="s">
        <v>3835</v>
      </c>
      <c r="B797" s="660" t="s">
        <v>846</v>
      </c>
      <c r="C797" s="660">
        <v>58</v>
      </c>
      <c r="D797" s="661">
        <f>PIEDRAS!F36</f>
        <v>38.46153846153846</v>
      </c>
      <c r="E797" s="662">
        <f>D797*C797</f>
        <v>2230.7692307692305</v>
      </c>
      <c r="F797" s="658"/>
      <c r="G797" s="653"/>
    </row>
    <row r="798" spans="1:8" ht="15.75" x14ac:dyDescent="0.25">
      <c r="A798" s="1287" t="s">
        <v>1554</v>
      </c>
      <c r="B798" s="660" t="s">
        <v>777</v>
      </c>
      <c r="C798" s="660">
        <v>1</v>
      </c>
      <c r="D798" s="661">
        <f>PLATEADO!F4</f>
        <v>81</v>
      </c>
      <c r="E798" s="662">
        <f t="shared" ref="E798" si="11">D798*C798</f>
        <v>81</v>
      </c>
      <c r="F798" s="658"/>
      <c r="G798" s="653"/>
    </row>
    <row r="799" spans="1:8" ht="15.75" x14ac:dyDescent="0.25">
      <c r="A799" s="666" t="s">
        <v>1594</v>
      </c>
      <c r="B799" s="660"/>
      <c r="C799" s="660">
        <v>0.28000000000000003</v>
      </c>
      <c r="D799" s="661">
        <f>'HILOS-CORDONES-TANZA-CUERO'!L5</f>
        <v>7.34</v>
      </c>
      <c r="E799" s="662">
        <f t="shared" ref="E799" si="12">C799*D799</f>
        <v>2.0552000000000001</v>
      </c>
      <c r="F799" s="658"/>
      <c r="G799" s="653"/>
    </row>
    <row r="800" spans="1:8" ht="15.75" x14ac:dyDescent="0.25">
      <c r="A800" s="666" t="s">
        <v>1557</v>
      </c>
      <c r="B800" s="660"/>
      <c r="C800" s="660"/>
      <c r="D800" s="661"/>
      <c r="E800" s="667">
        <f>PACKAGING!E3</f>
        <v>150</v>
      </c>
      <c r="F800" s="653"/>
      <c r="G800" s="658"/>
    </row>
    <row r="801" spans="1:8" ht="15.75" x14ac:dyDescent="0.25">
      <c r="A801" s="683" t="s">
        <v>1618</v>
      </c>
      <c r="B801" s="660">
        <v>60</v>
      </c>
      <c r="C801" s="660">
        <v>15</v>
      </c>
      <c r="D801" s="668">
        <f>'INSUMOS VARIOS'!B3</f>
        <v>3500</v>
      </c>
      <c r="E801" s="669">
        <f>D801*C801/B801</f>
        <v>875</v>
      </c>
      <c r="F801" s="653"/>
      <c r="G801" s="658"/>
    </row>
    <row r="802" spans="1:8" ht="16.5" thickBot="1" x14ac:dyDescent="0.3">
      <c r="A802" s="670" t="s">
        <v>525</v>
      </c>
      <c r="B802" s="671"/>
      <c r="C802" s="671"/>
      <c r="D802" s="672"/>
      <c r="E802" s="673">
        <f>SUM(E797:E801)</f>
        <v>3338.8244307692303</v>
      </c>
      <c r="F802" s="658"/>
      <c r="G802" s="653"/>
    </row>
    <row r="803" spans="1:8" ht="16.5" thickBot="1" x14ac:dyDescent="0.3">
      <c r="A803" s="675" t="s">
        <v>544</v>
      </c>
      <c r="B803" s="676"/>
      <c r="C803" s="676"/>
      <c r="D803" s="677"/>
      <c r="E803" s="692">
        <f>E802*2</f>
        <v>6677.6488615384606</v>
      </c>
      <c r="F803" s="957">
        <f>E803+E803*50%</f>
        <v>10016.473292307692</v>
      </c>
      <c r="G803" s="1275">
        <v>7000</v>
      </c>
      <c r="H803" s="1120" t="s">
        <v>3687</v>
      </c>
    </row>
    <row r="804" spans="1:8" ht="19.5" thickBot="1" x14ac:dyDescent="0.3">
      <c r="A804" s="684" t="s">
        <v>1559</v>
      </c>
      <c r="B804" s="685"/>
      <c r="C804" s="685"/>
      <c r="D804" s="686"/>
      <c r="E804" s="686"/>
      <c r="F804" s="816"/>
      <c r="G804" s="75">
        <f>G803*2</f>
        <v>14000</v>
      </c>
      <c r="H804" s="1120"/>
    </row>
    <row r="805" spans="1:8" ht="15.75" thickBot="1" x14ac:dyDescent="0.3"/>
    <row r="806" spans="1:8" ht="16.5" thickBot="1" x14ac:dyDescent="0.3">
      <c r="A806" s="1716" t="s">
        <v>4001</v>
      </c>
      <c r="B806" s="1717"/>
      <c r="C806" s="1717"/>
      <c r="D806" s="1717"/>
      <c r="E806" s="1717"/>
      <c r="F806" s="1294"/>
      <c r="G806" s="653"/>
    </row>
    <row r="807" spans="1:8" ht="15.75" x14ac:dyDescent="0.25">
      <c r="A807" s="654" t="s">
        <v>916</v>
      </c>
      <c r="B807" s="655" t="s">
        <v>743</v>
      </c>
      <c r="C807" s="655" t="s">
        <v>1566</v>
      </c>
      <c r="D807" s="656" t="s">
        <v>1035</v>
      </c>
      <c r="E807" s="657" t="s">
        <v>1549</v>
      </c>
      <c r="F807" s="658"/>
      <c r="G807" s="653"/>
    </row>
    <row r="808" spans="1:8" ht="15.75" x14ac:dyDescent="0.25">
      <c r="A808" s="666" t="s">
        <v>4000</v>
      </c>
      <c r="B808" s="660" t="s">
        <v>777</v>
      </c>
      <c r="C808" s="660"/>
      <c r="D808" s="661">
        <f>'AROS, CADENAS, DIJES, ETC'!T17</f>
        <v>5098</v>
      </c>
      <c r="E808" s="662">
        <f>D808</f>
        <v>5098</v>
      </c>
      <c r="F808" s="658"/>
      <c r="G808" s="653"/>
    </row>
    <row r="809" spans="1:8" ht="15.75" x14ac:dyDescent="0.25">
      <c r="A809" s="666" t="s">
        <v>1557</v>
      </c>
      <c r="B809" s="660"/>
      <c r="C809" s="660"/>
      <c r="D809" s="661"/>
      <c r="E809" s="667">
        <f>PACKAGING!E3</f>
        <v>150</v>
      </c>
      <c r="F809" s="653"/>
      <c r="G809" s="658"/>
    </row>
    <row r="810" spans="1:8" ht="15.75" x14ac:dyDescent="0.25">
      <c r="A810" s="666" t="s">
        <v>3362</v>
      </c>
      <c r="B810" s="660"/>
      <c r="C810" s="660"/>
      <c r="D810" s="661"/>
      <c r="E810" s="667">
        <f>PACKAGING!E17</f>
        <v>7.5</v>
      </c>
      <c r="F810" s="653"/>
      <c r="G810" s="658"/>
    </row>
    <row r="811" spans="1:8" ht="16.5" thickBot="1" x14ac:dyDescent="0.3">
      <c r="A811" s="670" t="s">
        <v>525</v>
      </c>
      <c r="B811" s="671"/>
      <c r="C811" s="671"/>
      <c r="D811" s="672"/>
      <c r="E811" s="673">
        <f>SUM(E808:E809)</f>
        <v>5248</v>
      </c>
      <c r="F811" s="658"/>
      <c r="G811" s="653"/>
    </row>
    <row r="812" spans="1:8" ht="19.5" thickBot="1" x14ac:dyDescent="0.3">
      <c r="A812" s="675" t="s">
        <v>544</v>
      </c>
      <c r="B812" s="676"/>
      <c r="C812" s="676"/>
      <c r="D812" s="677"/>
      <c r="E812" s="692">
        <f>E811*2</f>
        <v>10496</v>
      </c>
      <c r="F812" s="957">
        <f>E812+E812*60%</f>
        <v>16793.599999999999</v>
      </c>
      <c r="G812" s="75">
        <v>20000</v>
      </c>
    </row>
    <row r="813" spans="1:8" ht="16.5" thickBot="1" x14ac:dyDescent="0.3">
      <c r="A813" s="684" t="s">
        <v>1559</v>
      </c>
      <c r="B813" s="685"/>
      <c r="C813" s="685"/>
      <c r="D813" s="686"/>
      <c r="E813" s="686"/>
      <c r="F813" s="816"/>
      <c r="G813" s="1275">
        <f>G812*60%</f>
        <v>12000</v>
      </c>
      <c r="H813" s="1120" t="s">
        <v>3687</v>
      </c>
    </row>
  </sheetData>
  <mergeCells count="86">
    <mergeCell ref="A784:E784"/>
    <mergeCell ref="A754:E754"/>
    <mergeCell ref="A756:A757"/>
    <mergeCell ref="A760:A761"/>
    <mergeCell ref="A770:E770"/>
    <mergeCell ref="A726:F726"/>
    <mergeCell ref="A742:A743"/>
    <mergeCell ref="A664:F664"/>
    <mergeCell ref="A681:F681"/>
    <mergeCell ref="A705:E705"/>
    <mergeCell ref="A695:E695"/>
    <mergeCell ref="A639:F639"/>
    <mergeCell ref="A651:F651"/>
    <mergeCell ref="A567:E567"/>
    <mergeCell ref="A583:E583"/>
    <mergeCell ref="A575:E575"/>
    <mergeCell ref="A607:E607"/>
    <mergeCell ref="A623:G623"/>
    <mergeCell ref="A591:E591"/>
    <mergeCell ref="A599:E599"/>
    <mergeCell ref="A615:E615"/>
    <mergeCell ref="A556:F556"/>
    <mergeCell ref="A543:F543"/>
    <mergeCell ref="A525:G525"/>
    <mergeCell ref="A381:E381"/>
    <mergeCell ref="A393:E393"/>
    <mergeCell ref="A404:F404"/>
    <mergeCell ref="A416:F416"/>
    <mergeCell ref="A431:F431"/>
    <mergeCell ref="A512:F512"/>
    <mergeCell ref="A501:F501"/>
    <mergeCell ref="A503:A504"/>
    <mergeCell ref="A433:A434"/>
    <mergeCell ref="A453:F453"/>
    <mergeCell ref="A465:F465"/>
    <mergeCell ref="A477:F477"/>
    <mergeCell ref="A489:F489"/>
    <mergeCell ref="K155:P155"/>
    <mergeCell ref="A259:E259"/>
    <mergeCell ref="A212:E212"/>
    <mergeCell ref="A227:A228"/>
    <mergeCell ref="A225:F225"/>
    <mergeCell ref="A238:F238"/>
    <mergeCell ref="A240:A241"/>
    <mergeCell ref="A249:E249"/>
    <mergeCell ref="A252:A253"/>
    <mergeCell ref="J12:N12"/>
    <mergeCell ref="J1:N1"/>
    <mergeCell ref="A203:E203"/>
    <mergeCell ref="A82:A83"/>
    <mergeCell ref="A92:G92"/>
    <mergeCell ref="A154:F154"/>
    <mergeCell ref="A110:G110"/>
    <mergeCell ref="A128:F128"/>
    <mergeCell ref="A134:A135"/>
    <mergeCell ref="A137:A138"/>
    <mergeCell ref="A143:F143"/>
    <mergeCell ref="A165:E165"/>
    <mergeCell ref="A176:E176"/>
    <mergeCell ref="A178:A179"/>
    <mergeCell ref="A189:E189"/>
    <mergeCell ref="A80:E80"/>
    <mergeCell ref="A369:F369"/>
    <mergeCell ref="A1:C1"/>
    <mergeCell ref="A10:E10"/>
    <mergeCell ref="A12:A13"/>
    <mergeCell ref="A23:E23"/>
    <mergeCell ref="A25:A26"/>
    <mergeCell ref="A354:F354"/>
    <mergeCell ref="A324:E324"/>
    <mergeCell ref="A806:E806"/>
    <mergeCell ref="A795:E795"/>
    <mergeCell ref="A269:G269"/>
    <mergeCell ref="A38:A39"/>
    <mergeCell ref="A35:F35"/>
    <mergeCell ref="A58:A59"/>
    <mergeCell ref="A51:F51"/>
    <mergeCell ref="A67:F67"/>
    <mergeCell ref="A191:A192"/>
    <mergeCell ref="A443:E443"/>
    <mergeCell ref="A335:E335"/>
    <mergeCell ref="A299:E299"/>
    <mergeCell ref="A287:F287"/>
    <mergeCell ref="A289:A290"/>
    <mergeCell ref="A311:F311"/>
    <mergeCell ref="A343:F343"/>
  </mergeCells>
  <pageMargins left="0.7" right="0.7" top="0.75" bottom="0.75" header="0.3" footer="0.3"/>
  <ignoredErrors>
    <ignoredError sqref="F316 F456 F492 F480 F468 F516 G534 F546 G630 F642 F654 E709 E216 F729 E758 E774" formula="1"/>
  </ignoredError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Hoja30"/>
  <dimension ref="A1:Q249"/>
  <sheetViews>
    <sheetView topLeftCell="G235" zoomScaleNormal="100" workbookViewId="0">
      <selection activeCell="Q218" sqref="Q218"/>
    </sheetView>
  </sheetViews>
  <sheetFormatPr baseColWidth="10" defaultColWidth="10.85546875" defaultRowHeight="15.75" x14ac:dyDescent="0.25"/>
  <cols>
    <col min="1" max="1" width="22.85546875" style="171" bestFit="1" customWidth="1"/>
    <col min="2" max="2" width="19.140625" style="171" bestFit="1" customWidth="1"/>
    <col min="3" max="3" width="10" style="171" bestFit="1" customWidth="1"/>
    <col min="4" max="4" width="11.85546875" style="171" bestFit="1" customWidth="1"/>
    <col min="5" max="5" width="12.140625" style="171" bestFit="1" customWidth="1"/>
    <col min="6" max="7" width="13" style="171" bestFit="1" customWidth="1"/>
    <col min="8" max="8" width="13" style="171" customWidth="1"/>
    <col min="9" max="9" width="5.42578125" style="335" customWidth="1"/>
    <col min="10" max="10" width="13" style="171" customWidth="1"/>
    <col min="11" max="11" width="26.140625" style="171" bestFit="1" customWidth="1"/>
    <col min="12" max="13" width="11.85546875" style="171" bestFit="1" customWidth="1"/>
    <col min="14" max="14" width="13" style="171" bestFit="1" customWidth="1"/>
    <col min="15" max="15" width="14.5703125" style="171" bestFit="1" customWidth="1"/>
    <col min="16" max="16" width="11.85546875" style="171" bestFit="1" customWidth="1"/>
    <col min="17" max="17" width="14.5703125" style="171" bestFit="1" customWidth="1"/>
    <col min="18" max="18" width="13" style="171" bestFit="1" customWidth="1"/>
    <col min="19" max="16384" width="10.85546875" style="171"/>
  </cols>
  <sheetData>
    <row r="1" spans="1:15" ht="16.5" thickBot="1" x14ac:dyDescent="0.3">
      <c r="A1" s="1565" t="s">
        <v>153</v>
      </c>
      <c r="B1" s="1566"/>
      <c r="C1" s="1566"/>
      <c r="D1" s="1566"/>
      <c r="E1" s="1567"/>
      <c r="K1" s="1568" t="s">
        <v>2118</v>
      </c>
      <c r="L1" s="1569"/>
      <c r="M1" s="1570"/>
      <c r="N1" s="8"/>
      <c r="O1" s="1"/>
    </row>
    <row r="2" spans="1:15" x14ac:dyDescent="0.25">
      <c r="A2" s="183" t="s">
        <v>916</v>
      </c>
      <c r="B2" s="97" t="s">
        <v>743</v>
      </c>
      <c r="C2" s="97" t="s">
        <v>1566</v>
      </c>
      <c r="D2" s="76" t="s">
        <v>1035</v>
      </c>
      <c r="E2" s="77" t="s">
        <v>1549</v>
      </c>
      <c r="F2" s="1"/>
      <c r="K2" s="78" t="s">
        <v>916</v>
      </c>
      <c r="L2" s="76" t="s">
        <v>742</v>
      </c>
      <c r="M2" s="77" t="s">
        <v>1549</v>
      </c>
      <c r="N2" s="1"/>
      <c r="O2" s="1"/>
    </row>
    <row r="3" spans="1:15" x14ac:dyDescent="0.25">
      <c r="A3" s="184" t="s">
        <v>1153</v>
      </c>
      <c r="B3" s="98"/>
      <c r="C3" s="98">
        <v>11</v>
      </c>
      <c r="D3" s="102">
        <f>'INSUMOS VARIOS'!E62</f>
        <v>51.428571428571431</v>
      </c>
      <c r="E3" s="39">
        <f>D3*C3</f>
        <v>565.71428571428578</v>
      </c>
      <c r="F3" s="1"/>
      <c r="K3" s="3" t="s">
        <v>2119</v>
      </c>
      <c r="L3" s="2"/>
      <c r="M3" s="39">
        <f>'AROS, CADENAS, DIJES, ETC'!T22</f>
        <v>3088</v>
      </c>
      <c r="N3" s="60"/>
      <c r="O3" s="1"/>
    </row>
    <row r="4" spans="1:15" x14ac:dyDescent="0.25">
      <c r="A4" s="1613" t="s">
        <v>1224</v>
      </c>
      <c r="B4" s="98">
        <v>0.57999999999999996</v>
      </c>
      <c r="C4" s="98">
        <v>2</v>
      </c>
      <c r="D4" s="102">
        <f>'HILOS-CORDONES-TANZA-CUERO'!E7</f>
        <v>50.35</v>
      </c>
      <c r="E4" s="39">
        <f>D4*C4*B4</f>
        <v>58.405999999999999</v>
      </c>
      <c r="F4" s="1"/>
      <c r="K4" s="184" t="s">
        <v>1588</v>
      </c>
      <c r="L4" s="2"/>
      <c r="M4" s="39">
        <f>PACKAGING!E4</f>
        <v>80</v>
      </c>
      <c r="N4" s="60"/>
      <c r="O4" s="1"/>
    </row>
    <row r="5" spans="1:15" x14ac:dyDescent="0.25">
      <c r="A5" s="1615"/>
      <c r="B5" s="98">
        <v>0.1</v>
      </c>
      <c r="C5" s="98">
        <v>1</v>
      </c>
      <c r="D5" s="102">
        <f>'HILOS-CORDONES-TANZA-CUERO'!E7</f>
        <v>50.35</v>
      </c>
      <c r="E5" s="39">
        <f>D5*C5*B5</f>
        <v>5.0350000000000001</v>
      </c>
      <c r="F5" s="1"/>
      <c r="K5" s="184" t="s">
        <v>1670</v>
      </c>
      <c r="L5" s="2"/>
      <c r="M5" s="39">
        <f>PACKAGING!E8</f>
        <v>420</v>
      </c>
      <c r="N5" s="60"/>
      <c r="O5" s="1"/>
    </row>
    <row r="6" spans="1:15" ht="16.5" thickBot="1" x14ac:dyDescent="0.3">
      <c r="A6" s="3" t="s">
        <v>1557</v>
      </c>
      <c r="B6" s="98"/>
      <c r="C6" s="98"/>
      <c r="D6" s="102"/>
      <c r="E6" s="39">
        <f>PACKAGING!E12</f>
        <v>50</v>
      </c>
      <c r="F6" s="1"/>
      <c r="K6" s="79" t="s">
        <v>525</v>
      </c>
      <c r="L6" s="70"/>
      <c r="M6" s="51">
        <f>SUM(M3:M5)</f>
        <v>3588</v>
      </c>
      <c r="N6" s="60"/>
      <c r="O6" s="1"/>
    </row>
    <row r="7" spans="1:15" ht="19.5" thickBot="1" x14ac:dyDescent="0.3">
      <c r="A7" s="104" t="s">
        <v>1590</v>
      </c>
      <c r="B7" s="98">
        <v>60</v>
      </c>
      <c r="C7" s="98">
        <v>25</v>
      </c>
      <c r="D7" s="102">
        <f>'INSUMOS VARIOS'!B3</f>
        <v>3500</v>
      </c>
      <c r="E7" s="39">
        <f>D7*C7/B7</f>
        <v>1458.3333333333333</v>
      </c>
      <c r="F7" s="1"/>
      <c r="K7" s="211" t="s">
        <v>1559</v>
      </c>
      <c r="L7" s="1263"/>
      <c r="M7" s="1264">
        <f>M6*2</f>
        <v>7176</v>
      </c>
      <c r="N7" s="515">
        <f>M7+M7*70%</f>
        <v>12199.2</v>
      </c>
      <c r="O7" s="531">
        <v>14000</v>
      </c>
    </row>
    <row r="8" spans="1:15" ht="16.5" thickBot="1" x14ac:dyDescent="0.3">
      <c r="A8" s="79" t="s">
        <v>525</v>
      </c>
      <c r="B8" s="99"/>
      <c r="C8" s="99"/>
      <c r="D8" s="70"/>
      <c r="E8" s="51">
        <f>SUM(E3:E7)</f>
        <v>2137.4886190476191</v>
      </c>
      <c r="F8" s="1"/>
      <c r="L8" s="1262"/>
      <c r="M8" s="1262"/>
    </row>
    <row r="9" spans="1:15" ht="19.5" thickBot="1" x14ac:dyDescent="0.3">
      <c r="A9" s="80" t="s">
        <v>544</v>
      </c>
      <c r="B9" s="100"/>
      <c r="C9" s="100"/>
      <c r="D9" s="71"/>
      <c r="E9" s="72">
        <f>E8*2</f>
        <v>4274.9772380952381</v>
      </c>
      <c r="F9" s="512">
        <f>E9+E9*70%</f>
        <v>7267.4613047619041</v>
      </c>
      <c r="G9" s="75">
        <v>4800</v>
      </c>
    </row>
    <row r="10" spans="1:15" ht="19.5" thickBot="1" x14ac:dyDescent="0.3">
      <c r="A10" s="81" t="s">
        <v>1559</v>
      </c>
      <c r="B10" s="101"/>
      <c r="C10" s="101"/>
      <c r="D10" s="73"/>
      <c r="E10" s="73"/>
      <c r="F10" s="522"/>
      <c r="G10" s="74">
        <f>G9*2</f>
        <v>9600</v>
      </c>
      <c r="K10" s="1568" t="s">
        <v>283</v>
      </c>
      <c r="L10" s="1569"/>
      <c r="M10" s="1570"/>
      <c r="O10" s="1"/>
    </row>
    <row r="11" spans="1:15" x14ac:dyDescent="0.25">
      <c r="K11" s="78" t="s">
        <v>916</v>
      </c>
      <c r="L11" s="82" t="s">
        <v>742</v>
      </c>
      <c r="M11" s="83" t="s">
        <v>1549</v>
      </c>
      <c r="O11" s="1"/>
    </row>
    <row r="12" spans="1:15" x14ac:dyDescent="0.25">
      <c r="A12" s="1576" t="s">
        <v>2120</v>
      </c>
      <c r="B12" s="1577"/>
      <c r="C12" s="1577"/>
      <c r="D12" s="1577"/>
      <c r="E12" s="1577"/>
      <c r="F12" s="1577"/>
      <c r="G12" s="1"/>
      <c r="H12" s="1"/>
      <c r="K12" s="3" t="s">
        <v>962</v>
      </c>
      <c r="L12" s="2"/>
      <c r="M12" s="39">
        <f>'AROS, CADENAS, DIJES, ETC'!T23</f>
        <v>3088</v>
      </c>
      <c r="O12" s="1"/>
    </row>
    <row r="13" spans="1:15" x14ac:dyDescent="0.25">
      <c r="A13" s="183" t="s">
        <v>916</v>
      </c>
      <c r="B13" s="97" t="s">
        <v>742</v>
      </c>
      <c r="C13" s="97" t="s">
        <v>1089</v>
      </c>
      <c r="D13" s="76" t="s">
        <v>1547</v>
      </c>
      <c r="E13" s="108" t="s">
        <v>1035</v>
      </c>
      <c r="F13" s="77" t="s">
        <v>1549</v>
      </c>
      <c r="G13" s="1"/>
      <c r="H13" s="1"/>
      <c r="K13" s="3" t="s">
        <v>1557</v>
      </c>
      <c r="L13" s="2"/>
      <c r="M13" s="39">
        <f>PACKAGING!E4</f>
        <v>80</v>
      </c>
      <c r="O13" s="1"/>
    </row>
    <row r="14" spans="1:15" x14ac:dyDescent="0.25">
      <c r="A14" s="1613" t="s">
        <v>1224</v>
      </c>
      <c r="B14" s="2"/>
      <c r="C14" s="190">
        <v>0.36</v>
      </c>
      <c r="D14" s="107">
        <v>2</v>
      </c>
      <c r="E14" s="109">
        <f>'HILOS-CORDONES-TANZA-CUERO'!E5</f>
        <v>50.35</v>
      </c>
      <c r="F14" s="110">
        <f>E14*D14*C14</f>
        <v>36.252000000000002</v>
      </c>
      <c r="G14" s="1"/>
      <c r="H14" s="1"/>
      <c r="K14" s="3" t="s">
        <v>4540</v>
      </c>
      <c r="L14" s="2"/>
      <c r="M14" s="39">
        <f>PACKAGING!I9</f>
        <v>1000</v>
      </c>
      <c r="O14" s="1"/>
    </row>
    <row r="15" spans="1:15" ht="16.5" thickBot="1" x14ac:dyDescent="0.3">
      <c r="A15" s="1614"/>
      <c r="B15" s="2"/>
      <c r="C15" s="2">
        <v>0.8</v>
      </c>
      <c r="D15" s="2">
        <v>2</v>
      </c>
      <c r="E15" s="109">
        <f>E14</f>
        <v>50.35</v>
      </c>
      <c r="F15" s="110">
        <f>E15*D15*C15</f>
        <v>80.56</v>
      </c>
      <c r="G15" s="1"/>
      <c r="H15" s="1"/>
      <c r="K15" s="79" t="s">
        <v>525</v>
      </c>
      <c r="L15" s="70"/>
      <c r="M15" s="51">
        <f>SUM(M12:M14)</f>
        <v>4168</v>
      </c>
      <c r="O15" s="1"/>
    </row>
    <row r="16" spans="1:15" ht="19.5" thickBot="1" x14ac:dyDescent="0.3">
      <c r="A16" s="1615"/>
      <c r="B16" s="98"/>
      <c r="C16" s="98">
        <v>0.12</v>
      </c>
      <c r="D16" s="2">
        <v>1</v>
      </c>
      <c r="E16" s="109">
        <f>E15</f>
        <v>50.35</v>
      </c>
      <c r="F16" s="110">
        <f>E16*D16*C16</f>
        <v>6.0419999999999998</v>
      </c>
      <c r="G16" s="1"/>
      <c r="H16" s="1"/>
      <c r="K16" s="211" t="s">
        <v>1559</v>
      </c>
      <c r="L16" s="212"/>
      <c r="M16" s="213">
        <f>M15*2</f>
        <v>8336</v>
      </c>
      <c r="N16" s="515">
        <f>M16+M16*70%</f>
        <v>14171.2</v>
      </c>
      <c r="O16" s="210">
        <v>20000</v>
      </c>
    </row>
    <row r="17" spans="1:17" ht="16.5" thickBot="1" x14ac:dyDescent="0.3">
      <c r="A17" s="104" t="s">
        <v>970</v>
      </c>
      <c r="B17" s="98"/>
      <c r="C17" s="98"/>
      <c r="D17" s="2">
        <v>1</v>
      </c>
      <c r="E17" s="109">
        <f>'INSUMOS VARIOS'!E60</f>
        <v>16.8</v>
      </c>
      <c r="F17" s="110">
        <f>D17*E17</f>
        <v>16.8</v>
      </c>
      <c r="G17" s="1"/>
      <c r="H17" s="1"/>
    </row>
    <row r="18" spans="1:17" ht="16.5" thickBot="1" x14ac:dyDescent="0.3">
      <c r="A18" s="104" t="s">
        <v>1555</v>
      </c>
      <c r="B18" s="98"/>
      <c r="C18" s="98"/>
      <c r="D18" s="2">
        <v>1</v>
      </c>
      <c r="E18" s="109">
        <f>FORNITURAS!D4</f>
        <v>48.7</v>
      </c>
      <c r="F18" s="110">
        <f>D18*E18</f>
        <v>48.7</v>
      </c>
      <c r="G18" s="1"/>
      <c r="H18" s="1"/>
      <c r="K18" s="1568" t="s">
        <v>475</v>
      </c>
      <c r="L18" s="1569"/>
      <c r="M18" s="1570"/>
      <c r="O18" s="1"/>
    </row>
    <row r="19" spans="1:17" x14ac:dyDescent="0.25">
      <c r="A19" s="104" t="s">
        <v>2121</v>
      </c>
      <c r="B19" s="98"/>
      <c r="C19" s="98"/>
      <c r="D19" s="2">
        <v>1</v>
      </c>
      <c r="E19" s="109">
        <f>'INSUMOS VARIOS'!B7</f>
        <v>5</v>
      </c>
      <c r="F19" s="110">
        <f>D19*E19</f>
        <v>5</v>
      </c>
      <c r="G19" s="1"/>
      <c r="H19" s="1"/>
      <c r="K19" s="78" t="s">
        <v>916</v>
      </c>
      <c r="L19" s="82" t="s">
        <v>742</v>
      </c>
      <c r="M19" s="83" t="s">
        <v>1549</v>
      </c>
      <c r="O19" s="1"/>
    </row>
    <row r="20" spans="1:17" x14ac:dyDescent="0.25">
      <c r="A20" s="104" t="s">
        <v>1746</v>
      </c>
      <c r="B20" s="98"/>
      <c r="C20" s="98"/>
      <c r="D20" s="2"/>
      <c r="E20" s="109"/>
      <c r="F20" s="110">
        <v>1</v>
      </c>
      <c r="G20" s="1"/>
      <c r="H20" s="1"/>
      <c r="K20" s="3" t="s">
        <v>981</v>
      </c>
      <c r="L20" s="2"/>
      <c r="M20" s="39">
        <v>1695</v>
      </c>
      <c r="O20" s="1"/>
    </row>
    <row r="21" spans="1:17" x14ac:dyDescent="0.25">
      <c r="A21" s="3" t="s">
        <v>1557</v>
      </c>
      <c r="B21" s="98"/>
      <c r="C21" s="98"/>
      <c r="D21" s="2"/>
      <c r="E21" s="6"/>
      <c r="F21" s="39">
        <f>PACKAGING!E12</f>
        <v>50</v>
      </c>
      <c r="G21" s="1"/>
      <c r="H21" s="1"/>
      <c r="K21" s="3" t="s">
        <v>1557</v>
      </c>
      <c r="L21" s="2"/>
      <c r="M21" s="39">
        <f>PACKAGING!E4</f>
        <v>80</v>
      </c>
      <c r="O21" s="1"/>
    </row>
    <row r="22" spans="1:17" x14ac:dyDescent="0.25">
      <c r="A22" s="3" t="s">
        <v>1558</v>
      </c>
      <c r="B22" s="98"/>
      <c r="C22" s="98"/>
      <c r="D22" s="2"/>
      <c r="E22" s="6"/>
      <c r="F22" s="39">
        <v>160</v>
      </c>
      <c r="G22" s="1"/>
      <c r="H22" s="1"/>
      <c r="K22" s="3" t="s">
        <v>1670</v>
      </c>
      <c r="L22" s="2"/>
      <c r="M22" s="39">
        <f>PACKAGING!E8</f>
        <v>420</v>
      </c>
      <c r="O22" s="1"/>
    </row>
    <row r="23" spans="1:17" ht="16.5" thickBot="1" x14ac:dyDescent="0.3">
      <c r="A23" s="79" t="s">
        <v>525</v>
      </c>
      <c r="B23" s="99"/>
      <c r="C23" s="99"/>
      <c r="D23" s="70"/>
      <c r="E23" s="85"/>
      <c r="F23" s="51">
        <f>SUM(F14:F22)</f>
        <v>404.35400000000004</v>
      </c>
      <c r="G23" s="1"/>
      <c r="H23" s="1"/>
      <c r="K23" s="79" t="s">
        <v>525</v>
      </c>
      <c r="L23" s="70"/>
      <c r="M23" s="51">
        <f>SUM(M20:M22)</f>
        <v>2195</v>
      </c>
      <c r="O23" s="1"/>
    </row>
    <row r="24" spans="1:17" ht="19.5" thickBot="1" x14ac:dyDescent="0.3">
      <c r="A24" s="80" t="s">
        <v>544</v>
      </c>
      <c r="B24" s="100"/>
      <c r="C24" s="100"/>
      <c r="D24" s="71"/>
      <c r="E24" s="71"/>
      <c r="F24" s="72">
        <f>F23*2</f>
        <v>808.70800000000008</v>
      </c>
      <c r="G24" s="75">
        <v>590</v>
      </c>
      <c r="H24" s="96"/>
      <c r="K24" s="211" t="s">
        <v>1559</v>
      </c>
      <c r="L24" s="212"/>
      <c r="M24" s="213">
        <f>M23*2</f>
        <v>4390</v>
      </c>
      <c r="N24" s="515">
        <f>M24+M24*70%</f>
        <v>7463</v>
      </c>
      <c r="O24" s="961">
        <v>13000</v>
      </c>
    </row>
    <row r="25" spans="1:17" ht="19.5" thickBot="1" x14ac:dyDescent="0.3">
      <c r="A25" s="81" t="s">
        <v>1559</v>
      </c>
      <c r="B25" s="101"/>
      <c r="C25" s="101"/>
      <c r="D25" s="73"/>
      <c r="E25" s="73"/>
      <c r="F25" s="73"/>
      <c r="G25" s="74">
        <f>G24*2</f>
        <v>1180</v>
      </c>
      <c r="H25" s="96"/>
      <c r="M25" s="380"/>
      <c r="N25" s="380"/>
    </row>
    <row r="26" spans="1:17" ht="15.6" customHeight="1" thickBot="1" x14ac:dyDescent="0.3">
      <c r="K26" s="1601" t="s">
        <v>2122</v>
      </c>
      <c r="L26" s="1588"/>
      <c r="M26" s="1588"/>
      <c r="N26" s="1588"/>
      <c r="O26" s="1588"/>
      <c r="P26" s="1"/>
      <c r="Q26" s="1"/>
    </row>
    <row r="27" spans="1:17" ht="16.5" thickBot="1" x14ac:dyDescent="0.3">
      <c r="A27" s="1568" t="s">
        <v>597</v>
      </c>
      <c r="B27" s="1569"/>
      <c r="C27" s="1569"/>
      <c r="D27" s="1569"/>
      <c r="E27" s="1570"/>
      <c r="F27" s="426"/>
      <c r="K27" s="183" t="s">
        <v>916</v>
      </c>
      <c r="L27" s="97" t="s">
        <v>743</v>
      </c>
      <c r="M27" s="76" t="s">
        <v>1547</v>
      </c>
      <c r="N27" s="108" t="s">
        <v>1035</v>
      </c>
      <c r="O27" s="77" t="s">
        <v>1549</v>
      </c>
      <c r="P27" s="1"/>
      <c r="Q27" s="1"/>
    </row>
    <row r="28" spans="1:17" x14ac:dyDescent="0.25">
      <c r="A28" s="183" t="s">
        <v>916</v>
      </c>
      <c r="B28" s="97" t="s">
        <v>1089</v>
      </c>
      <c r="C28" s="76" t="s">
        <v>1547</v>
      </c>
      <c r="D28" s="108" t="s">
        <v>1035</v>
      </c>
      <c r="E28" s="77" t="s">
        <v>1549</v>
      </c>
      <c r="F28" s="1"/>
      <c r="K28" s="104" t="s">
        <v>1594</v>
      </c>
      <c r="L28" s="2"/>
      <c r="M28" s="107">
        <v>0.17</v>
      </c>
      <c r="N28" s="109">
        <f>'HILOS-CORDONES-TANZA-CUERO'!L5</f>
        <v>7.34</v>
      </c>
      <c r="O28" s="110">
        <f>N28*M28</f>
        <v>1.2478</v>
      </c>
      <c r="P28" s="1"/>
      <c r="Q28" s="1"/>
    </row>
    <row r="29" spans="1:17" x14ac:dyDescent="0.25">
      <c r="A29" s="1613" t="s">
        <v>1224</v>
      </c>
      <c r="B29" s="190">
        <v>0.33</v>
      </c>
      <c r="C29" s="107">
        <v>2</v>
      </c>
      <c r="D29" s="109">
        <f>'HILOS-CORDONES-TANZA-CUERO'!E5</f>
        <v>50.35</v>
      </c>
      <c r="E29" s="110">
        <f>D29*C29*B29</f>
        <v>33.231000000000002</v>
      </c>
      <c r="F29" s="1"/>
      <c r="K29" s="104" t="s">
        <v>1581</v>
      </c>
      <c r="L29" s="2">
        <v>0.34</v>
      </c>
      <c r="M29" s="2">
        <v>6.5000000000000002E-2</v>
      </c>
      <c r="N29" s="109">
        <f>'PERLAS 2'!N4</f>
        <v>13000</v>
      </c>
      <c r="O29" s="110">
        <f>N29*M29/L29</f>
        <v>2485.2941176470586</v>
      </c>
      <c r="P29" s="1"/>
      <c r="Q29" s="1"/>
    </row>
    <row r="30" spans="1:17" x14ac:dyDescent="0.25">
      <c r="A30" s="1615"/>
      <c r="B30" s="2">
        <v>0.12</v>
      </c>
      <c r="C30" s="2">
        <v>1</v>
      </c>
      <c r="D30" s="109">
        <f>D29</f>
        <v>50.35</v>
      </c>
      <c r="E30" s="110">
        <f>D30*C30*B30</f>
        <v>6.0419999999999998</v>
      </c>
      <c r="F30" s="1"/>
      <c r="K30" s="104" t="s">
        <v>1736</v>
      </c>
      <c r="L30" s="98"/>
      <c r="M30" s="2">
        <v>1</v>
      </c>
      <c r="N30" s="109">
        <f>FORNITURAS!I4</f>
        <v>66.099999999999994</v>
      </c>
      <c r="O30" s="110">
        <f>M30*N30</f>
        <v>66.099999999999994</v>
      </c>
      <c r="P30" s="1"/>
      <c r="Q30" s="1"/>
    </row>
    <row r="31" spans="1:17" x14ac:dyDescent="0.25">
      <c r="A31" s="191" t="s">
        <v>976</v>
      </c>
      <c r="B31" s="98"/>
      <c r="C31" s="2">
        <v>1</v>
      </c>
      <c r="D31" s="109">
        <f>'AROS, CADENAS, DIJES, ETC'!O166</f>
        <v>357</v>
      </c>
      <c r="E31" s="110">
        <f>C31*D31</f>
        <v>357</v>
      </c>
      <c r="F31" s="1"/>
      <c r="K31" s="3" t="s">
        <v>1557</v>
      </c>
      <c r="L31" s="98"/>
      <c r="M31" s="2"/>
      <c r="N31" s="6"/>
      <c r="O31" s="39">
        <f>PACKAGING!E4</f>
        <v>80</v>
      </c>
      <c r="P31" s="1"/>
      <c r="Q31" s="1"/>
    </row>
    <row r="32" spans="1:17" x14ac:dyDescent="0.25">
      <c r="A32" s="191" t="s">
        <v>1012</v>
      </c>
      <c r="B32" s="98"/>
      <c r="C32" s="2">
        <v>4</v>
      </c>
      <c r="D32" s="109">
        <f>FORNITURAS!D17</f>
        <v>45.05</v>
      </c>
      <c r="E32" s="110">
        <f>C32*D32</f>
        <v>180.2</v>
      </c>
      <c r="F32" s="1"/>
      <c r="K32" s="3" t="s">
        <v>1558</v>
      </c>
      <c r="L32" s="98">
        <v>60</v>
      </c>
      <c r="M32" s="2">
        <v>10</v>
      </c>
      <c r="N32" s="66">
        <f>'INSUMOS VARIOS'!B3</f>
        <v>3500</v>
      </c>
      <c r="O32" s="39">
        <f>N32*M32/L32</f>
        <v>583.33333333333337</v>
      </c>
      <c r="P32" s="1"/>
      <c r="Q32" s="1"/>
    </row>
    <row r="33" spans="1:17" x14ac:dyDescent="0.25">
      <c r="A33" s="3" t="s">
        <v>1557</v>
      </c>
      <c r="B33" s="98"/>
      <c r="C33" s="2"/>
      <c r="D33" s="6"/>
      <c r="E33" s="39">
        <f>PACKAGING!E12</f>
        <v>50</v>
      </c>
      <c r="F33" s="1"/>
      <c r="K33" s="3" t="s">
        <v>4540</v>
      </c>
      <c r="L33" s="98"/>
      <c r="M33" s="2"/>
      <c r="N33" s="66"/>
      <c r="O33" s="39">
        <f>PACKAGING!I9</f>
        <v>1000</v>
      </c>
      <c r="P33" s="1"/>
      <c r="Q33" s="1"/>
    </row>
    <row r="34" spans="1:17" ht="16.5" thickBot="1" x14ac:dyDescent="0.3">
      <c r="A34" s="3" t="s">
        <v>1558</v>
      </c>
      <c r="B34" s="98"/>
      <c r="C34" s="2"/>
      <c r="D34" s="6"/>
      <c r="E34" s="39">
        <v>45</v>
      </c>
      <c r="F34" s="1"/>
      <c r="K34" s="79" t="s">
        <v>525</v>
      </c>
      <c r="L34" s="99"/>
      <c r="M34" s="70"/>
      <c r="N34" s="85"/>
      <c r="O34" s="51">
        <f>SUM(O28:O32)</f>
        <v>3215.975250980392</v>
      </c>
      <c r="P34" s="60"/>
      <c r="Q34" s="60"/>
    </row>
    <row r="35" spans="1:17" ht="19.5" thickBot="1" x14ac:dyDescent="0.3">
      <c r="A35" s="79" t="s">
        <v>525</v>
      </c>
      <c r="B35" s="99"/>
      <c r="C35" s="70"/>
      <c r="D35" s="85"/>
      <c r="E35" s="51">
        <f>SUM(E29:E34)</f>
        <v>671.47299999999996</v>
      </c>
      <c r="F35" s="1"/>
      <c r="K35" s="80" t="s">
        <v>544</v>
      </c>
      <c r="L35" s="100"/>
      <c r="M35" s="71"/>
      <c r="N35" s="71"/>
      <c r="O35" s="72">
        <f>O34*2</f>
        <v>6431.9505019607841</v>
      </c>
      <c r="P35" s="512">
        <f>O35+O35*50%</f>
        <v>9647.9257529411771</v>
      </c>
      <c r="Q35" s="75">
        <v>7000</v>
      </c>
    </row>
    <row r="36" spans="1:17" ht="19.5" thickBot="1" x14ac:dyDescent="0.3">
      <c r="A36" s="80" t="s">
        <v>544</v>
      </c>
      <c r="B36" s="100"/>
      <c r="C36" s="71"/>
      <c r="D36" s="71"/>
      <c r="E36" s="72">
        <f>E35*2</f>
        <v>1342.9459999999999</v>
      </c>
      <c r="F36" s="75">
        <v>610</v>
      </c>
      <c r="K36" s="81" t="s">
        <v>1559</v>
      </c>
      <c r="L36" s="101"/>
      <c r="M36" s="73"/>
      <c r="N36" s="73"/>
      <c r="O36" s="73"/>
      <c r="P36" s="522"/>
      <c r="Q36" s="74">
        <f>Q35*2</f>
        <v>14000</v>
      </c>
    </row>
    <row r="37" spans="1:17" ht="15.95" customHeight="1" thickBot="1" x14ac:dyDescent="0.3">
      <c r="A37" s="81" t="s">
        <v>1559</v>
      </c>
      <c r="B37" s="101"/>
      <c r="C37" s="73"/>
      <c r="D37" s="73"/>
      <c r="E37" s="73"/>
      <c r="F37" s="74">
        <f>F36*2</f>
        <v>1220</v>
      </c>
    </row>
    <row r="38" spans="1:17" ht="16.5" thickBot="1" x14ac:dyDescent="0.3">
      <c r="K38" s="1568" t="s">
        <v>2123</v>
      </c>
      <c r="L38" s="1569"/>
      <c r="M38" s="1570"/>
      <c r="O38" s="1"/>
    </row>
    <row r="39" spans="1:17" x14ac:dyDescent="0.25">
      <c r="K39" s="78" t="s">
        <v>916</v>
      </c>
      <c r="L39" s="82" t="s">
        <v>742</v>
      </c>
      <c r="M39" s="83" t="s">
        <v>1549</v>
      </c>
      <c r="O39" s="1"/>
    </row>
    <row r="40" spans="1:17" x14ac:dyDescent="0.25">
      <c r="K40" s="3" t="s">
        <v>968</v>
      </c>
      <c r="L40" s="2"/>
      <c r="M40" s="39">
        <f>'AROS, CADENAS, DIJES, ETC'!T25</f>
        <v>3140</v>
      </c>
      <c r="O40" s="1"/>
    </row>
    <row r="41" spans="1:17" x14ac:dyDescent="0.25">
      <c r="K41" s="3" t="s">
        <v>1557</v>
      </c>
      <c r="L41" s="2"/>
      <c r="M41" s="39">
        <f>M49</f>
        <v>150</v>
      </c>
      <c r="O41" s="1"/>
    </row>
    <row r="42" spans="1:17" x14ac:dyDescent="0.25">
      <c r="K42" s="3" t="s">
        <v>1670</v>
      </c>
      <c r="L42" s="2"/>
      <c r="M42" s="39">
        <f>M22</f>
        <v>420</v>
      </c>
      <c r="O42" s="1"/>
    </row>
    <row r="43" spans="1:17" ht="16.5" thickBot="1" x14ac:dyDescent="0.3">
      <c r="K43" s="79" t="s">
        <v>525</v>
      </c>
      <c r="L43" s="70"/>
      <c r="M43" s="51">
        <f>SUM(M40:M42)</f>
        <v>3710</v>
      </c>
      <c r="O43" s="1"/>
    </row>
    <row r="44" spans="1:17" ht="19.5" thickBot="1" x14ac:dyDescent="0.3">
      <c r="K44" s="211" t="s">
        <v>1559</v>
      </c>
      <c r="L44" s="212"/>
      <c r="M44" s="213">
        <f>M43*2</f>
        <v>7420</v>
      </c>
      <c r="N44" s="515">
        <f>M44+M44*50%</f>
        <v>11130</v>
      </c>
      <c r="O44" s="961">
        <v>7200</v>
      </c>
    </row>
    <row r="45" spans="1:17" ht="16.5" thickBot="1" x14ac:dyDescent="0.3"/>
    <row r="46" spans="1:17" ht="16.5" thickBot="1" x14ac:dyDescent="0.3">
      <c r="K46" s="1568" t="s">
        <v>316</v>
      </c>
      <c r="L46" s="1569"/>
      <c r="M46" s="1570"/>
      <c r="O46" s="1"/>
    </row>
    <row r="47" spans="1:17" x14ac:dyDescent="0.25">
      <c r="K47" s="78" t="s">
        <v>916</v>
      </c>
      <c r="L47" s="82" t="s">
        <v>742</v>
      </c>
      <c r="M47" s="83" t="s">
        <v>1549</v>
      </c>
      <c r="O47" s="1"/>
    </row>
    <row r="48" spans="1:17" x14ac:dyDescent="0.25">
      <c r="K48" s="3" t="s">
        <v>2124</v>
      </c>
      <c r="L48" s="2"/>
      <c r="M48" s="39">
        <f>'AROS, CADENAS, DIJES, ETC'!T30</f>
        <v>3300</v>
      </c>
      <c r="O48" s="1"/>
    </row>
    <row r="49" spans="11:15" x14ac:dyDescent="0.25">
      <c r="K49" s="3" t="s">
        <v>1557</v>
      </c>
      <c r="L49" s="2"/>
      <c r="M49" s="39">
        <f>PACKAGING!E3</f>
        <v>150</v>
      </c>
      <c r="O49" s="1"/>
    </row>
    <row r="50" spans="11:15" x14ac:dyDescent="0.25">
      <c r="K50" s="3" t="s">
        <v>1670</v>
      </c>
      <c r="L50" s="2"/>
      <c r="M50" s="39">
        <f>PACKAGING!E8</f>
        <v>420</v>
      </c>
      <c r="O50" s="1"/>
    </row>
    <row r="51" spans="11:15" ht="16.5" thickBot="1" x14ac:dyDescent="0.3">
      <c r="K51" s="79" t="s">
        <v>525</v>
      </c>
      <c r="L51" s="70"/>
      <c r="M51" s="51">
        <f>SUM(M48:M50)</f>
        <v>3870</v>
      </c>
      <c r="O51" s="1"/>
    </row>
    <row r="52" spans="11:15" ht="19.5" thickBot="1" x14ac:dyDescent="0.3">
      <c r="K52" s="211" t="s">
        <v>1559</v>
      </c>
      <c r="L52" s="212"/>
      <c r="M52" s="213">
        <f>M51*2</f>
        <v>7740</v>
      </c>
      <c r="N52" s="515">
        <f>M52+M52*70%</f>
        <v>13158</v>
      </c>
      <c r="O52" s="1261">
        <v>14000</v>
      </c>
    </row>
    <row r="53" spans="11:15" ht="16.5" thickBot="1" x14ac:dyDescent="0.3">
      <c r="O53" s="1262"/>
    </row>
    <row r="54" spans="11:15" ht="16.5" thickBot="1" x14ac:dyDescent="0.3">
      <c r="K54" s="1568" t="s">
        <v>264</v>
      </c>
      <c r="L54" s="1569"/>
      <c r="M54" s="1570"/>
      <c r="O54" s="1"/>
    </row>
    <row r="55" spans="11:15" x14ac:dyDescent="0.25">
      <c r="K55" s="78" t="s">
        <v>916</v>
      </c>
      <c r="L55" s="82" t="s">
        <v>742</v>
      </c>
      <c r="M55" s="83" t="s">
        <v>1549</v>
      </c>
      <c r="O55" s="1"/>
    </row>
    <row r="56" spans="11:15" x14ac:dyDescent="0.25">
      <c r="K56" s="3" t="s">
        <v>2125</v>
      </c>
      <c r="L56" s="2"/>
      <c r="M56" s="39">
        <f>'AROS, CADENAS, DIJES, ETC'!T31</f>
        <v>2993</v>
      </c>
      <c r="O56" s="1"/>
    </row>
    <row r="57" spans="11:15" x14ac:dyDescent="0.25">
      <c r="K57" s="3" t="s">
        <v>1557</v>
      </c>
      <c r="L57" s="2"/>
      <c r="M57" s="39">
        <f>M49</f>
        <v>150</v>
      </c>
      <c r="O57" s="1"/>
    </row>
    <row r="58" spans="11:15" x14ac:dyDescent="0.25">
      <c r="K58" s="3" t="s">
        <v>1670</v>
      </c>
      <c r="L58" s="2"/>
      <c r="M58" s="39">
        <f>M50</f>
        <v>420</v>
      </c>
      <c r="O58" s="1"/>
    </row>
    <row r="59" spans="11:15" ht="16.5" thickBot="1" x14ac:dyDescent="0.3">
      <c r="K59" s="79" t="s">
        <v>525</v>
      </c>
      <c r="L59" s="70"/>
      <c r="M59" s="51">
        <f>SUM(M56:M58)</f>
        <v>3563</v>
      </c>
      <c r="O59" s="1"/>
    </row>
    <row r="60" spans="11:15" ht="19.5" thickBot="1" x14ac:dyDescent="0.3">
      <c r="K60" s="211" t="s">
        <v>1559</v>
      </c>
      <c r="L60" s="212"/>
      <c r="M60" s="213">
        <f>M59*2</f>
        <v>7126</v>
      </c>
      <c r="N60" s="515">
        <f>M60+M60*70%</f>
        <v>12114.2</v>
      </c>
      <c r="O60" s="961">
        <v>6200</v>
      </c>
    </row>
    <row r="61" spans="11:15" ht="16.5" thickBot="1" x14ac:dyDescent="0.3"/>
    <row r="62" spans="11:15" ht="16.5" thickBot="1" x14ac:dyDescent="0.3">
      <c r="K62" s="1568" t="s">
        <v>262</v>
      </c>
      <c r="L62" s="1569"/>
      <c r="M62" s="1570"/>
      <c r="O62" s="1"/>
    </row>
    <row r="63" spans="11:15" ht="15.6" customHeight="1" x14ac:dyDescent="0.25">
      <c r="K63" s="78" t="s">
        <v>916</v>
      </c>
      <c r="L63" s="82" t="s">
        <v>742</v>
      </c>
      <c r="M63" s="83" t="s">
        <v>1549</v>
      </c>
      <c r="O63" s="1"/>
    </row>
    <row r="64" spans="11:15" x14ac:dyDescent="0.25">
      <c r="K64" s="3" t="s">
        <v>908</v>
      </c>
      <c r="L64" s="2"/>
      <c r="M64" s="39">
        <f>'AROS, CADENAS, DIJES, ETC'!T41</f>
        <v>2993</v>
      </c>
      <c r="O64" s="1"/>
    </row>
    <row r="65" spans="11:17" x14ac:dyDescent="0.25">
      <c r="K65" s="3" t="s">
        <v>1557</v>
      </c>
      <c r="L65" s="2"/>
      <c r="M65" s="39">
        <f>M57</f>
        <v>150</v>
      </c>
      <c r="O65" s="1"/>
    </row>
    <row r="66" spans="11:17" x14ac:dyDescent="0.25">
      <c r="K66" s="3" t="s">
        <v>4540</v>
      </c>
      <c r="L66" s="2"/>
      <c r="M66" s="39">
        <f>PACKAGING!I9</f>
        <v>1000</v>
      </c>
      <c r="O66" s="1"/>
    </row>
    <row r="67" spans="11:17" ht="16.5" thickBot="1" x14ac:dyDescent="0.3">
      <c r="K67" s="79" t="s">
        <v>525</v>
      </c>
      <c r="L67" s="70"/>
      <c r="M67" s="51">
        <f>SUM(M64:M66)</f>
        <v>4143</v>
      </c>
      <c r="O67" s="1"/>
    </row>
    <row r="68" spans="11:17" ht="19.5" thickBot="1" x14ac:dyDescent="0.3">
      <c r="K68" s="211" t="s">
        <v>1559</v>
      </c>
      <c r="L68" s="212"/>
      <c r="M68" s="213">
        <f>M67*2</f>
        <v>8286</v>
      </c>
      <c r="N68" s="515">
        <f>M68+M68*70%</f>
        <v>14086.2</v>
      </c>
      <c r="O68" s="961">
        <v>26000</v>
      </c>
    </row>
    <row r="69" spans="11:17" ht="16.5" thickBot="1" x14ac:dyDescent="0.3"/>
    <row r="70" spans="11:17" ht="16.5" thickBot="1" x14ac:dyDescent="0.3">
      <c r="K70" s="1568" t="s">
        <v>1430</v>
      </c>
      <c r="L70" s="1569"/>
      <c r="M70" s="1570"/>
      <c r="O70" s="1"/>
    </row>
    <row r="71" spans="11:17" x14ac:dyDescent="0.25">
      <c r="K71" s="78" t="s">
        <v>916</v>
      </c>
      <c r="L71" s="82" t="s">
        <v>742</v>
      </c>
      <c r="M71" s="83" t="s">
        <v>1549</v>
      </c>
      <c r="O71" s="1"/>
    </row>
    <row r="72" spans="11:17" x14ac:dyDescent="0.25">
      <c r="K72" s="3" t="s">
        <v>758</v>
      </c>
      <c r="L72" s="2"/>
      <c r="M72" s="39">
        <f>VIDRIOS!I29</f>
        <v>100</v>
      </c>
      <c r="O72" s="1"/>
    </row>
    <row r="73" spans="11:17" x14ac:dyDescent="0.25">
      <c r="K73" s="3" t="s">
        <v>1557</v>
      </c>
      <c r="L73" s="2"/>
      <c r="M73" s="39">
        <f>M65</f>
        <v>150</v>
      </c>
      <c r="O73" s="1"/>
    </row>
    <row r="74" spans="11:17" x14ac:dyDescent="0.25">
      <c r="K74" s="3" t="s">
        <v>1670</v>
      </c>
      <c r="L74" s="2"/>
      <c r="M74" s="39">
        <f>M66</f>
        <v>1000</v>
      </c>
      <c r="O74" s="1"/>
    </row>
    <row r="75" spans="11:17" ht="16.5" thickBot="1" x14ac:dyDescent="0.3">
      <c r="K75" s="79" t="s">
        <v>525</v>
      </c>
      <c r="L75" s="70"/>
      <c r="M75" s="51">
        <f>SUM(M72:M74)</f>
        <v>1250</v>
      </c>
      <c r="O75" s="1"/>
    </row>
    <row r="76" spans="11:17" ht="18.75" x14ac:dyDescent="0.25">
      <c r="K76" s="80" t="s">
        <v>544</v>
      </c>
      <c r="L76" s="100"/>
      <c r="M76" s="72">
        <f>M75*2</f>
        <v>2500</v>
      </c>
      <c r="N76" s="512">
        <f>M76+M76*70%</f>
        <v>4250</v>
      </c>
      <c r="O76" s="75">
        <v>2500</v>
      </c>
    </row>
    <row r="77" spans="11:17" ht="19.5" thickBot="1" x14ac:dyDescent="0.3">
      <c r="K77" s="211" t="s">
        <v>1559</v>
      </c>
      <c r="L77" s="212"/>
      <c r="M77" s="73"/>
      <c r="N77" s="522"/>
      <c r="O77" s="74">
        <f>O76*2</f>
        <v>5000</v>
      </c>
    </row>
    <row r="79" spans="11:17" x14ac:dyDescent="0.25">
      <c r="K79" s="1601" t="s">
        <v>124</v>
      </c>
      <c r="L79" s="1588"/>
      <c r="M79" s="1588"/>
      <c r="N79" s="1588"/>
      <c r="O79" s="1588"/>
      <c r="P79" s="1"/>
      <c r="Q79" s="1"/>
    </row>
    <row r="80" spans="11:17" x14ac:dyDescent="0.25">
      <c r="K80" s="183" t="s">
        <v>916</v>
      </c>
      <c r="L80" s="97" t="s">
        <v>743</v>
      </c>
      <c r="M80" s="76" t="s">
        <v>1547</v>
      </c>
      <c r="N80" s="108" t="s">
        <v>1035</v>
      </c>
      <c r="O80" s="77" t="s">
        <v>1549</v>
      </c>
      <c r="P80" s="1"/>
      <c r="Q80" s="1"/>
    </row>
    <row r="81" spans="11:17" x14ac:dyDescent="0.25">
      <c r="K81" s="104" t="s">
        <v>1594</v>
      </c>
      <c r="L81" s="2"/>
      <c r="M81" s="107">
        <v>0.17</v>
      </c>
      <c r="N81" s="109">
        <f>'HILOS-CORDONES-TANZA-CUERO'!L6</f>
        <v>8</v>
      </c>
      <c r="O81" s="110">
        <f>N81*M81</f>
        <v>1.36</v>
      </c>
      <c r="P81" s="1"/>
      <c r="Q81" s="1"/>
    </row>
    <row r="82" spans="11:17" x14ac:dyDescent="0.25">
      <c r="K82" s="104" t="s">
        <v>3181</v>
      </c>
      <c r="L82" s="2"/>
      <c r="M82" s="2">
        <v>14</v>
      </c>
      <c r="N82" s="109">
        <f>VIDRIOS!E34</f>
        <v>18.478260869565219</v>
      </c>
      <c r="O82" s="110">
        <f>N82*M82</f>
        <v>258.69565217391306</v>
      </c>
      <c r="P82" s="1"/>
      <c r="Q82" s="1"/>
    </row>
    <row r="83" spans="11:17" x14ac:dyDescent="0.25">
      <c r="K83" s="104" t="s">
        <v>1736</v>
      </c>
      <c r="L83" s="98"/>
      <c r="M83" s="2">
        <v>1</v>
      </c>
      <c r="N83" s="109">
        <f>FORNITURAS!I6</f>
        <v>155.52941176470588</v>
      </c>
      <c r="O83" s="110">
        <f>M83*N83</f>
        <v>155.52941176470588</v>
      </c>
      <c r="P83" s="1"/>
      <c r="Q83" s="1"/>
    </row>
    <row r="84" spans="11:17" x14ac:dyDescent="0.25">
      <c r="K84" s="104" t="s">
        <v>3180</v>
      </c>
      <c r="L84" s="98"/>
      <c r="M84" s="2"/>
      <c r="N84" s="109"/>
      <c r="O84" s="110">
        <f>PACKAGING!E8</f>
        <v>420</v>
      </c>
      <c r="P84" s="1"/>
      <c r="Q84" s="1"/>
    </row>
    <row r="85" spans="11:17" x14ac:dyDescent="0.25">
      <c r="K85" s="3" t="s">
        <v>1557</v>
      </c>
      <c r="L85" s="98"/>
      <c r="M85" s="2"/>
      <c r="N85" s="6"/>
      <c r="O85" s="39">
        <f>PACKAGING!E3</f>
        <v>150</v>
      </c>
      <c r="P85" s="1"/>
      <c r="Q85" s="1"/>
    </row>
    <row r="86" spans="11:17" x14ac:dyDescent="0.25">
      <c r="K86" s="3" t="s">
        <v>1558</v>
      </c>
      <c r="L86" s="98">
        <v>60</v>
      </c>
      <c r="M86" s="2">
        <v>10</v>
      </c>
      <c r="N86" s="66">
        <f>'INSUMOS VARIOS'!B3</f>
        <v>3500</v>
      </c>
      <c r="O86" s="39">
        <f>N86*M86/L86</f>
        <v>583.33333333333337</v>
      </c>
      <c r="P86" s="60"/>
      <c r="Q86" s="60"/>
    </row>
    <row r="87" spans="11:17" ht="16.5" thickBot="1" x14ac:dyDescent="0.3">
      <c r="K87" s="79" t="s">
        <v>525</v>
      </c>
      <c r="L87" s="99"/>
      <c r="M87" s="70"/>
      <c r="N87" s="85"/>
      <c r="O87" s="51">
        <f>SUM(O81:O86)</f>
        <v>1568.9183972719525</v>
      </c>
    </row>
    <row r="88" spans="11:17" ht="18.75" x14ac:dyDescent="0.25">
      <c r="K88" s="80" t="s">
        <v>544</v>
      </c>
      <c r="L88" s="100"/>
      <c r="M88" s="71"/>
      <c r="N88" s="71"/>
      <c r="O88" s="72">
        <f>O87*2</f>
        <v>3137.8367945439049</v>
      </c>
      <c r="P88" s="512">
        <f>O88+O88*70%</f>
        <v>5334.3225507246389</v>
      </c>
      <c r="Q88" s="75">
        <v>3600</v>
      </c>
    </row>
    <row r="89" spans="11:17" ht="19.5" thickBot="1" x14ac:dyDescent="0.3">
      <c r="K89" s="81" t="s">
        <v>1559</v>
      </c>
      <c r="L89" s="101"/>
      <c r="M89" s="73"/>
      <c r="N89" s="73"/>
      <c r="O89" s="73"/>
      <c r="P89" s="522"/>
      <c r="Q89" s="74">
        <f>Q88*2</f>
        <v>7200</v>
      </c>
    </row>
    <row r="91" spans="11:17" x14ac:dyDescent="0.25">
      <c r="K91" s="1601" t="s">
        <v>194</v>
      </c>
      <c r="L91" s="1588"/>
      <c r="M91" s="1588"/>
      <c r="N91" s="1588"/>
      <c r="O91" s="1588"/>
      <c r="P91" s="1"/>
      <c r="Q91" s="1"/>
    </row>
    <row r="92" spans="11:17" x14ac:dyDescent="0.25">
      <c r="K92" s="183" t="s">
        <v>916</v>
      </c>
      <c r="L92" s="97" t="s">
        <v>743</v>
      </c>
      <c r="M92" s="76" t="s">
        <v>1547</v>
      </c>
      <c r="N92" s="108" t="s">
        <v>1035</v>
      </c>
      <c r="O92" s="77" t="s">
        <v>1549</v>
      </c>
      <c r="P92" s="1"/>
      <c r="Q92" s="1"/>
    </row>
    <row r="93" spans="11:17" x14ac:dyDescent="0.25">
      <c r="K93" s="104" t="s">
        <v>1594</v>
      </c>
      <c r="L93" s="2"/>
      <c r="M93" s="107">
        <v>0.17</v>
      </c>
      <c r="N93" s="109">
        <f>'HILOS-CORDONES-TANZA-CUERO'!L6</f>
        <v>8</v>
      </c>
      <c r="O93" s="110">
        <f>N93*M93</f>
        <v>1.36</v>
      </c>
      <c r="P93" s="1"/>
      <c r="Q93" s="1"/>
    </row>
    <row r="94" spans="11:17" x14ac:dyDescent="0.25">
      <c r="K94" s="104" t="s">
        <v>1848</v>
      </c>
      <c r="L94" s="2"/>
      <c r="M94" s="2">
        <v>31</v>
      </c>
      <c r="N94" s="109">
        <f>VIDRIOS!E8</f>
        <v>8.9473684210526319</v>
      </c>
      <c r="O94" s="110">
        <f>N94*M94</f>
        <v>277.36842105263156</v>
      </c>
      <c r="P94" s="1"/>
      <c r="Q94" s="1"/>
    </row>
    <row r="95" spans="11:17" x14ac:dyDescent="0.25">
      <c r="K95" s="104" t="s">
        <v>1736</v>
      </c>
      <c r="L95" s="98"/>
      <c r="M95" s="2">
        <v>1</v>
      </c>
      <c r="N95" s="109">
        <f>FORNITURAS!I6</f>
        <v>155.52941176470588</v>
      </c>
      <c r="O95" s="110">
        <f>M95*N95</f>
        <v>155.52941176470588</v>
      </c>
      <c r="P95" s="1"/>
      <c r="Q95" s="1"/>
    </row>
    <row r="96" spans="11:17" x14ac:dyDescent="0.25">
      <c r="K96" s="104" t="s">
        <v>3180</v>
      </c>
      <c r="L96" s="98"/>
      <c r="M96" s="2"/>
      <c r="N96" s="109"/>
      <c r="O96" s="110">
        <f>PACKAGING!E8</f>
        <v>420</v>
      </c>
      <c r="P96" s="1"/>
      <c r="Q96" s="1"/>
    </row>
    <row r="97" spans="11:17" x14ac:dyDescent="0.25">
      <c r="K97" s="3" t="s">
        <v>1557</v>
      </c>
      <c r="L97" s="98"/>
      <c r="M97" s="2"/>
      <c r="N97" s="6"/>
      <c r="O97" s="39">
        <f>PACKAGING!E3</f>
        <v>150</v>
      </c>
      <c r="P97" s="1"/>
      <c r="Q97" s="1"/>
    </row>
    <row r="98" spans="11:17" x14ac:dyDescent="0.25">
      <c r="K98" s="3" t="s">
        <v>1558</v>
      </c>
      <c r="L98" s="98">
        <v>60</v>
      </c>
      <c r="M98" s="2">
        <v>10</v>
      </c>
      <c r="N98" s="66">
        <f>'INSUMOS VARIOS'!B3</f>
        <v>3500</v>
      </c>
      <c r="O98" s="39">
        <f>N98*M98/L98</f>
        <v>583.33333333333337</v>
      </c>
      <c r="P98" s="60"/>
      <c r="Q98" s="60"/>
    </row>
    <row r="99" spans="11:17" ht="16.5" thickBot="1" x14ac:dyDescent="0.3">
      <c r="K99" s="79" t="s">
        <v>525</v>
      </c>
      <c r="L99" s="99"/>
      <c r="M99" s="70"/>
      <c r="N99" s="85"/>
      <c r="O99" s="51">
        <f>SUM(O93:O98)</f>
        <v>1587.5911661506707</v>
      </c>
    </row>
    <row r="100" spans="11:17" ht="18.75" x14ac:dyDescent="0.25">
      <c r="K100" s="80" t="s">
        <v>544</v>
      </c>
      <c r="L100" s="100"/>
      <c r="M100" s="71"/>
      <c r="N100" s="71"/>
      <c r="O100" s="72">
        <f>O99*2</f>
        <v>3175.1823323013414</v>
      </c>
      <c r="P100" s="512">
        <f>O100+O100*70%</f>
        <v>5397.8099649122796</v>
      </c>
      <c r="Q100" s="75">
        <v>3600</v>
      </c>
    </row>
    <row r="101" spans="11:17" ht="19.5" thickBot="1" x14ac:dyDescent="0.3">
      <c r="K101" s="81" t="s">
        <v>1559</v>
      </c>
      <c r="L101" s="101"/>
      <c r="M101" s="73"/>
      <c r="N101" s="73"/>
      <c r="O101" s="73"/>
      <c r="P101" s="522"/>
      <c r="Q101" s="74">
        <f>Q100*2</f>
        <v>7200</v>
      </c>
    </row>
    <row r="103" spans="11:17" x14ac:dyDescent="0.25">
      <c r="K103" s="1601" t="s">
        <v>3184</v>
      </c>
      <c r="L103" s="1588"/>
      <c r="M103" s="1588"/>
      <c r="N103" s="1588"/>
      <c r="O103" s="1588"/>
      <c r="P103" s="1"/>
      <c r="Q103" s="1"/>
    </row>
    <row r="104" spans="11:17" x14ac:dyDescent="0.25">
      <c r="K104" s="183" t="s">
        <v>916</v>
      </c>
      <c r="L104" s="97" t="s">
        <v>743</v>
      </c>
      <c r="M104" s="76" t="s">
        <v>1547</v>
      </c>
      <c r="N104" s="108" t="s">
        <v>1035</v>
      </c>
      <c r="O104" s="77" t="s">
        <v>1549</v>
      </c>
      <c r="P104" s="1"/>
      <c r="Q104" s="1"/>
    </row>
    <row r="105" spans="11:17" x14ac:dyDescent="0.25">
      <c r="K105" s="104" t="s">
        <v>2176</v>
      </c>
      <c r="L105" s="2"/>
      <c r="M105" s="107">
        <v>0.17</v>
      </c>
      <c r="N105" s="109">
        <f>'HILOS-CORDONES-TANZA-CUERO'!L6</f>
        <v>8</v>
      </c>
      <c r="O105" s="110">
        <f>N105*M105</f>
        <v>1.36</v>
      </c>
      <c r="P105" s="1"/>
      <c r="Q105" s="1"/>
    </row>
    <row r="106" spans="11:17" x14ac:dyDescent="0.25">
      <c r="K106" s="104" t="s">
        <v>3185</v>
      </c>
      <c r="L106" s="2"/>
      <c r="M106" s="2">
        <v>30</v>
      </c>
      <c r="N106" s="109">
        <f>VIDRIOS!E33</f>
        <v>8.5</v>
      </c>
      <c r="O106" s="110">
        <f>N106*M106</f>
        <v>255</v>
      </c>
      <c r="P106" s="1"/>
      <c r="Q106" s="1"/>
    </row>
    <row r="107" spans="11:17" x14ac:dyDescent="0.25">
      <c r="K107" s="104" t="s">
        <v>1736</v>
      </c>
      <c r="L107" s="98"/>
      <c r="M107" s="2">
        <v>1</v>
      </c>
      <c r="N107" s="109">
        <f>FORNITURAS!I6</f>
        <v>155.52941176470588</v>
      </c>
      <c r="O107" s="110">
        <f>M107*N107</f>
        <v>155.52941176470588</v>
      </c>
      <c r="P107" s="1"/>
      <c r="Q107" s="1"/>
    </row>
    <row r="108" spans="11:17" x14ac:dyDescent="0.25">
      <c r="K108" s="104" t="s">
        <v>3180</v>
      </c>
      <c r="L108" s="98"/>
      <c r="M108" s="2"/>
      <c r="N108" s="109"/>
      <c r="O108" s="110">
        <f>PACKAGING!E8</f>
        <v>420</v>
      </c>
      <c r="P108" s="1"/>
      <c r="Q108" s="1"/>
    </row>
    <row r="109" spans="11:17" x14ac:dyDescent="0.25">
      <c r="K109" s="3" t="s">
        <v>1557</v>
      </c>
      <c r="L109" s="98"/>
      <c r="M109" s="2"/>
      <c r="N109" s="6"/>
      <c r="O109" s="39">
        <f>PACKAGING!E3</f>
        <v>150</v>
      </c>
      <c r="P109" s="1"/>
      <c r="Q109" s="1"/>
    </row>
    <row r="110" spans="11:17" x14ac:dyDescent="0.25">
      <c r="K110" s="3" t="s">
        <v>1558</v>
      </c>
      <c r="L110" s="98">
        <v>60</v>
      </c>
      <c r="M110" s="2">
        <v>10</v>
      </c>
      <c r="N110" s="66">
        <f>'INSUMOS VARIOS'!B3</f>
        <v>3500</v>
      </c>
      <c r="O110" s="39">
        <f>N110*M110/L110</f>
        <v>583.33333333333337</v>
      </c>
      <c r="P110" s="60"/>
      <c r="Q110" s="60"/>
    </row>
    <row r="111" spans="11:17" ht="16.5" thickBot="1" x14ac:dyDescent="0.3">
      <c r="K111" s="79" t="s">
        <v>525</v>
      </c>
      <c r="L111" s="99"/>
      <c r="M111" s="70"/>
      <c r="N111" s="85"/>
      <c r="O111" s="51">
        <f>SUM(O105:O110)</f>
        <v>1565.2227450980392</v>
      </c>
    </row>
    <row r="112" spans="11:17" ht="18.75" x14ac:dyDescent="0.25">
      <c r="K112" s="80" t="s">
        <v>544</v>
      </c>
      <c r="L112" s="100"/>
      <c r="M112" s="71"/>
      <c r="N112" s="71"/>
      <c r="O112" s="72">
        <f>O111*2</f>
        <v>3130.4454901960785</v>
      </c>
      <c r="P112" s="512">
        <f>O112+O112*70%</f>
        <v>5321.757333333333</v>
      </c>
      <c r="Q112" s="75">
        <v>3600</v>
      </c>
    </row>
    <row r="113" spans="11:17" ht="19.5" thickBot="1" x14ac:dyDescent="0.3">
      <c r="K113" s="81" t="s">
        <v>1559</v>
      </c>
      <c r="L113" s="101"/>
      <c r="M113" s="73"/>
      <c r="N113" s="73"/>
      <c r="O113" s="73"/>
      <c r="P113" s="522"/>
      <c r="Q113" s="74">
        <f>Q112*2</f>
        <v>7200</v>
      </c>
    </row>
    <row r="115" spans="11:17" x14ac:dyDescent="0.25">
      <c r="K115" s="1601" t="s">
        <v>3232</v>
      </c>
      <c r="L115" s="1588"/>
      <c r="M115" s="1588"/>
      <c r="N115" s="1588"/>
      <c r="O115" s="1588"/>
      <c r="P115" s="1"/>
      <c r="Q115" s="1"/>
    </row>
    <row r="116" spans="11:17" x14ac:dyDescent="0.25">
      <c r="K116" s="183" t="s">
        <v>916</v>
      </c>
      <c r="L116" s="97" t="s">
        <v>743</v>
      </c>
      <c r="M116" s="76" t="s">
        <v>1547</v>
      </c>
      <c r="N116" s="108" t="s">
        <v>1035</v>
      </c>
      <c r="O116" s="77" t="s">
        <v>1549</v>
      </c>
      <c r="P116" s="1"/>
      <c r="Q116" s="1"/>
    </row>
    <row r="117" spans="11:17" x14ac:dyDescent="0.25">
      <c r="K117" s="104" t="s">
        <v>2176</v>
      </c>
      <c r="L117" s="2"/>
      <c r="M117" s="107">
        <v>0.17</v>
      </c>
      <c r="N117" s="109">
        <f>'HILOS-CORDONES-TANZA-CUERO'!L6</f>
        <v>8</v>
      </c>
      <c r="O117" s="110">
        <f>N117*M117</f>
        <v>1.36</v>
      </c>
      <c r="P117" s="1"/>
      <c r="Q117" s="1"/>
    </row>
    <row r="118" spans="11:17" x14ac:dyDescent="0.25">
      <c r="K118" s="104" t="s">
        <v>1581</v>
      </c>
      <c r="L118" s="2">
        <v>0.34</v>
      </c>
      <c r="M118" s="2">
        <v>6.5000000000000002E-2</v>
      </c>
      <c r="N118" s="109">
        <f>PERLAS!F4</f>
        <v>81</v>
      </c>
      <c r="O118" s="110">
        <f>N118*M118/L118</f>
        <v>15.48529411764706</v>
      </c>
      <c r="P118" s="1"/>
      <c r="Q118" s="1"/>
    </row>
    <row r="119" spans="11:17" x14ac:dyDescent="0.25">
      <c r="K119" s="104" t="s">
        <v>1736</v>
      </c>
      <c r="L119" s="98"/>
      <c r="M119" s="2">
        <v>1</v>
      </c>
      <c r="N119" s="109">
        <f>FORNITURAS!I6</f>
        <v>155.52941176470588</v>
      </c>
      <c r="O119" s="110">
        <f>M119*N119</f>
        <v>155.52941176470588</v>
      </c>
      <c r="P119" s="1"/>
      <c r="Q119" s="1"/>
    </row>
    <row r="120" spans="11:17" x14ac:dyDescent="0.25">
      <c r="K120" s="3" t="s">
        <v>3048</v>
      </c>
      <c r="L120" s="98"/>
      <c r="M120" s="2">
        <v>6</v>
      </c>
      <c r="N120" s="66">
        <f>VIDRIOS!L53</f>
        <v>54.615384615384613</v>
      </c>
      <c r="O120" s="39">
        <f>N120*M120</f>
        <v>327.69230769230768</v>
      </c>
      <c r="P120" s="1"/>
      <c r="Q120" s="1"/>
    </row>
    <row r="121" spans="11:17" x14ac:dyDescent="0.25">
      <c r="K121" s="3" t="s">
        <v>3234</v>
      </c>
      <c r="L121" s="98"/>
      <c r="M121" s="2"/>
      <c r="N121" s="66">
        <f>PACKAGING!E3</f>
        <v>150</v>
      </c>
      <c r="O121" s="39">
        <f>N121</f>
        <v>150</v>
      </c>
      <c r="P121" s="1"/>
      <c r="Q121" s="1"/>
    </row>
    <row r="122" spans="11:17" x14ac:dyDescent="0.25">
      <c r="K122" s="3" t="s">
        <v>3180</v>
      </c>
      <c r="L122" s="98"/>
      <c r="M122" s="2"/>
      <c r="N122" s="66">
        <f>PACKAGING!E8</f>
        <v>420</v>
      </c>
      <c r="O122" s="39">
        <f>N122</f>
        <v>420</v>
      </c>
      <c r="P122" s="60"/>
      <c r="Q122" s="60"/>
    </row>
    <row r="123" spans="11:17" x14ac:dyDescent="0.25">
      <c r="K123" s="3" t="s">
        <v>1558</v>
      </c>
      <c r="L123" s="98">
        <v>60</v>
      </c>
      <c r="M123" s="2">
        <v>10</v>
      </c>
      <c r="N123" s="66">
        <f>'INSUMOS VARIOS'!B3</f>
        <v>3500</v>
      </c>
      <c r="O123" s="39">
        <f>N123*M123/L123</f>
        <v>583.33333333333337</v>
      </c>
    </row>
    <row r="124" spans="11:17" ht="16.5" thickBot="1" x14ac:dyDescent="0.3">
      <c r="K124" s="79" t="s">
        <v>525</v>
      </c>
      <c r="L124" s="99"/>
      <c r="M124" s="70"/>
      <c r="N124" s="85"/>
      <c r="O124" s="51">
        <f>SUM(O117:O123)</f>
        <v>1653.4003469079939</v>
      </c>
    </row>
    <row r="125" spans="11:17" ht="18.75" x14ac:dyDescent="0.25">
      <c r="K125" s="80" t="s">
        <v>544</v>
      </c>
      <c r="L125" s="100"/>
      <c r="M125" s="71"/>
      <c r="N125" s="71"/>
      <c r="O125" s="72">
        <f>O124*2</f>
        <v>3306.8006938159879</v>
      </c>
      <c r="P125" s="512">
        <f>O125+O125*70%</f>
        <v>5621.5611794871793</v>
      </c>
      <c r="Q125" s="75">
        <v>6000</v>
      </c>
    </row>
    <row r="126" spans="11:17" ht="19.5" thickBot="1" x14ac:dyDescent="0.3">
      <c r="K126" s="81" t="s">
        <v>1559</v>
      </c>
      <c r="L126" s="101"/>
      <c r="M126" s="73"/>
      <c r="N126" s="73"/>
      <c r="O126" s="73"/>
      <c r="P126" s="522"/>
      <c r="Q126" s="74">
        <f>Q125*2</f>
        <v>12000</v>
      </c>
    </row>
    <row r="127" spans="11:17" x14ac:dyDescent="0.25">
      <c r="P127" s="1"/>
      <c r="Q127" s="1"/>
    </row>
    <row r="128" spans="11:17" x14ac:dyDescent="0.25">
      <c r="K128" s="1601" t="s">
        <v>3233</v>
      </c>
      <c r="L128" s="1588"/>
      <c r="M128" s="1588"/>
      <c r="N128" s="1588"/>
      <c r="O128" s="1588"/>
      <c r="P128" s="1"/>
      <c r="Q128" s="1"/>
    </row>
    <row r="129" spans="11:17" x14ac:dyDescent="0.25">
      <c r="K129" s="183" t="s">
        <v>916</v>
      </c>
      <c r="L129" s="97" t="s">
        <v>743</v>
      </c>
      <c r="M129" s="76" t="s">
        <v>1547</v>
      </c>
      <c r="N129" s="108" t="s">
        <v>1035</v>
      </c>
      <c r="O129" s="77" t="s">
        <v>1549</v>
      </c>
      <c r="P129" s="1"/>
      <c r="Q129" s="1"/>
    </row>
    <row r="130" spans="11:17" x14ac:dyDescent="0.25">
      <c r="K130" s="104" t="s">
        <v>1594</v>
      </c>
      <c r="L130" s="2"/>
      <c r="M130" s="107">
        <v>0.17</v>
      </c>
      <c r="N130" s="109">
        <f>'HILOS-CORDONES-TANZA-CUERO'!L6</f>
        <v>8</v>
      </c>
      <c r="O130" s="110">
        <f>N130*M130</f>
        <v>1.36</v>
      </c>
      <c r="P130" s="1"/>
      <c r="Q130" s="1"/>
    </row>
    <row r="131" spans="11:17" x14ac:dyDescent="0.25">
      <c r="K131" s="104" t="s">
        <v>1581</v>
      </c>
      <c r="L131" s="2">
        <v>0.34</v>
      </c>
      <c r="M131" s="2">
        <v>6.5000000000000002E-2</v>
      </c>
      <c r="N131" s="109">
        <f>PERLAS!F4</f>
        <v>81</v>
      </c>
      <c r="O131" s="110">
        <f>N131*M131/L131</f>
        <v>15.48529411764706</v>
      </c>
      <c r="P131" s="1"/>
      <c r="Q131" s="1"/>
    </row>
    <row r="132" spans="11:17" x14ac:dyDescent="0.25">
      <c r="K132" s="104" t="s">
        <v>1736</v>
      </c>
      <c r="L132" s="98"/>
      <c r="M132" s="2">
        <v>1</v>
      </c>
      <c r="N132" s="109">
        <f>FORNITURAS!I6</f>
        <v>155.52941176470588</v>
      </c>
      <c r="O132" s="110">
        <f>M132*N132</f>
        <v>155.52941176470588</v>
      </c>
      <c r="P132" s="1"/>
      <c r="Q132" s="1"/>
    </row>
    <row r="133" spans="11:17" x14ac:dyDescent="0.25">
      <c r="K133" s="3" t="s">
        <v>3125</v>
      </c>
      <c r="L133" s="98"/>
      <c r="M133" s="2">
        <v>6</v>
      </c>
      <c r="N133" s="66">
        <f>VIDRIOS!L54</f>
        <v>60.655737704918032</v>
      </c>
      <c r="O133" s="39">
        <f>N133*M133</f>
        <v>363.93442622950818</v>
      </c>
      <c r="P133" s="60"/>
      <c r="Q133" s="60"/>
    </row>
    <row r="134" spans="11:17" x14ac:dyDescent="0.25">
      <c r="K134" s="3" t="s">
        <v>1557</v>
      </c>
      <c r="L134" s="98"/>
      <c r="M134" s="2"/>
      <c r="N134" s="66">
        <f>PACKAGING!E3</f>
        <v>150</v>
      </c>
      <c r="O134" s="39">
        <f>N134</f>
        <v>150</v>
      </c>
    </row>
    <row r="135" spans="11:17" x14ac:dyDescent="0.25">
      <c r="K135" s="3" t="s">
        <v>3180</v>
      </c>
      <c r="L135" s="98"/>
      <c r="M135" s="2"/>
      <c r="N135" s="66">
        <f>PACKAGING!E8</f>
        <v>420</v>
      </c>
      <c r="O135" s="39">
        <f>N135</f>
        <v>420</v>
      </c>
    </row>
    <row r="136" spans="11:17" x14ac:dyDescent="0.25">
      <c r="K136" s="3" t="s">
        <v>1558</v>
      </c>
      <c r="L136" s="98">
        <v>60</v>
      </c>
      <c r="M136" s="2">
        <v>10</v>
      </c>
      <c r="N136" s="66">
        <f>'INSUMOS VARIOS'!B3</f>
        <v>3500</v>
      </c>
      <c r="O136" s="39">
        <f>N136*M136/L136</f>
        <v>583.33333333333337</v>
      </c>
    </row>
    <row r="137" spans="11:17" ht="16.5" thickBot="1" x14ac:dyDescent="0.3">
      <c r="K137" s="79" t="s">
        <v>525</v>
      </c>
      <c r="L137" s="99"/>
      <c r="M137" s="70"/>
      <c r="N137" s="85"/>
      <c r="O137" s="51">
        <f>SUM(O130:O136)</f>
        <v>1689.6424654451944</v>
      </c>
    </row>
    <row r="138" spans="11:17" ht="18.75" x14ac:dyDescent="0.25">
      <c r="K138" s="80" t="s">
        <v>544</v>
      </c>
      <c r="L138" s="100"/>
      <c r="M138" s="71"/>
      <c r="N138" s="71"/>
      <c r="O138" s="72">
        <f>O137*2</f>
        <v>3379.2849308903888</v>
      </c>
      <c r="P138" s="512">
        <f>O138+O138*70%</f>
        <v>5744.7843825136606</v>
      </c>
      <c r="Q138" s="75">
        <v>6000</v>
      </c>
    </row>
    <row r="139" spans="11:17" ht="19.5" thickBot="1" x14ac:dyDescent="0.3">
      <c r="K139" s="81" t="s">
        <v>1559</v>
      </c>
      <c r="L139" s="101"/>
      <c r="M139" s="73"/>
      <c r="N139" s="73"/>
      <c r="O139" s="73"/>
      <c r="P139" s="522"/>
      <c r="Q139" s="74">
        <f>Q138*2</f>
        <v>12000</v>
      </c>
    </row>
    <row r="140" spans="11:17" ht="16.5" thickBot="1" x14ac:dyDescent="0.3"/>
    <row r="141" spans="11:17" ht="16.5" thickBot="1" x14ac:dyDescent="0.3">
      <c r="K141" s="1568" t="s">
        <v>3583</v>
      </c>
      <c r="L141" s="1569"/>
      <c r="M141" s="1570"/>
      <c r="O141" s="1"/>
    </row>
    <row r="142" spans="11:17" x14ac:dyDescent="0.25">
      <c r="K142" s="78" t="s">
        <v>916</v>
      </c>
      <c r="L142" s="82" t="s">
        <v>742</v>
      </c>
      <c r="M142" s="83" t="s">
        <v>1549</v>
      </c>
      <c r="O142" s="1"/>
    </row>
    <row r="143" spans="11:17" x14ac:dyDescent="0.25">
      <c r="K143" s="3" t="s">
        <v>3402</v>
      </c>
      <c r="L143" s="2"/>
      <c r="M143" s="39">
        <f>'AROS, CADENAS, DIJES, ETC'!T34</f>
        <v>8230</v>
      </c>
      <c r="O143" s="1"/>
    </row>
    <row r="144" spans="11:17" x14ac:dyDescent="0.25">
      <c r="K144" s="3" t="s">
        <v>1557</v>
      </c>
      <c r="L144" s="2"/>
      <c r="M144" s="39">
        <f>PACKAGING!E4</f>
        <v>80</v>
      </c>
      <c r="O144" s="1"/>
    </row>
    <row r="145" spans="11:16" x14ac:dyDescent="0.25">
      <c r="K145" s="3" t="s">
        <v>4540</v>
      </c>
      <c r="L145" s="2"/>
      <c r="M145" s="39">
        <f>PACKAGING!I9</f>
        <v>1000</v>
      </c>
      <c r="O145" s="1"/>
    </row>
    <row r="146" spans="11:16" ht="16.5" thickBot="1" x14ac:dyDescent="0.3">
      <c r="K146" s="79" t="s">
        <v>525</v>
      </c>
      <c r="L146" s="70"/>
      <c r="M146" s="51">
        <f>SUM(M143:M145)</f>
        <v>9310</v>
      </c>
      <c r="O146" s="1"/>
    </row>
    <row r="147" spans="11:16" ht="19.5" thickBot="1" x14ac:dyDescent="0.3">
      <c r="K147" s="211" t="s">
        <v>1559</v>
      </c>
      <c r="L147" s="212"/>
      <c r="M147" s="213">
        <f>M146*2</f>
        <v>18620</v>
      </c>
      <c r="N147" s="515">
        <f>M147+M147*70%</f>
        <v>31654</v>
      </c>
      <c r="O147" s="961">
        <v>36000</v>
      </c>
    </row>
    <row r="148" spans="11:16" ht="19.5" thickBot="1" x14ac:dyDescent="0.3">
      <c r="O148" s="1284">
        <f>O147*60%</f>
        <v>21600</v>
      </c>
      <c r="P148" s="162" t="s">
        <v>3687</v>
      </c>
    </row>
    <row r="149" spans="11:16" ht="16.5" thickBot="1" x14ac:dyDescent="0.3"/>
    <row r="150" spans="11:16" ht="16.5" thickBot="1" x14ac:dyDescent="0.3">
      <c r="K150" s="1568" t="s">
        <v>3586</v>
      </c>
      <c r="L150" s="1569"/>
      <c r="M150" s="1570"/>
      <c r="O150" s="1"/>
    </row>
    <row r="151" spans="11:16" x14ac:dyDescent="0.25">
      <c r="K151" s="78" t="s">
        <v>916</v>
      </c>
      <c r="L151" s="82" t="s">
        <v>742</v>
      </c>
      <c r="M151" s="83" t="s">
        <v>1549</v>
      </c>
      <c r="O151" s="1"/>
    </row>
    <row r="152" spans="11:16" x14ac:dyDescent="0.25">
      <c r="K152" s="3" t="s">
        <v>3424</v>
      </c>
      <c r="L152" s="2"/>
      <c r="M152" s="39">
        <f>'AROS, CADENAS, DIJES, ETC'!T32</f>
        <v>8230</v>
      </c>
      <c r="O152" s="1"/>
    </row>
    <row r="153" spans="11:16" x14ac:dyDescent="0.25">
      <c r="K153" s="3" t="s">
        <v>1557</v>
      </c>
      <c r="L153" s="2"/>
      <c r="M153" s="39">
        <f>PACKAGING!E4</f>
        <v>80</v>
      </c>
      <c r="O153" s="1"/>
    </row>
    <row r="154" spans="11:16" x14ac:dyDescent="0.25">
      <c r="K154" s="3" t="s">
        <v>3568</v>
      </c>
      <c r="L154" s="2"/>
      <c r="M154" s="39">
        <f>PACKAGING!I5</f>
        <v>845</v>
      </c>
      <c r="O154" s="1"/>
    </row>
    <row r="155" spans="11:16" ht="16.5" thickBot="1" x14ac:dyDescent="0.3">
      <c r="K155" s="79" t="s">
        <v>525</v>
      </c>
      <c r="L155" s="70"/>
      <c r="M155" s="51">
        <f>SUM(M152:M154)</f>
        <v>9155</v>
      </c>
      <c r="O155" s="1"/>
    </row>
    <row r="156" spans="11:16" ht="19.5" thickBot="1" x14ac:dyDescent="0.3">
      <c r="K156" s="211" t="s">
        <v>1559</v>
      </c>
      <c r="L156" s="212"/>
      <c r="M156" s="213">
        <f>M155*2</f>
        <v>18310</v>
      </c>
      <c r="N156" s="515">
        <f>M156+M156*70%</f>
        <v>31127</v>
      </c>
      <c r="O156" s="1261">
        <v>32000</v>
      </c>
    </row>
    <row r="157" spans="11:16" ht="19.5" thickBot="1" x14ac:dyDescent="0.3">
      <c r="O157" s="1284">
        <f>O156*60%</f>
        <v>19200</v>
      </c>
      <c r="P157" s="162" t="s">
        <v>3687</v>
      </c>
    </row>
    <row r="158" spans="11:16" ht="16.5" thickBot="1" x14ac:dyDescent="0.3"/>
    <row r="159" spans="11:16" ht="16.5" thickBot="1" x14ac:dyDescent="0.3">
      <c r="K159" s="1568" t="s">
        <v>3585</v>
      </c>
      <c r="L159" s="1569"/>
      <c r="M159" s="1570"/>
      <c r="O159" s="1"/>
    </row>
    <row r="160" spans="11:16" x14ac:dyDescent="0.25">
      <c r="K160" s="78" t="s">
        <v>916</v>
      </c>
      <c r="L160" s="82" t="s">
        <v>742</v>
      </c>
      <c r="M160" s="83" t="s">
        <v>1549</v>
      </c>
      <c r="O160" s="1"/>
    </row>
    <row r="161" spans="11:16" x14ac:dyDescent="0.25">
      <c r="K161" s="3" t="s">
        <v>914</v>
      </c>
      <c r="L161" s="2"/>
      <c r="M161" s="39">
        <f>'AROS, CADENAS, DIJES, ETC'!T36</f>
        <v>8230</v>
      </c>
      <c r="O161" s="1"/>
    </row>
    <row r="162" spans="11:16" x14ac:dyDescent="0.25">
      <c r="K162" s="3" t="s">
        <v>1557</v>
      </c>
      <c r="L162" s="2"/>
      <c r="M162" s="39">
        <f>PACKAGING!E4</f>
        <v>80</v>
      </c>
      <c r="O162" s="1"/>
    </row>
    <row r="163" spans="11:16" x14ac:dyDescent="0.25">
      <c r="K163" s="3" t="s">
        <v>3568</v>
      </c>
      <c r="L163" s="2"/>
      <c r="M163" s="39">
        <f>PACKAGING!I5</f>
        <v>845</v>
      </c>
      <c r="O163" s="1"/>
    </row>
    <row r="164" spans="11:16" ht="16.5" thickBot="1" x14ac:dyDescent="0.3">
      <c r="K164" s="79" t="s">
        <v>525</v>
      </c>
      <c r="L164" s="70"/>
      <c r="M164" s="51">
        <f>SUM(M161:M163)</f>
        <v>9155</v>
      </c>
      <c r="O164" s="1"/>
    </row>
    <row r="165" spans="11:16" ht="19.5" thickBot="1" x14ac:dyDescent="0.3">
      <c r="K165" s="211" t="s">
        <v>1559</v>
      </c>
      <c r="L165" s="212"/>
      <c r="M165" s="213">
        <f>M164*2</f>
        <v>18310</v>
      </c>
      <c r="N165" s="515">
        <f>M165+M165*70%</f>
        <v>31127</v>
      </c>
      <c r="O165" s="961">
        <v>32000</v>
      </c>
    </row>
    <row r="166" spans="11:16" ht="19.5" thickBot="1" x14ac:dyDescent="0.3">
      <c r="O166" s="1284">
        <f>O165*60%</f>
        <v>19200</v>
      </c>
      <c r="P166" s="162" t="s">
        <v>3687</v>
      </c>
    </row>
    <row r="167" spans="11:16" ht="16.5" thickBot="1" x14ac:dyDescent="0.3"/>
    <row r="168" spans="11:16" ht="16.5" thickBot="1" x14ac:dyDescent="0.3">
      <c r="K168" s="1568" t="s">
        <v>3584</v>
      </c>
      <c r="L168" s="1569"/>
      <c r="M168" s="1570"/>
      <c r="O168" s="1"/>
    </row>
    <row r="169" spans="11:16" x14ac:dyDescent="0.25">
      <c r="K169" s="78" t="s">
        <v>916</v>
      </c>
      <c r="L169" s="82" t="s">
        <v>742</v>
      </c>
      <c r="M169" s="83" t="s">
        <v>1549</v>
      </c>
      <c r="O169" s="1"/>
    </row>
    <row r="170" spans="11:16" x14ac:dyDescent="0.25">
      <c r="K170" s="3" t="s">
        <v>3425</v>
      </c>
      <c r="L170" s="2"/>
      <c r="M170" s="39">
        <f>'AROS, CADENAS, DIJES, ETC'!T33</f>
        <v>8230</v>
      </c>
      <c r="O170" s="1"/>
    </row>
    <row r="171" spans="11:16" x14ac:dyDescent="0.25">
      <c r="K171" s="3" t="s">
        <v>1557</v>
      </c>
      <c r="L171" s="2"/>
      <c r="M171" s="39">
        <f>PACKAGING!E4</f>
        <v>80</v>
      </c>
      <c r="O171" s="1"/>
    </row>
    <row r="172" spans="11:16" x14ac:dyDescent="0.25">
      <c r="K172" s="3" t="s">
        <v>3568</v>
      </c>
      <c r="L172" s="2"/>
      <c r="M172" s="39">
        <f>PACKAGING!I5</f>
        <v>845</v>
      </c>
      <c r="O172" s="1"/>
    </row>
    <row r="173" spans="11:16" ht="16.5" thickBot="1" x14ac:dyDescent="0.3">
      <c r="K173" s="79" t="s">
        <v>525</v>
      </c>
      <c r="L173" s="70"/>
      <c r="M173" s="51">
        <f>SUM(M170:M172)</f>
        <v>9155</v>
      </c>
      <c r="O173" s="1"/>
    </row>
    <row r="174" spans="11:16" ht="19.5" thickBot="1" x14ac:dyDescent="0.3">
      <c r="K174" s="211" t="s">
        <v>1559</v>
      </c>
      <c r="L174" s="212"/>
      <c r="M174" s="213">
        <f>M173*2</f>
        <v>18310</v>
      </c>
      <c r="N174" s="515">
        <f>M174+M174*70%</f>
        <v>31127</v>
      </c>
      <c r="O174" s="961">
        <v>38000</v>
      </c>
    </row>
    <row r="175" spans="11:16" ht="19.5" thickBot="1" x14ac:dyDescent="0.3">
      <c r="O175" s="1284">
        <f>O174*60%</f>
        <v>22800</v>
      </c>
      <c r="P175" s="162" t="s">
        <v>3687</v>
      </c>
    </row>
    <row r="176" spans="11:16" ht="16.5" thickBot="1" x14ac:dyDescent="0.3"/>
    <row r="177" spans="11:16" ht="16.5" thickBot="1" x14ac:dyDescent="0.3">
      <c r="K177" s="1568" t="s">
        <v>3689</v>
      </c>
      <c r="L177" s="1569"/>
      <c r="M177" s="1570"/>
      <c r="O177" s="1"/>
    </row>
    <row r="178" spans="11:16" x14ac:dyDescent="0.25">
      <c r="K178" s="78" t="s">
        <v>916</v>
      </c>
      <c r="L178" s="82" t="s">
        <v>742</v>
      </c>
      <c r="M178" s="83" t="s">
        <v>1549</v>
      </c>
      <c r="O178" s="1"/>
    </row>
    <row r="179" spans="11:16" x14ac:dyDescent="0.25">
      <c r="K179" s="3" t="s">
        <v>3551</v>
      </c>
      <c r="L179" s="2"/>
      <c r="M179" s="39">
        <f>'AROS, CADENAS, DIJES, ETC'!T39</f>
        <v>5413</v>
      </c>
      <c r="O179" s="1"/>
    </row>
    <row r="180" spans="11:16" x14ac:dyDescent="0.25">
      <c r="K180" s="3" t="s">
        <v>1557</v>
      </c>
      <c r="L180" s="2"/>
      <c r="M180" s="39">
        <f>PACKAGING!E4</f>
        <v>80</v>
      </c>
      <c r="O180" s="1"/>
    </row>
    <row r="181" spans="11:16" x14ac:dyDescent="0.25">
      <c r="K181" s="3" t="s">
        <v>3568</v>
      </c>
      <c r="L181" s="2"/>
      <c r="M181" s="39">
        <f>PACKAGING!I5</f>
        <v>845</v>
      </c>
      <c r="O181" s="1"/>
    </row>
    <row r="182" spans="11:16" ht="16.5" thickBot="1" x14ac:dyDescent="0.3">
      <c r="K182" s="79" t="s">
        <v>525</v>
      </c>
      <c r="L182" s="70"/>
      <c r="M182" s="51">
        <f>SUM(M179:M181)</f>
        <v>6338</v>
      </c>
      <c r="O182" s="1"/>
    </row>
    <row r="183" spans="11:16" ht="19.5" thickBot="1" x14ac:dyDescent="0.3">
      <c r="K183" s="211" t="s">
        <v>1559</v>
      </c>
      <c r="L183" s="212"/>
      <c r="M183" s="213">
        <f>M182*2</f>
        <v>12676</v>
      </c>
      <c r="N183" s="515">
        <f>M183+M183*70%</f>
        <v>21549.199999999997</v>
      </c>
      <c r="O183" s="1261">
        <v>26000</v>
      </c>
    </row>
    <row r="184" spans="11:16" ht="19.5" thickBot="1" x14ac:dyDescent="0.3">
      <c r="O184" s="1284">
        <f>O183*60%</f>
        <v>15600</v>
      </c>
      <c r="P184" s="162" t="s">
        <v>3687</v>
      </c>
    </row>
    <row r="185" spans="11:16" ht="16.5" thickBot="1" x14ac:dyDescent="0.3">
      <c r="O185" s="1"/>
      <c r="P185" s="1"/>
    </row>
    <row r="186" spans="11:16" ht="16.5" thickBot="1" x14ac:dyDescent="0.3">
      <c r="K186" s="1568" t="s">
        <v>3587</v>
      </c>
      <c r="L186" s="1569"/>
      <c r="M186" s="1570"/>
      <c r="O186" s="1"/>
    </row>
    <row r="187" spans="11:16" x14ac:dyDescent="0.25">
      <c r="K187" s="78" t="s">
        <v>916</v>
      </c>
      <c r="L187" s="82" t="s">
        <v>742</v>
      </c>
      <c r="M187" s="83" t="s">
        <v>1549</v>
      </c>
      <c r="O187" s="1"/>
    </row>
    <row r="188" spans="11:16" x14ac:dyDescent="0.25">
      <c r="K188" s="3" t="s">
        <v>3552</v>
      </c>
      <c r="L188" s="2"/>
      <c r="M188" s="39">
        <f>'AROS, CADENAS, DIJES, ETC'!T37</f>
        <v>5413</v>
      </c>
      <c r="O188" s="1"/>
    </row>
    <row r="189" spans="11:16" x14ac:dyDescent="0.25">
      <c r="K189" s="3" t="s">
        <v>1557</v>
      </c>
      <c r="L189" s="2"/>
      <c r="M189" s="39">
        <f>PACKAGING!E4</f>
        <v>80</v>
      </c>
      <c r="O189" s="1"/>
    </row>
    <row r="190" spans="11:16" x14ac:dyDescent="0.25">
      <c r="K190" s="3" t="s">
        <v>3568</v>
      </c>
      <c r="L190" s="2"/>
      <c r="M190" s="39">
        <f>PACKAGING!I5</f>
        <v>845</v>
      </c>
      <c r="O190" s="1"/>
    </row>
    <row r="191" spans="11:16" ht="16.5" thickBot="1" x14ac:dyDescent="0.3">
      <c r="K191" s="79" t="s">
        <v>525</v>
      </c>
      <c r="L191" s="70"/>
      <c r="M191" s="51">
        <f>SUM(M188:M190)</f>
        <v>6338</v>
      </c>
      <c r="O191" s="1"/>
    </row>
    <row r="192" spans="11:16" ht="19.5" thickBot="1" x14ac:dyDescent="0.3">
      <c r="K192" s="211" t="s">
        <v>1559</v>
      </c>
      <c r="L192" s="212"/>
      <c r="M192" s="213">
        <f>M191*2</f>
        <v>12676</v>
      </c>
      <c r="N192" s="515">
        <f>M192+M192*70%</f>
        <v>21549.199999999997</v>
      </c>
      <c r="O192" s="1261">
        <v>26000</v>
      </c>
    </row>
    <row r="193" spans="11:16" ht="19.5" thickBot="1" x14ac:dyDescent="0.3">
      <c r="O193" s="1284">
        <f>O192*60%</f>
        <v>15600</v>
      </c>
      <c r="P193" s="162" t="s">
        <v>3687</v>
      </c>
    </row>
    <row r="194" spans="11:16" ht="16.5" thickBot="1" x14ac:dyDescent="0.3">
      <c r="O194" s="1"/>
      <c r="P194" s="1"/>
    </row>
    <row r="195" spans="11:16" ht="16.5" thickBot="1" x14ac:dyDescent="0.3">
      <c r="K195" s="1568" t="s">
        <v>3690</v>
      </c>
      <c r="L195" s="1569"/>
      <c r="M195" s="1570"/>
      <c r="O195" s="1"/>
    </row>
    <row r="196" spans="11:16" x14ac:dyDescent="0.25">
      <c r="K196" s="78" t="s">
        <v>916</v>
      </c>
      <c r="L196" s="82" t="s">
        <v>742</v>
      </c>
      <c r="M196" s="83" t="s">
        <v>1549</v>
      </c>
      <c r="O196" s="1"/>
    </row>
    <row r="197" spans="11:16" x14ac:dyDescent="0.25">
      <c r="K197" s="3" t="s">
        <v>3681</v>
      </c>
      <c r="L197" s="2"/>
      <c r="M197" s="39">
        <f>'AROS, CADENAS, DIJES, ETC'!T40</f>
        <v>7342</v>
      </c>
      <c r="O197" s="1"/>
    </row>
    <row r="198" spans="11:16" x14ac:dyDescent="0.25">
      <c r="K198" s="3" t="s">
        <v>1557</v>
      </c>
      <c r="L198" s="2"/>
      <c r="M198" s="39">
        <f>PACKAGING!E3</f>
        <v>150</v>
      </c>
      <c r="O198" s="1"/>
    </row>
    <row r="199" spans="11:16" x14ac:dyDescent="0.25">
      <c r="K199" s="3" t="s">
        <v>3568</v>
      </c>
      <c r="L199" s="2"/>
      <c r="M199" s="39">
        <f>PACKAGING!I5</f>
        <v>845</v>
      </c>
      <c r="O199" s="1"/>
    </row>
    <row r="200" spans="11:16" ht="16.5" thickBot="1" x14ac:dyDescent="0.3">
      <c r="K200" s="79" t="s">
        <v>525</v>
      </c>
      <c r="L200" s="70"/>
      <c r="M200" s="51">
        <f>SUM(M197:M199)</f>
        <v>8337</v>
      </c>
      <c r="O200" s="1"/>
    </row>
    <row r="201" spans="11:16" ht="19.5" thickBot="1" x14ac:dyDescent="0.3">
      <c r="K201" s="211" t="s">
        <v>1559</v>
      </c>
      <c r="L201" s="212"/>
      <c r="M201" s="213">
        <f>M200*2</f>
        <v>16674</v>
      </c>
      <c r="N201" s="515">
        <f>M201+M201*70%</f>
        <v>28345.8</v>
      </c>
      <c r="O201" s="961">
        <v>28000</v>
      </c>
    </row>
    <row r="202" spans="11:16" ht="19.5" thickBot="1" x14ac:dyDescent="0.3">
      <c r="O202" s="1284">
        <f>O201*60%</f>
        <v>16800</v>
      </c>
      <c r="P202" s="162" t="s">
        <v>3687</v>
      </c>
    </row>
    <row r="203" spans="11:16" ht="16.5" thickBot="1" x14ac:dyDescent="0.3"/>
    <row r="204" spans="11:16" ht="16.5" thickBot="1" x14ac:dyDescent="0.3">
      <c r="K204" s="1716" t="s">
        <v>106</v>
      </c>
      <c r="L204" s="1717"/>
      <c r="M204" s="1717"/>
      <c r="N204" s="631"/>
      <c r="O204" s="1"/>
    </row>
    <row r="205" spans="11:16" x14ac:dyDescent="0.25">
      <c r="K205" s="78" t="s">
        <v>916</v>
      </c>
      <c r="L205" s="82" t="s">
        <v>742</v>
      </c>
      <c r="M205" s="83" t="s">
        <v>1549</v>
      </c>
      <c r="O205" s="1"/>
    </row>
    <row r="206" spans="11:16" x14ac:dyDescent="0.25">
      <c r="K206" s="3" t="s">
        <v>3668</v>
      </c>
      <c r="L206" s="2"/>
      <c r="M206" s="39">
        <f>'AROS, CADENAS, DIJES, ETC'!T38</f>
        <v>8574</v>
      </c>
      <c r="O206" s="1"/>
    </row>
    <row r="207" spans="11:16" x14ac:dyDescent="0.25">
      <c r="K207" s="3" t="s">
        <v>1557</v>
      </c>
      <c r="L207" s="2"/>
      <c r="M207" s="39">
        <f>PACKAGING!E3</f>
        <v>150</v>
      </c>
      <c r="O207" s="1"/>
    </row>
    <row r="208" spans="11:16" x14ac:dyDescent="0.25">
      <c r="K208" s="3" t="s">
        <v>4540</v>
      </c>
      <c r="L208" s="2"/>
      <c r="M208" s="39">
        <f>PACKAGING!I9</f>
        <v>1000</v>
      </c>
      <c r="O208" s="1"/>
    </row>
    <row r="209" spans="11:17" ht="16.5" thickBot="1" x14ac:dyDescent="0.3">
      <c r="K209" s="79" t="s">
        <v>525</v>
      </c>
      <c r="L209" s="70"/>
      <c r="M209" s="51">
        <f>SUM(M206:M208)</f>
        <v>9724</v>
      </c>
      <c r="O209" s="1"/>
    </row>
    <row r="210" spans="11:17" ht="19.5" thickBot="1" x14ac:dyDescent="0.3">
      <c r="K210" s="211" t="s">
        <v>1559</v>
      </c>
      <c r="L210" s="212"/>
      <c r="M210" s="213">
        <f>M209*2</f>
        <v>19448</v>
      </c>
      <c r="N210" s="515">
        <f>M210+M210*70%</f>
        <v>33061.599999999999</v>
      </c>
      <c r="O210" s="961">
        <v>36000</v>
      </c>
    </row>
    <row r="211" spans="11:17" ht="19.5" thickBot="1" x14ac:dyDescent="0.3">
      <c r="O211" s="1284">
        <f>O210*60%</f>
        <v>21600</v>
      </c>
      <c r="P211" s="162" t="s">
        <v>3687</v>
      </c>
    </row>
    <row r="212" spans="11:17" ht="16.5" thickBot="1" x14ac:dyDescent="0.3"/>
    <row r="213" spans="11:17" ht="16.5" thickBot="1" x14ac:dyDescent="0.3">
      <c r="K213" s="1716" t="s">
        <v>3815</v>
      </c>
      <c r="L213" s="1717"/>
      <c r="M213" s="1718"/>
      <c r="O213" s="1"/>
    </row>
    <row r="214" spans="11:17" x14ac:dyDescent="0.25">
      <c r="K214" s="78" t="s">
        <v>916</v>
      </c>
      <c r="L214" s="82" t="s">
        <v>742</v>
      </c>
      <c r="M214" s="83" t="s">
        <v>1549</v>
      </c>
      <c r="O214" s="1"/>
    </row>
    <row r="215" spans="11:17" x14ac:dyDescent="0.25">
      <c r="K215" s="3" t="s">
        <v>3682</v>
      </c>
      <c r="L215" s="2"/>
      <c r="M215" s="39">
        <f>'AROS, CADENAS, DIJES, ETC'!T35</f>
        <v>8960</v>
      </c>
      <c r="O215" s="1"/>
    </row>
    <row r="216" spans="11:17" x14ac:dyDescent="0.25">
      <c r="K216" s="3" t="s">
        <v>1557</v>
      </c>
      <c r="L216" s="2"/>
      <c r="M216" s="39">
        <f>PACKAGING!E3</f>
        <v>150</v>
      </c>
      <c r="O216" s="1"/>
    </row>
    <row r="217" spans="11:17" x14ac:dyDescent="0.25">
      <c r="K217" s="3" t="s">
        <v>3568</v>
      </c>
      <c r="L217" s="2"/>
      <c r="M217" s="39">
        <f>PACKAGING!I5</f>
        <v>845</v>
      </c>
      <c r="O217" s="1"/>
    </row>
    <row r="218" spans="11:17" ht="16.5" thickBot="1" x14ac:dyDescent="0.3">
      <c r="K218" s="79" t="s">
        <v>525</v>
      </c>
      <c r="L218" s="70"/>
      <c r="M218" s="51">
        <f>SUM(M215:M217)</f>
        <v>9955</v>
      </c>
      <c r="O218" s="1"/>
    </row>
    <row r="219" spans="11:17" ht="19.5" thickBot="1" x14ac:dyDescent="0.3">
      <c r="K219" s="211" t="s">
        <v>1559</v>
      </c>
      <c r="L219" s="212"/>
      <c r="M219" s="213">
        <f>M218*2</f>
        <v>19910</v>
      </c>
      <c r="N219" s="515">
        <f>M219+M219*70%</f>
        <v>33847</v>
      </c>
      <c r="O219" s="1261">
        <v>36000</v>
      </c>
    </row>
    <row r="220" spans="11:17" ht="19.5" thickBot="1" x14ac:dyDescent="0.3">
      <c r="O220" s="1284">
        <f>O219*60%</f>
        <v>21600</v>
      </c>
      <c r="P220" s="162" t="s">
        <v>3687</v>
      </c>
    </row>
    <row r="221" spans="11:17" ht="16.5" thickBot="1" x14ac:dyDescent="0.3">
      <c r="O221" s="1262"/>
    </row>
    <row r="222" spans="11:17" ht="16.5" thickBot="1" x14ac:dyDescent="0.3">
      <c r="K222" s="1716" t="s">
        <v>3810</v>
      </c>
      <c r="L222" s="1717"/>
      <c r="M222" s="1717"/>
      <c r="N222" s="1717"/>
      <c r="O222" s="1717"/>
      <c r="P222" s="194"/>
      <c r="Q222" s="1"/>
    </row>
    <row r="223" spans="11:17" x14ac:dyDescent="0.25">
      <c r="K223" s="183" t="s">
        <v>916</v>
      </c>
      <c r="L223" s="97" t="s">
        <v>743</v>
      </c>
      <c r="M223" s="76" t="s">
        <v>1547</v>
      </c>
      <c r="N223" s="108" t="s">
        <v>1035</v>
      </c>
      <c r="O223" s="77" t="s">
        <v>1549</v>
      </c>
      <c r="P223" s="1"/>
      <c r="Q223" s="1"/>
    </row>
    <row r="224" spans="11:17" x14ac:dyDescent="0.25">
      <c r="K224" s="104" t="s">
        <v>1594</v>
      </c>
      <c r="L224" s="2"/>
      <c r="M224" s="107">
        <v>0.17</v>
      </c>
      <c r="N224" s="109">
        <f>'HILOS-CORDONES-TANZA-CUERO'!L6</f>
        <v>8</v>
      </c>
      <c r="O224" s="110">
        <f>N224*M224</f>
        <v>1.36</v>
      </c>
      <c r="P224" s="1"/>
      <c r="Q224" s="1"/>
    </row>
    <row r="225" spans="11:17" x14ac:dyDescent="0.25">
      <c r="K225" s="104" t="s">
        <v>3404</v>
      </c>
      <c r="L225" s="2">
        <v>0.34</v>
      </c>
      <c r="M225" s="2">
        <v>6.5000000000000002E-2</v>
      </c>
      <c r="N225" s="109">
        <f>PIEDRAS!E77</f>
        <v>4600</v>
      </c>
      <c r="O225" s="110">
        <f>N225*M225/L225</f>
        <v>879.41176470588232</v>
      </c>
      <c r="P225" s="1"/>
      <c r="Q225" s="1"/>
    </row>
    <row r="226" spans="11:17" x14ac:dyDescent="0.25">
      <c r="K226" s="104" t="s">
        <v>3728</v>
      </c>
      <c r="L226" s="98"/>
      <c r="M226" s="2">
        <v>1</v>
      </c>
      <c r="N226" s="109">
        <f>PLATEADO!F4</f>
        <v>81</v>
      </c>
      <c r="O226" s="110">
        <f>M226*N226</f>
        <v>81</v>
      </c>
      <c r="P226" s="1"/>
      <c r="Q226" s="1"/>
    </row>
    <row r="227" spans="11:17" x14ac:dyDescent="0.25">
      <c r="K227" s="3" t="s">
        <v>1557</v>
      </c>
      <c r="L227" s="98"/>
      <c r="M227" s="2"/>
      <c r="N227" s="6"/>
      <c r="O227" s="39">
        <f>PACKAGING!E3</f>
        <v>150</v>
      </c>
      <c r="P227" s="1"/>
      <c r="Q227" s="1"/>
    </row>
    <row r="228" spans="11:17" x14ac:dyDescent="0.25">
      <c r="K228" s="3" t="s">
        <v>1558</v>
      </c>
      <c r="L228" s="98">
        <v>60</v>
      </c>
      <c r="M228" s="2">
        <v>20</v>
      </c>
      <c r="N228" s="66">
        <f>'INSUMOS VARIOS'!B3</f>
        <v>3500</v>
      </c>
      <c r="O228" s="39">
        <f>N228*M228/L228</f>
        <v>1166.6666666666667</v>
      </c>
      <c r="P228" s="1"/>
      <c r="Q228" s="1"/>
    </row>
    <row r="229" spans="11:17" ht="16.5" thickBot="1" x14ac:dyDescent="0.3">
      <c r="K229" s="79" t="s">
        <v>525</v>
      </c>
      <c r="L229" s="99"/>
      <c r="M229" s="70"/>
      <c r="N229" s="85"/>
      <c r="O229" s="51">
        <f>SUM(O224:O228)</f>
        <v>2278.4384313725491</v>
      </c>
      <c r="P229" s="60"/>
      <c r="Q229" s="60"/>
    </row>
    <row r="230" spans="11:17" ht="18.75" x14ac:dyDescent="0.25">
      <c r="K230" s="80" t="s">
        <v>544</v>
      </c>
      <c r="L230" s="100"/>
      <c r="M230" s="71"/>
      <c r="N230" s="71"/>
      <c r="O230" s="72">
        <f>O229*2</f>
        <v>4556.8768627450982</v>
      </c>
      <c r="P230" s="512">
        <f>O230+O230*50%</f>
        <v>6835.3152941176468</v>
      </c>
      <c r="Q230" s="75">
        <v>7000</v>
      </c>
    </row>
    <row r="231" spans="11:17" ht="19.5" thickBot="1" x14ac:dyDescent="0.3">
      <c r="K231" s="81" t="s">
        <v>1559</v>
      </c>
      <c r="L231" s="101"/>
      <c r="M231" s="73"/>
      <c r="N231" s="73"/>
      <c r="O231" s="73"/>
      <c r="P231" s="522"/>
      <c r="Q231" s="74">
        <f>Q230*2</f>
        <v>14000</v>
      </c>
    </row>
    <row r="232" spans="11:17" ht="16.5" thickBot="1" x14ac:dyDescent="0.3"/>
    <row r="233" spans="11:17" ht="16.5" thickBot="1" x14ac:dyDescent="0.3">
      <c r="K233" s="1716" t="s">
        <v>3729</v>
      </c>
      <c r="L233" s="1717"/>
      <c r="M233" s="1717"/>
      <c r="N233" s="631"/>
      <c r="O233" s="1"/>
    </row>
    <row r="234" spans="11:17" x14ac:dyDescent="0.25">
      <c r="K234" s="78" t="s">
        <v>916</v>
      </c>
      <c r="L234" s="82" t="s">
        <v>742</v>
      </c>
      <c r="M234" s="83" t="s">
        <v>1549</v>
      </c>
      <c r="O234" s="1"/>
    </row>
    <row r="235" spans="11:17" x14ac:dyDescent="0.25">
      <c r="K235" s="3" t="s">
        <v>2045</v>
      </c>
      <c r="L235" s="2"/>
      <c r="M235" s="39">
        <f>PIEDRAS!K3</f>
        <v>300</v>
      </c>
      <c r="O235" s="1"/>
    </row>
    <row r="236" spans="11:17" x14ac:dyDescent="0.25">
      <c r="K236" s="3" t="s">
        <v>1557</v>
      </c>
      <c r="L236" s="2"/>
      <c r="M236" s="39">
        <f>PACKAGING!E3</f>
        <v>150</v>
      </c>
      <c r="O236" s="1"/>
    </row>
    <row r="237" spans="11:17" x14ac:dyDescent="0.25">
      <c r="K237" s="3" t="s">
        <v>1670</v>
      </c>
      <c r="L237" s="2"/>
      <c r="M237" s="39">
        <f>PACKAGING!E8</f>
        <v>420</v>
      </c>
      <c r="O237" s="1"/>
    </row>
    <row r="238" spans="11:17" ht="16.5" thickBot="1" x14ac:dyDescent="0.3">
      <c r="K238" s="79" t="s">
        <v>525</v>
      </c>
      <c r="L238" s="70"/>
      <c r="M238" s="51">
        <f>SUM(M235:M237)</f>
        <v>870</v>
      </c>
      <c r="O238" s="1"/>
    </row>
    <row r="239" spans="11:17" ht="18.75" x14ac:dyDescent="0.25">
      <c r="K239" s="80" t="s">
        <v>544</v>
      </c>
      <c r="L239" s="100"/>
      <c r="M239" s="72">
        <f>M238*2</f>
        <v>1740</v>
      </c>
      <c r="N239" s="512">
        <f>M239+M239*70%</f>
        <v>2958</v>
      </c>
      <c r="O239" s="75">
        <v>5000</v>
      </c>
    </row>
    <row r="240" spans="11:17" ht="19.5" thickBot="1" x14ac:dyDescent="0.3">
      <c r="K240" s="211" t="s">
        <v>1559</v>
      </c>
      <c r="L240" s="212"/>
      <c r="M240" s="73"/>
      <c r="N240" s="522"/>
      <c r="O240" s="74">
        <f>O239*2</f>
        <v>10000</v>
      </c>
    </row>
    <row r="241" spans="11:16" ht="16.5" thickBot="1" x14ac:dyDescent="0.3"/>
    <row r="242" spans="11:16" ht="16.5" thickBot="1" x14ac:dyDescent="0.3">
      <c r="K242" s="1716" t="s">
        <v>3791</v>
      </c>
      <c r="L242" s="1717"/>
      <c r="M242" s="1718"/>
      <c r="O242" s="1"/>
    </row>
    <row r="243" spans="11:16" x14ac:dyDescent="0.25">
      <c r="K243" s="78" t="s">
        <v>916</v>
      </c>
      <c r="L243" s="82" t="s">
        <v>742</v>
      </c>
      <c r="M243" s="83" t="s">
        <v>1549</v>
      </c>
      <c r="O243" s="1"/>
    </row>
    <row r="244" spans="11:16" x14ac:dyDescent="0.25">
      <c r="K244" s="3" t="s">
        <v>3792</v>
      </c>
      <c r="L244" s="2"/>
      <c r="M244" s="39">
        <f>'AROS, CADENAS, DIJES, ETC'!T42</f>
        <v>5400</v>
      </c>
      <c r="O244" s="1"/>
    </row>
    <row r="245" spans="11:16" x14ac:dyDescent="0.25">
      <c r="K245" s="3" t="s">
        <v>1557</v>
      </c>
      <c r="L245" s="2"/>
      <c r="M245" s="39">
        <f>PACKAGING!E3</f>
        <v>150</v>
      </c>
      <c r="O245" s="1"/>
    </row>
    <row r="246" spans="11:16" x14ac:dyDescent="0.25">
      <c r="K246" s="3" t="s">
        <v>4540</v>
      </c>
      <c r="L246" s="2"/>
      <c r="M246" s="39">
        <f>PACKAGING!I9</f>
        <v>1000</v>
      </c>
      <c r="O246" s="1"/>
    </row>
    <row r="247" spans="11:16" ht="16.5" thickBot="1" x14ac:dyDescent="0.3">
      <c r="K247" s="79" t="s">
        <v>525</v>
      </c>
      <c r="L247" s="70"/>
      <c r="M247" s="51">
        <f>SUM(M244:M246)</f>
        <v>6550</v>
      </c>
      <c r="O247" s="1"/>
    </row>
    <row r="248" spans="11:16" ht="19.5" thickBot="1" x14ac:dyDescent="0.3">
      <c r="K248" s="211" t="s">
        <v>1559</v>
      </c>
      <c r="L248" s="212"/>
      <c r="M248" s="213">
        <f>M247*2</f>
        <v>13100</v>
      </c>
      <c r="N248" s="515">
        <f>M248+M248*70%</f>
        <v>22270</v>
      </c>
      <c r="O248" s="1261">
        <v>26000</v>
      </c>
    </row>
    <row r="249" spans="11:16" ht="19.5" thickBot="1" x14ac:dyDescent="0.3">
      <c r="O249" s="1284">
        <f>O248*60%</f>
        <v>15600</v>
      </c>
      <c r="P249" s="162" t="s">
        <v>3687</v>
      </c>
    </row>
  </sheetData>
  <mergeCells count="32">
    <mergeCell ref="K213:M213"/>
    <mergeCell ref="K177:M177"/>
    <mergeCell ref="K186:M186"/>
    <mergeCell ref="K18:M18"/>
    <mergeCell ref="K46:M46"/>
    <mergeCell ref="K54:M54"/>
    <mergeCell ref="K79:O79"/>
    <mergeCell ref="K91:O91"/>
    <mergeCell ref="K70:M70"/>
    <mergeCell ref="K62:M62"/>
    <mergeCell ref="A1:E1"/>
    <mergeCell ref="A4:A5"/>
    <mergeCell ref="K1:M1"/>
    <mergeCell ref="K10:M10"/>
    <mergeCell ref="A14:A16"/>
    <mergeCell ref="A12:F12"/>
    <mergeCell ref="K242:M242"/>
    <mergeCell ref="A27:E27"/>
    <mergeCell ref="K26:O26"/>
    <mergeCell ref="K38:M38"/>
    <mergeCell ref="A29:A30"/>
    <mergeCell ref="K115:O115"/>
    <mergeCell ref="K128:O128"/>
    <mergeCell ref="K103:O103"/>
    <mergeCell ref="K222:O222"/>
    <mergeCell ref="K233:M233"/>
    <mergeCell ref="K141:M141"/>
    <mergeCell ref="K150:M150"/>
    <mergeCell ref="K159:M159"/>
    <mergeCell ref="K168:M168"/>
    <mergeCell ref="K195:M195"/>
    <mergeCell ref="K204:M204"/>
  </mergeCell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64D52-EFF8-440D-9222-C55AEAF4063A}">
  <dimension ref="A2:H38"/>
  <sheetViews>
    <sheetView topLeftCell="A27" workbookViewId="0">
      <selection activeCell="E29" sqref="E29"/>
    </sheetView>
  </sheetViews>
  <sheetFormatPr baseColWidth="10" defaultRowHeight="15" x14ac:dyDescent="0.25"/>
  <cols>
    <col min="1" max="1" width="22.85546875" bestFit="1" customWidth="1"/>
    <col min="5" max="6" width="10.7109375" bestFit="1" customWidth="1"/>
    <col min="7" max="7" width="11.85546875" bestFit="1" customWidth="1"/>
    <col min="8" max="8" width="14.42578125" bestFit="1" customWidth="1"/>
  </cols>
  <sheetData>
    <row r="2" spans="1:8" ht="15.75" x14ac:dyDescent="0.25">
      <c r="A2" s="1576" t="s">
        <v>3229</v>
      </c>
      <c r="B2" s="1577"/>
      <c r="C2" s="1577"/>
      <c r="D2" s="1577"/>
      <c r="E2" s="1577"/>
      <c r="F2" s="1577"/>
      <c r="G2" s="1"/>
      <c r="H2" s="1"/>
    </row>
    <row r="3" spans="1:8" ht="15.75" x14ac:dyDescent="0.25">
      <c r="A3" s="183" t="s">
        <v>916</v>
      </c>
      <c r="B3" s="97" t="s">
        <v>742</v>
      </c>
      <c r="C3" s="97" t="s">
        <v>1089</v>
      </c>
      <c r="D3" s="76" t="s">
        <v>1547</v>
      </c>
      <c r="E3" s="108" t="s">
        <v>1035</v>
      </c>
      <c r="F3" s="77" t="s">
        <v>1549</v>
      </c>
      <c r="G3" s="1"/>
      <c r="H3" s="1"/>
    </row>
    <row r="4" spans="1:8" ht="15.75" x14ac:dyDescent="0.25">
      <c r="A4" s="2" t="s">
        <v>2286</v>
      </c>
      <c r="B4" s="2"/>
      <c r="C4" s="190">
        <v>5.85</v>
      </c>
      <c r="D4" s="107">
        <v>1</v>
      </c>
      <c r="E4" s="109">
        <f>'HILOS-CORDONES-TANZA-CUERO'!E14</f>
        <v>210.25</v>
      </c>
      <c r="F4" s="110">
        <f>E4*D4*C4</f>
        <v>1229.9624999999999</v>
      </c>
      <c r="G4" s="1"/>
      <c r="H4" s="1"/>
    </row>
    <row r="5" spans="1:8" ht="15.75" x14ac:dyDescent="0.25">
      <c r="A5" s="148" t="s">
        <v>1925</v>
      </c>
      <c r="B5" s="98"/>
      <c r="C5" s="148"/>
      <c r="D5" s="107">
        <v>1</v>
      </c>
      <c r="E5" s="109">
        <f>'INSUMOS VARIOS'!V29</f>
        <v>35.46</v>
      </c>
      <c r="F5" s="110">
        <f>E5</f>
        <v>35.46</v>
      </c>
      <c r="G5" s="1"/>
      <c r="H5" s="1"/>
    </row>
    <row r="6" spans="1:8" ht="15.75" x14ac:dyDescent="0.25">
      <c r="A6" s="191" t="s">
        <v>1587</v>
      </c>
      <c r="B6" s="98"/>
      <c r="C6" s="98"/>
      <c r="D6" s="2">
        <v>1</v>
      </c>
      <c r="E6" s="109">
        <f>'INSUMOS VARIOS'!V32</f>
        <v>287</v>
      </c>
      <c r="F6" s="110">
        <f>E6</f>
        <v>287</v>
      </c>
      <c r="G6" s="1"/>
      <c r="H6" s="1"/>
    </row>
    <row r="7" spans="1:8" ht="15.75" x14ac:dyDescent="0.25">
      <c r="A7" s="3" t="s">
        <v>1537</v>
      </c>
      <c r="B7" s="98"/>
      <c r="C7" s="98"/>
      <c r="D7" s="2">
        <v>1</v>
      </c>
      <c r="E7" s="66">
        <f>PACKAGING!E6</f>
        <v>240</v>
      </c>
      <c r="F7" s="39">
        <f>E7</f>
        <v>240</v>
      </c>
      <c r="G7" s="1"/>
      <c r="H7" s="1"/>
    </row>
    <row r="8" spans="1:8" ht="15.75" x14ac:dyDescent="0.25">
      <c r="A8" s="3" t="s">
        <v>1557</v>
      </c>
      <c r="B8" s="98"/>
      <c r="C8" s="2"/>
      <c r="D8" s="2">
        <v>1</v>
      </c>
      <c r="E8" s="66">
        <f>PACKAGING!E3</f>
        <v>150</v>
      </c>
      <c r="F8" s="39">
        <f>E8</f>
        <v>150</v>
      </c>
      <c r="G8" s="1"/>
      <c r="H8" s="1"/>
    </row>
    <row r="9" spans="1:8" ht="15.75" x14ac:dyDescent="0.25">
      <c r="A9" s="3" t="s">
        <v>1558</v>
      </c>
      <c r="B9" s="98">
        <v>60</v>
      </c>
      <c r="C9" s="604"/>
      <c r="D9" s="2">
        <v>30</v>
      </c>
      <c r="E9" s="66">
        <f>'INSUMOS VARIOS'!B3</f>
        <v>3500</v>
      </c>
      <c r="F9" s="39">
        <f>E9*D9/B9</f>
        <v>1750</v>
      </c>
    </row>
    <row r="10" spans="1:8" ht="16.5" thickBot="1" x14ac:dyDescent="0.3">
      <c r="A10" s="79" t="s">
        <v>525</v>
      </c>
      <c r="B10" s="99"/>
      <c r="C10" s="99"/>
      <c r="D10" s="70"/>
      <c r="E10" s="85"/>
      <c r="F10" s="51">
        <f>SUM(F4:F9)</f>
        <v>3692.4224999999997</v>
      </c>
    </row>
    <row r="11" spans="1:8" ht="18.75" x14ac:dyDescent="0.25">
      <c r="A11" s="80" t="s">
        <v>544</v>
      </c>
      <c r="B11" s="100"/>
      <c r="C11" s="100"/>
      <c r="D11" s="71"/>
      <c r="E11" s="71"/>
      <c r="F11" s="72">
        <f>F10*2</f>
        <v>7384.8449999999993</v>
      </c>
      <c r="G11" s="606">
        <f>F11+F11*50%</f>
        <v>11077.267499999998</v>
      </c>
      <c r="H11" s="75">
        <v>7000</v>
      </c>
    </row>
    <row r="12" spans="1:8" ht="19.5" thickBot="1" x14ac:dyDescent="0.3">
      <c r="A12" s="81" t="s">
        <v>1559</v>
      </c>
      <c r="B12" s="101"/>
      <c r="C12" s="101"/>
      <c r="D12" s="73"/>
      <c r="E12" s="73"/>
      <c r="F12" s="73"/>
      <c r="G12" s="607"/>
      <c r="H12" s="74">
        <f>H11*2</f>
        <v>14000</v>
      </c>
    </row>
    <row r="13" spans="1:8" ht="15.75" x14ac:dyDescent="0.25">
      <c r="G13" s="1"/>
      <c r="H13" s="1"/>
    </row>
    <row r="14" spans="1:8" ht="15.75" x14ac:dyDescent="0.25">
      <c r="A14" s="1576" t="s">
        <v>3230</v>
      </c>
      <c r="B14" s="1577"/>
      <c r="C14" s="1577"/>
      <c r="D14" s="1577"/>
      <c r="E14" s="1577"/>
      <c r="F14" s="1577"/>
      <c r="G14" s="1"/>
      <c r="H14" s="1"/>
    </row>
    <row r="15" spans="1:8" ht="15.75" x14ac:dyDescent="0.25">
      <c r="A15" s="183" t="s">
        <v>916</v>
      </c>
      <c r="B15" s="97" t="s">
        <v>742</v>
      </c>
      <c r="C15" s="97" t="s">
        <v>1089</v>
      </c>
      <c r="D15" s="76" t="s">
        <v>1547</v>
      </c>
      <c r="E15" s="108" t="s">
        <v>1035</v>
      </c>
      <c r="F15" s="77" t="s">
        <v>1549</v>
      </c>
      <c r="G15" s="1"/>
      <c r="H15" s="1"/>
    </row>
    <row r="16" spans="1:8" ht="15.75" x14ac:dyDescent="0.25">
      <c r="A16" s="2" t="s">
        <v>2286</v>
      </c>
      <c r="B16" s="2"/>
      <c r="C16" s="190">
        <v>7.75</v>
      </c>
      <c r="D16" s="107">
        <v>1</v>
      </c>
      <c r="E16" s="109">
        <f>'HILOS-CORDONES-TANZA-CUERO'!E12</f>
        <v>210.25</v>
      </c>
      <c r="F16" s="110">
        <f>E16*D16*C16</f>
        <v>1629.4375</v>
      </c>
      <c r="G16" s="1"/>
      <c r="H16" s="1"/>
    </row>
    <row r="17" spans="1:8" ht="15.75" x14ac:dyDescent="0.25">
      <c r="A17" s="148" t="s">
        <v>1925</v>
      </c>
      <c r="B17" s="98"/>
      <c r="C17" s="148"/>
      <c r="D17" s="107">
        <v>1</v>
      </c>
      <c r="E17" s="109">
        <f>'INSUMOS VARIOS'!V29</f>
        <v>35.46</v>
      </c>
      <c r="F17" s="110">
        <f>E17</f>
        <v>35.46</v>
      </c>
      <c r="G17" s="1"/>
      <c r="H17" s="1"/>
    </row>
    <row r="18" spans="1:8" ht="15.75" x14ac:dyDescent="0.25">
      <c r="A18" s="191" t="s">
        <v>1587</v>
      </c>
      <c r="B18" s="98"/>
      <c r="C18" s="98"/>
      <c r="D18" s="2">
        <v>1</v>
      </c>
      <c r="E18" s="109">
        <f>'INSUMOS VARIOS'!V32</f>
        <v>287</v>
      </c>
      <c r="F18" s="110">
        <f>E18</f>
        <v>287</v>
      </c>
      <c r="G18" s="1"/>
      <c r="H18" s="1"/>
    </row>
    <row r="19" spans="1:8" ht="15.75" x14ac:dyDescent="0.25">
      <c r="A19" s="3" t="s">
        <v>1537</v>
      </c>
      <c r="B19" s="98"/>
      <c r="C19" s="98"/>
      <c r="D19" s="2">
        <v>1</v>
      </c>
      <c r="E19" s="66">
        <f>PACKAGING!E6</f>
        <v>240</v>
      </c>
      <c r="F19" s="39">
        <f>E19</f>
        <v>240</v>
      </c>
      <c r="G19" s="1"/>
      <c r="H19" s="1"/>
    </row>
    <row r="20" spans="1:8" ht="15.75" x14ac:dyDescent="0.25">
      <c r="A20" s="3" t="s">
        <v>1557</v>
      </c>
      <c r="B20" s="98"/>
      <c r="C20" s="2"/>
      <c r="D20" s="2">
        <v>1</v>
      </c>
      <c r="E20" s="66">
        <f>PACKAGING!E3</f>
        <v>150</v>
      </c>
      <c r="F20" s="39">
        <f>E20</f>
        <v>150</v>
      </c>
    </row>
    <row r="21" spans="1:8" ht="15.75" x14ac:dyDescent="0.25">
      <c r="A21" s="3" t="s">
        <v>1558</v>
      </c>
      <c r="B21" s="98">
        <v>60</v>
      </c>
      <c r="C21" s="603"/>
      <c r="D21" s="2">
        <v>30</v>
      </c>
      <c r="E21" s="66">
        <f>'INSUMOS VARIOS'!B3</f>
        <v>3500</v>
      </c>
      <c r="F21" s="39">
        <f>E21*D21/B21</f>
        <v>1750</v>
      </c>
    </row>
    <row r="22" spans="1:8" ht="16.5" thickBot="1" x14ac:dyDescent="0.3">
      <c r="A22" s="79" t="s">
        <v>525</v>
      </c>
      <c r="B22" s="99"/>
      <c r="C22" s="99"/>
      <c r="D22" s="70"/>
      <c r="E22" s="85"/>
      <c r="F22" s="51">
        <f>SUM(F16:F21)</f>
        <v>4091.8975</v>
      </c>
    </row>
    <row r="23" spans="1:8" ht="18.75" x14ac:dyDescent="0.25">
      <c r="A23" s="80" t="s">
        <v>544</v>
      </c>
      <c r="B23" s="100"/>
      <c r="C23" s="100"/>
      <c r="D23" s="71"/>
      <c r="E23" s="71"/>
      <c r="F23" s="72">
        <f>F22*2</f>
        <v>8183.7950000000001</v>
      </c>
      <c r="G23" s="606">
        <f>F23+F23*50%</f>
        <v>12275.692500000001</v>
      </c>
      <c r="H23" s="75">
        <v>7000</v>
      </c>
    </row>
    <row r="24" spans="1:8" ht="19.5" thickBot="1" x14ac:dyDescent="0.3">
      <c r="A24" s="81" t="s">
        <v>1559</v>
      </c>
      <c r="B24" s="101"/>
      <c r="C24" s="101"/>
      <c r="D24" s="73"/>
      <c r="E24" s="73"/>
      <c r="F24" s="73"/>
      <c r="G24" s="607"/>
      <c r="H24" s="74">
        <f>H23*2</f>
        <v>14000</v>
      </c>
    </row>
    <row r="26" spans="1:8" ht="15.75" x14ac:dyDescent="0.25">
      <c r="A26" s="1576" t="s">
        <v>3263</v>
      </c>
      <c r="B26" s="1577"/>
      <c r="C26" s="1577"/>
      <c r="D26" s="1577"/>
      <c r="E26" s="1577"/>
      <c r="F26" s="1577"/>
      <c r="G26" s="1"/>
      <c r="H26" s="1"/>
    </row>
    <row r="27" spans="1:8" ht="15.75" x14ac:dyDescent="0.25">
      <c r="A27" s="183" t="s">
        <v>916</v>
      </c>
      <c r="B27" s="97" t="s">
        <v>742</v>
      </c>
      <c r="C27" s="97" t="s">
        <v>1089</v>
      </c>
      <c r="D27" s="76" t="s">
        <v>1547</v>
      </c>
      <c r="E27" s="108" t="s">
        <v>1035</v>
      </c>
      <c r="F27" s="77" t="s">
        <v>1549</v>
      </c>
      <c r="G27" s="1"/>
      <c r="H27" s="1"/>
    </row>
    <row r="28" spans="1:8" ht="15.75" x14ac:dyDescent="0.25">
      <c r="A28" s="2" t="s">
        <v>2286</v>
      </c>
      <c r="B28" s="2"/>
      <c r="C28" s="190">
        <v>1.4</v>
      </c>
      <c r="D28" s="107">
        <v>1</v>
      </c>
      <c r="E28" s="109">
        <f>'HILOS-CORDONES-TANZA-CUERO'!E14</f>
        <v>210.25</v>
      </c>
      <c r="F28" s="110">
        <f>E28*D28*C28</f>
        <v>294.34999999999997</v>
      </c>
      <c r="G28" s="1"/>
      <c r="H28" s="1"/>
    </row>
    <row r="29" spans="1:8" ht="15.75" x14ac:dyDescent="0.25">
      <c r="A29" s="148" t="s">
        <v>3261</v>
      </c>
      <c r="B29" s="98"/>
      <c r="C29" s="148"/>
      <c r="D29" s="107">
        <v>2</v>
      </c>
      <c r="E29" s="109">
        <f>'INSUMOS VARIOS'!V31</f>
        <v>6.9565217391304346</v>
      </c>
      <c r="F29" s="110">
        <f>E29*D29</f>
        <v>13.913043478260869</v>
      </c>
      <c r="G29" s="1"/>
      <c r="H29" s="1"/>
    </row>
    <row r="30" spans="1:8" ht="15.75" x14ac:dyDescent="0.25">
      <c r="A30" s="148" t="s">
        <v>1925</v>
      </c>
      <c r="B30" s="98"/>
      <c r="C30" s="148"/>
      <c r="D30" s="107">
        <v>1</v>
      </c>
      <c r="E30" s="109">
        <f>'INSUMOS VARIOS'!V29</f>
        <v>35.46</v>
      </c>
      <c r="F30" s="110">
        <f>E30</f>
        <v>35.46</v>
      </c>
      <c r="G30" s="1"/>
      <c r="H30" s="1"/>
    </row>
    <row r="31" spans="1:8" ht="15.75" x14ac:dyDescent="0.25">
      <c r="A31" s="191" t="s">
        <v>1587</v>
      </c>
      <c r="B31" s="98"/>
      <c r="C31" s="98"/>
      <c r="D31" s="2">
        <v>1</v>
      </c>
      <c r="E31" s="109">
        <f>'INSUMOS VARIOS'!V32</f>
        <v>287</v>
      </c>
      <c r="F31" s="110">
        <f>E31</f>
        <v>287</v>
      </c>
      <c r="G31" s="1"/>
      <c r="H31" s="1"/>
    </row>
    <row r="32" spans="1:8" ht="15.75" x14ac:dyDescent="0.25">
      <c r="A32" s="3" t="s">
        <v>3257</v>
      </c>
      <c r="B32" s="98"/>
      <c r="C32" s="98"/>
      <c r="D32" s="2">
        <v>1</v>
      </c>
      <c r="E32" s="66">
        <f>PACKAGING!E15</f>
        <v>380</v>
      </c>
      <c r="F32" s="39">
        <f>E32</f>
        <v>380</v>
      </c>
    </row>
    <row r="33" spans="1:8" ht="15.75" x14ac:dyDescent="0.25">
      <c r="A33" s="3" t="s">
        <v>3258</v>
      </c>
      <c r="B33" s="98"/>
      <c r="C33" s="98"/>
      <c r="D33" s="2">
        <v>1</v>
      </c>
      <c r="E33" s="66">
        <f>PACKAGING!E16</f>
        <v>260</v>
      </c>
      <c r="F33" s="39">
        <f>E33*D33</f>
        <v>260</v>
      </c>
    </row>
    <row r="34" spans="1:8" ht="15.75" x14ac:dyDescent="0.25">
      <c r="A34" s="3" t="s">
        <v>1557</v>
      </c>
      <c r="B34" s="98"/>
      <c r="C34" s="2"/>
      <c r="D34" s="2">
        <v>1</v>
      </c>
      <c r="E34" s="66"/>
      <c r="F34" s="39">
        <f>PACKAGING!E3</f>
        <v>150</v>
      </c>
    </row>
    <row r="35" spans="1:8" ht="15.75" x14ac:dyDescent="0.25">
      <c r="A35" s="3" t="s">
        <v>1558</v>
      </c>
      <c r="B35" s="98">
        <v>60</v>
      </c>
      <c r="C35" s="603"/>
      <c r="D35" s="2">
        <v>20</v>
      </c>
      <c r="E35" s="66">
        <f>'INSUMOS VARIOS'!B3</f>
        <v>3500</v>
      </c>
      <c r="F35" s="39">
        <f>E35*D35/B35</f>
        <v>1166.6666666666667</v>
      </c>
    </row>
    <row r="36" spans="1:8" ht="16.5" thickBot="1" x14ac:dyDescent="0.3">
      <c r="A36" s="79" t="s">
        <v>525</v>
      </c>
      <c r="B36" s="99"/>
      <c r="C36" s="99"/>
      <c r="D36" s="70"/>
      <c r="E36" s="85"/>
      <c r="F36" s="51">
        <f>SUM(F28:F35)</f>
        <v>2587.3897101449274</v>
      </c>
    </row>
    <row r="37" spans="1:8" ht="18.75" x14ac:dyDescent="0.25">
      <c r="A37" s="80" t="s">
        <v>544</v>
      </c>
      <c r="B37" s="100"/>
      <c r="C37" s="100"/>
      <c r="D37" s="71"/>
      <c r="E37" s="71"/>
      <c r="F37" s="72">
        <f>F36*2</f>
        <v>5174.7794202898549</v>
      </c>
      <c r="G37" s="606">
        <f>F37+F37*50%</f>
        <v>7762.1691304347823</v>
      </c>
      <c r="H37" s="75">
        <v>6000</v>
      </c>
    </row>
    <row r="38" spans="1:8" ht="19.5" thickBot="1" x14ac:dyDescent="0.3">
      <c r="A38" s="81" t="s">
        <v>1559</v>
      </c>
      <c r="B38" s="101"/>
      <c r="C38" s="101"/>
      <c r="D38" s="73"/>
      <c r="E38" s="73"/>
      <c r="F38" s="73"/>
      <c r="G38" s="607"/>
      <c r="H38" s="74">
        <f>H37*2</f>
        <v>12000</v>
      </c>
    </row>
  </sheetData>
  <mergeCells count="3">
    <mergeCell ref="A2:F2"/>
    <mergeCell ref="A14:F14"/>
    <mergeCell ref="A26:F26"/>
  </mergeCells>
  <pageMargins left="0.7" right="0.7" top="0.75" bottom="0.75" header="0.3" footer="0.3"/>
  <ignoredErrors>
    <ignoredError sqref="F33" formula="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Hoja32"/>
  <dimension ref="A1:N70"/>
  <sheetViews>
    <sheetView topLeftCell="A30" zoomScaleNormal="100" workbookViewId="0">
      <selection activeCell="N7" sqref="N7"/>
    </sheetView>
  </sheetViews>
  <sheetFormatPr baseColWidth="10" defaultColWidth="10.85546875" defaultRowHeight="15.75" x14ac:dyDescent="0.25"/>
  <cols>
    <col min="1" max="1" width="12.5703125" style="171" bestFit="1" customWidth="1"/>
    <col min="2" max="5" width="10.85546875" style="171"/>
    <col min="6" max="6" width="13" style="171" bestFit="1" customWidth="1"/>
    <col min="7" max="7" width="11.5703125" style="171" bestFit="1" customWidth="1"/>
    <col min="8" max="8" width="33.5703125" style="171" bestFit="1" customWidth="1"/>
    <col min="9" max="10" width="10.85546875" style="171"/>
    <col min="11" max="11" width="20.28515625" style="171" bestFit="1" customWidth="1"/>
    <col min="12" max="12" width="11.85546875" style="171" bestFit="1" customWidth="1"/>
    <col min="13" max="14" width="14.42578125" style="171" bestFit="1" customWidth="1"/>
    <col min="15" max="16384" width="10.85546875" style="171"/>
  </cols>
  <sheetData>
    <row r="1" spans="1:14" ht="16.5" thickBot="1" x14ac:dyDescent="0.3">
      <c r="A1" s="1597" t="s">
        <v>560</v>
      </c>
      <c r="B1" s="1599"/>
      <c r="C1" s="1598"/>
      <c r="D1" s="1"/>
      <c r="H1" s="1568" t="s">
        <v>3291</v>
      </c>
      <c r="I1" s="1569"/>
      <c r="J1" s="1569"/>
      <c r="K1" s="1569"/>
      <c r="L1" s="1570"/>
    </row>
    <row r="2" spans="1:14" x14ac:dyDescent="0.25">
      <c r="A2" s="35"/>
      <c r="B2" s="36" t="s">
        <v>1073</v>
      </c>
      <c r="C2" s="37" t="s">
        <v>1549</v>
      </c>
      <c r="D2" s="1"/>
      <c r="H2" s="183" t="s">
        <v>916</v>
      </c>
      <c r="I2" s="76" t="s">
        <v>742</v>
      </c>
      <c r="J2" s="108" t="s">
        <v>1948</v>
      </c>
      <c r="K2" s="108" t="s">
        <v>1035</v>
      </c>
      <c r="L2" s="77" t="s">
        <v>1549</v>
      </c>
      <c r="M2" s="1"/>
    </row>
    <row r="3" spans="1:14" x14ac:dyDescent="0.25">
      <c r="A3" s="3" t="s">
        <v>2128</v>
      </c>
      <c r="B3" s="2"/>
      <c r="C3" s="39">
        <f>'INSUMOS VARIOS'!B11</f>
        <v>97</v>
      </c>
      <c r="D3" s="1"/>
      <c r="H3" s="3" t="s">
        <v>3291</v>
      </c>
      <c r="I3" s="2"/>
      <c r="J3" s="6"/>
      <c r="K3" s="66"/>
      <c r="L3" s="39">
        <v>18500</v>
      </c>
      <c r="M3" s="1"/>
    </row>
    <row r="4" spans="1:14" x14ac:dyDescent="0.25">
      <c r="A4" s="3" t="s">
        <v>1588</v>
      </c>
      <c r="B4" s="2"/>
      <c r="C4" s="39">
        <f>PACKAGING!E14</f>
        <v>4</v>
      </c>
      <c r="D4" s="1"/>
      <c r="H4" s="1701" t="s">
        <v>1557</v>
      </c>
      <c r="I4" s="2" t="s">
        <v>2130</v>
      </c>
      <c r="J4" s="6"/>
      <c r="K4" s="6"/>
      <c r="L4" s="39">
        <v>800</v>
      </c>
      <c r="M4" s="1"/>
    </row>
    <row r="5" spans="1:14" x14ac:dyDescent="0.25">
      <c r="A5" s="3" t="s">
        <v>2036</v>
      </c>
      <c r="B5" s="2"/>
      <c r="C5" s="39">
        <f>PACKAGING!E18</f>
        <v>2</v>
      </c>
      <c r="D5" s="1"/>
      <c r="H5" s="1702"/>
      <c r="I5" s="2" t="s">
        <v>3339</v>
      </c>
      <c r="J5" s="6"/>
      <c r="K5" s="6"/>
      <c r="L5" s="39">
        <f>PACKAGING!E4</f>
        <v>80</v>
      </c>
      <c r="M5" s="1"/>
    </row>
    <row r="6" spans="1:14" x14ac:dyDescent="0.25">
      <c r="A6" s="3" t="s">
        <v>2129</v>
      </c>
      <c r="B6" s="2"/>
      <c r="C6" s="39">
        <v>10</v>
      </c>
      <c r="D6" s="1"/>
      <c r="H6" s="79" t="s">
        <v>525</v>
      </c>
      <c r="I6" s="70"/>
      <c r="J6" s="85"/>
      <c r="K6" s="85"/>
      <c r="L6" s="51">
        <f>SUM(L3:L5)</f>
        <v>19380</v>
      </c>
      <c r="M6" s="1"/>
    </row>
    <row r="7" spans="1:14" ht="19.5" thickBot="1" x14ac:dyDescent="0.3">
      <c r="A7" s="45" t="s">
        <v>525</v>
      </c>
      <c r="B7" s="46"/>
      <c r="C7" s="50">
        <f>SUM(C3:C5)</f>
        <v>103</v>
      </c>
      <c r="D7" s="38"/>
      <c r="H7" s="81" t="s">
        <v>1559</v>
      </c>
      <c r="I7" s="73"/>
      <c r="J7" s="73"/>
      <c r="K7" s="73"/>
      <c r="L7" s="219">
        <f>L6*2</f>
        <v>38760</v>
      </c>
      <c r="M7" s="219">
        <f>L7+L7*40%</f>
        <v>54264</v>
      </c>
      <c r="N7" s="74">
        <v>54000</v>
      </c>
    </row>
    <row r="8" spans="1:14" ht="16.5" thickBot="1" x14ac:dyDescent="0.3">
      <c r="A8" s="52" t="s">
        <v>1559</v>
      </c>
      <c r="B8" s="53"/>
      <c r="C8" s="57">
        <f>C7*2</f>
        <v>206</v>
      </c>
      <c r="D8" s="54">
        <v>2000</v>
      </c>
    </row>
    <row r="9" spans="1:14" ht="16.5" thickBot="1" x14ac:dyDescent="0.3"/>
    <row r="10" spans="1:14" ht="15.6" customHeight="1" thickBot="1" x14ac:dyDescent="0.3">
      <c r="A10" s="1568" t="s">
        <v>3027</v>
      </c>
      <c r="B10" s="1569"/>
      <c r="C10" s="1569"/>
      <c r="D10" s="1569"/>
      <c r="E10" s="1570"/>
      <c r="H10" s="1568" t="s">
        <v>3341</v>
      </c>
      <c r="I10" s="1569"/>
      <c r="J10" s="1569"/>
      <c r="K10" s="1569"/>
      <c r="L10" s="1570"/>
    </row>
    <row r="11" spans="1:14" x14ac:dyDescent="0.25">
      <c r="A11" s="183" t="s">
        <v>916</v>
      </c>
      <c r="B11" s="76" t="s">
        <v>742</v>
      </c>
      <c r="C11" s="108" t="s">
        <v>1948</v>
      </c>
      <c r="D11" s="108" t="s">
        <v>1035</v>
      </c>
      <c r="E11" s="77" t="s">
        <v>1549</v>
      </c>
      <c r="F11" s="1"/>
      <c r="H11" s="183" t="s">
        <v>916</v>
      </c>
      <c r="I11" s="76" t="s">
        <v>742</v>
      </c>
      <c r="J11" s="108" t="s">
        <v>1948</v>
      </c>
      <c r="K11" s="108" t="s">
        <v>1035</v>
      </c>
      <c r="L11" s="77" t="s">
        <v>1549</v>
      </c>
      <c r="M11" s="1"/>
    </row>
    <row r="12" spans="1:14" x14ac:dyDescent="0.25">
      <c r="A12" s="3" t="s">
        <v>2130</v>
      </c>
      <c r="B12" s="2"/>
      <c r="C12" s="6">
        <v>0.75</v>
      </c>
      <c r="D12" s="66">
        <f>'INSUMOS VARIOS'!B20</f>
        <v>482.9</v>
      </c>
      <c r="E12" s="39">
        <f>D12*C12</f>
        <v>362.17499999999995</v>
      </c>
      <c r="F12" s="1"/>
      <c r="H12" s="3" t="s">
        <v>3326</v>
      </c>
      <c r="I12" s="2"/>
      <c r="J12" s="6"/>
      <c r="K12" s="66"/>
      <c r="L12" s="39">
        <v>8000</v>
      </c>
      <c r="M12" s="1"/>
    </row>
    <row r="13" spans="1:14" x14ac:dyDescent="0.25">
      <c r="A13" s="1701" t="s">
        <v>1557</v>
      </c>
      <c r="B13" s="2" t="s">
        <v>2130</v>
      </c>
      <c r="C13" s="6"/>
      <c r="D13" s="6"/>
      <c r="E13" s="39">
        <v>50</v>
      </c>
      <c r="F13" s="1"/>
      <c r="H13" s="184" t="s">
        <v>3340</v>
      </c>
      <c r="I13" s="2">
        <v>1</v>
      </c>
      <c r="J13" s="6">
        <v>0.6</v>
      </c>
      <c r="K13" s="66">
        <f>'HILOS-CORDONES-TANZA-CUERO'!E7</f>
        <v>50.35</v>
      </c>
      <c r="L13" s="39">
        <f>J13*K13/I13</f>
        <v>30.21</v>
      </c>
      <c r="M13" s="1"/>
    </row>
    <row r="14" spans="1:14" x14ac:dyDescent="0.25">
      <c r="A14" s="1702"/>
      <c r="B14" s="2"/>
      <c r="C14" s="6"/>
      <c r="D14" s="6"/>
      <c r="E14" s="39">
        <f>PACKAGING!E3</f>
        <v>150</v>
      </c>
      <c r="F14" s="1"/>
      <c r="G14" s="217"/>
      <c r="H14" s="184" t="s">
        <v>3327</v>
      </c>
      <c r="I14" s="2">
        <v>1</v>
      </c>
      <c r="J14" s="6">
        <v>2</v>
      </c>
      <c r="K14" s="66">
        <f>'HILOS-CORDONES-TANZA-CUERO'!E12</f>
        <v>210.25</v>
      </c>
      <c r="L14" s="39">
        <f>J14*K14/I14</f>
        <v>420.5</v>
      </c>
      <c r="M14" s="1"/>
    </row>
    <row r="15" spans="1:14" x14ac:dyDescent="0.25">
      <c r="A15" s="3" t="s">
        <v>1558</v>
      </c>
      <c r="B15" s="2"/>
      <c r="C15" s="6"/>
      <c r="D15" s="6"/>
      <c r="E15" s="39">
        <v>300</v>
      </c>
      <c r="F15" s="1"/>
      <c r="H15" s="184" t="s">
        <v>1938</v>
      </c>
      <c r="I15" s="2" t="s">
        <v>1022</v>
      </c>
      <c r="J15" s="6">
        <v>2</v>
      </c>
      <c r="K15" s="66">
        <f>PIEDRAS!F132</f>
        <v>60</v>
      </c>
      <c r="L15" s="39">
        <f t="shared" ref="L15:L20" si="0">K15*J15</f>
        <v>120</v>
      </c>
      <c r="M15" s="1"/>
    </row>
    <row r="16" spans="1:14" x14ac:dyDescent="0.25">
      <c r="A16" s="79" t="s">
        <v>525</v>
      </c>
      <c r="B16" s="70"/>
      <c r="C16" s="85"/>
      <c r="D16" s="85"/>
      <c r="E16" s="51">
        <f>SUM(E12:E15)</f>
        <v>862.17499999999995</v>
      </c>
      <c r="F16" s="1"/>
      <c r="H16" s="184" t="s">
        <v>1938</v>
      </c>
      <c r="I16" s="2" t="s">
        <v>937</v>
      </c>
      <c r="J16" s="6">
        <v>1</v>
      </c>
      <c r="K16" s="66">
        <f>PIEDRAS!F134</f>
        <v>280.43478260869563</v>
      </c>
      <c r="L16" s="39">
        <f t="shared" si="0"/>
        <v>280.43478260869563</v>
      </c>
      <c r="M16" s="1"/>
    </row>
    <row r="17" spans="1:14" ht="19.5" thickBot="1" x14ac:dyDescent="0.3">
      <c r="A17" s="81" t="s">
        <v>1559</v>
      </c>
      <c r="B17" s="73"/>
      <c r="C17" s="73"/>
      <c r="D17" s="73"/>
      <c r="E17" s="219">
        <f>E16*2</f>
        <v>1724.35</v>
      </c>
      <c r="F17" s="74">
        <v>4500</v>
      </c>
      <c r="H17" s="184" t="s">
        <v>3338</v>
      </c>
      <c r="I17" s="2"/>
      <c r="J17" s="6">
        <v>1</v>
      </c>
      <c r="K17" s="66">
        <f>VIDRIOS!E9</f>
        <v>35.416666666666664</v>
      </c>
      <c r="L17" s="39">
        <f t="shared" si="0"/>
        <v>35.416666666666664</v>
      </c>
      <c r="M17" s="1"/>
    </row>
    <row r="18" spans="1:14" ht="16.5" thickBot="1" x14ac:dyDescent="0.3">
      <c r="H18" s="184" t="s">
        <v>3337</v>
      </c>
      <c r="I18" s="2" t="s">
        <v>781</v>
      </c>
      <c r="J18" s="6">
        <v>2</v>
      </c>
      <c r="K18" s="66">
        <f>PIEDRAS!F122</f>
        <v>32.245283018867923</v>
      </c>
      <c r="L18" s="39">
        <f t="shared" si="0"/>
        <v>64.490566037735846</v>
      </c>
      <c r="M18" s="1"/>
    </row>
    <row r="19" spans="1:14" ht="16.5" thickBot="1" x14ac:dyDescent="0.3">
      <c r="A19" s="1568" t="s">
        <v>3028</v>
      </c>
      <c r="B19" s="1569"/>
      <c r="C19" s="1569"/>
      <c r="D19" s="1569"/>
      <c r="E19" s="1570"/>
      <c r="H19" s="184" t="s">
        <v>3328</v>
      </c>
      <c r="I19" s="2"/>
      <c r="J19" s="6">
        <v>1</v>
      </c>
      <c r="K19" s="66">
        <f>'PALAIS DU BIJOU'!N47</f>
        <v>37.313432835820898</v>
      </c>
      <c r="L19" s="39">
        <f t="shared" si="0"/>
        <v>37.313432835820898</v>
      </c>
      <c r="M19" s="1"/>
    </row>
    <row r="20" spans="1:14" x14ac:dyDescent="0.25">
      <c r="A20" s="183" t="s">
        <v>916</v>
      </c>
      <c r="B20" s="76" t="s">
        <v>742</v>
      </c>
      <c r="C20" s="108" t="s">
        <v>1948</v>
      </c>
      <c r="D20" s="108" t="s">
        <v>1035</v>
      </c>
      <c r="E20" s="77" t="s">
        <v>1549</v>
      </c>
      <c r="F20" s="1"/>
      <c r="H20" s="184" t="s">
        <v>3329</v>
      </c>
      <c r="I20" s="2"/>
      <c r="J20" s="6">
        <v>1</v>
      </c>
      <c r="K20" s="66">
        <f>'PALAIS DU BIJOU'!N48</f>
        <v>37.313432835820898</v>
      </c>
      <c r="L20" s="39">
        <f t="shared" si="0"/>
        <v>37.313432835820898</v>
      </c>
      <c r="M20" s="1"/>
    </row>
    <row r="21" spans="1:14" x14ac:dyDescent="0.25">
      <c r="A21" s="3" t="s">
        <v>2130</v>
      </c>
      <c r="B21" s="2"/>
      <c r="C21" s="6"/>
      <c r="D21" s="66"/>
      <c r="E21" s="39">
        <v>2000</v>
      </c>
      <c r="F21" s="1"/>
      <c r="H21" s="185" t="s">
        <v>1557</v>
      </c>
      <c r="I21" s="2"/>
      <c r="J21" s="6"/>
      <c r="K21" s="6"/>
      <c r="L21" s="39">
        <f>PACKAGING!E4</f>
        <v>80</v>
      </c>
      <c r="M21" s="1"/>
    </row>
    <row r="22" spans="1:14" x14ac:dyDescent="0.25">
      <c r="A22" s="1701" t="s">
        <v>1557</v>
      </c>
      <c r="B22" s="2" t="s">
        <v>2130</v>
      </c>
      <c r="C22" s="6"/>
      <c r="D22" s="6"/>
      <c r="E22" s="39">
        <v>50</v>
      </c>
      <c r="F22" s="1"/>
      <c r="G22" s="217"/>
      <c r="H22" s="145" t="s">
        <v>3258</v>
      </c>
      <c r="I22" s="2">
        <v>60</v>
      </c>
      <c r="J22" s="6">
        <v>20</v>
      </c>
      <c r="K22" s="66">
        <f>'INSUMOS VARIOS'!B3</f>
        <v>3500</v>
      </c>
      <c r="L22" s="39">
        <f>J22*K22/I22</f>
        <v>1166.6666666666667</v>
      </c>
      <c r="M22" s="1"/>
    </row>
    <row r="23" spans="1:14" x14ac:dyDescent="0.25">
      <c r="A23" s="1702"/>
      <c r="B23" s="2"/>
      <c r="C23" s="6"/>
      <c r="D23" s="6"/>
      <c r="E23" s="39">
        <f>E14</f>
        <v>150</v>
      </c>
      <c r="F23" s="1"/>
      <c r="H23" s="3" t="s">
        <v>1558</v>
      </c>
      <c r="I23" s="2"/>
      <c r="J23" s="6"/>
      <c r="K23" s="6"/>
      <c r="L23" s="39">
        <v>300</v>
      </c>
      <c r="M23" s="1"/>
    </row>
    <row r="24" spans="1:14" x14ac:dyDescent="0.25">
      <c r="A24" s="79" t="s">
        <v>525</v>
      </c>
      <c r="B24" s="70"/>
      <c r="C24" s="85"/>
      <c r="D24" s="85"/>
      <c r="E24" s="51">
        <f>SUM(E21:E23)</f>
        <v>2200</v>
      </c>
      <c r="F24" s="1"/>
      <c r="H24" s="79" t="s">
        <v>525</v>
      </c>
      <c r="I24" s="70"/>
      <c r="J24" s="85"/>
      <c r="K24" s="85"/>
      <c r="L24" s="51">
        <f>SUM(L12:L23)</f>
        <v>10572.345547651405</v>
      </c>
      <c r="M24" s="1"/>
    </row>
    <row r="25" spans="1:14" ht="19.5" thickBot="1" x14ac:dyDescent="0.3">
      <c r="A25" s="81" t="s">
        <v>1559</v>
      </c>
      <c r="B25" s="73"/>
      <c r="C25" s="73"/>
      <c r="D25" s="73"/>
      <c r="E25" s="219">
        <f>E24*2</f>
        <v>4400</v>
      </c>
      <c r="F25" s="74">
        <v>8000</v>
      </c>
      <c r="H25" s="81" t="s">
        <v>1559</v>
      </c>
      <c r="I25" s="73"/>
      <c r="J25" s="73"/>
      <c r="K25" s="73"/>
      <c r="L25" s="219">
        <f>L24*2</f>
        <v>21144.691095302809</v>
      </c>
      <c r="M25" s="219">
        <f>L25+L25*40%</f>
        <v>29602.567533423935</v>
      </c>
      <c r="N25" s="74">
        <v>30000</v>
      </c>
    </row>
    <row r="26" spans="1:14" ht="16.5" thickBot="1" x14ac:dyDescent="0.3"/>
    <row r="27" spans="1:14" ht="16.5" thickBot="1" x14ac:dyDescent="0.3">
      <c r="A27" s="1163" t="s">
        <v>563</v>
      </c>
      <c r="B27" s="1164"/>
      <c r="C27" s="1164"/>
      <c r="D27" s="1164"/>
      <c r="E27" s="1164"/>
      <c r="F27" s="1164"/>
      <c r="G27" s="1164"/>
      <c r="H27" s="1164"/>
      <c r="I27" s="1164"/>
      <c r="J27" s="1164"/>
      <c r="K27" s="262"/>
    </row>
    <row r="28" spans="1:14" ht="16.5" thickBot="1" x14ac:dyDescent="0.3">
      <c r="A28" s="631"/>
      <c r="K28" s="217"/>
    </row>
    <row r="29" spans="1:14" ht="15.6" customHeight="1" x14ac:dyDescent="0.25">
      <c r="A29" s="1597" t="s">
        <v>3030</v>
      </c>
      <c r="B29" s="1599"/>
      <c r="C29" s="1598"/>
      <c r="D29" s="630"/>
      <c r="E29" s="1"/>
      <c r="G29" s="1160" t="s">
        <v>518</v>
      </c>
      <c r="H29" s="1162"/>
      <c r="I29" s="1161"/>
      <c r="J29" s="630"/>
      <c r="K29" s="103"/>
    </row>
    <row r="30" spans="1:14" x14ac:dyDescent="0.25">
      <c r="A30" s="35"/>
      <c r="B30" s="36" t="s">
        <v>1073</v>
      </c>
      <c r="C30" s="37" t="s">
        <v>1549</v>
      </c>
      <c r="D30" s="1"/>
      <c r="E30" s="1"/>
      <c r="G30" s="35"/>
      <c r="H30" s="36" t="s">
        <v>1073</v>
      </c>
      <c r="I30" s="37" t="s">
        <v>1549</v>
      </c>
      <c r="J30" s="1"/>
      <c r="K30" s="103"/>
    </row>
    <row r="31" spans="1:14" x14ac:dyDescent="0.25">
      <c r="A31" s="3" t="s">
        <v>2131</v>
      </c>
      <c r="B31" s="2"/>
      <c r="C31" s="39">
        <v>850</v>
      </c>
      <c r="D31" s="1"/>
      <c r="E31" s="1"/>
      <c r="G31" s="3" t="s">
        <v>2131</v>
      </c>
      <c r="H31" s="2"/>
      <c r="I31" s="39">
        <v>2100</v>
      </c>
      <c r="J31" s="1"/>
      <c r="K31" s="103"/>
    </row>
    <row r="32" spans="1:14" ht="16.5" thickBot="1" x14ac:dyDescent="0.3">
      <c r="A32" s="45" t="s">
        <v>525</v>
      </c>
      <c r="B32" s="46"/>
      <c r="C32" s="50">
        <f>SUM(C31:C31)</f>
        <v>850</v>
      </c>
      <c r="D32" s="1"/>
      <c r="G32" s="45" t="s">
        <v>525</v>
      </c>
      <c r="H32" s="46"/>
      <c r="I32" s="50">
        <f>SUM(I31:I31)</f>
        <v>2100</v>
      </c>
      <c r="J32" s="1"/>
      <c r="K32" s="217"/>
    </row>
    <row r="33" spans="1:11" ht="16.5" thickBot="1" x14ac:dyDescent="0.3">
      <c r="A33" s="52" t="s">
        <v>1559</v>
      </c>
      <c r="B33" s="53"/>
      <c r="C33" s="59">
        <f>C32*2</f>
        <v>1700</v>
      </c>
      <c r="D33" s="620">
        <f>C33+C33*50%</f>
        <v>2550</v>
      </c>
      <c r="E33" s="619">
        <v>6800</v>
      </c>
      <c r="G33" s="52" t="s">
        <v>1559</v>
      </c>
      <c r="H33" s="53"/>
      <c r="I33" s="59">
        <f>I32*2</f>
        <v>4200</v>
      </c>
      <c r="J33" s="620">
        <f>I33+I33*15%</f>
        <v>4830</v>
      </c>
      <c r="K33" s="619">
        <v>8200</v>
      </c>
    </row>
    <row r="34" spans="1:11" ht="16.5" thickBot="1" x14ac:dyDescent="0.3">
      <c r="A34" s="631"/>
      <c r="K34" s="217"/>
    </row>
    <row r="35" spans="1:11" ht="15.6" customHeight="1" x14ac:dyDescent="0.25">
      <c r="A35" s="1597" t="s">
        <v>3208</v>
      </c>
      <c r="B35" s="1599"/>
      <c r="C35" s="1598"/>
      <c r="D35" s="630"/>
      <c r="E35" s="1"/>
      <c r="G35" s="1160" t="s">
        <v>3209</v>
      </c>
      <c r="H35" s="1162"/>
      <c r="I35" s="1161"/>
      <c r="J35" s="630"/>
      <c r="K35" s="103"/>
    </row>
    <row r="36" spans="1:11" x14ac:dyDescent="0.25">
      <c r="A36" s="35"/>
      <c r="B36" s="36" t="s">
        <v>1073</v>
      </c>
      <c r="C36" s="37" t="s">
        <v>1549</v>
      </c>
      <c r="D36" s="1"/>
      <c r="E36" s="1"/>
      <c r="G36" s="35"/>
      <c r="H36" s="36" t="s">
        <v>1073</v>
      </c>
      <c r="I36" s="37" t="s">
        <v>1549</v>
      </c>
      <c r="J36" s="1"/>
      <c r="K36" s="103"/>
    </row>
    <row r="37" spans="1:11" x14ac:dyDescent="0.25">
      <c r="A37" s="3" t="s">
        <v>2131</v>
      </c>
      <c r="B37" s="2"/>
      <c r="C37" s="39">
        <v>1900</v>
      </c>
      <c r="D37" s="1"/>
      <c r="E37" s="1"/>
      <c r="G37" s="3" t="s">
        <v>2131</v>
      </c>
      <c r="H37" s="2"/>
      <c r="I37" s="39">
        <v>1850</v>
      </c>
      <c r="J37" s="1"/>
      <c r="K37" s="103"/>
    </row>
    <row r="38" spans="1:11" ht="16.5" thickBot="1" x14ac:dyDescent="0.3">
      <c r="A38" s="45" t="s">
        <v>525</v>
      </c>
      <c r="B38" s="46"/>
      <c r="C38" s="50">
        <f>SUM(C37:C37)</f>
        <v>1900</v>
      </c>
      <c r="D38" s="1"/>
      <c r="G38" s="45" t="s">
        <v>525</v>
      </c>
      <c r="H38" s="46"/>
      <c r="I38" s="50">
        <f>SUM(I37:I37)</f>
        <v>1850</v>
      </c>
      <c r="J38" s="1"/>
      <c r="K38" s="217"/>
    </row>
    <row r="39" spans="1:11" ht="16.5" thickBot="1" x14ac:dyDescent="0.3">
      <c r="A39" s="52" t="s">
        <v>1559</v>
      </c>
      <c r="B39" s="53"/>
      <c r="C39" s="59">
        <f>C38*2</f>
        <v>3800</v>
      </c>
      <c r="D39" s="620">
        <f>C39+C39*15%</f>
        <v>4370</v>
      </c>
      <c r="E39" s="619">
        <v>7600</v>
      </c>
      <c r="F39" s="632"/>
      <c r="G39" s="52" t="s">
        <v>1559</v>
      </c>
      <c r="H39" s="53"/>
      <c r="I39" s="59">
        <f>I38*2</f>
        <v>3700</v>
      </c>
      <c r="J39" s="620">
        <f>I39+I39*15%</f>
        <v>4255</v>
      </c>
      <c r="K39" s="619">
        <v>7600</v>
      </c>
    </row>
    <row r="40" spans="1:11" ht="16.5" thickBot="1" x14ac:dyDescent="0.3"/>
    <row r="41" spans="1:11" ht="16.5" thickBot="1" x14ac:dyDescent="0.3">
      <c r="A41" s="1165" t="s">
        <v>570</v>
      </c>
      <c r="B41" s="1166"/>
      <c r="C41" s="1166"/>
      <c r="D41" s="1166"/>
      <c r="E41" s="1166"/>
      <c r="F41" s="1166"/>
      <c r="G41" s="1166"/>
      <c r="H41" s="1166"/>
      <c r="I41" s="1166"/>
      <c r="J41" s="1166"/>
      <c r="K41" s="1167"/>
    </row>
    <row r="43" spans="1:11" ht="16.5" thickBot="1" x14ac:dyDescent="0.3">
      <c r="A43" s="1576" t="s">
        <v>2132</v>
      </c>
      <c r="B43" s="1577"/>
      <c r="C43" s="1577"/>
      <c r="D43" s="1577"/>
      <c r="E43" s="1577"/>
      <c r="F43" s="1577"/>
    </row>
    <row r="44" spans="1:11" x14ac:dyDescent="0.25">
      <c r="A44" s="78" t="s">
        <v>916</v>
      </c>
      <c r="B44" s="76" t="s">
        <v>742</v>
      </c>
      <c r="C44" s="108" t="s">
        <v>1089</v>
      </c>
      <c r="D44" s="108" t="s">
        <v>1547</v>
      </c>
      <c r="E44" s="108" t="s">
        <v>1035</v>
      </c>
      <c r="F44" s="77" t="s">
        <v>1549</v>
      </c>
      <c r="G44" s="1"/>
    </row>
    <row r="45" spans="1:11" x14ac:dyDescent="0.25">
      <c r="A45" s="3" t="s">
        <v>2133</v>
      </c>
      <c r="B45" s="2"/>
      <c r="C45" s="6"/>
      <c r="D45" s="6">
        <v>1</v>
      </c>
      <c r="E45" s="66">
        <f>'INSUMOS VARIOS'!B15</f>
        <v>4490</v>
      </c>
      <c r="F45" s="39">
        <f>E45*D45</f>
        <v>4490</v>
      </c>
      <c r="G45" s="1"/>
    </row>
    <row r="46" spans="1:11" x14ac:dyDescent="0.25">
      <c r="A46" s="184" t="s">
        <v>1160</v>
      </c>
      <c r="B46" s="2">
        <v>1.5</v>
      </c>
      <c r="C46" s="6">
        <v>0.22500000000000001</v>
      </c>
      <c r="D46" s="6">
        <v>2</v>
      </c>
      <c r="E46" s="66">
        <f>'INSUMOS VARIOS'!D57</f>
        <v>1540</v>
      </c>
      <c r="F46" s="39">
        <f>E46*D46*C46/B46</f>
        <v>462</v>
      </c>
      <c r="G46" s="1"/>
    </row>
    <row r="47" spans="1:11" x14ac:dyDescent="0.25">
      <c r="A47" s="184" t="s">
        <v>970</v>
      </c>
      <c r="B47" s="2"/>
      <c r="C47" s="6"/>
      <c r="D47" s="6">
        <v>3</v>
      </c>
      <c r="E47" s="66">
        <f>'INSUMOS VARIOS'!E62</f>
        <v>51.428571428571431</v>
      </c>
      <c r="F47" s="39">
        <f>E47*D47</f>
        <v>154.28571428571428</v>
      </c>
      <c r="G47" s="1"/>
    </row>
    <row r="48" spans="1:11" x14ac:dyDescent="0.25">
      <c r="A48" s="184" t="s">
        <v>1944</v>
      </c>
      <c r="B48" s="2"/>
      <c r="C48" s="6"/>
      <c r="D48" s="6">
        <v>2</v>
      </c>
      <c r="E48" s="66">
        <f>FORNITURAS!I6</f>
        <v>155.52941176470588</v>
      </c>
      <c r="F48" s="39">
        <f>E48*D48</f>
        <v>311.05882352941177</v>
      </c>
      <c r="G48" s="1"/>
    </row>
    <row r="49" spans="1:8" x14ac:dyDescent="0.25">
      <c r="A49" s="184" t="s">
        <v>1012</v>
      </c>
      <c r="B49" s="2"/>
      <c r="C49" s="6"/>
      <c r="D49" s="6">
        <v>4</v>
      </c>
      <c r="E49" s="66">
        <f>FORNITURAS!D17</f>
        <v>45.05</v>
      </c>
      <c r="F49" s="39">
        <f>E49*D49</f>
        <v>180.2</v>
      </c>
      <c r="G49" s="1"/>
    </row>
    <row r="50" spans="1:8" x14ac:dyDescent="0.25">
      <c r="A50" s="184" t="s">
        <v>1224</v>
      </c>
      <c r="B50" s="2"/>
      <c r="C50" s="6">
        <v>0.35</v>
      </c>
      <c r="D50" s="6">
        <v>2</v>
      </c>
      <c r="E50" s="66">
        <f>'HILOS-CORDONES-TANZA-CUERO'!E5</f>
        <v>50.35</v>
      </c>
      <c r="F50" s="39">
        <f>E50*D50</f>
        <v>100.7</v>
      </c>
      <c r="G50" s="1"/>
    </row>
    <row r="51" spans="1:8" x14ac:dyDescent="0.25">
      <c r="A51" s="185" t="s">
        <v>1557</v>
      </c>
      <c r="B51" s="2"/>
      <c r="C51" s="6"/>
      <c r="D51" s="6"/>
      <c r="E51" s="6"/>
      <c r="F51" s="39">
        <f>PACKAGING!E4</f>
        <v>80</v>
      </c>
      <c r="G51" s="1"/>
    </row>
    <row r="52" spans="1:8" x14ac:dyDescent="0.25">
      <c r="A52" s="3" t="s">
        <v>1558</v>
      </c>
      <c r="B52" s="2"/>
      <c r="C52" s="6">
        <v>60</v>
      </c>
      <c r="D52" s="6">
        <v>20</v>
      </c>
      <c r="E52" s="66">
        <f>'INSUMOS VARIOS'!B3</f>
        <v>3500</v>
      </c>
      <c r="F52" s="39">
        <f>E52*D52/C52</f>
        <v>1166.6666666666667</v>
      </c>
      <c r="G52" s="1"/>
    </row>
    <row r="53" spans="1:8" ht="16.5" thickBot="1" x14ac:dyDescent="0.3">
      <c r="A53" s="79" t="s">
        <v>525</v>
      </c>
      <c r="B53" s="70"/>
      <c r="C53" s="85"/>
      <c r="D53" s="85"/>
      <c r="E53" s="85"/>
      <c r="F53" s="51">
        <f>SUM(F45:F52)</f>
        <v>6944.911204481793</v>
      </c>
      <c r="G53" s="1"/>
    </row>
    <row r="54" spans="1:8" ht="16.5" thickBot="1" x14ac:dyDescent="0.3">
      <c r="A54" s="81" t="s">
        <v>1559</v>
      </c>
      <c r="B54" s="73"/>
      <c r="C54" s="73"/>
      <c r="D54" s="73"/>
      <c r="E54" s="73"/>
      <c r="F54" s="219">
        <f>F53*2</f>
        <v>13889.822408963586</v>
      </c>
      <c r="G54" s="633">
        <f>F54+F54*50%</f>
        <v>20834.73361344538</v>
      </c>
      <c r="H54" s="634">
        <v>16800</v>
      </c>
    </row>
    <row r="56" spans="1:8" ht="16.5" thickBot="1" x14ac:dyDescent="0.3">
      <c r="A56" s="1576" t="s">
        <v>2134</v>
      </c>
      <c r="B56" s="1577"/>
      <c r="C56" s="1577"/>
      <c r="D56" s="1577"/>
      <c r="E56" s="1577"/>
      <c r="F56" s="1577"/>
    </row>
    <row r="57" spans="1:8" x14ac:dyDescent="0.25">
      <c r="A57" s="78" t="s">
        <v>916</v>
      </c>
      <c r="B57" s="76" t="s">
        <v>742</v>
      </c>
      <c r="C57" s="108" t="s">
        <v>1089</v>
      </c>
      <c r="D57" s="108" t="s">
        <v>1547</v>
      </c>
      <c r="E57" s="108" t="s">
        <v>1035</v>
      </c>
      <c r="F57" s="77" t="s">
        <v>1549</v>
      </c>
      <c r="G57" s="1"/>
    </row>
    <row r="58" spans="1:8" x14ac:dyDescent="0.25">
      <c r="A58" s="3" t="s">
        <v>2133</v>
      </c>
      <c r="B58" s="2"/>
      <c r="C58" s="6"/>
      <c r="D58" s="6">
        <v>1</v>
      </c>
      <c r="E58" s="66">
        <f>'INSUMOS VARIOS'!B15</f>
        <v>4490</v>
      </c>
      <c r="F58" s="39">
        <f>E58*D58</f>
        <v>4490</v>
      </c>
      <c r="G58" s="1"/>
    </row>
    <row r="59" spans="1:8" x14ac:dyDescent="0.25">
      <c r="A59" s="184" t="s">
        <v>1224</v>
      </c>
      <c r="B59" s="2"/>
      <c r="C59" s="6">
        <v>1.1000000000000001</v>
      </c>
      <c r="D59" s="6">
        <v>2</v>
      </c>
      <c r="E59" s="66">
        <f>'HILOS-CORDONES-TANZA-CUERO'!E5</f>
        <v>50.35</v>
      </c>
      <c r="F59" s="39">
        <f>E59*D59*C59</f>
        <v>110.77000000000001</v>
      </c>
      <c r="G59" s="1"/>
    </row>
    <row r="60" spans="1:8" x14ac:dyDescent="0.25">
      <c r="A60" s="184" t="s">
        <v>970</v>
      </c>
      <c r="B60" s="2"/>
      <c r="C60" s="6"/>
      <c r="D60" s="6">
        <v>1</v>
      </c>
      <c r="E60" s="66">
        <f>'AROS, CADENAS, DIJES, ETC'!O164</f>
        <v>70</v>
      </c>
      <c r="F60" s="39">
        <f t="shared" ref="F60:F65" si="1">E60*D60</f>
        <v>70</v>
      </c>
      <c r="G60" s="1"/>
    </row>
    <row r="61" spans="1:8" x14ac:dyDescent="0.25">
      <c r="A61" s="184" t="s">
        <v>1859</v>
      </c>
      <c r="B61" s="2"/>
      <c r="C61" s="6"/>
      <c r="D61" s="6">
        <v>4</v>
      </c>
      <c r="E61" s="66">
        <f>'PALAIS DU BIJOU'!N44</f>
        <v>37.313432835820898</v>
      </c>
      <c r="F61" s="39">
        <f t="shared" si="1"/>
        <v>149.25373134328359</v>
      </c>
      <c r="G61" s="1"/>
    </row>
    <row r="62" spans="1:8" x14ac:dyDescent="0.25">
      <c r="A62" s="184" t="s">
        <v>1451</v>
      </c>
      <c r="B62" s="2"/>
      <c r="C62" s="6"/>
      <c r="D62" s="6">
        <v>3</v>
      </c>
      <c r="E62" s="66">
        <f>VIDRIOS!E5</f>
        <v>56.666666666666664</v>
      </c>
      <c r="F62" s="39">
        <f t="shared" si="1"/>
        <v>170</v>
      </c>
      <c r="G62" s="1"/>
    </row>
    <row r="63" spans="1:8" x14ac:dyDescent="0.25">
      <c r="A63" s="184" t="s">
        <v>1458</v>
      </c>
      <c r="B63" s="2"/>
      <c r="C63" s="6"/>
      <c r="D63" s="6">
        <v>2</v>
      </c>
      <c r="E63" s="66">
        <f>VIDRIOS!E8</f>
        <v>8.9473684210526319</v>
      </c>
      <c r="F63" s="39">
        <f t="shared" si="1"/>
        <v>17.894736842105264</v>
      </c>
      <c r="G63" s="1"/>
    </row>
    <row r="64" spans="1:8" x14ac:dyDescent="0.25">
      <c r="A64" s="184" t="s">
        <v>1476</v>
      </c>
      <c r="B64" s="2"/>
      <c r="C64" s="6"/>
      <c r="D64" s="6">
        <v>1</v>
      </c>
      <c r="E64" s="66">
        <f>VIDRIOS!E25</f>
        <v>42.058823529411768</v>
      </c>
      <c r="F64" s="39">
        <f t="shared" si="1"/>
        <v>42.058823529411768</v>
      </c>
      <c r="G64" s="1"/>
    </row>
    <row r="65" spans="1:8" x14ac:dyDescent="0.25">
      <c r="A65" s="184" t="s">
        <v>1012</v>
      </c>
      <c r="B65" s="2"/>
      <c r="C65" s="6"/>
      <c r="D65" s="6">
        <v>4</v>
      </c>
      <c r="E65" s="66">
        <f>FORNITURAS!I4</f>
        <v>66.099999999999994</v>
      </c>
      <c r="F65" s="39">
        <f t="shared" si="1"/>
        <v>264.39999999999998</v>
      </c>
      <c r="G65" s="1"/>
    </row>
    <row r="66" spans="1:8" x14ac:dyDescent="0.25">
      <c r="A66" s="185" t="s">
        <v>1557</v>
      </c>
      <c r="B66" s="2"/>
      <c r="C66" s="6"/>
      <c r="D66" s="6"/>
      <c r="E66" s="6"/>
      <c r="F66" s="39">
        <f>PACKAGING!E4</f>
        <v>80</v>
      </c>
      <c r="G66" s="1"/>
    </row>
    <row r="67" spans="1:8" x14ac:dyDescent="0.25">
      <c r="A67" s="185" t="s">
        <v>1879</v>
      </c>
      <c r="B67" s="2"/>
      <c r="C67" s="6"/>
      <c r="D67" s="6"/>
      <c r="E67" s="6"/>
      <c r="F67" s="39">
        <v>100</v>
      </c>
      <c r="G67" s="1"/>
    </row>
    <row r="68" spans="1:8" x14ac:dyDescent="0.25">
      <c r="A68" s="3" t="s">
        <v>1558</v>
      </c>
      <c r="B68" s="2"/>
      <c r="C68" s="6">
        <v>60</v>
      </c>
      <c r="D68" s="6">
        <v>30</v>
      </c>
      <c r="E68" s="66">
        <f>'INSUMOS VARIOS'!B3</f>
        <v>3500</v>
      </c>
      <c r="F68" s="39">
        <f>E68*D68/C68</f>
        <v>1750</v>
      </c>
      <c r="G68" s="1"/>
    </row>
    <row r="69" spans="1:8" ht="16.5" thickBot="1" x14ac:dyDescent="0.3">
      <c r="A69" s="79" t="s">
        <v>525</v>
      </c>
      <c r="B69" s="70"/>
      <c r="C69" s="85"/>
      <c r="D69" s="85"/>
      <c r="E69" s="85"/>
      <c r="F69" s="51">
        <f>SUM(F58:F68)</f>
        <v>7244.3772917148008</v>
      </c>
      <c r="G69" s="1"/>
    </row>
    <row r="70" spans="1:8" ht="16.5" thickBot="1" x14ac:dyDescent="0.3">
      <c r="A70" s="81" t="s">
        <v>1559</v>
      </c>
      <c r="B70" s="73"/>
      <c r="C70" s="73"/>
      <c r="D70" s="73"/>
      <c r="E70" s="73"/>
      <c r="F70" s="219">
        <f>F69*2</f>
        <v>14488.754583429602</v>
      </c>
      <c r="G70" s="633">
        <f>F70+F70*50%</f>
        <v>21733.131875144401</v>
      </c>
      <c r="H70" s="634">
        <v>16800</v>
      </c>
    </row>
  </sheetData>
  <mergeCells count="12">
    <mergeCell ref="H1:L1"/>
    <mergeCell ref="H4:H5"/>
    <mergeCell ref="A56:F56"/>
    <mergeCell ref="A43:F43"/>
    <mergeCell ref="A35:C35"/>
    <mergeCell ref="A29:C29"/>
    <mergeCell ref="A22:A23"/>
    <mergeCell ref="A1:C1"/>
    <mergeCell ref="A10:E10"/>
    <mergeCell ref="A13:A14"/>
    <mergeCell ref="A19:E19"/>
    <mergeCell ref="H10:L10"/>
  </mergeCells>
  <pageMargins left="0.7" right="0.7" top="0.75" bottom="0.75" header="0.3" footer="0.3"/>
  <ignoredErrors>
    <ignoredError sqref="F46 F59" formula="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181EF-4A54-4130-B14E-8B17A982FC09}">
  <dimension ref="A1:G48"/>
  <sheetViews>
    <sheetView topLeftCell="A12" workbookViewId="0">
      <selection activeCell="G9" sqref="G9"/>
    </sheetView>
  </sheetViews>
  <sheetFormatPr baseColWidth="10" defaultRowHeight="15" x14ac:dyDescent="0.25"/>
  <cols>
    <col min="1" max="1" width="18.42578125" bestFit="1" customWidth="1"/>
    <col min="4" max="5" width="11.85546875" bestFit="1" customWidth="1"/>
    <col min="6" max="6" width="12.85546875" bestFit="1" customWidth="1"/>
    <col min="7" max="7" width="14.42578125" bestFit="1" customWidth="1"/>
  </cols>
  <sheetData>
    <row r="1" spans="1:7" ht="16.5" thickBot="1" x14ac:dyDescent="0.3">
      <c r="A1" s="1568" t="s">
        <v>3314</v>
      </c>
      <c r="B1" s="1569"/>
      <c r="C1" s="1569"/>
      <c r="D1" s="1569"/>
      <c r="E1" s="1570"/>
      <c r="F1" s="171"/>
    </row>
    <row r="2" spans="1:7" ht="15.75" x14ac:dyDescent="0.25">
      <c r="A2" s="183" t="s">
        <v>916</v>
      </c>
      <c r="B2" s="76" t="s">
        <v>742</v>
      </c>
      <c r="C2" s="108" t="s">
        <v>1948</v>
      </c>
      <c r="D2" s="108" t="s">
        <v>1035</v>
      </c>
      <c r="E2" s="77" t="s">
        <v>1549</v>
      </c>
      <c r="F2" s="1"/>
    </row>
    <row r="3" spans="1:7" ht="15.75" x14ac:dyDescent="0.25">
      <c r="A3" s="104" t="s">
        <v>2133</v>
      </c>
      <c r="B3" s="190"/>
      <c r="C3" s="1169"/>
      <c r="D3" s="39">
        <v>8500</v>
      </c>
      <c r="E3" s="39">
        <f>D3</f>
        <v>8500</v>
      </c>
      <c r="F3" s="1"/>
    </row>
    <row r="4" spans="1:7" ht="15.75" x14ac:dyDescent="0.25">
      <c r="A4" s="104" t="s">
        <v>3306</v>
      </c>
      <c r="B4" s="190"/>
      <c r="C4" s="1169">
        <v>1</v>
      </c>
      <c r="D4" s="66">
        <f>'INSUMOS VARIOS'!E63</f>
        <v>1666.6666666666667</v>
      </c>
      <c r="E4" s="39">
        <f>D4</f>
        <v>1666.6666666666667</v>
      </c>
      <c r="F4" s="1"/>
    </row>
    <row r="5" spans="1:7" ht="15.75" x14ac:dyDescent="0.25">
      <c r="A5" s="104" t="s">
        <v>3307</v>
      </c>
      <c r="B5" s="190"/>
      <c r="C5" s="1169">
        <v>2</v>
      </c>
      <c r="D5" s="66">
        <f>'INSUMOS VARIOS'!E62</f>
        <v>51.428571428571431</v>
      </c>
      <c r="E5" s="39">
        <f>D5*C5</f>
        <v>102.85714285714286</v>
      </c>
      <c r="F5" s="1"/>
    </row>
    <row r="6" spans="1:7" ht="15.75" x14ac:dyDescent="0.25">
      <c r="A6" s="3" t="s">
        <v>1558</v>
      </c>
      <c r="B6" s="2">
        <v>60</v>
      </c>
      <c r="C6" s="6">
        <v>15</v>
      </c>
      <c r="D6" s="66">
        <f>'INSUMOS VARIOS'!B3</f>
        <v>3500</v>
      </c>
      <c r="E6" s="39">
        <f>D6*C6/B6</f>
        <v>875</v>
      </c>
      <c r="F6" s="1"/>
    </row>
    <row r="7" spans="1:7" ht="15.75" x14ac:dyDescent="0.25">
      <c r="A7" s="1701" t="s">
        <v>1588</v>
      </c>
      <c r="B7" s="2" t="s">
        <v>1698</v>
      </c>
      <c r="C7" s="6"/>
      <c r="D7" s="6"/>
      <c r="E7" s="39">
        <f>PACKAGING!E7</f>
        <v>170</v>
      </c>
      <c r="F7" s="1"/>
    </row>
    <row r="8" spans="1:7" ht="15.75" x14ac:dyDescent="0.25">
      <c r="A8" s="1702"/>
      <c r="B8" s="2" t="s">
        <v>3305</v>
      </c>
      <c r="C8" s="6"/>
      <c r="D8" s="6"/>
      <c r="E8" s="39">
        <f>PACKAGING!E3</f>
        <v>150</v>
      </c>
      <c r="F8" s="1"/>
    </row>
    <row r="9" spans="1:7" ht="15.75" x14ac:dyDescent="0.25">
      <c r="A9" s="79" t="s">
        <v>525</v>
      </c>
      <c r="B9" s="70"/>
      <c r="C9" s="85"/>
      <c r="D9" s="85"/>
      <c r="E9" s="51">
        <f>SUM(E3:E8)</f>
        <v>11464.523809523809</v>
      </c>
    </row>
    <row r="10" spans="1:7" ht="19.5" thickBot="1" x14ac:dyDescent="0.3">
      <c r="A10" s="81" t="s">
        <v>1559</v>
      </c>
      <c r="B10" s="73"/>
      <c r="C10" s="73"/>
      <c r="D10" s="73"/>
      <c r="E10" s="219">
        <f>E9*2</f>
        <v>22929.047619047618</v>
      </c>
      <c r="F10" s="219">
        <f>E10+E10*50%</f>
        <v>34393.571428571428</v>
      </c>
      <c r="G10" s="74">
        <v>48000</v>
      </c>
    </row>
    <row r="11" spans="1:7" ht="15.75" thickBot="1" x14ac:dyDescent="0.3"/>
    <row r="12" spans="1:7" ht="16.5" thickBot="1" x14ac:dyDescent="0.3">
      <c r="A12" s="1568" t="s">
        <v>3313</v>
      </c>
      <c r="B12" s="1569"/>
      <c r="C12" s="1569"/>
      <c r="D12" s="1569"/>
      <c r="E12" s="1570"/>
      <c r="F12" s="171"/>
    </row>
    <row r="13" spans="1:7" ht="15.75" x14ac:dyDescent="0.25">
      <c r="A13" s="183" t="s">
        <v>916</v>
      </c>
      <c r="B13" s="76" t="s">
        <v>742</v>
      </c>
      <c r="C13" s="108" t="s">
        <v>1948</v>
      </c>
      <c r="D13" s="108" t="s">
        <v>1035</v>
      </c>
      <c r="E13" s="77" t="s">
        <v>1549</v>
      </c>
      <c r="F13" s="1"/>
    </row>
    <row r="14" spans="1:7" ht="15.75" x14ac:dyDescent="0.25">
      <c r="A14" s="104" t="s">
        <v>2133</v>
      </c>
      <c r="B14" s="190"/>
      <c r="C14" s="1169"/>
      <c r="D14" s="39">
        <v>8500</v>
      </c>
      <c r="E14" s="39">
        <f>D14</f>
        <v>8500</v>
      </c>
      <c r="F14" s="1"/>
    </row>
    <row r="15" spans="1:7" ht="15.75" x14ac:dyDescent="0.25">
      <c r="A15" s="104" t="s">
        <v>3308</v>
      </c>
      <c r="B15" s="190">
        <v>1.5</v>
      </c>
      <c r="C15" s="1169">
        <v>0.4</v>
      </c>
      <c r="D15" s="66">
        <f>'INSUMOS VARIOS'!D57</f>
        <v>1540</v>
      </c>
      <c r="E15" s="39">
        <f>C15*D15/B15</f>
        <v>410.66666666666669</v>
      </c>
      <c r="F15" s="1"/>
    </row>
    <row r="16" spans="1:7" ht="15.75" x14ac:dyDescent="0.25">
      <c r="A16" s="104" t="s">
        <v>3307</v>
      </c>
      <c r="B16" s="190"/>
      <c r="C16" s="1169">
        <v>3</v>
      </c>
      <c r="D16" s="66">
        <f>'INSUMOS VARIOS'!E62</f>
        <v>51.428571428571431</v>
      </c>
      <c r="E16" s="39">
        <f>D16*C16</f>
        <v>154.28571428571428</v>
      </c>
      <c r="F16" s="1"/>
    </row>
    <row r="17" spans="1:7" ht="15.75" x14ac:dyDescent="0.25">
      <c r="A17" s="104" t="s">
        <v>3311</v>
      </c>
      <c r="B17" s="190"/>
      <c r="C17" s="1169">
        <v>2</v>
      </c>
      <c r="D17" s="66">
        <f>FORNITURAS!I5</f>
        <v>188.85714285714286</v>
      </c>
      <c r="E17" s="39">
        <f>D17*C17</f>
        <v>377.71428571428572</v>
      </c>
      <c r="F17" s="1"/>
    </row>
    <row r="18" spans="1:7" ht="15.75" x14ac:dyDescent="0.25">
      <c r="A18" s="104" t="s">
        <v>3309</v>
      </c>
      <c r="B18" s="190"/>
      <c r="C18" s="1169">
        <v>4</v>
      </c>
      <c r="D18" s="66">
        <f>FORNITURAS!D17</f>
        <v>45.05</v>
      </c>
      <c r="E18" s="39">
        <f>D18*C18</f>
        <v>180.2</v>
      </c>
      <c r="F18" s="1"/>
    </row>
    <row r="19" spans="1:7" ht="15.75" x14ac:dyDescent="0.25">
      <c r="A19" s="104" t="s">
        <v>3310</v>
      </c>
      <c r="B19" s="190">
        <v>2</v>
      </c>
      <c r="C19" s="1169">
        <v>0.35</v>
      </c>
      <c r="D19" s="66">
        <f>'HILOS-CORDONES-TANZA-CUERO'!E7</f>
        <v>50.35</v>
      </c>
      <c r="E19" s="39">
        <f>(B19*C19)*D19</f>
        <v>35.244999999999997</v>
      </c>
      <c r="F19" s="1"/>
    </row>
    <row r="20" spans="1:7" ht="15.75" x14ac:dyDescent="0.25">
      <c r="A20" s="3" t="s">
        <v>1558</v>
      </c>
      <c r="B20" s="2">
        <v>60</v>
      </c>
      <c r="C20" s="6">
        <v>15</v>
      </c>
      <c r="D20" s="66">
        <f>'INSUMOS VARIOS'!B3</f>
        <v>3500</v>
      </c>
      <c r="E20" s="39">
        <f>D20*C20/B20</f>
        <v>875</v>
      </c>
      <c r="F20" s="1"/>
    </row>
    <row r="21" spans="1:7" ht="15.75" x14ac:dyDescent="0.25">
      <c r="A21" s="1701" t="s">
        <v>1588</v>
      </c>
      <c r="B21" s="2" t="s">
        <v>1698</v>
      </c>
      <c r="C21" s="6"/>
      <c r="D21" s="6"/>
      <c r="E21" s="39">
        <f>PACKAGING!E7</f>
        <v>170</v>
      </c>
      <c r="F21" s="1"/>
    </row>
    <row r="22" spans="1:7" ht="15.75" x14ac:dyDescent="0.25">
      <c r="A22" s="1702"/>
      <c r="B22" s="2" t="s">
        <v>3305</v>
      </c>
      <c r="C22" s="6"/>
      <c r="D22" s="6"/>
      <c r="E22" s="39">
        <f>PACKAGING!E16</f>
        <v>260</v>
      </c>
      <c r="F22" s="1"/>
    </row>
    <row r="23" spans="1:7" ht="15.75" x14ac:dyDescent="0.25">
      <c r="A23" s="79" t="s">
        <v>525</v>
      </c>
      <c r="B23" s="70"/>
      <c r="C23" s="85"/>
      <c r="D23" s="85"/>
      <c r="E23" s="51">
        <f>SUM(E14:E22)</f>
        <v>10963.111666666668</v>
      </c>
    </row>
    <row r="24" spans="1:7" ht="19.5" thickBot="1" x14ac:dyDescent="0.3">
      <c r="A24" s="81" t="s">
        <v>1559</v>
      </c>
      <c r="B24" s="73"/>
      <c r="C24" s="73"/>
      <c r="D24" s="73"/>
      <c r="E24" s="219">
        <f>E23*2</f>
        <v>21926.223333333335</v>
      </c>
      <c r="F24" s="219">
        <f>E24+E24*50%</f>
        <v>32889.335000000006</v>
      </c>
      <c r="G24" s="74">
        <v>48000</v>
      </c>
    </row>
    <row r="25" spans="1:7" ht="15.75" thickBot="1" x14ac:dyDescent="0.3"/>
    <row r="26" spans="1:7" ht="16.5" thickBot="1" x14ac:dyDescent="0.3">
      <c r="A26" s="1568" t="s">
        <v>3312</v>
      </c>
      <c r="B26" s="1569"/>
      <c r="C26" s="1569"/>
      <c r="D26" s="1569"/>
      <c r="E26" s="1570"/>
      <c r="F26" s="171"/>
    </row>
    <row r="27" spans="1:7" ht="15.75" x14ac:dyDescent="0.25">
      <c r="A27" s="183" t="s">
        <v>916</v>
      </c>
      <c r="B27" s="76" t="s">
        <v>742</v>
      </c>
      <c r="C27" s="108" t="s">
        <v>1948</v>
      </c>
      <c r="D27" s="108" t="s">
        <v>1035</v>
      </c>
      <c r="E27" s="77" t="s">
        <v>1549</v>
      </c>
      <c r="F27" s="1"/>
    </row>
    <row r="28" spans="1:7" ht="15.75" x14ac:dyDescent="0.25">
      <c r="A28" s="104" t="s">
        <v>2133</v>
      </c>
      <c r="B28" s="190"/>
      <c r="C28" s="1169"/>
      <c r="D28" s="39">
        <v>8500</v>
      </c>
      <c r="E28" s="39">
        <f>D28</f>
        <v>8500</v>
      </c>
      <c r="F28" s="1"/>
    </row>
    <row r="29" spans="1:7" ht="15.75" x14ac:dyDescent="0.25">
      <c r="A29" s="104" t="s">
        <v>3315</v>
      </c>
      <c r="B29" s="190"/>
      <c r="C29" s="1169">
        <v>1</v>
      </c>
      <c r="D29" s="66">
        <f>'AROS, CADENAS, DIJES, ETC'!R179</f>
        <v>300</v>
      </c>
      <c r="E29" s="39">
        <f>C29*D29</f>
        <v>300</v>
      </c>
      <c r="F29" s="1"/>
    </row>
    <row r="30" spans="1:7" ht="15.75" x14ac:dyDescent="0.25">
      <c r="A30" s="104" t="s">
        <v>3318</v>
      </c>
      <c r="B30" s="190"/>
      <c r="C30" s="1169">
        <v>6</v>
      </c>
      <c r="D30" s="66">
        <f>'PALAIS DU BIJOU'!N47</f>
        <v>37.313432835820898</v>
      </c>
      <c r="E30" s="39">
        <f>D30*C30</f>
        <v>223.8805970149254</v>
      </c>
      <c r="F30" s="1"/>
    </row>
    <row r="31" spans="1:7" ht="15.75" x14ac:dyDescent="0.25">
      <c r="A31" s="331" t="s">
        <v>3319</v>
      </c>
      <c r="B31" s="190"/>
      <c r="C31" s="1169">
        <v>3</v>
      </c>
      <c r="D31" s="66">
        <f>VIDRIOS!E9</f>
        <v>35.416666666666664</v>
      </c>
      <c r="E31" s="39">
        <f>D31*C31</f>
        <v>106.25</v>
      </c>
      <c r="F31" s="1"/>
    </row>
    <row r="32" spans="1:7" ht="15.75" x14ac:dyDescent="0.25">
      <c r="A32" s="1613" t="s">
        <v>3316</v>
      </c>
      <c r="B32" s="190" t="s">
        <v>3320</v>
      </c>
      <c r="C32" s="1169">
        <v>3</v>
      </c>
      <c r="D32" s="66">
        <f>PIEDRAS!F132</f>
        <v>60</v>
      </c>
      <c r="E32" s="39">
        <f>D32*C32</f>
        <v>180</v>
      </c>
      <c r="F32" s="1"/>
    </row>
    <row r="33" spans="1:7" ht="15.75" x14ac:dyDescent="0.25">
      <c r="A33" s="1615"/>
      <c r="B33" s="190" t="s">
        <v>3321</v>
      </c>
      <c r="C33" s="1169">
        <v>4</v>
      </c>
      <c r="D33" s="66">
        <f>PIEDRAS!F133</f>
        <v>170</v>
      </c>
      <c r="E33" s="39">
        <f>D33*C33</f>
        <v>680</v>
      </c>
      <c r="F33" s="1"/>
    </row>
    <row r="34" spans="1:7" ht="15.75" x14ac:dyDescent="0.25">
      <c r="A34" s="104" t="s">
        <v>3317</v>
      </c>
      <c r="B34" s="190" t="s">
        <v>3322</v>
      </c>
      <c r="C34" s="1169">
        <v>4</v>
      </c>
      <c r="D34" s="66">
        <f>PIEDRAS!F122</f>
        <v>32.245283018867923</v>
      </c>
      <c r="E34" s="39">
        <f>D34*C34</f>
        <v>128.98113207547169</v>
      </c>
      <c r="F34" s="1"/>
    </row>
    <row r="35" spans="1:7" ht="15.75" x14ac:dyDescent="0.25">
      <c r="A35" s="104" t="s">
        <v>3310</v>
      </c>
      <c r="B35" s="190">
        <v>1</v>
      </c>
      <c r="C35" s="1169">
        <v>1.3</v>
      </c>
      <c r="D35" s="66">
        <f>'HILOS-CORDONES-TANZA-CUERO'!E41</f>
        <v>329</v>
      </c>
      <c r="E35" s="39">
        <f>(B35*C35)*D35</f>
        <v>427.7</v>
      </c>
      <c r="F35" s="1"/>
    </row>
    <row r="36" spans="1:7" ht="15.75" x14ac:dyDescent="0.25">
      <c r="A36" s="3" t="s">
        <v>1558</v>
      </c>
      <c r="B36" s="2">
        <v>60</v>
      </c>
      <c r="C36" s="6">
        <v>20</v>
      </c>
      <c r="D36" s="66">
        <f>'INSUMOS VARIOS'!B3</f>
        <v>3500</v>
      </c>
      <c r="E36" s="39">
        <f>D36*C36/B36</f>
        <v>1166.6666666666667</v>
      </c>
      <c r="F36" s="1"/>
    </row>
    <row r="37" spans="1:7" ht="15.75" x14ac:dyDescent="0.25">
      <c r="A37" s="1701" t="s">
        <v>1588</v>
      </c>
      <c r="B37" s="2" t="s">
        <v>1698</v>
      </c>
      <c r="C37" s="6"/>
      <c r="D37" s="6"/>
      <c r="E37" s="39">
        <f>PACKAGING!E7</f>
        <v>170</v>
      </c>
      <c r="F37" s="1"/>
    </row>
    <row r="38" spans="1:7" ht="15.75" x14ac:dyDescent="0.25">
      <c r="A38" s="1702"/>
      <c r="B38" s="2" t="s">
        <v>3305</v>
      </c>
      <c r="C38" s="6"/>
      <c r="D38" s="6"/>
      <c r="E38" s="39">
        <f>PACKAGING!E3</f>
        <v>150</v>
      </c>
      <c r="F38" s="1"/>
    </row>
    <row r="39" spans="1:7" ht="15.75" x14ac:dyDescent="0.25">
      <c r="A39" s="79" t="s">
        <v>525</v>
      </c>
      <c r="B39" s="70"/>
      <c r="C39" s="85"/>
      <c r="D39" s="85"/>
      <c r="E39" s="51">
        <f>SUM(E28:E38)</f>
        <v>12033.478395757065</v>
      </c>
    </row>
    <row r="40" spans="1:7" ht="19.5" thickBot="1" x14ac:dyDescent="0.3">
      <c r="A40" s="81" t="s">
        <v>1559</v>
      </c>
      <c r="B40" s="73"/>
      <c r="C40" s="73"/>
      <c r="D40" s="73"/>
      <c r="E40" s="219">
        <f>E39*2</f>
        <v>24066.956791514131</v>
      </c>
      <c r="F40" s="219">
        <f>E40+E40*50%</f>
        <v>36100.4351872712</v>
      </c>
      <c r="G40" s="74">
        <v>48000</v>
      </c>
    </row>
    <row r="41" spans="1:7" ht="15.75" thickBot="1" x14ac:dyDescent="0.3"/>
    <row r="42" spans="1:7" ht="16.5" thickBot="1" x14ac:dyDescent="0.3">
      <c r="A42" s="1568" t="s">
        <v>3368</v>
      </c>
      <c r="B42" s="1569"/>
      <c r="C42" s="1569"/>
      <c r="D42" s="1569"/>
      <c r="E42" s="1570"/>
      <c r="F42" s="171"/>
    </row>
    <row r="43" spans="1:7" ht="15.75" x14ac:dyDescent="0.25">
      <c r="A43" s="183" t="s">
        <v>916</v>
      </c>
      <c r="B43" s="76" t="s">
        <v>742</v>
      </c>
      <c r="C43" s="108" t="s">
        <v>1948</v>
      </c>
      <c r="D43" s="108" t="s">
        <v>1035</v>
      </c>
      <c r="E43" s="77" t="s">
        <v>1549</v>
      </c>
      <c r="F43" s="1"/>
    </row>
    <row r="44" spans="1:7" ht="15.75" x14ac:dyDescent="0.25">
      <c r="A44" s="104" t="s">
        <v>3369</v>
      </c>
      <c r="B44" s="190"/>
      <c r="C44" s="1169"/>
      <c r="D44" s="102">
        <v>10000</v>
      </c>
      <c r="E44" s="445">
        <f>D44</f>
        <v>10000</v>
      </c>
      <c r="F44" s="1"/>
    </row>
    <row r="45" spans="1:7" ht="15.75" x14ac:dyDescent="0.25">
      <c r="A45" s="1613" t="s">
        <v>3234</v>
      </c>
      <c r="B45" s="190"/>
      <c r="C45" s="1169"/>
      <c r="D45" s="66">
        <f>PACKAGING!I7</f>
        <v>850</v>
      </c>
      <c r="E45" s="39">
        <f>D45</f>
        <v>850</v>
      </c>
      <c r="F45" s="1"/>
    </row>
    <row r="46" spans="1:7" ht="15.75" x14ac:dyDescent="0.25">
      <c r="A46" s="1615"/>
      <c r="B46" s="190"/>
      <c r="C46" s="1169"/>
      <c r="D46" s="66">
        <f>PACKAGING!E4</f>
        <v>80</v>
      </c>
      <c r="E46" s="39">
        <f>D46</f>
        <v>80</v>
      </c>
      <c r="F46" s="1"/>
    </row>
    <row r="47" spans="1:7" ht="15.75" x14ac:dyDescent="0.25">
      <c r="A47" s="79" t="s">
        <v>525</v>
      </c>
      <c r="B47" s="70"/>
      <c r="C47" s="85"/>
      <c r="D47" s="85"/>
      <c r="E47" s="51">
        <f>SUM(E44:E46)</f>
        <v>10930</v>
      </c>
    </row>
    <row r="48" spans="1:7" ht="19.5" thickBot="1" x14ac:dyDescent="0.3">
      <c r="A48" s="81" t="s">
        <v>1559</v>
      </c>
      <c r="B48" s="73"/>
      <c r="C48" s="73"/>
      <c r="D48" s="73"/>
      <c r="E48" s="219">
        <f>E47*2</f>
        <v>21860</v>
      </c>
      <c r="F48" s="219">
        <f>E48+E48*50%</f>
        <v>32790</v>
      </c>
      <c r="G48" s="74">
        <v>38000</v>
      </c>
    </row>
  </sheetData>
  <mergeCells count="9">
    <mergeCell ref="A42:E42"/>
    <mergeCell ref="A45:A46"/>
    <mergeCell ref="A37:A38"/>
    <mergeCell ref="A32:A33"/>
    <mergeCell ref="A1:E1"/>
    <mergeCell ref="A7:A8"/>
    <mergeCell ref="A12:E12"/>
    <mergeCell ref="A21:A22"/>
    <mergeCell ref="A26:E26"/>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C4DBAE-A126-4FC5-BF50-91DF18AF8951}">
  <dimension ref="A1:T360"/>
  <sheetViews>
    <sheetView zoomScaleNormal="100" workbookViewId="0">
      <pane ySplit="1" topLeftCell="A163" activePane="bottomLeft" state="frozen"/>
      <selection pane="bottomLeft" activeCell="A172" sqref="A172"/>
    </sheetView>
  </sheetViews>
  <sheetFormatPr baseColWidth="10" defaultRowHeight="15" x14ac:dyDescent="0.25"/>
  <cols>
    <col min="1" max="1" width="40.28515625" bestFit="1" customWidth="1"/>
    <col min="2" max="2" width="18.7109375" bestFit="1" customWidth="1"/>
    <col min="6" max="6" width="16.140625" style="1070" bestFit="1" customWidth="1"/>
    <col min="7" max="7" width="10.85546875" style="1094"/>
    <col min="8" max="8" width="10.85546875" style="1092"/>
    <col min="11" max="11" width="6.42578125" customWidth="1"/>
    <col min="12" max="12" width="15.28515625" style="1070" bestFit="1" customWidth="1"/>
    <col min="13" max="13" width="10.85546875" style="1093"/>
    <col min="16" max="16" width="18.7109375" bestFit="1" customWidth="1"/>
    <col min="17" max="17" width="27.42578125" bestFit="1" customWidth="1"/>
    <col min="18" max="18" width="11.85546875" bestFit="1" customWidth="1"/>
  </cols>
  <sheetData>
    <row r="1" spans="1:20" x14ac:dyDescent="0.25">
      <c r="A1" t="s">
        <v>916</v>
      </c>
      <c r="B1" t="s">
        <v>1162</v>
      </c>
      <c r="C1" t="s">
        <v>2302</v>
      </c>
      <c r="D1" t="s">
        <v>2303</v>
      </c>
      <c r="E1" t="s">
        <v>2304</v>
      </c>
      <c r="F1" s="1070" t="s">
        <v>2305</v>
      </c>
      <c r="I1" t="s">
        <v>2306</v>
      </c>
      <c r="J1" t="s">
        <v>2307</v>
      </c>
      <c r="K1" t="s">
        <v>2308</v>
      </c>
      <c r="L1" s="1070" t="s">
        <v>2309</v>
      </c>
      <c r="N1" t="s">
        <v>2310</v>
      </c>
      <c r="O1" t="s">
        <v>2311</v>
      </c>
      <c r="P1" t="s">
        <v>2312</v>
      </c>
      <c r="Q1" t="s">
        <v>2313</v>
      </c>
      <c r="R1" t="s">
        <v>2314</v>
      </c>
      <c r="S1" t="s">
        <v>742</v>
      </c>
      <c r="T1" t="s">
        <v>2315</v>
      </c>
    </row>
    <row r="2" spans="1:20" ht="15.75" customHeight="1" x14ac:dyDescent="0.25">
      <c r="A2" s="1057" t="s">
        <v>2945</v>
      </c>
      <c r="B2" s="1057" t="s">
        <v>2946</v>
      </c>
      <c r="D2" s="1057">
        <v>7</v>
      </c>
      <c r="E2" s="1057">
        <v>2</v>
      </c>
      <c r="F2" s="1071">
        <f>VARIOS!F17</f>
        <v>4500</v>
      </c>
      <c r="G2" s="1095">
        <f t="shared" ref="G2:G65" si="0">F2+F2*30%</f>
        <v>5850</v>
      </c>
      <c r="H2" s="1091">
        <v>5800</v>
      </c>
      <c r="L2" s="1071">
        <f>VARIOS!E16</f>
        <v>862.17499999999995</v>
      </c>
      <c r="M2" s="1082">
        <f t="shared" ref="M2:M65" si="1">L2+L2*30%</f>
        <v>1120.8274999999999</v>
      </c>
      <c r="P2" s="1057" t="s">
        <v>2946</v>
      </c>
      <c r="Q2" s="1057" t="s">
        <v>2947</v>
      </c>
      <c r="S2" s="1057" t="s">
        <v>2320</v>
      </c>
    </row>
    <row r="3" spans="1:20" ht="15.75" customHeight="1" x14ac:dyDescent="0.25">
      <c r="A3" s="1057" t="s">
        <v>2948</v>
      </c>
      <c r="B3" s="1057" t="s">
        <v>2949</v>
      </c>
      <c r="D3" s="1057">
        <v>4</v>
      </c>
      <c r="E3" s="1057">
        <v>2</v>
      </c>
      <c r="F3" s="1071">
        <f>VARIOS!F17</f>
        <v>4500</v>
      </c>
      <c r="G3" s="1095">
        <f t="shared" si="0"/>
        <v>5850</v>
      </c>
      <c r="H3" s="1091">
        <v>5800</v>
      </c>
      <c r="L3" s="1071">
        <f>VARIOS!E16</f>
        <v>862.17499999999995</v>
      </c>
      <c r="M3" s="1082">
        <f t="shared" si="1"/>
        <v>1120.8274999999999</v>
      </c>
      <c r="P3" s="1057" t="s">
        <v>2949</v>
      </c>
      <c r="Q3" s="1057" t="s">
        <v>2947</v>
      </c>
      <c r="S3" s="1057" t="s">
        <v>2320</v>
      </c>
    </row>
    <row r="4" spans="1:20" ht="15.75" customHeight="1" x14ac:dyDescent="0.25">
      <c r="A4" s="1057" t="s">
        <v>2952</v>
      </c>
      <c r="B4" s="1057" t="s">
        <v>2953</v>
      </c>
      <c r="D4" s="1057">
        <v>0</v>
      </c>
      <c r="E4" s="1057">
        <v>2</v>
      </c>
      <c r="F4" s="1071">
        <f>VARIOS!F25</f>
        <v>8000</v>
      </c>
      <c r="G4" s="1095">
        <f t="shared" si="0"/>
        <v>10400</v>
      </c>
      <c r="H4" s="1091">
        <v>10400</v>
      </c>
      <c r="L4" s="1071">
        <f>VARIOS!E24</f>
        <v>2200</v>
      </c>
      <c r="M4" s="1082">
        <f t="shared" si="1"/>
        <v>2860</v>
      </c>
      <c r="P4" s="1057" t="s">
        <v>2953</v>
      </c>
      <c r="Q4" s="1057" t="s">
        <v>2947</v>
      </c>
      <c r="S4" s="1057" t="s">
        <v>2320</v>
      </c>
    </row>
    <row r="5" spans="1:20" ht="15.75" customHeight="1" x14ac:dyDescent="0.25">
      <c r="A5" s="1057" t="s">
        <v>2950</v>
      </c>
      <c r="B5" s="1057" t="s">
        <v>2951</v>
      </c>
      <c r="D5" s="1057">
        <v>0</v>
      </c>
      <c r="E5" s="1057">
        <v>2</v>
      </c>
      <c r="F5" s="1071">
        <f>VARIOS!F25</f>
        <v>8000</v>
      </c>
      <c r="G5" s="1095">
        <f t="shared" si="0"/>
        <v>10400</v>
      </c>
      <c r="H5" s="1091">
        <v>10400</v>
      </c>
      <c r="L5" s="1071">
        <f>VARIOS!E24</f>
        <v>2200</v>
      </c>
      <c r="M5" s="1082">
        <f t="shared" si="1"/>
        <v>2860</v>
      </c>
      <c r="P5" s="1057" t="s">
        <v>2951</v>
      </c>
      <c r="Q5" s="1057" t="s">
        <v>2947</v>
      </c>
      <c r="S5" s="1057" t="s">
        <v>2320</v>
      </c>
    </row>
    <row r="6" spans="1:20" ht="15.75" customHeight="1" x14ac:dyDescent="0.25">
      <c r="A6" s="1057" t="s">
        <v>2998</v>
      </c>
      <c r="B6" s="1057" t="s">
        <v>2999</v>
      </c>
      <c r="D6" s="1057">
        <v>2</v>
      </c>
      <c r="E6" s="1057">
        <v>2</v>
      </c>
      <c r="F6" s="1071">
        <f>VARIOS!E33</f>
        <v>6800</v>
      </c>
      <c r="G6" s="1095">
        <f t="shared" si="0"/>
        <v>8840</v>
      </c>
      <c r="H6" s="1091">
        <v>5800</v>
      </c>
      <c r="L6" s="1071">
        <f>VARIOS!C32</f>
        <v>850</v>
      </c>
      <c r="M6" s="1082">
        <f t="shared" si="1"/>
        <v>1105</v>
      </c>
      <c r="P6" s="1057" t="s">
        <v>2999</v>
      </c>
      <c r="Q6" s="1057" t="s">
        <v>2131</v>
      </c>
      <c r="S6" s="1057" t="s">
        <v>2320</v>
      </c>
    </row>
    <row r="7" spans="1:20" ht="15.75" customHeight="1" x14ac:dyDescent="0.25">
      <c r="A7" s="1057" t="s">
        <v>3000</v>
      </c>
      <c r="B7" s="1057" t="s">
        <v>3001</v>
      </c>
      <c r="D7" s="1057">
        <v>8</v>
      </c>
      <c r="E7" s="1057">
        <v>2</v>
      </c>
      <c r="F7" s="1071">
        <f>VARIOS!E39</f>
        <v>7600</v>
      </c>
      <c r="G7" s="1095">
        <f t="shared" si="0"/>
        <v>9880</v>
      </c>
      <c r="H7" s="1091">
        <v>6600</v>
      </c>
      <c r="L7" s="1071">
        <f>VARIOS!C38</f>
        <v>1900</v>
      </c>
      <c r="M7" s="1082">
        <f t="shared" si="1"/>
        <v>2470</v>
      </c>
      <c r="P7" s="1057" t="s">
        <v>3001</v>
      </c>
      <c r="Q7" s="1057" t="s">
        <v>2131</v>
      </c>
      <c r="S7" s="1057" t="s">
        <v>2320</v>
      </c>
    </row>
    <row r="8" spans="1:20" ht="15.75" customHeight="1" x14ac:dyDescent="0.25">
      <c r="A8" s="1057" t="s">
        <v>3002</v>
      </c>
      <c r="B8" s="1057" t="s">
        <v>3003</v>
      </c>
      <c r="D8" s="1057">
        <v>3</v>
      </c>
      <c r="E8" s="1057">
        <v>2</v>
      </c>
      <c r="F8" s="1071">
        <f>VARIOS!K39</f>
        <v>7600</v>
      </c>
      <c r="G8" s="1095">
        <f t="shared" si="0"/>
        <v>9880</v>
      </c>
      <c r="H8" s="1091">
        <v>6600</v>
      </c>
      <c r="L8" s="1071">
        <f>VARIOS!I38</f>
        <v>1850</v>
      </c>
      <c r="M8" s="1082">
        <f t="shared" si="1"/>
        <v>2405</v>
      </c>
      <c r="P8" s="1057" t="s">
        <v>3003</v>
      </c>
      <c r="Q8" s="1057" t="s">
        <v>2131</v>
      </c>
      <c r="S8" s="1057" t="s">
        <v>2320</v>
      </c>
    </row>
    <row r="9" spans="1:20" ht="15.75" customHeight="1" x14ac:dyDescent="0.25">
      <c r="A9" s="1057" t="s">
        <v>3029</v>
      </c>
      <c r="B9" s="1057" t="s">
        <v>3004</v>
      </c>
      <c r="D9" s="1057">
        <v>4</v>
      </c>
      <c r="E9" s="1057">
        <v>2</v>
      </c>
      <c r="F9" s="1071">
        <f>VARIOS!K33</f>
        <v>8200</v>
      </c>
      <c r="G9" s="1095">
        <f t="shared" si="0"/>
        <v>10660</v>
      </c>
      <c r="H9" s="1091">
        <v>7200</v>
      </c>
      <c r="L9" s="1071">
        <f>VARIOS!I32</f>
        <v>2100</v>
      </c>
      <c r="M9" s="1082">
        <f t="shared" si="1"/>
        <v>2730</v>
      </c>
      <c r="P9" s="1057" t="s">
        <v>3004</v>
      </c>
      <c r="Q9" s="1057" t="s">
        <v>2131</v>
      </c>
      <c r="S9" s="1057" t="s">
        <v>2320</v>
      </c>
    </row>
    <row r="10" spans="1:20" x14ac:dyDescent="0.25">
      <c r="A10" s="1057" t="s">
        <v>2954</v>
      </c>
      <c r="B10" s="1057" t="s">
        <v>2955</v>
      </c>
      <c r="D10" s="1057">
        <v>3</v>
      </c>
      <c r="E10" s="1057">
        <v>2</v>
      </c>
      <c r="F10" s="1071">
        <f>HOLDERS!U117</f>
        <v>3200</v>
      </c>
      <c r="G10" s="1095">
        <f t="shared" si="0"/>
        <v>4160</v>
      </c>
      <c r="H10" s="1091">
        <v>4200</v>
      </c>
      <c r="L10" s="1071">
        <f>HOLDERS!T115</f>
        <v>602.72666666666669</v>
      </c>
      <c r="M10" s="1082">
        <f t="shared" si="1"/>
        <v>783.54466666666667</v>
      </c>
      <c r="P10" s="1057" t="s">
        <v>2955</v>
      </c>
      <c r="Q10" s="1057" t="s">
        <v>2956</v>
      </c>
      <c r="S10" s="1057" t="s">
        <v>2320</v>
      </c>
    </row>
    <row r="11" spans="1:20" x14ac:dyDescent="0.25">
      <c r="A11" s="1057" t="s">
        <v>2957</v>
      </c>
      <c r="B11" s="1057" t="s">
        <v>2958</v>
      </c>
      <c r="D11" s="1057">
        <v>3</v>
      </c>
      <c r="E11" s="1057">
        <v>2</v>
      </c>
      <c r="F11" s="1071">
        <f>HOLDERS!U117</f>
        <v>3200</v>
      </c>
      <c r="G11" s="1095">
        <f t="shared" si="0"/>
        <v>4160</v>
      </c>
      <c r="H11" s="1091">
        <v>4200</v>
      </c>
      <c r="L11" s="1071">
        <f>HOLDERS!T115</f>
        <v>602.72666666666669</v>
      </c>
      <c r="M11" s="1082">
        <f t="shared" si="1"/>
        <v>783.54466666666667</v>
      </c>
      <c r="P11" s="1057" t="s">
        <v>2958</v>
      </c>
      <c r="Q11" s="1057" t="s">
        <v>2956</v>
      </c>
      <c r="S11" s="1057" t="s">
        <v>2320</v>
      </c>
    </row>
    <row r="12" spans="1:20" x14ac:dyDescent="0.25">
      <c r="A12" s="1057" t="s">
        <v>2959</v>
      </c>
      <c r="B12" s="1057" t="s">
        <v>2960</v>
      </c>
      <c r="D12" s="1057">
        <v>2</v>
      </c>
      <c r="E12" s="1057">
        <v>2</v>
      </c>
      <c r="F12" s="1071">
        <f>HOLDERS!U117</f>
        <v>3200</v>
      </c>
      <c r="G12" s="1095">
        <f t="shared" si="0"/>
        <v>4160</v>
      </c>
      <c r="H12" s="1091">
        <v>4200</v>
      </c>
      <c r="L12" s="1071">
        <f>HOLDERS!T115</f>
        <v>602.72666666666669</v>
      </c>
      <c r="M12" s="1082">
        <f t="shared" si="1"/>
        <v>783.54466666666667</v>
      </c>
      <c r="P12" s="1057" t="s">
        <v>2960</v>
      </c>
      <c r="Q12" s="1057" t="s">
        <v>2956</v>
      </c>
      <c r="S12" s="1057" t="s">
        <v>2320</v>
      </c>
    </row>
    <row r="13" spans="1:20" x14ac:dyDescent="0.25">
      <c r="A13" s="1057" t="s">
        <v>2961</v>
      </c>
      <c r="B13" s="1057" t="s">
        <v>2962</v>
      </c>
      <c r="D13" s="1057">
        <v>6</v>
      </c>
      <c r="E13" s="1057">
        <v>2</v>
      </c>
      <c r="F13" s="1071">
        <f>HOLDERS!U117</f>
        <v>3200</v>
      </c>
      <c r="G13" s="1095">
        <f t="shared" si="0"/>
        <v>4160</v>
      </c>
      <c r="H13" s="1091">
        <v>4200</v>
      </c>
      <c r="L13" s="1071">
        <f>HOLDERS!T115</f>
        <v>602.72666666666669</v>
      </c>
      <c r="M13" s="1082">
        <f t="shared" si="1"/>
        <v>783.54466666666667</v>
      </c>
      <c r="P13" s="1057" t="s">
        <v>2962</v>
      </c>
      <c r="Q13" s="1057" t="s">
        <v>2956</v>
      </c>
      <c r="S13" s="1057" t="s">
        <v>2320</v>
      </c>
    </row>
    <row r="14" spans="1:20" x14ac:dyDescent="0.25">
      <c r="A14" s="1057" t="s">
        <v>2963</v>
      </c>
      <c r="B14" s="1057" t="s">
        <v>2964</v>
      </c>
      <c r="D14" s="1057">
        <v>6</v>
      </c>
      <c r="E14" s="1057">
        <v>2</v>
      </c>
      <c r="F14" s="1071">
        <f>HOLDERS!F131</f>
        <v>3200</v>
      </c>
      <c r="G14" s="1095">
        <f t="shared" si="0"/>
        <v>4160</v>
      </c>
      <c r="H14" s="1091">
        <v>4200</v>
      </c>
      <c r="L14" s="1071">
        <f>HOLDERS!E129</f>
        <v>593.67111111111103</v>
      </c>
      <c r="M14" s="1082">
        <f t="shared" si="1"/>
        <v>771.77244444444432</v>
      </c>
      <c r="P14" s="1057" t="s">
        <v>2964</v>
      </c>
      <c r="Q14" s="1057" t="s">
        <v>2956</v>
      </c>
      <c r="S14" s="1057" t="s">
        <v>2320</v>
      </c>
    </row>
    <row r="15" spans="1:20" x14ac:dyDescent="0.25">
      <c r="A15" s="1057" t="s">
        <v>2965</v>
      </c>
      <c r="B15" s="1057" t="s">
        <v>2966</v>
      </c>
      <c r="D15" s="1057">
        <v>4</v>
      </c>
      <c r="E15" s="1057">
        <v>2</v>
      </c>
      <c r="F15" s="1071">
        <f>HOLDERS!F131</f>
        <v>3200</v>
      </c>
      <c r="G15" s="1095">
        <f t="shared" si="0"/>
        <v>4160</v>
      </c>
      <c r="H15" s="1091">
        <v>4200</v>
      </c>
      <c r="L15" s="1071">
        <f>HOLDERS!E129</f>
        <v>593.67111111111103</v>
      </c>
      <c r="M15" s="1082">
        <f t="shared" si="1"/>
        <v>771.77244444444432</v>
      </c>
      <c r="P15" s="1057" t="s">
        <v>2966</v>
      </c>
      <c r="Q15" s="1057" t="s">
        <v>2956</v>
      </c>
      <c r="S15" s="1057" t="s">
        <v>2320</v>
      </c>
    </row>
    <row r="16" spans="1:20" x14ac:dyDescent="0.25">
      <c r="A16" s="1057" t="s">
        <v>2967</v>
      </c>
      <c r="B16" s="1057" t="s">
        <v>2968</v>
      </c>
      <c r="D16" s="1057">
        <v>6</v>
      </c>
      <c r="E16" s="1057">
        <v>2</v>
      </c>
      <c r="F16" s="1071">
        <f>HOLDERS!F131</f>
        <v>3200</v>
      </c>
      <c r="G16" s="1095">
        <f t="shared" si="0"/>
        <v>4160</v>
      </c>
      <c r="H16" s="1091">
        <v>4200</v>
      </c>
      <c r="L16" s="1071">
        <f>HOLDERS!E129</f>
        <v>593.67111111111103</v>
      </c>
      <c r="M16" s="1082">
        <f t="shared" si="1"/>
        <v>771.77244444444432</v>
      </c>
      <c r="P16" s="1057" t="s">
        <v>2968</v>
      </c>
      <c r="Q16" s="1057" t="s">
        <v>2956</v>
      </c>
      <c r="S16" s="1057" t="s">
        <v>2320</v>
      </c>
    </row>
    <row r="17" spans="1:19" x14ac:dyDescent="0.25">
      <c r="A17" s="1057" t="s">
        <v>2969</v>
      </c>
      <c r="B17" s="1057" t="s">
        <v>2970</v>
      </c>
      <c r="D17" s="1057">
        <v>1</v>
      </c>
      <c r="E17" s="1057">
        <v>2</v>
      </c>
      <c r="F17" s="1071">
        <f>HOLDERS!F131</f>
        <v>3200</v>
      </c>
      <c r="G17" s="1095">
        <f t="shared" si="0"/>
        <v>4160</v>
      </c>
      <c r="H17" s="1091">
        <v>4200</v>
      </c>
      <c r="L17" s="1071">
        <f>HOLDERS!E129</f>
        <v>593.67111111111103</v>
      </c>
      <c r="M17" s="1082">
        <f t="shared" si="1"/>
        <v>771.77244444444432</v>
      </c>
      <c r="P17" s="1057" t="s">
        <v>2970</v>
      </c>
      <c r="Q17" s="1057" t="s">
        <v>2956</v>
      </c>
      <c r="S17" s="1057" t="s">
        <v>2320</v>
      </c>
    </row>
    <row r="18" spans="1:19" x14ac:dyDescent="0.25">
      <c r="A18" s="1057" t="s">
        <v>2971</v>
      </c>
      <c r="B18" s="1057" t="s">
        <v>2972</v>
      </c>
      <c r="D18" s="1057">
        <v>2</v>
      </c>
      <c r="E18" s="1057">
        <v>2</v>
      </c>
      <c r="F18" s="1071">
        <f>HOLDERS!F131</f>
        <v>3200</v>
      </c>
      <c r="G18" s="1095">
        <f t="shared" si="0"/>
        <v>4160</v>
      </c>
      <c r="H18" s="1091">
        <v>4200</v>
      </c>
      <c r="L18" s="1071">
        <f>HOLDERS!E129</f>
        <v>593.67111111111103</v>
      </c>
      <c r="M18" s="1082">
        <f t="shared" si="1"/>
        <v>771.77244444444432</v>
      </c>
      <c r="P18" s="1057" t="s">
        <v>2972</v>
      </c>
      <c r="Q18" s="1057" t="s">
        <v>2956</v>
      </c>
      <c r="S18" s="1057" t="s">
        <v>2320</v>
      </c>
    </row>
    <row r="19" spans="1:19" x14ac:dyDescent="0.25">
      <c r="A19" s="1057" t="s">
        <v>2973</v>
      </c>
      <c r="B19" s="1057" t="s">
        <v>2974</v>
      </c>
      <c r="D19" s="1057">
        <v>4</v>
      </c>
      <c r="E19" s="1057">
        <v>2</v>
      </c>
      <c r="F19" s="1071">
        <f>HOLDERS!F131</f>
        <v>3200</v>
      </c>
      <c r="G19" s="1095">
        <f t="shared" si="0"/>
        <v>4160</v>
      </c>
      <c r="H19" s="1091">
        <v>4200</v>
      </c>
      <c r="L19" s="1071">
        <f>HOLDERS!E129</f>
        <v>593.67111111111103</v>
      </c>
      <c r="M19" s="1082">
        <f t="shared" si="1"/>
        <v>771.77244444444432</v>
      </c>
      <c r="P19" s="1057" t="s">
        <v>2974</v>
      </c>
      <c r="Q19" s="1057" t="s">
        <v>2956</v>
      </c>
      <c r="S19" s="1057" t="s">
        <v>2320</v>
      </c>
    </row>
    <row r="20" spans="1:19" x14ac:dyDescent="0.25">
      <c r="A20" s="1057" t="s">
        <v>2975</v>
      </c>
      <c r="B20" s="1057" t="s">
        <v>2976</v>
      </c>
      <c r="D20" s="1057">
        <v>0</v>
      </c>
      <c r="E20" s="1057">
        <v>2</v>
      </c>
      <c r="F20" s="1071">
        <f>HOLDERS!F131</f>
        <v>3200</v>
      </c>
      <c r="G20" s="1095">
        <f t="shared" si="0"/>
        <v>4160</v>
      </c>
      <c r="H20" s="1091">
        <v>4200</v>
      </c>
      <c r="L20" s="1071">
        <f>HOLDERS!E129</f>
        <v>593.67111111111103</v>
      </c>
      <c r="M20" s="1082">
        <f t="shared" si="1"/>
        <v>771.77244444444432</v>
      </c>
      <c r="P20" s="1057" t="s">
        <v>2976</v>
      </c>
      <c r="Q20" s="1057" t="s">
        <v>2956</v>
      </c>
      <c r="S20" s="1057" t="s">
        <v>2320</v>
      </c>
    </row>
    <row r="21" spans="1:19" x14ac:dyDescent="0.25">
      <c r="A21" s="1057" t="s">
        <v>2979</v>
      </c>
      <c r="B21" s="1057" t="s">
        <v>2980</v>
      </c>
      <c r="D21" s="1057">
        <v>0</v>
      </c>
      <c r="E21" s="1057">
        <v>2</v>
      </c>
      <c r="F21" s="1071">
        <f>HOLDERS!N117</f>
        <v>2600</v>
      </c>
      <c r="G21" s="1095">
        <f t="shared" si="0"/>
        <v>3380</v>
      </c>
      <c r="H21" s="1091">
        <v>3400</v>
      </c>
      <c r="L21" s="1071">
        <f>HOLDERS!M115</f>
        <v>450.82666666666665</v>
      </c>
      <c r="M21" s="1082">
        <f t="shared" si="1"/>
        <v>586.07466666666664</v>
      </c>
      <c r="P21" s="1057" t="s">
        <v>2980</v>
      </c>
      <c r="Q21" s="1057" t="s">
        <v>2956</v>
      </c>
      <c r="S21" s="1057" t="s">
        <v>2320</v>
      </c>
    </row>
    <row r="22" spans="1:19" x14ac:dyDescent="0.25">
      <c r="A22" s="1057" t="s">
        <v>2977</v>
      </c>
      <c r="B22" s="1057" t="s">
        <v>2978</v>
      </c>
      <c r="D22" s="1057">
        <v>4</v>
      </c>
      <c r="E22" s="1057">
        <v>2</v>
      </c>
      <c r="F22" s="1071">
        <f>HOLDERS!N117</f>
        <v>2600</v>
      </c>
      <c r="G22" s="1095">
        <f t="shared" si="0"/>
        <v>3380</v>
      </c>
      <c r="H22" s="1091">
        <v>3400</v>
      </c>
      <c r="L22" s="1071">
        <f>HOLDERS!M115</f>
        <v>450.82666666666665</v>
      </c>
      <c r="M22" s="1082">
        <f t="shared" si="1"/>
        <v>586.07466666666664</v>
      </c>
      <c r="P22" s="1057" t="s">
        <v>2978</v>
      </c>
      <c r="Q22" s="1057" t="s">
        <v>2956</v>
      </c>
      <c r="S22" s="1057" t="s">
        <v>2320</v>
      </c>
    </row>
    <row r="23" spans="1:19" x14ac:dyDescent="0.25">
      <c r="A23" s="1057" t="s">
        <v>2981</v>
      </c>
      <c r="B23" s="1057" t="s">
        <v>2982</v>
      </c>
      <c r="D23" s="1057">
        <v>6</v>
      </c>
      <c r="E23" s="1057">
        <v>2</v>
      </c>
      <c r="F23" s="1071">
        <f>HOLDERS!N117</f>
        <v>2600</v>
      </c>
      <c r="G23" s="1095">
        <f t="shared" si="0"/>
        <v>3380</v>
      </c>
      <c r="H23" s="1091">
        <v>3400</v>
      </c>
      <c r="L23" s="1071">
        <f>HOLDERS!M115</f>
        <v>450.82666666666665</v>
      </c>
      <c r="M23" s="1082">
        <f t="shared" si="1"/>
        <v>586.07466666666664</v>
      </c>
      <c r="P23" s="1057" t="s">
        <v>2982</v>
      </c>
      <c r="Q23" s="1057" t="s">
        <v>2956</v>
      </c>
      <c r="S23" s="1057" t="s">
        <v>2320</v>
      </c>
    </row>
    <row r="24" spans="1:19" x14ac:dyDescent="0.25">
      <c r="A24" s="1057" t="s">
        <v>2987</v>
      </c>
      <c r="B24" s="1057" t="s">
        <v>2988</v>
      </c>
      <c r="D24" s="1057">
        <v>5</v>
      </c>
      <c r="E24" s="1057">
        <v>2</v>
      </c>
      <c r="F24" s="1071">
        <f>HOLDERS!F117</f>
        <v>3000</v>
      </c>
      <c r="G24" s="1095">
        <f t="shared" si="0"/>
        <v>3900</v>
      </c>
      <c r="H24" s="1091">
        <v>4000</v>
      </c>
      <c r="L24" s="1071">
        <f>HOLDERS!E115</f>
        <v>518.33777777777777</v>
      </c>
      <c r="M24" s="1082">
        <f t="shared" si="1"/>
        <v>673.83911111111115</v>
      </c>
      <c r="P24" s="1057" t="s">
        <v>2988</v>
      </c>
      <c r="Q24" s="1057" t="s">
        <v>2956</v>
      </c>
      <c r="S24" s="1057" t="s">
        <v>2320</v>
      </c>
    </row>
    <row r="25" spans="1:19" x14ac:dyDescent="0.25">
      <c r="A25" s="1057" t="s">
        <v>2983</v>
      </c>
      <c r="B25" s="1057" t="s">
        <v>2984</v>
      </c>
      <c r="D25" s="1057">
        <v>1</v>
      </c>
      <c r="E25" s="1057">
        <v>2</v>
      </c>
      <c r="F25" s="1071">
        <f>HOLDERS!F117</f>
        <v>3000</v>
      </c>
      <c r="G25" s="1095">
        <f t="shared" si="0"/>
        <v>3900</v>
      </c>
      <c r="H25" s="1091">
        <v>4000</v>
      </c>
      <c r="L25" s="1071">
        <f>HOLDERS!E115</f>
        <v>518.33777777777777</v>
      </c>
      <c r="M25" s="1082">
        <f t="shared" si="1"/>
        <v>673.83911111111115</v>
      </c>
      <c r="P25" s="1057" t="s">
        <v>2984</v>
      </c>
      <c r="Q25" s="1057" t="s">
        <v>2956</v>
      </c>
      <c r="S25" s="1057" t="s">
        <v>2320</v>
      </c>
    </row>
    <row r="26" spans="1:19" x14ac:dyDescent="0.25">
      <c r="A26" s="1057" t="s">
        <v>2989</v>
      </c>
      <c r="B26" s="1057" t="s">
        <v>2990</v>
      </c>
      <c r="D26" s="1057">
        <v>3</v>
      </c>
      <c r="E26" s="1057">
        <v>2</v>
      </c>
      <c r="F26" s="1071">
        <f>HOLDERS!F117</f>
        <v>3000</v>
      </c>
      <c r="G26" s="1095">
        <f t="shared" si="0"/>
        <v>3900</v>
      </c>
      <c r="H26" s="1091">
        <v>4000</v>
      </c>
      <c r="L26" s="1071">
        <f>HOLDERS!E115</f>
        <v>518.33777777777777</v>
      </c>
      <c r="M26" s="1082">
        <f t="shared" si="1"/>
        <v>673.83911111111115</v>
      </c>
      <c r="P26" s="1057" t="s">
        <v>2990</v>
      </c>
      <c r="Q26" s="1057" t="s">
        <v>2956</v>
      </c>
      <c r="S26" s="1057" t="s">
        <v>2320</v>
      </c>
    </row>
    <row r="27" spans="1:19" x14ac:dyDescent="0.25">
      <c r="A27" s="1057" t="s">
        <v>2991</v>
      </c>
      <c r="B27" s="1057" t="s">
        <v>2992</v>
      </c>
      <c r="D27" s="1057">
        <v>5</v>
      </c>
      <c r="E27" s="1057">
        <v>2</v>
      </c>
      <c r="F27" s="1071">
        <f>HOLDERS!F117</f>
        <v>3000</v>
      </c>
      <c r="G27" s="1095">
        <f t="shared" si="0"/>
        <v>3900</v>
      </c>
      <c r="H27" s="1091">
        <v>4000</v>
      </c>
      <c r="L27" s="1071">
        <f>HOLDERS!E115</f>
        <v>518.33777777777777</v>
      </c>
      <c r="M27" s="1082">
        <f t="shared" si="1"/>
        <v>673.83911111111115</v>
      </c>
      <c r="P27" s="1057" t="s">
        <v>2992</v>
      </c>
      <c r="Q27" s="1057" t="s">
        <v>2956</v>
      </c>
      <c r="S27" s="1057" t="s">
        <v>2320</v>
      </c>
    </row>
    <row r="28" spans="1:19" x14ac:dyDescent="0.25">
      <c r="A28" s="1057" t="s">
        <v>2985</v>
      </c>
      <c r="B28" s="1057" t="s">
        <v>2986</v>
      </c>
      <c r="D28" s="1057">
        <v>6</v>
      </c>
      <c r="E28" s="1057">
        <v>2</v>
      </c>
      <c r="F28" s="1071">
        <f>HOLDERS!F117</f>
        <v>3000</v>
      </c>
      <c r="G28" s="1095">
        <f t="shared" si="0"/>
        <v>3900</v>
      </c>
      <c r="H28" s="1091">
        <v>4000</v>
      </c>
      <c r="L28" s="1071">
        <f>HOLDERS!E115</f>
        <v>518.33777777777777</v>
      </c>
      <c r="M28" s="1082">
        <f t="shared" si="1"/>
        <v>673.83911111111115</v>
      </c>
      <c r="P28" s="1057" t="s">
        <v>2986</v>
      </c>
      <c r="Q28" s="1057" t="s">
        <v>2956</v>
      </c>
      <c r="S28" s="1057" t="s">
        <v>2320</v>
      </c>
    </row>
    <row r="29" spans="1:19" x14ac:dyDescent="0.25">
      <c r="A29" s="1057" t="s">
        <v>2993</v>
      </c>
      <c r="B29" s="1057" t="s">
        <v>2994</v>
      </c>
      <c r="D29" s="1057">
        <v>5</v>
      </c>
      <c r="E29" s="1057">
        <v>2</v>
      </c>
      <c r="F29" s="1071">
        <f>HOLDERS!F117</f>
        <v>3000</v>
      </c>
      <c r="G29" s="1095">
        <f t="shared" si="0"/>
        <v>3900</v>
      </c>
      <c r="H29" s="1091">
        <v>4000</v>
      </c>
      <c r="L29" s="1071">
        <f>HOLDERS!E115</f>
        <v>518.33777777777777</v>
      </c>
      <c r="M29" s="1082">
        <f t="shared" si="1"/>
        <v>673.83911111111115</v>
      </c>
      <c r="P29" s="1057" t="s">
        <v>2994</v>
      </c>
      <c r="Q29" s="1057" t="s">
        <v>2956</v>
      </c>
      <c r="S29" s="1057" t="s">
        <v>2320</v>
      </c>
    </row>
    <row r="30" spans="1:19" x14ac:dyDescent="0.25">
      <c r="A30" s="1057" t="s">
        <v>2321</v>
      </c>
      <c r="B30" s="1057" t="s">
        <v>2322</v>
      </c>
      <c r="D30" s="1057">
        <v>13</v>
      </c>
      <c r="E30" s="1057">
        <v>5</v>
      </c>
      <c r="F30" s="1071">
        <f>AROS!H48</f>
        <v>15000</v>
      </c>
      <c r="G30" s="1095">
        <f t="shared" si="0"/>
        <v>19500</v>
      </c>
      <c r="H30" s="1091">
        <v>7800</v>
      </c>
      <c r="L30" s="1071">
        <f>AROS!F47</f>
        <v>4337</v>
      </c>
      <c r="M30" s="1082">
        <f t="shared" si="1"/>
        <v>5638.1</v>
      </c>
      <c r="P30" s="1057" t="s">
        <v>2322</v>
      </c>
      <c r="Q30" s="1057" t="s">
        <v>2318</v>
      </c>
      <c r="R30" s="1057" t="s">
        <v>2319</v>
      </c>
      <c r="S30" s="1057" t="s">
        <v>2320</v>
      </c>
    </row>
    <row r="31" spans="1:19" x14ac:dyDescent="0.25">
      <c r="A31" s="1057" t="s">
        <v>2323</v>
      </c>
      <c r="B31" s="1057" t="s">
        <v>2324</v>
      </c>
      <c r="D31" s="1057">
        <v>5</v>
      </c>
      <c r="E31" s="1057">
        <v>5</v>
      </c>
      <c r="F31" s="1071">
        <f>AROS!H48</f>
        <v>15000</v>
      </c>
      <c r="G31" s="1095">
        <f t="shared" si="0"/>
        <v>19500</v>
      </c>
      <c r="H31" s="1091">
        <v>7800</v>
      </c>
      <c r="L31" s="1071">
        <f>AROS!F47</f>
        <v>4337</v>
      </c>
      <c r="M31" s="1082">
        <f t="shared" si="1"/>
        <v>5638.1</v>
      </c>
      <c r="P31" s="1057" t="s">
        <v>2324</v>
      </c>
      <c r="Q31" s="1057" t="s">
        <v>2318</v>
      </c>
      <c r="R31" s="1057" t="s">
        <v>2319</v>
      </c>
      <c r="S31" s="1057" t="s">
        <v>2320</v>
      </c>
    </row>
    <row r="32" spans="1:19" x14ac:dyDescent="0.25">
      <c r="A32" s="1057" t="s">
        <v>2316</v>
      </c>
      <c r="B32" s="1057" t="s">
        <v>2317</v>
      </c>
      <c r="D32" s="1057">
        <v>3</v>
      </c>
      <c r="E32" s="1057">
        <v>5</v>
      </c>
      <c r="F32" s="1071">
        <f>AROS!H48</f>
        <v>15000</v>
      </c>
      <c r="G32" s="1095">
        <f t="shared" si="0"/>
        <v>19500</v>
      </c>
      <c r="H32" s="1091">
        <v>7800</v>
      </c>
      <c r="L32" s="1071">
        <f>AROS!F47</f>
        <v>4337</v>
      </c>
      <c r="M32" s="1082">
        <f t="shared" si="1"/>
        <v>5638.1</v>
      </c>
      <c r="P32" s="1057" t="s">
        <v>2317</v>
      </c>
      <c r="Q32" s="1057" t="s">
        <v>2318</v>
      </c>
      <c r="R32" s="1057" t="s">
        <v>2319</v>
      </c>
      <c r="S32" s="1057" t="s">
        <v>2320</v>
      </c>
    </row>
    <row r="33" spans="1:19" x14ac:dyDescent="0.25">
      <c r="A33" s="1057" t="s">
        <v>2545</v>
      </c>
      <c r="B33" s="1057" t="s">
        <v>2546</v>
      </c>
      <c r="D33" s="1057">
        <v>4</v>
      </c>
      <c r="E33" s="1057">
        <v>5</v>
      </c>
      <c r="F33" s="1071">
        <f>AROS!AD62</f>
        <v>17000</v>
      </c>
      <c r="G33" s="1095">
        <f t="shared" si="0"/>
        <v>22100</v>
      </c>
      <c r="H33" s="1091">
        <v>10200</v>
      </c>
      <c r="L33" s="1071">
        <f>AROS!AB60</f>
        <v>3655.5</v>
      </c>
      <c r="M33" s="1082">
        <f t="shared" si="1"/>
        <v>4752.1499999999996</v>
      </c>
      <c r="P33" s="1057" t="s">
        <v>2546</v>
      </c>
      <c r="Q33" s="1057" t="s">
        <v>2318</v>
      </c>
      <c r="R33" s="1057" t="s">
        <v>2319</v>
      </c>
      <c r="S33" s="1057" t="s">
        <v>2320</v>
      </c>
    </row>
    <row r="34" spans="1:19" x14ac:dyDescent="0.25">
      <c r="A34" s="1057" t="s">
        <v>2547</v>
      </c>
      <c r="B34" s="1057" t="s">
        <v>2548</v>
      </c>
      <c r="D34" s="1057">
        <v>4</v>
      </c>
      <c r="E34" s="1057">
        <v>5</v>
      </c>
      <c r="F34" s="1071">
        <f>AROS!AD51</f>
        <v>13000</v>
      </c>
      <c r="G34" s="1095">
        <f t="shared" si="0"/>
        <v>16900</v>
      </c>
      <c r="H34" s="1091">
        <v>10200</v>
      </c>
      <c r="L34" s="1071">
        <f>AROS!AB49</f>
        <v>4452</v>
      </c>
      <c r="M34" s="1082">
        <f t="shared" si="1"/>
        <v>5787.6</v>
      </c>
      <c r="P34" s="1057" t="s">
        <v>2548</v>
      </c>
      <c r="Q34" s="1057" t="s">
        <v>2318</v>
      </c>
      <c r="R34" s="1057" t="s">
        <v>2319</v>
      </c>
      <c r="S34" s="1057" t="s">
        <v>2320</v>
      </c>
    </row>
    <row r="35" spans="1:19" x14ac:dyDescent="0.25">
      <c r="A35" s="1057" t="s">
        <v>2549</v>
      </c>
      <c r="B35" s="1057" t="s">
        <v>2550</v>
      </c>
      <c r="D35" s="1057">
        <v>4</v>
      </c>
      <c r="E35" s="1057">
        <v>5</v>
      </c>
      <c r="F35" s="1071">
        <f>AROS!AD40</f>
        <v>7800</v>
      </c>
      <c r="G35" s="1095">
        <f t="shared" si="0"/>
        <v>10140</v>
      </c>
      <c r="H35" s="1091">
        <v>10200</v>
      </c>
      <c r="L35" s="1071">
        <f>AROS!AB38</f>
        <v>2210</v>
      </c>
      <c r="M35" s="1082">
        <f t="shared" si="1"/>
        <v>2873</v>
      </c>
      <c r="P35" s="1057" t="s">
        <v>2550</v>
      </c>
      <c r="Q35" s="1057" t="s">
        <v>2318</v>
      </c>
      <c r="R35" s="1057" t="s">
        <v>2319</v>
      </c>
      <c r="S35" s="1057" t="s">
        <v>2320</v>
      </c>
    </row>
    <row r="36" spans="1:19" x14ac:dyDescent="0.25">
      <c r="A36" s="1057" t="s">
        <v>2551</v>
      </c>
      <c r="B36" s="1057" t="s">
        <v>2552</v>
      </c>
      <c r="D36" s="1057">
        <v>3</v>
      </c>
      <c r="E36" s="1057">
        <v>5</v>
      </c>
      <c r="F36" s="1071">
        <f>AROS!AD26</f>
        <v>13000</v>
      </c>
      <c r="G36" s="1095">
        <f t="shared" si="0"/>
        <v>16900</v>
      </c>
      <c r="H36" s="1091">
        <v>10200</v>
      </c>
      <c r="L36" s="1071">
        <f>AROS!AB24</f>
        <v>4071</v>
      </c>
      <c r="M36" s="1082">
        <f t="shared" si="1"/>
        <v>5292.3</v>
      </c>
      <c r="P36" s="1057" t="s">
        <v>2552</v>
      </c>
      <c r="Q36" s="1057" t="s">
        <v>2318</v>
      </c>
      <c r="R36" s="1057" t="s">
        <v>2319</v>
      </c>
      <c r="S36" s="1057" t="s">
        <v>2320</v>
      </c>
    </row>
    <row r="37" spans="1:19" x14ac:dyDescent="0.25">
      <c r="A37" s="1057" t="s">
        <v>2325</v>
      </c>
      <c r="B37" s="1057" t="s">
        <v>2326</v>
      </c>
      <c r="D37" s="1057">
        <v>16</v>
      </c>
      <c r="E37" s="1057">
        <v>5</v>
      </c>
      <c r="F37" s="1071">
        <f>AROS!J457</f>
        <v>24000</v>
      </c>
      <c r="G37" s="1095">
        <f t="shared" si="0"/>
        <v>31200</v>
      </c>
      <c r="H37" s="1091">
        <v>18000</v>
      </c>
      <c r="L37" s="1071">
        <f>AROS!G456</f>
        <v>11048</v>
      </c>
      <c r="M37" s="1082">
        <f t="shared" si="1"/>
        <v>14362.4</v>
      </c>
      <c r="P37" s="1057" t="s">
        <v>2326</v>
      </c>
      <c r="Q37" s="1057" t="s">
        <v>2318</v>
      </c>
      <c r="R37" s="1057" t="s">
        <v>2319</v>
      </c>
      <c r="S37" s="1057" t="s">
        <v>2320</v>
      </c>
    </row>
    <row r="38" spans="1:19" x14ac:dyDescent="0.25">
      <c r="A38" s="1057" t="s">
        <v>2327</v>
      </c>
      <c r="B38" s="1057" t="s">
        <v>2328</v>
      </c>
      <c r="D38" s="1057">
        <v>2</v>
      </c>
      <c r="E38" s="1057">
        <v>5</v>
      </c>
      <c r="F38" s="1071">
        <f>AROS!H306</f>
        <v>13600</v>
      </c>
      <c r="G38" s="1095">
        <f t="shared" si="0"/>
        <v>17680</v>
      </c>
      <c r="H38" s="1091">
        <v>9400</v>
      </c>
      <c r="L38" s="1071">
        <f>AROS!F304</f>
        <v>5052.8600000000006</v>
      </c>
      <c r="M38" s="1082">
        <f t="shared" si="1"/>
        <v>6568.7180000000008</v>
      </c>
      <c r="P38" s="1057" t="s">
        <v>2328</v>
      </c>
      <c r="Q38" s="1057" t="s">
        <v>2318</v>
      </c>
      <c r="R38" s="1057" t="s">
        <v>2319</v>
      </c>
      <c r="S38" s="1057" t="s">
        <v>2320</v>
      </c>
    </row>
    <row r="39" spans="1:19" x14ac:dyDescent="0.25">
      <c r="A39" s="1057" t="s">
        <v>2329</v>
      </c>
      <c r="B39" s="1057" t="s">
        <v>2330</v>
      </c>
      <c r="D39" s="1057">
        <v>6</v>
      </c>
      <c r="E39" s="1057">
        <v>5</v>
      </c>
      <c r="F39" s="1071">
        <f>AROS!I275</f>
        <v>23000</v>
      </c>
      <c r="G39" s="1095">
        <f t="shared" si="0"/>
        <v>29900</v>
      </c>
      <c r="H39" s="1091">
        <v>16600</v>
      </c>
      <c r="L39" s="1071">
        <f>AROS!F274</f>
        <v>14192.309523809523</v>
      </c>
      <c r="M39" s="1082">
        <f t="shared" si="1"/>
        <v>18450.002380952381</v>
      </c>
      <c r="P39" s="1057" t="s">
        <v>2330</v>
      </c>
      <c r="Q39" s="1057" t="s">
        <v>2318</v>
      </c>
      <c r="R39" s="1057" t="s">
        <v>2319</v>
      </c>
      <c r="S39" s="1057" t="s">
        <v>2320</v>
      </c>
    </row>
    <row r="40" spans="1:19" x14ac:dyDescent="0.25">
      <c r="A40" s="1057" t="s">
        <v>2331</v>
      </c>
      <c r="B40" s="1057" t="s">
        <v>2332</v>
      </c>
      <c r="D40" s="1057">
        <v>11</v>
      </c>
      <c r="E40" s="1057">
        <v>5</v>
      </c>
      <c r="F40" s="1071">
        <f>AROS!J449</f>
        <v>39000</v>
      </c>
      <c r="G40" s="1095">
        <f t="shared" si="0"/>
        <v>50700</v>
      </c>
      <c r="H40" s="1091">
        <v>18800</v>
      </c>
      <c r="L40" s="1071">
        <f>AROS!G448</f>
        <v>15425</v>
      </c>
      <c r="M40" s="1082">
        <f t="shared" si="1"/>
        <v>20052.5</v>
      </c>
      <c r="P40" s="1057" t="s">
        <v>2332</v>
      </c>
      <c r="Q40" s="1057" t="s">
        <v>2318</v>
      </c>
      <c r="R40" s="1057" t="s">
        <v>2319</v>
      </c>
      <c r="S40" s="1057" t="s">
        <v>2320</v>
      </c>
    </row>
    <row r="41" spans="1:19" x14ac:dyDescent="0.25">
      <c r="A41" s="1057" t="s">
        <v>2337</v>
      </c>
      <c r="B41" s="1057" t="s">
        <v>2338</v>
      </c>
      <c r="D41" s="1057">
        <v>8</v>
      </c>
      <c r="E41" s="1057">
        <v>5</v>
      </c>
      <c r="F41" s="1071">
        <f>AROS!G111</f>
        <v>13000</v>
      </c>
      <c r="G41" s="1095">
        <f t="shared" si="0"/>
        <v>16900</v>
      </c>
      <c r="H41" s="1091">
        <v>5200</v>
      </c>
      <c r="L41" s="1071">
        <f>AROS!E109</f>
        <v>1980</v>
      </c>
      <c r="M41" s="1082">
        <f t="shared" si="1"/>
        <v>2574</v>
      </c>
      <c r="P41" s="1057" t="s">
        <v>2338</v>
      </c>
      <c r="Q41" s="1057" t="s">
        <v>2318</v>
      </c>
      <c r="R41" s="1057" t="s">
        <v>2319</v>
      </c>
      <c r="S41" s="1057" t="s">
        <v>2320</v>
      </c>
    </row>
    <row r="42" spans="1:19" x14ac:dyDescent="0.25">
      <c r="A42" s="1057" t="s">
        <v>2339</v>
      </c>
      <c r="B42" s="1057" t="s">
        <v>2340</v>
      </c>
      <c r="D42" s="1057">
        <v>0</v>
      </c>
      <c r="E42" s="1057">
        <v>5</v>
      </c>
      <c r="F42" s="1071">
        <f>AROS!H388</f>
        <v>16400</v>
      </c>
      <c r="G42" s="1095">
        <f t="shared" si="0"/>
        <v>21320</v>
      </c>
      <c r="H42" s="1091">
        <v>8800</v>
      </c>
      <c r="L42" s="1071">
        <f>AROS!F386</f>
        <v>4269.9001400560228</v>
      </c>
      <c r="M42" s="1082">
        <f t="shared" si="1"/>
        <v>5550.8701820728293</v>
      </c>
      <c r="P42" s="1057" t="s">
        <v>2340</v>
      </c>
      <c r="Q42" s="1057" t="s">
        <v>2318</v>
      </c>
      <c r="R42" s="1057" t="s">
        <v>2319</v>
      </c>
      <c r="S42" s="1057" t="s">
        <v>2320</v>
      </c>
    </row>
    <row r="43" spans="1:19" x14ac:dyDescent="0.25">
      <c r="A43" s="1057" t="s">
        <v>2341</v>
      </c>
      <c r="B43" s="1057" t="s">
        <v>2342</v>
      </c>
      <c r="D43" s="1057">
        <v>1</v>
      </c>
      <c r="E43" s="1057">
        <v>5</v>
      </c>
      <c r="F43" s="1071">
        <f>AROS!I263</f>
        <v>34000</v>
      </c>
      <c r="G43" s="1095">
        <f t="shared" si="0"/>
        <v>44200</v>
      </c>
      <c r="H43" s="1091">
        <v>11500</v>
      </c>
      <c r="L43" s="1071">
        <f>AROS!F262</f>
        <v>11904.188</v>
      </c>
      <c r="M43" s="1082">
        <f t="shared" si="1"/>
        <v>15475.4444</v>
      </c>
      <c r="P43" s="1057" t="s">
        <v>2342</v>
      </c>
      <c r="Q43" s="1057" t="s">
        <v>2318</v>
      </c>
      <c r="R43" s="1057" t="s">
        <v>2319</v>
      </c>
      <c r="S43" s="1057" t="s">
        <v>2320</v>
      </c>
    </row>
    <row r="44" spans="1:19" x14ac:dyDescent="0.25">
      <c r="A44" s="1057" t="s">
        <v>2335</v>
      </c>
      <c r="B44" s="1057" t="s">
        <v>2336</v>
      </c>
      <c r="D44" s="1057">
        <v>9</v>
      </c>
      <c r="E44" s="1057">
        <v>5</v>
      </c>
      <c r="F44" s="1071">
        <f>AROS!G102</f>
        <v>12000</v>
      </c>
      <c r="G44" s="1095">
        <f t="shared" si="0"/>
        <v>15600</v>
      </c>
      <c r="H44" s="1091">
        <v>4600</v>
      </c>
      <c r="L44" s="1071">
        <f>AROS!E91</f>
        <v>1950</v>
      </c>
      <c r="M44" s="1082">
        <f t="shared" si="1"/>
        <v>2535</v>
      </c>
      <c r="P44" s="1057" t="s">
        <v>2336</v>
      </c>
      <c r="Q44" s="1057" t="s">
        <v>2318</v>
      </c>
      <c r="R44" s="1057" t="s">
        <v>2319</v>
      </c>
      <c r="S44" s="1057" t="s">
        <v>2320</v>
      </c>
    </row>
    <row r="45" spans="1:19" x14ac:dyDescent="0.25">
      <c r="A45" s="1057" t="s">
        <v>2343</v>
      </c>
      <c r="B45" s="1057" t="s">
        <v>2344</v>
      </c>
      <c r="D45" s="1057">
        <v>7</v>
      </c>
      <c r="E45" s="1057">
        <v>5</v>
      </c>
      <c r="F45" s="1071">
        <f>AROS!H400</f>
        <v>10000</v>
      </c>
      <c r="G45" s="1095">
        <f t="shared" si="0"/>
        <v>13000</v>
      </c>
      <c r="H45" s="1091">
        <v>8000</v>
      </c>
      <c r="L45" s="1071">
        <f>AROS!F398</f>
        <v>4248.5781954887225</v>
      </c>
      <c r="M45" s="1082">
        <f t="shared" si="1"/>
        <v>5523.1516541353394</v>
      </c>
      <c r="P45" s="1057" t="s">
        <v>2344</v>
      </c>
      <c r="Q45" s="1057" t="s">
        <v>2318</v>
      </c>
      <c r="R45" s="1057" t="s">
        <v>2319</v>
      </c>
      <c r="S45" s="1057" t="s">
        <v>2320</v>
      </c>
    </row>
    <row r="46" spans="1:19" x14ac:dyDescent="0.25">
      <c r="A46" s="1057" t="s">
        <v>2345</v>
      </c>
      <c r="B46" s="1057" t="s">
        <v>2346</v>
      </c>
      <c r="D46" s="1057">
        <v>20</v>
      </c>
      <c r="E46" s="1057">
        <v>5</v>
      </c>
      <c r="F46" s="1071">
        <f>AROS!H129</f>
        <v>19000</v>
      </c>
      <c r="G46" s="1095">
        <f t="shared" si="0"/>
        <v>24700</v>
      </c>
      <c r="H46" s="1091">
        <v>9200</v>
      </c>
      <c r="L46" s="1071">
        <f>AROS!F127</f>
        <v>5140</v>
      </c>
      <c r="M46" s="1082">
        <f t="shared" si="1"/>
        <v>6682</v>
      </c>
      <c r="P46" s="1057" t="s">
        <v>2346</v>
      </c>
      <c r="Q46" s="1057" t="s">
        <v>2318</v>
      </c>
      <c r="R46" s="1057" t="s">
        <v>2319</v>
      </c>
      <c r="S46" s="1057" t="s">
        <v>2320</v>
      </c>
    </row>
    <row r="47" spans="1:19" x14ac:dyDescent="0.25">
      <c r="A47" s="1057" t="s">
        <v>2333</v>
      </c>
      <c r="B47" s="1057" t="s">
        <v>2334</v>
      </c>
      <c r="D47" s="1057">
        <v>9</v>
      </c>
      <c r="E47" s="1057">
        <v>5</v>
      </c>
      <c r="F47" s="1071">
        <f>AROS!G93</f>
        <v>10000</v>
      </c>
      <c r="G47" s="1095">
        <f t="shared" si="0"/>
        <v>13000</v>
      </c>
      <c r="H47" s="1091">
        <v>4000</v>
      </c>
      <c r="L47" s="1071">
        <f>AROS!E91</f>
        <v>1950</v>
      </c>
      <c r="M47" s="1082">
        <f t="shared" si="1"/>
        <v>2535</v>
      </c>
      <c r="P47" s="1057" t="s">
        <v>2334</v>
      </c>
      <c r="Q47" s="1057" t="s">
        <v>2318</v>
      </c>
      <c r="R47" s="1057" t="s">
        <v>2319</v>
      </c>
      <c r="S47" s="1057" t="s">
        <v>2320</v>
      </c>
    </row>
    <row r="48" spans="1:19" x14ac:dyDescent="0.25">
      <c r="A48" s="1057" t="s">
        <v>2347</v>
      </c>
      <c r="B48" s="1057" t="s">
        <v>2348</v>
      </c>
      <c r="D48" s="1057">
        <v>1</v>
      </c>
      <c r="E48" s="1057">
        <v>5</v>
      </c>
      <c r="F48" s="1071">
        <f>'SALE AROS'!H112</f>
        <v>3200</v>
      </c>
      <c r="G48" s="1095">
        <f t="shared" si="0"/>
        <v>4160</v>
      </c>
      <c r="H48" s="1091">
        <v>4200</v>
      </c>
      <c r="L48" s="1071">
        <f>'SALE AROS'!F110</f>
        <v>5111.9816037735854</v>
      </c>
      <c r="M48" s="1082">
        <f t="shared" si="1"/>
        <v>6645.5760849056605</v>
      </c>
      <c r="P48" s="1057" t="s">
        <v>2348</v>
      </c>
      <c r="Q48" s="1057" t="s">
        <v>2318</v>
      </c>
      <c r="R48" s="1057" t="s">
        <v>2319</v>
      </c>
      <c r="S48" s="1057" t="s">
        <v>2320</v>
      </c>
    </row>
    <row r="49" spans="1:19" x14ac:dyDescent="0.25">
      <c r="A49" s="1057" t="s">
        <v>2349</v>
      </c>
      <c r="B49" s="1057" t="s">
        <v>2350</v>
      </c>
      <c r="D49" s="1057">
        <v>11</v>
      </c>
      <c r="E49" s="1057">
        <v>5</v>
      </c>
      <c r="F49" s="1071">
        <f>AROS!H413</f>
        <v>20000</v>
      </c>
      <c r="G49" s="1095">
        <f t="shared" si="0"/>
        <v>26000</v>
      </c>
      <c r="H49" s="1091">
        <v>6800</v>
      </c>
      <c r="L49" s="1071">
        <f>AROS!F411</f>
        <v>3383.3312169312167</v>
      </c>
      <c r="M49" s="1082">
        <f t="shared" si="1"/>
        <v>4398.3305820105816</v>
      </c>
      <c r="P49" s="1057" t="s">
        <v>2350</v>
      </c>
      <c r="Q49" s="1057" t="s">
        <v>2318</v>
      </c>
      <c r="R49" s="1057" t="s">
        <v>2319</v>
      </c>
      <c r="S49" s="1057" t="s">
        <v>2320</v>
      </c>
    </row>
    <row r="50" spans="1:19" x14ac:dyDescent="0.25">
      <c r="A50" s="1057" t="s">
        <v>2353</v>
      </c>
      <c r="B50" s="1057" t="s">
        <v>2354</v>
      </c>
      <c r="D50" s="1057">
        <v>29</v>
      </c>
      <c r="E50" s="1057">
        <v>5</v>
      </c>
      <c r="F50" s="1071">
        <f>AROS!G138</f>
        <v>18000</v>
      </c>
      <c r="G50" s="1095">
        <f t="shared" si="0"/>
        <v>23400</v>
      </c>
      <c r="H50" s="1091">
        <v>8800</v>
      </c>
      <c r="L50" s="1071">
        <f>AROS!E136</f>
        <v>4920</v>
      </c>
      <c r="M50" s="1082">
        <f t="shared" si="1"/>
        <v>6396</v>
      </c>
      <c r="P50" s="1057" t="s">
        <v>2354</v>
      </c>
      <c r="Q50" s="1057" t="s">
        <v>2318</v>
      </c>
      <c r="R50" s="1057" t="s">
        <v>2319</v>
      </c>
      <c r="S50" s="1057" t="s">
        <v>2320</v>
      </c>
    </row>
    <row r="51" spans="1:19" x14ac:dyDescent="0.25">
      <c r="A51" s="1057" t="s">
        <v>2357</v>
      </c>
      <c r="B51" s="1057" t="s">
        <v>2358</v>
      </c>
      <c r="D51" s="1057">
        <v>17</v>
      </c>
      <c r="E51" s="1057">
        <v>5</v>
      </c>
      <c r="F51" s="1071">
        <f>AROS!G147</f>
        <v>18000</v>
      </c>
      <c r="G51" s="1095">
        <f t="shared" si="0"/>
        <v>23400</v>
      </c>
      <c r="H51" s="1091">
        <v>8800</v>
      </c>
      <c r="L51" s="1071">
        <f>AROS!E145</f>
        <v>5520</v>
      </c>
      <c r="M51" s="1082">
        <f t="shared" si="1"/>
        <v>7176</v>
      </c>
      <c r="P51" s="1057" t="s">
        <v>2358</v>
      </c>
      <c r="Q51" s="1057" t="s">
        <v>2318</v>
      </c>
      <c r="R51" s="1057" t="s">
        <v>2319</v>
      </c>
      <c r="S51" s="1057" t="s">
        <v>2320</v>
      </c>
    </row>
    <row r="52" spans="1:19" x14ac:dyDescent="0.25">
      <c r="A52" s="1057" t="s">
        <v>2351</v>
      </c>
      <c r="B52" s="1057" t="s">
        <v>2352</v>
      </c>
      <c r="D52" s="1057">
        <v>20</v>
      </c>
      <c r="E52" s="1057">
        <v>5</v>
      </c>
      <c r="F52" s="1071">
        <f>AROS!G137</f>
        <v>16000</v>
      </c>
      <c r="G52" s="1095">
        <f t="shared" si="0"/>
        <v>20800</v>
      </c>
      <c r="H52" s="1091">
        <v>8200</v>
      </c>
      <c r="L52" s="1071">
        <f>AROS!E136</f>
        <v>4920</v>
      </c>
      <c r="M52" s="1082">
        <f t="shared" si="1"/>
        <v>6396</v>
      </c>
      <c r="P52" s="1057" t="s">
        <v>2352</v>
      </c>
      <c r="Q52" s="1057" t="s">
        <v>2318</v>
      </c>
      <c r="R52" s="1057" t="s">
        <v>2319</v>
      </c>
      <c r="S52" s="1057" t="s">
        <v>2320</v>
      </c>
    </row>
    <row r="53" spans="1:19" x14ac:dyDescent="0.25">
      <c r="A53" s="1057" t="s">
        <v>2355</v>
      </c>
      <c r="B53" s="1057" t="s">
        <v>2356</v>
      </c>
      <c r="D53" s="1057">
        <v>19</v>
      </c>
      <c r="E53" s="1057">
        <v>5</v>
      </c>
      <c r="F53" s="1071">
        <f>AROS!G146</f>
        <v>16000</v>
      </c>
      <c r="G53" s="1095">
        <f t="shared" si="0"/>
        <v>20800</v>
      </c>
      <c r="H53" s="1091">
        <v>8200</v>
      </c>
      <c r="L53" s="1071">
        <f>AROS!E145</f>
        <v>5520</v>
      </c>
      <c r="M53" s="1082">
        <f t="shared" si="1"/>
        <v>7176</v>
      </c>
      <c r="P53" s="1057" t="s">
        <v>2356</v>
      </c>
      <c r="Q53" s="1057" t="s">
        <v>2318</v>
      </c>
      <c r="R53" s="1057" t="s">
        <v>2319</v>
      </c>
      <c r="S53" s="1057" t="s">
        <v>2320</v>
      </c>
    </row>
    <row r="54" spans="1:19" x14ac:dyDescent="0.25">
      <c r="A54" s="1057" t="s">
        <v>2359</v>
      </c>
      <c r="B54" s="1057" t="s">
        <v>2360</v>
      </c>
      <c r="D54" s="1057">
        <v>1</v>
      </c>
      <c r="E54" s="1057">
        <v>5</v>
      </c>
      <c r="F54" s="1071">
        <f>AROS!H224</f>
        <v>11000</v>
      </c>
      <c r="G54" s="1095">
        <f t="shared" si="0"/>
        <v>14300</v>
      </c>
      <c r="H54" s="1091">
        <v>6200</v>
      </c>
      <c r="L54" s="1071">
        <f>AROS!F222</f>
        <v>3755.9977401129945</v>
      </c>
      <c r="M54" s="1082">
        <f t="shared" si="1"/>
        <v>4882.797062146893</v>
      </c>
      <c r="P54" s="1057" t="s">
        <v>2360</v>
      </c>
      <c r="Q54" s="1057" t="s">
        <v>2318</v>
      </c>
      <c r="R54" s="1057" t="s">
        <v>2319</v>
      </c>
      <c r="S54" s="1057" t="s">
        <v>2320</v>
      </c>
    </row>
    <row r="55" spans="1:19" x14ac:dyDescent="0.25">
      <c r="A55" s="1057" t="s">
        <v>2361</v>
      </c>
      <c r="B55" s="1057" t="s">
        <v>2362</v>
      </c>
      <c r="D55" s="1057">
        <v>2</v>
      </c>
      <c r="E55" s="1057">
        <v>5</v>
      </c>
      <c r="F55" s="1071">
        <f>AROS!G57</f>
        <v>3200</v>
      </c>
      <c r="G55" s="1095">
        <f t="shared" si="0"/>
        <v>4160</v>
      </c>
      <c r="H55" s="1091">
        <v>3200</v>
      </c>
      <c r="L55" s="1071">
        <f>AROS!E55</f>
        <v>770</v>
      </c>
      <c r="M55" s="1082">
        <f t="shared" si="1"/>
        <v>1001</v>
      </c>
      <c r="P55" s="1057" t="s">
        <v>2362</v>
      </c>
      <c r="Q55" s="1057" t="s">
        <v>2318</v>
      </c>
      <c r="R55" s="1057" t="s">
        <v>2319</v>
      </c>
      <c r="S55" s="1057" t="s">
        <v>2320</v>
      </c>
    </row>
    <row r="56" spans="1:19" x14ac:dyDescent="0.25">
      <c r="A56" s="1057" t="s">
        <v>2363</v>
      </c>
      <c r="B56" s="1057" t="s">
        <v>2364</v>
      </c>
      <c r="D56" s="1057">
        <v>0</v>
      </c>
      <c r="E56" s="1057">
        <v>5</v>
      </c>
      <c r="F56" s="1071">
        <f>AROS!H240</f>
        <v>7600</v>
      </c>
      <c r="G56" s="1095">
        <f t="shared" si="0"/>
        <v>9880</v>
      </c>
      <c r="H56" s="1091">
        <v>7600</v>
      </c>
      <c r="L56" s="1071">
        <f>AROS!F238</f>
        <v>3306.8170329670329</v>
      </c>
      <c r="M56" s="1082">
        <f t="shared" si="1"/>
        <v>4298.8621428571423</v>
      </c>
      <c r="P56" s="1057" t="s">
        <v>2364</v>
      </c>
      <c r="Q56" s="1057" t="s">
        <v>2318</v>
      </c>
      <c r="R56" s="1057" t="s">
        <v>2319</v>
      </c>
      <c r="S56" s="1057" t="s">
        <v>2320</v>
      </c>
    </row>
    <row r="57" spans="1:19" x14ac:dyDescent="0.25">
      <c r="A57" s="1057" t="s">
        <v>2365</v>
      </c>
      <c r="B57" s="1057" t="s">
        <v>2366</v>
      </c>
      <c r="D57" s="1057">
        <v>11</v>
      </c>
      <c r="E57" s="1057">
        <v>5</v>
      </c>
      <c r="F57" s="1071">
        <f>AROS!G426</f>
        <v>12000</v>
      </c>
      <c r="G57" s="1095">
        <f t="shared" si="0"/>
        <v>15600</v>
      </c>
      <c r="H57" s="1091">
        <v>6800</v>
      </c>
      <c r="L57" s="1071">
        <f>AROS!E424</f>
        <v>3084.1904761904766</v>
      </c>
      <c r="M57" s="1082">
        <f t="shared" si="1"/>
        <v>4009.4476190476198</v>
      </c>
      <c r="P57" s="1057" t="s">
        <v>2366</v>
      </c>
      <c r="Q57" s="1057" t="s">
        <v>2318</v>
      </c>
      <c r="R57" s="1057" t="s">
        <v>2319</v>
      </c>
      <c r="S57" s="1057" t="s">
        <v>2320</v>
      </c>
    </row>
    <row r="58" spans="1:19" x14ac:dyDescent="0.25">
      <c r="A58" s="1057" t="s">
        <v>2367</v>
      </c>
      <c r="B58" s="1057" t="s">
        <v>2368</v>
      </c>
      <c r="D58" s="1057">
        <v>0</v>
      </c>
      <c r="E58" s="1057">
        <v>5</v>
      </c>
      <c r="F58" s="1071">
        <f>AROS!G426</f>
        <v>12000</v>
      </c>
      <c r="G58" s="1095">
        <f t="shared" si="0"/>
        <v>15600</v>
      </c>
      <c r="H58" s="1091">
        <v>6800</v>
      </c>
      <c r="L58" s="1071">
        <f>AROS!E424</f>
        <v>3084.1904761904766</v>
      </c>
      <c r="M58" s="1082">
        <f t="shared" si="1"/>
        <v>4009.4476190476198</v>
      </c>
      <c r="P58" s="1057" t="s">
        <v>2368</v>
      </c>
      <c r="Q58" s="1057" t="s">
        <v>2318</v>
      </c>
      <c r="R58" s="1057" t="s">
        <v>2319</v>
      </c>
      <c r="S58" s="1057" t="s">
        <v>2320</v>
      </c>
    </row>
    <row r="59" spans="1:19" x14ac:dyDescent="0.25">
      <c r="A59" s="1057" t="s">
        <v>2369</v>
      </c>
      <c r="B59" s="1057" t="s">
        <v>2370</v>
      </c>
      <c r="D59" s="1057">
        <v>1</v>
      </c>
      <c r="E59" s="1057">
        <v>5</v>
      </c>
      <c r="F59" s="1071">
        <f>AROS!I318</f>
        <v>36000</v>
      </c>
      <c r="G59" s="1095">
        <f t="shared" si="0"/>
        <v>46800</v>
      </c>
      <c r="H59" s="1091">
        <v>12000</v>
      </c>
      <c r="L59" s="1071">
        <f>AROS!F317</f>
        <v>12610.866666666667</v>
      </c>
      <c r="M59" s="1082">
        <f t="shared" si="1"/>
        <v>16394.126666666667</v>
      </c>
      <c r="P59" s="1057" t="s">
        <v>2370</v>
      </c>
      <c r="Q59" s="1057" t="s">
        <v>2318</v>
      </c>
      <c r="R59" s="1057" t="s">
        <v>2319</v>
      </c>
      <c r="S59" s="1057" t="s">
        <v>2320</v>
      </c>
    </row>
    <row r="60" spans="1:19" x14ac:dyDescent="0.25">
      <c r="A60" s="1057" t="s">
        <v>2371</v>
      </c>
      <c r="B60" s="1057" t="s">
        <v>2372</v>
      </c>
      <c r="D60" s="1057">
        <v>15</v>
      </c>
      <c r="E60" s="1057">
        <v>5</v>
      </c>
      <c r="F60" s="1071">
        <v>8800</v>
      </c>
      <c r="G60" s="1095">
        <f t="shared" si="0"/>
        <v>11440</v>
      </c>
      <c r="H60" s="1091">
        <v>11400</v>
      </c>
      <c r="L60" s="1071">
        <f>AROS!F250</f>
        <v>11974.563590936503</v>
      </c>
      <c r="M60" s="1082">
        <f t="shared" si="1"/>
        <v>15566.932668217454</v>
      </c>
      <c r="P60" s="1057" t="s">
        <v>2372</v>
      </c>
      <c r="Q60" s="1057" t="s">
        <v>2318</v>
      </c>
      <c r="R60" s="1057" t="s">
        <v>2319</v>
      </c>
      <c r="S60" s="1057" t="s">
        <v>2320</v>
      </c>
    </row>
    <row r="61" spans="1:19" x14ac:dyDescent="0.25">
      <c r="A61" s="1057" t="s">
        <v>2375</v>
      </c>
      <c r="B61" s="1057" t="s">
        <v>2376</v>
      </c>
      <c r="D61" s="1057">
        <v>6</v>
      </c>
      <c r="E61" s="1057">
        <v>5</v>
      </c>
      <c r="F61" s="1071">
        <f>'SALE AROS'!G32</f>
        <v>4900</v>
      </c>
      <c r="G61" s="1095">
        <f t="shared" si="0"/>
        <v>6370</v>
      </c>
      <c r="H61" s="1091">
        <v>6400</v>
      </c>
      <c r="L61" s="1071">
        <f>'SALE AROS'!E30</f>
        <v>4549.6504901960789</v>
      </c>
      <c r="M61" s="1082">
        <f t="shared" si="1"/>
        <v>5914.5456372549024</v>
      </c>
      <c r="P61" s="1057" t="s">
        <v>2376</v>
      </c>
      <c r="Q61" s="1057" t="s">
        <v>2318</v>
      </c>
      <c r="R61" s="1057" t="s">
        <v>2319</v>
      </c>
      <c r="S61" s="1057" t="s">
        <v>2320</v>
      </c>
    </row>
    <row r="62" spans="1:19" x14ac:dyDescent="0.25">
      <c r="A62" s="1057" t="s">
        <v>2377</v>
      </c>
      <c r="B62" s="1057" t="s">
        <v>2378</v>
      </c>
      <c r="D62" s="1057">
        <v>2</v>
      </c>
      <c r="E62" s="1057">
        <v>5</v>
      </c>
      <c r="F62" s="1071">
        <f>'SALE AROS'!G32</f>
        <v>4900</v>
      </c>
      <c r="G62" s="1095">
        <f t="shared" si="0"/>
        <v>6370</v>
      </c>
      <c r="H62" s="1091">
        <v>6400</v>
      </c>
      <c r="L62" s="1071">
        <f>'SALE AROS'!E30</f>
        <v>4549.6504901960789</v>
      </c>
      <c r="M62" s="1082">
        <f t="shared" si="1"/>
        <v>5914.5456372549024</v>
      </c>
      <c r="P62" s="1057" t="s">
        <v>2378</v>
      </c>
      <c r="Q62" s="1057" t="s">
        <v>2318</v>
      </c>
      <c r="R62" s="1057" t="s">
        <v>2319</v>
      </c>
      <c r="S62" s="1057" t="s">
        <v>2320</v>
      </c>
    </row>
    <row r="63" spans="1:19" x14ac:dyDescent="0.25">
      <c r="A63" s="1057" t="s">
        <v>2373</v>
      </c>
      <c r="B63" s="1057" t="s">
        <v>2374</v>
      </c>
      <c r="D63" s="1057">
        <v>4</v>
      </c>
      <c r="E63" s="1057">
        <v>5</v>
      </c>
      <c r="F63" s="1071">
        <f>'SALE AROS'!G32</f>
        <v>4900</v>
      </c>
      <c r="G63" s="1095">
        <f t="shared" si="0"/>
        <v>6370</v>
      </c>
      <c r="H63" s="1091">
        <v>6400</v>
      </c>
      <c r="L63" s="1071">
        <f>'SALE AROS'!E30</f>
        <v>4549.6504901960789</v>
      </c>
      <c r="M63" s="1082">
        <f t="shared" si="1"/>
        <v>5914.5456372549024</v>
      </c>
      <c r="P63" s="1057" t="s">
        <v>2374</v>
      </c>
      <c r="Q63" s="1057" t="s">
        <v>2318</v>
      </c>
      <c r="R63" s="1057" t="s">
        <v>2319</v>
      </c>
      <c r="S63" s="1057" t="s">
        <v>2320</v>
      </c>
    </row>
    <row r="64" spans="1:19" x14ac:dyDescent="0.25">
      <c r="A64" s="1057" t="s">
        <v>2379</v>
      </c>
      <c r="B64" s="1057" t="s">
        <v>2380</v>
      </c>
      <c r="D64" s="1057">
        <v>6</v>
      </c>
      <c r="E64" s="1057">
        <v>5</v>
      </c>
      <c r="F64" s="1071">
        <f>AROS!I287</f>
        <v>30000</v>
      </c>
      <c r="G64" s="1095">
        <f t="shared" si="0"/>
        <v>39000</v>
      </c>
      <c r="H64" s="1091">
        <v>9400</v>
      </c>
      <c r="L64" s="1071">
        <f>AROS!F286</f>
        <v>9902.6666666666661</v>
      </c>
      <c r="M64" s="1082">
        <f t="shared" si="1"/>
        <v>12873.466666666665</v>
      </c>
      <c r="P64" s="1057" t="s">
        <v>2380</v>
      </c>
      <c r="Q64" s="1057" t="s">
        <v>2318</v>
      </c>
      <c r="R64" s="1057" t="s">
        <v>2319</v>
      </c>
      <c r="S64" s="1057" t="s">
        <v>2320</v>
      </c>
    </row>
    <row r="65" spans="1:20" x14ac:dyDescent="0.25">
      <c r="A65" s="1057" t="s">
        <v>2381</v>
      </c>
      <c r="B65" s="1057" t="s">
        <v>2382</v>
      </c>
      <c r="D65" s="1057">
        <v>1</v>
      </c>
      <c r="E65" s="1057">
        <v>5</v>
      </c>
      <c r="F65" s="1071">
        <f>'SALE AROS'!H46</f>
        <v>3000</v>
      </c>
      <c r="G65" s="1095">
        <f t="shared" si="0"/>
        <v>3900</v>
      </c>
      <c r="H65" s="1091">
        <v>4000</v>
      </c>
      <c r="L65" s="1071">
        <f>'SALE AROS'!F44</f>
        <v>4598.3692546583843</v>
      </c>
      <c r="M65" s="1082">
        <f t="shared" si="1"/>
        <v>5977.8800310559</v>
      </c>
      <c r="P65" s="1057" t="s">
        <v>2382</v>
      </c>
      <c r="Q65" s="1057" t="s">
        <v>2318</v>
      </c>
      <c r="R65" s="1057" t="s">
        <v>2319</v>
      </c>
      <c r="S65" s="1057" t="s">
        <v>2320</v>
      </c>
    </row>
    <row r="66" spans="1:20" x14ac:dyDescent="0.25">
      <c r="A66" s="1057" t="s">
        <v>2383</v>
      </c>
      <c r="B66" s="1057" t="s">
        <v>2384</v>
      </c>
      <c r="D66" s="1057">
        <v>3</v>
      </c>
      <c r="E66" s="1057">
        <v>5</v>
      </c>
      <c r="F66" s="1071">
        <f>AROS!G155</f>
        <v>6800</v>
      </c>
      <c r="G66" s="1095">
        <f t="shared" ref="G66:G129" si="2">F66+F66*30%</f>
        <v>8840</v>
      </c>
      <c r="H66" s="1091">
        <v>6800</v>
      </c>
      <c r="L66" s="1071">
        <f>AROS!E154</f>
        <v>1779</v>
      </c>
      <c r="M66" s="1082">
        <f t="shared" ref="M66:M129" si="3">L66+L66*30%</f>
        <v>2312.6999999999998</v>
      </c>
      <c r="P66" s="1057" t="s">
        <v>2384</v>
      </c>
      <c r="Q66" s="1057" t="s">
        <v>2318</v>
      </c>
      <c r="R66" s="1057" t="s">
        <v>2319</v>
      </c>
      <c r="S66" s="1057" t="s">
        <v>2320</v>
      </c>
    </row>
    <row r="67" spans="1:20" x14ac:dyDescent="0.25">
      <c r="A67" s="1057" t="s">
        <v>2387</v>
      </c>
      <c r="B67" s="1057" t="s">
        <v>2388</v>
      </c>
      <c r="D67" s="1057">
        <v>15</v>
      </c>
      <c r="E67" s="1057">
        <v>5</v>
      </c>
      <c r="F67" s="1071">
        <f>AROS!E84</f>
        <v>14400</v>
      </c>
      <c r="G67" s="1095">
        <f t="shared" si="2"/>
        <v>18720</v>
      </c>
      <c r="H67" s="1091">
        <v>5200</v>
      </c>
      <c r="L67" s="1071">
        <f>AROS!C82</f>
        <v>1870</v>
      </c>
      <c r="M67" s="1082">
        <f t="shared" si="3"/>
        <v>2431</v>
      </c>
      <c r="P67" s="1057" t="s">
        <v>2388</v>
      </c>
      <c r="Q67" s="1057" t="s">
        <v>2318</v>
      </c>
      <c r="R67" s="1057" t="s">
        <v>2319</v>
      </c>
      <c r="S67" s="1057" t="s">
        <v>2320</v>
      </c>
    </row>
    <row r="68" spans="1:20" x14ac:dyDescent="0.25">
      <c r="A68" s="1057" t="s">
        <v>3067</v>
      </c>
      <c r="B68" s="1057" t="s">
        <v>3068</v>
      </c>
      <c r="C68" s="1057"/>
      <c r="D68" s="1057">
        <v>20</v>
      </c>
      <c r="E68" s="1057">
        <v>5</v>
      </c>
      <c r="F68" s="1071">
        <f>AROS!G102</f>
        <v>12000</v>
      </c>
      <c r="G68" s="1095">
        <f t="shared" si="2"/>
        <v>15600</v>
      </c>
      <c r="H68" s="1091">
        <v>4600</v>
      </c>
      <c r="I68" s="1057"/>
      <c r="J68" s="1057"/>
      <c r="K68" s="1057"/>
      <c r="L68" s="1071">
        <f>AROS!E100</f>
        <v>1962</v>
      </c>
      <c r="M68" s="1082">
        <f t="shared" si="3"/>
        <v>2550.6</v>
      </c>
      <c r="N68" s="1057"/>
      <c r="O68" s="1057"/>
      <c r="P68" s="1057" t="s">
        <v>3068</v>
      </c>
      <c r="Q68" s="1057" t="s">
        <v>2318</v>
      </c>
      <c r="R68" s="1057" t="s">
        <v>2319</v>
      </c>
      <c r="S68" s="1057" t="s">
        <v>2320</v>
      </c>
      <c r="T68" s="1057"/>
    </row>
    <row r="69" spans="1:20" x14ac:dyDescent="0.25">
      <c r="A69" s="1057" t="s">
        <v>2385</v>
      </c>
      <c r="B69" s="1057" t="s">
        <v>2386</v>
      </c>
      <c r="D69" s="1057">
        <v>10</v>
      </c>
      <c r="E69" s="1057">
        <v>5</v>
      </c>
      <c r="F69" s="1071">
        <f>AROS!E75</f>
        <v>10400</v>
      </c>
      <c r="G69" s="1095">
        <f t="shared" si="2"/>
        <v>13520</v>
      </c>
      <c r="H69" s="1091">
        <v>4000</v>
      </c>
      <c r="L69" s="1071">
        <f>AROS!C73</f>
        <v>1770</v>
      </c>
      <c r="M69" s="1082">
        <f t="shared" si="3"/>
        <v>2301</v>
      </c>
      <c r="P69" s="1057" t="s">
        <v>2386</v>
      </c>
      <c r="Q69" s="1057" t="s">
        <v>2318</v>
      </c>
      <c r="R69" s="1057" t="s">
        <v>2319</v>
      </c>
      <c r="S69" s="1057" t="s">
        <v>2320</v>
      </c>
    </row>
    <row r="70" spans="1:20" x14ac:dyDescent="0.25">
      <c r="A70" s="1057" t="s">
        <v>2389</v>
      </c>
      <c r="B70" s="1057" t="s">
        <v>2390</v>
      </c>
      <c r="D70" s="1057">
        <v>6</v>
      </c>
      <c r="E70" s="1057">
        <v>5</v>
      </c>
      <c r="F70" s="1071">
        <f>AROS!J433</f>
        <v>29000</v>
      </c>
      <c r="G70" s="1095">
        <f t="shared" si="2"/>
        <v>37700</v>
      </c>
      <c r="H70" s="1091">
        <v>18000</v>
      </c>
      <c r="L70" s="1071">
        <f>AROS!G432</f>
        <v>10228</v>
      </c>
      <c r="M70" s="1082">
        <f t="shared" si="3"/>
        <v>13296.4</v>
      </c>
      <c r="P70" s="1057" t="s">
        <v>2390</v>
      </c>
      <c r="Q70" s="1057" t="s">
        <v>2318</v>
      </c>
      <c r="R70" s="1057" t="s">
        <v>2319</v>
      </c>
      <c r="S70" s="1057" t="s">
        <v>2320</v>
      </c>
    </row>
    <row r="71" spans="1:20" x14ac:dyDescent="0.25">
      <c r="A71" s="1057" t="s">
        <v>2391</v>
      </c>
      <c r="B71" s="1057" t="s">
        <v>2392</v>
      </c>
      <c r="D71" s="1057">
        <v>1</v>
      </c>
      <c r="E71" s="1057">
        <v>5</v>
      </c>
      <c r="F71" s="1071">
        <f>'SALE AROS'!G80</f>
        <v>3800</v>
      </c>
      <c r="G71" s="1095">
        <f t="shared" si="2"/>
        <v>4940</v>
      </c>
      <c r="H71" s="1091">
        <v>5000</v>
      </c>
      <c r="L71" s="1071" t="e">
        <f>'SALE AROS'!F92</f>
        <v>#REF!</v>
      </c>
      <c r="M71" s="1082" t="e">
        <f t="shared" si="3"/>
        <v>#REF!</v>
      </c>
      <c r="P71" s="1057" t="s">
        <v>2392</v>
      </c>
      <c r="Q71" s="1057" t="s">
        <v>2318</v>
      </c>
      <c r="R71" s="1057" t="s">
        <v>2319</v>
      </c>
      <c r="S71" s="1057" t="s">
        <v>2320</v>
      </c>
    </row>
    <row r="72" spans="1:20" x14ac:dyDescent="0.25">
      <c r="A72" s="1057" t="s">
        <v>2395</v>
      </c>
      <c r="B72" s="1057" t="s">
        <v>2396</v>
      </c>
      <c r="D72" s="1057">
        <v>3</v>
      </c>
      <c r="E72" s="1057">
        <v>5</v>
      </c>
      <c r="F72" s="1071">
        <f>AROS!G174</f>
        <v>12000</v>
      </c>
      <c r="G72" s="1095">
        <f t="shared" si="2"/>
        <v>15600</v>
      </c>
      <c r="H72" s="1091">
        <v>6600</v>
      </c>
      <c r="L72" s="1071">
        <f>AROS!E172</f>
        <v>3643</v>
      </c>
      <c r="M72" s="1082">
        <f t="shared" si="3"/>
        <v>4735.8999999999996</v>
      </c>
      <c r="P72" s="1057" t="s">
        <v>2396</v>
      </c>
      <c r="Q72" s="1057" t="s">
        <v>2318</v>
      </c>
      <c r="R72" s="1057" t="s">
        <v>2319</v>
      </c>
      <c r="S72" s="1057" t="s">
        <v>2320</v>
      </c>
    </row>
    <row r="73" spans="1:20" x14ac:dyDescent="0.25">
      <c r="A73" s="1057" t="s">
        <v>2393</v>
      </c>
      <c r="B73" s="1057" t="s">
        <v>2394</v>
      </c>
      <c r="D73" s="1057">
        <v>5</v>
      </c>
      <c r="E73" s="1057">
        <v>5</v>
      </c>
      <c r="F73" s="1071">
        <f>AROS!H345</f>
        <v>17000</v>
      </c>
      <c r="G73" s="1095">
        <f t="shared" si="2"/>
        <v>22100</v>
      </c>
      <c r="H73" s="1091">
        <v>8000</v>
      </c>
      <c r="L73" s="1071">
        <f>AROS!F343</f>
        <v>3382.4037735849056</v>
      </c>
      <c r="M73" s="1082">
        <f t="shared" si="3"/>
        <v>4397.1249056603774</v>
      </c>
      <c r="P73" s="1057" t="s">
        <v>2394</v>
      </c>
      <c r="Q73" s="1057" t="s">
        <v>2318</v>
      </c>
      <c r="R73" s="1057" t="s">
        <v>2319</v>
      </c>
      <c r="S73" s="1057" t="s">
        <v>2320</v>
      </c>
    </row>
    <row r="74" spans="1:20" x14ac:dyDescent="0.25">
      <c r="A74" s="1057" t="s">
        <v>2397</v>
      </c>
      <c r="B74" s="1057" t="s">
        <v>2398</v>
      </c>
      <c r="D74" s="1057">
        <v>3</v>
      </c>
      <c r="E74" s="1057">
        <v>5</v>
      </c>
      <c r="F74" s="1071">
        <f>AROS!G174</f>
        <v>12000</v>
      </c>
      <c r="G74" s="1095">
        <f t="shared" si="2"/>
        <v>15600</v>
      </c>
      <c r="H74" s="1091">
        <v>6600</v>
      </c>
      <c r="L74" s="1071">
        <f>AROS!E172</f>
        <v>3643</v>
      </c>
      <c r="M74" s="1082">
        <f t="shared" si="3"/>
        <v>4735.8999999999996</v>
      </c>
      <c r="P74" s="1057" t="s">
        <v>2398</v>
      </c>
      <c r="Q74" s="1057" t="s">
        <v>2318</v>
      </c>
      <c r="R74" s="1057" t="s">
        <v>2319</v>
      </c>
      <c r="S74" s="1057" t="s">
        <v>2320</v>
      </c>
    </row>
    <row r="75" spans="1:20" x14ac:dyDescent="0.25">
      <c r="A75" s="1057" t="s">
        <v>2399</v>
      </c>
      <c r="B75" s="1057" t="s">
        <v>2400</v>
      </c>
      <c r="D75" s="1057">
        <v>4</v>
      </c>
      <c r="E75" s="1057">
        <v>5</v>
      </c>
      <c r="F75" s="1071">
        <f>AROS!G333</f>
        <v>18000</v>
      </c>
      <c r="G75" s="1095">
        <f t="shared" si="2"/>
        <v>23400</v>
      </c>
      <c r="H75" s="1091">
        <v>10800</v>
      </c>
      <c r="L75" s="1071">
        <f>AROS!E331</f>
        <v>5767.6479474548441</v>
      </c>
      <c r="M75" s="1082">
        <f t="shared" si="3"/>
        <v>7497.9423316912971</v>
      </c>
      <c r="P75" s="1057" t="s">
        <v>2400</v>
      </c>
      <c r="Q75" s="1057" t="s">
        <v>2318</v>
      </c>
      <c r="R75" s="1057" t="s">
        <v>2319</v>
      </c>
      <c r="S75" s="1057" t="s">
        <v>2320</v>
      </c>
    </row>
    <row r="76" spans="1:20" x14ac:dyDescent="0.25">
      <c r="A76" s="1057" t="s">
        <v>2401</v>
      </c>
      <c r="B76" s="1057" t="s">
        <v>2402</v>
      </c>
      <c r="D76" s="1057">
        <v>5</v>
      </c>
      <c r="E76" s="1057">
        <v>5</v>
      </c>
      <c r="F76" s="1071">
        <f>AROS!G210</f>
        <v>24000</v>
      </c>
      <c r="G76" s="1095">
        <f t="shared" si="2"/>
        <v>31200</v>
      </c>
      <c r="H76" s="1091">
        <v>8800</v>
      </c>
      <c r="L76" s="1071">
        <f>AROS!E208</f>
        <v>4989.2666666666664</v>
      </c>
      <c r="M76" s="1082">
        <f t="shared" si="3"/>
        <v>6486.0466666666662</v>
      </c>
      <c r="P76" s="1057" t="s">
        <v>2402</v>
      </c>
      <c r="Q76" s="1057" t="s">
        <v>2318</v>
      </c>
      <c r="R76" s="1057" t="s">
        <v>2319</v>
      </c>
      <c r="S76" s="1057" t="s">
        <v>2320</v>
      </c>
    </row>
    <row r="77" spans="1:20" x14ac:dyDescent="0.25">
      <c r="A77" s="1057" t="s">
        <v>3044</v>
      </c>
      <c r="B77" s="1057" t="s">
        <v>2405</v>
      </c>
      <c r="D77" s="1057">
        <v>10</v>
      </c>
      <c r="E77" s="1057">
        <v>5</v>
      </c>
      <c r="F77" s="1071">
        <f>AROS!H163</f>
        <v>12000</v>
      </c>
      <c r="G77" s="1095">
        <f t="shared" si="2"/>
        <v>15600</v>
      </c>
      <c r="H77" s="1091">
        <v>6200</v>
      </c>
      <c r="L77" s="1071">
        <f>AROS!E154</f>
        <v>1779</v>
      </c>
      <c r="M77" s="1082">
        <f t="shared" si="3"/>
        <v>2312.6999999999998</v>
      </c>
      <c r="P77" s="1057" t="s">
        <v>2405</v>
      </c>
      <c r="Q77" s="1057" t="s">
        <v>2318</v>
      </c>
      <c r="R77" s="1057" t="s">
        <v>2319</v>
      </c>
      <c r="S77" s="1057" t="s">
        <v>2320</v>
      </c>
    </row>
    <row r="78" spans="1:20" x14ac:dyDescent="0.25">
      <c r="A78" s="1057" t="s">
        <v>2406</v>
      </c>
      <c r="B78" s="1057" t="s">
        <v>2407</v>
      </c>
      <c r="D78" s="1057">
        <v>14</v>
      </c>
      <c r="E78" s="1057">
        <v>5</v>
      </c>
      <c r="F78" s="1071">
        <f>AROS!H163</f>
        <v>12000</v>
      </c>
      <c r="G78" s="1095">
        <f t="shared" si="2"/>
        <v>15600</v>
      </c>
      <c r="H78" s="1091">
        <v>6200</v>
      </c>
      <c r="L78" s="1071">
        <f>AROS!F162</f>
        <v>1711</v>
      </c>
      <c r="M78" s="1082">
        <f t="shared" si="3"/>
        <v>2224.3000000000002</v>
      </c>
      <c r="P78" s="1057" t="s">
        <v>2407</v>
      </c>
      <c r="Q78" s="1057" t="s">
        <v>2318</v>
      </c>
      <c r="R78" s="1057" t="s">
        <v>2319</v>
      </c>
      <c r="S78" s="1057" t="s">
        <v>2320</v>
      </c>
    </row>
    <row r="79" spans="1:20" x14ac:dyDescent="0.25">
      <c r="A79" s="1057" t="s">
        <v>2403</v>
      </c>
      <c r="B79" s="1057" t="s">
        <v>2404</v>
      </c>
      <c r="D79" s="1057">
        <v>0</v>
      </c>
      <c r="E79" s="1057">
        <v>5</v>
      </c>
      <c r="F79" s="1071">
        <f>'SALE AROS'!G15</f>
        <v>2800</v>
      </c>
      <c r="G79" s="1095">
        <f t="shared" si="2"/>
        <v>3640</v>
      </c>
      <c r="H79" s="1091">
        <v>3800</v>
      </c>
      <c r="L79" s="1071">
        <f>'SALE AROS'!E13</f>
        <v>1943.7049999999999</v>
      </c>
      <c r="M79" s="1082">
        <f t="shared" si="3"/>
        <v>2526.8164999999999</v>
      </c>
      <c r="P79" s="1057" t="s">
        <v>2404</v>
      </c>
      <c r="Q79" s="1057" t="s">
        <v>2318</v>
      </c>
      <c r="R79" s="1057" t="s">
        <v>2319</v>
      </c>
      <c r="S79" s="1057" t="s">
        <v>2320</v>
      </c>
    </row>
    <row r="80" spans="1:20" x14ac:dyDescent="0.25">
      <c r="A80" s="1057" t="s">
        <v>2408</v>
      </c>
      <c r="B80" s="1057" t="s">
        <v>2409</v>
      </c>
      <c r="D80" s="1057">
        <v>6</v>
      </c>
      <c r="E80" s="1057">
        <v>5</v>
      </c>
      <c r="F80" s="1071">
        <f>AROS!G360</f>
        <v>11000</v>
      </c>
      <c r="G80" s="1095">
        <f t="shared" si="2"/>
        <v>14300</v>
      </c>
      <c r="H80" s="1091">
        <v>5800</v>
      </c>
      <c r="L80" s="1071">
        <f>AROS!E358</f>
        <v>3944.8077879038938</v>
      </c>
      <c r="M80" s="1082">
        <f t="shared" si="3"/>
        <v>5128.2501242750623</v>
      </c>
      <c r="P80" s="1057" t="s">
        <v>2409</v>
      </c>
      <c r="Q80" s="1057" t="s">
        <v>2318</v>
      </c>
      <c r="R80" s="1057" t="s">
        <v>2319</v>
      </c>
      <c r="S80" s="1057" t="s">
        <v>2320</v>
      </c>
    </row>
    <row r="81" spans="1:19" x14ac:dyDescent="0.25">
      <c r="A81" s="1057" t="s">
        <v>2410</v>
      </c>
      <c r="B81" s="1057" t="s">
        <v>2411</v>
      </c>
      <c r="D81" s="1057">
        <v>7</v>
      </c>
      <c r="E81" s="1057">
        <v>5</v>
      </c>
      <c r="F81" s="1071">
        <f>AROS!H197</f>
        <v>20000</v>
      </c>
      <c r="G81" s="1095">
        <f t="shared" si="2"/>
        <v>26000</v>
      </c>
      <c r="H81" s="1091">
        <v>7400</v>
      </c>
      <c r="L81" s="1071">
        <f>AROS!F195</f>
        <v>5539.2259887005648</v>
      </c>
      <c r="M81" s="1082">
        <f t="shared" si="3"/>
        <v>7200.993785310734</v>
      </c>
      <c r="P81" s="1057" t="s">
        <v>2411</v>
      </c>
      <c r="Q81" s="1057" t="s">
        <v>2318</v>
      </c>
      <c r="R81" s="1057" t="s">
        <v>2319</v>
      </c>
      <c r="S81" s="1057" t="s">
        <v>2320</v>
      </c>
    </row>
    <row r="82" spans="1:19" x14ac:dyDescent="0.25">
      <c r="A82" s="1057" t="s">
        <v>2412</v>
      </c>
      <c r="B82" s="1057" t="s">
        <v>2413</v>
      </c>
      <c r="D82" s="1057">
        <v>3</v>
      </c>
      <c r="E82" s="1057">
        <v>5</v>
      </c>
      <c r="F82" s="1096">
        <f>AROS!J441</f>
        <v>31000</v>
      </c>
      <c r="G82" s="1095">
        <f t="shared" si="2"/>
        <v>40300</v>
      </c>
      <c r="H82" s="1091">
        <v>18800</v>
      </c>
      <c r="L82" s="1096">
        <f>AROS!G440</f>
        <v>10728</v>
      </c>
      <c r="M82" s="1096">
        <f t="shared" si="3"/>
        <v>13946.4</v>
      </c>
      <c r="P82" s="1057" t="s">
        <v>2413</v>
      </c>
      <c r="Q82" s="1057" t="s">
        <v>2318</v>
      </c>
      <c r="R82" s="1057" t="s">
        <v>2319</v>
      </c>
      <c r="S82" s="1057" t="s">
        <v>2320</v>
      </c>
    </row>
    <row r="83" spans="1:19" x14ac:dyDescent="0.25">
      <c r="A83" s="1057" t="s">
        <v>2414</v>
      </c>
      <c r="B83" s="1057" t="s">
        <v>2415</v>
      </c>
      <c r="D83" s="1057">
        <v>2</v>
      </c>
      <c r="E83" s="1057">
        <v>5</v>
      </c>
      <c r="F83" s="1071">
        <f>'SALE AROS'!H120</f>
        <v>4000</v>
      </c>
      <c r="G83" s="1095">
        <f t="shared" si="2"/>
        <v>5200</v>
      </c>
      <c r="H83" s="1091">
        <v>5200</v>
      </c>
      <c r="L83" s="1071">
        <f>'SALE AROS'!F119</f>
        <v>1878</v>
      </c>
      <c r="M83" s="1082">
        <f t="shared" si="3"/>
        <v>2441.4</v>
      </c>
      <c r="P83" s="1057" t="s">
        <v>2415</v>
      </c>
      <c r="Q83" s="1057" t="s">
        <v>2318</v>
      </c>
      <c r="R83" s="1057" t="s">
        <v>2319</v>
      </c>
      <c r="S83" s="1057" t="s">
        <v>2320</v>
      </c>
    </row>
    <row r="84" spans="1:19" x14ac:dyDescent="0.25">
      <c r="A84" s="1057" t="s">
        <v>2416</v>
      </c>
      <c r="B84" s="1057" t="s">
        <v>2417</v>
      </c>
      <c r="D84" s="1057">
        <v>23</v>
      </c>
      <c r="E84" s="1057">
        <v>5</v>
      </c>
      <c r="F84" s="1071">
        <f>AROS!H128</f>
        <v>17000</v>
      </c>
      <c r="G84" s="1095">
        <f t="shared" si="2"/>
        <v>22100</v>
      </c>
      <c r="H84" s="1091">
        <v>8000</v>
      </c>
      <c r="L84" s="1071">
        <f>AROS!F127</f>
        <v>5140</v>
      </c>
      <c r="M84" s="1082">
        <f t="shared" si="3"/>
        <v>6682</v>
      </c>
      <c r="P84" s="1057" t="s">
        <v>2417</v>
      </c>
      <c r="Q84" s="1057" t="s">
        <v>2318</v>
      </c>
      <c r="R84" s="1057" t="s">
        <v>2319</v>
      </c>
      <c r="S84" s="1057" t="s">
        <v>2320</v>
      </c>
    </row>
    <row r="85" spans="1:19" x14ac:dyDescent="0.25">
      <c r="A85" s="1057" t="s">
        <v>2418</v>
      </c>
      <c r="B85" s="1057" t="s">
        <v>2419</v>
      </c>
      <c r="D85" s="1057">
        <v>25</v>
      </c>
      <c r="E85" s="1057">
        <v>5</v>
      </c>
      <c r="F85" s="1071">
        <f>AROS!H119</f>
        <v>20000</v>
      </c>
      <c r="G85" s="1095">
        <f t="shared" si="2"/>
        <v>26000</v>
      </c>
      <c r="H85" s="1091">
        <v>9000</v>
      </c>
      <c r="L85" s="1071">
        <f>AROS!F118</f>
        <v>5463</v>
      </c>
      <c r="M85" s="1082">
        <f t="shared" si="3"/>
        <v>7101.9</v>
      </c>
      <c r="P85" s="1057" t="s">
        <v>2419</v>
      </c>
      <c r="Q85" s="1057" t="s">
        <v>2318</v>
      </c>
      <c r="R85" s="1057" t="s">
        <v>2319</v>
      </c>
      <c r="S85" s="1057" t="s">
        <v>2320</v>
      </c>
    </row>
    <row r="86" spans="1:19" x14ac:dyDescent="0.25">
      <c r="A86" s="1057" t="s">
        <v>2420</v>
      </c>
      <c r="B86" s="1057" t="s">
        <v>2421</v>
      </c>
      <c r="D86" s="1057">
        <v>9</v>
      </c>
      <c r="E86" s="1057">
        <v>5</v>
      </c>
      <c r="F86" s="1071">
        <f>AROS!H119</f>
        <v>20000</v>
      </c>
      <c r="G86" s="1095">
        <f t="shared" si="2"/>
        <v>26000</v>
      </c>
      <c r="H86" s="1091">
        <v>9000</v>
      </c>
      <c r="L86" s="1071">
        <f>AROS!F118</f>
        <v>5463</v>
      </c>
      <c r="M86" s="1082">
        <f t="shared" si="3"/>
        <v>7101.9</v>
      </c>
      <c r="P86" s="1057" t="s">
        <v>2421</v>
      </c>
      <c r="Q86" s="1057" t="s">
        <v>2318</v>
      </c>
      <c r="R86" s="1057" t="s">
        <v>2319</v>
      </c>
      <c r="S86" s="1057" t="s">
        <v>2320</v>
      </c>
    </row>
    <row r="87" spans="1:19" x14ac:dyDescent="0.25">
      <c r="A87" s="1057" t="s">
        <v>2422</v>
      </c>
      <c r="B87" s="1057" t="s">
        <v>2423</v>
      </c>
      <c r="D87" s="1057">
        <v>3</v>
      </c>
      <c r="E87" s="1057">
        <v>5</v>
      </c>
      <c r="F87" s="1071">
        <f>AROS!H119</f>
        <v>20000</v>
      </c>
      <c r="G87" s="1095">
        <f t="shared" si="2"/>
        <v>26000</v>
      </c>
      <c r="H87" s="1091">
        <v>9000</v>
      </c>
      <c r="L87" s="1071">
        <f>AROS!F118</f>
        <v>5463</v>
      </c>
      <c r="M87" s="1082">
        <f t="shared" si="3"/>
        <v>7101.9</v>
      </c>
      <c r="P87" s="1057" t="s">
        <v>2423</v>
      </c>
      <c r="Q87" s="1057" t="s">
        <v>2318</v>
      </c>
      <c r="R87" s="1057" t="s">
        <v>2319</v>
      </c>
      <c r="S87" s="1057" t="s">
        <v>2320</v>
      </c>
    </row>
    <row r="88" spans="1:19" x14ac:dyDescent="0.25">
      <c r="A88" s="1057" t="s">
        <v>2430</v>
      </c>
      <c r="B88" s="1057" t="s">
        <v>2431</v>
      </c>
      <c r="D88" s="1057">
        <v>3</v>
      </c>
      <c r="E88" s="1057">
        <v>5</v>
      </c>
      <c r="F88" s="1071">
        <f>AROS!G185</f>
        <v>17000</v>
      </c>
      <c r="G88" s="1095">
        <f t="shared" si="2"/>
        <v>22100</v>
      </c>
      <c r="H88" s="1091">
        <v>8000</v>
      </c>
      <c r="L88" s="1071">
        <f>AROS!E183</f>
        <v>2135.3333333333335</v>
      </c>
      <c r="M88" s="1082">
        <f t="shared" si="3"/>
        <v>2775.9333333333334</v>
      </c>
      <c r="P88" s="1057" t="s">
        <v>2431</v>
      </c>
      <c r="Q88" s="1057" t="s">
        <v>2318</v>
      </c>
      <c r="R88" s="1057" t="s">
        <v>2319</v>
      </c>
      <c r="S88" s="1057" t="s">
        <v>2320</v>
      </c>
    </row>
    <row r="89" spans="1:19" x14ac:dyDescent="0.25">
      <c r="A89" s="1057" t="s">
        <v>2424</v>
      </c>
      <c r="B89" s="1057" t="s">
        <v>2425</v>
      </c>
      <c r="D89" s="1057">
        <v>2</v>
      </c>
      <c r="E89" s="1057">
        <v>5</v>
      </c>
      <c r="F89" s="1071">
        <f>AROS!F11</f>
        <v>0</v>
      </c>
      <c r="G89" s="1095">
        <f t="shared" si="2"/>
        <v>0</v>
      </c>
      <c r="H89" s="1091">
        <v>4000</v>
      </c>
      <c r="L89" s="1071">
        <f>AROS!D9</f>
        <v>2980</v>
      </c>
      <c r="M89" s="1082">
        <f t="shared" si="3"/>
        <v>3874</v>
      </c>
      <c r="P89" s="1057" t="s">
        <v>2425</v>
      </c>
      <c r="Q89" s="1057" t="s">
        <v>2318</v>
      </c>
      <c r="R89" s="1057" t="s">
        <v>2319</v>
      </c>
      <c r="S89" s="1057" t="s">
        <v>2320</v>
      </c>
    </row>
    <row r="90" spans="1:19" x14ac:dyDescent="0.25">
      <c r="A90" s="1057" t="s">
        <v>2428</v>
      </c>
      <c r="B90" s="1057" t="s">
        <v>2429</v>
      </c>
      <c r="D90" s="1057">
        <v>6</v>
      </c>
      <c r="E90" s="1057">
        <v>5</v>
      </c>
      <c r="F90" s="1071">
        <f>AROS!F40</f>
        <v>7600</v>
      </c>
      <c r="G90" s="1095">
        <f t="shared" si="2"/>
        <v>9880</v>
      </c>
      <c r="H90" s="1091">
        <v>4000</v>
      </c>
      <c r="L90" s="1071">
        <f>AROS!D38</f>
        <v>1183</v>
      </c>
      <c r="M90" s="1082">
        <f t="shared" si="3"/>
        <v>1537.9</v>
      </c>
      <c r="P90" s="1057" t="s">
        <v>2429</v>
      </c>
      <c r="Q90" s="1057" t="s">
        <v>2318</v>
      </c>
      <c r="R90" s="1057" t="s">
        <v>2319</v>
      </c>
      <c r="S90" s="1057" t="s">
        <v>2320</v>
      </c>
    </row>
    <row r="91" spans="1:19" x14ac:dyDescent="0.25">
      <c r="A91" s="1057" t="s">
        <v>2426</v>
      </c>
      <c r="B91" s="1057" t="s">
        <v>2427</v>
      </c>
      <c r="D91" s="1057">
        <v>16</v>
      </c>
      <c r="E91" s="1057">
        <v>5</v>
      </c>
      <c r="F91" s="1071">
        <f>AROS!G30</f>
        <v>20000</v>
      </c>
      <c r="G91" s="1095">
        <f t="shared" si="2"/>
        <v>26000</v>
      </c>
      <c r="H91" s="1091">
        <v>5600</v>
      </c>
      <c r="L91" s="1071">
        <f>AROS!E29</f>
        <v>5132</v>
      </c>
      <c r="M91" s="1082">
        <f t="shared" si="3"/>
        <v>6671.6</v>
      </c>
      <c r="P91" s="1057" t="s">
        <v>2427</v>
      </c>
      <c r="Q91" s="1057" t="s">
        <v>2318</v>
      </c>
      <c r="R91" s="1057" t="s">
        <v>2319</v>
      </c>
      <c r="S91" s="1057" t="s">
        <v>2320</v>
      </c>
    </row>
    <row r="92" spans="1:19" x14ac:dyDescent="0.25">
      <c r="A92" s="1057" t="s">
        <v>2432</v>
      </c>
      <c r="B92" s="1057" t="s">
        <v>2433</v>
      </c>
      <c r="D92" s="1057">
        <v>15</v>
      </c>
      <c r="E92" s="1057">
        <v>5</v>
      </c>
      <c r="F92" s="1071">
        <f>AROS!J465</f>
        <v>36000</v>
      </c>
      <c r="G92" s="1095">
        <f t="shared" si="2"/>
        <v>46800</v>
      </c>
      <c r="H92" s="1091">
        <v>18800</v>
      </c>
      <c r="L92" s="1071">
        <f>AROS!G464</f>
        <v>14389</v>
      </c>
      <c r="M92" s="1082">
        <f t="shared" si="3"/>
        <v>18705.7</v>
      </c>
      <c r="P92" s="1057" t="s">
        <v>2433</v>
      </c>
      <c r="Q92" s="1057" t="s">
        <v>2318</v>
      </c>
      <c r="R92" s="1057" t="s">
        <v>2319</v>
      </c>
      <c r="S92" s="1057" t="s">
        <v>2320</v>
      </c>
    </row>
    <row r="93" spans="1:19" x14ac:dyDescent="0.25">
      <c r="A93" s="1057" t="s">
        <v>2434</v>
      </c>
      <c r="B93" s="1057" t="s">
        <v>2435</v>
      </c>
      <c r="D93" s="1057">
        <v>10</v>
      </c>
      <c r="E93" s="1057">
        <v>5</v>
      </c>
      <c r="F93" s="1071">
        <f>'SALE AROS'!G66</f>
        <v>3400</v>
      </c>
      <c r="G93" s="1095">
        <f t="shared" si="2"/>
        <v>4420</v>
      </c>
      <c r="H93" s="1091">
        <v>4400</v>
      </c>
      <c r="L93" s="1071" t="e">
        <f>'SALE AROS'!E64</f>
        <v>#REF!</v>
      </c>
      <c r="M93" s="1082" t="e">
        <f t="shared" si="3"/>
        <v>#REF!</v>
      </c>
      <c r="P93" s="1057" t="s">
        <v>2435</v>
      </c>
      <c r="Q93" s="1057" t="s">
        <v>2318</v>
      </c>
      <c r="R93" s="1057" t="s">
        <v>2319</v>
      </c>
      <c r="S93" s="1057" t="s">
        <v>2320</v>
      </c>
    </row>
    <row r="94" spans="1:19" x14ac:dyDescent="0.25">
      <c r="A94" s="1057" t="s">
        <v>2436</v>
      </c>
      <c r="B94" s="1057" t="s">
        <v>2437</v>
      </c>
      <c r="D94" s="1057">
        <v>6</v>
      </c>
      <c r="E94" s="1057">
        <v>5</v>
      </c>
      <c r="F94" s="1071">
        <f>AROS!T273</f>
        <v>9200</v>
      </c>
      <c r="G94" s="1095">
        <f t="shared" si="2"/>
        <v>11960</v>
      </c>
      <c r="H94" s="1091">
        <v>3000</v>
      </c>
      <c r="L94" s="1071">
        <f>AROS!R271</f>
        <v>2279.2282025819263</v>
      </c>
      <c r="M94" s="1082">
        <f t="shared" si="3"/>
        <v>2962.9966633565041</v>
      </c>
      <c r="P94" s="1057" t="s">
        <v>2437</v>
      </c>
      <c r="Q94" s="1057" t="s">
        <v>2318</v>
      </c>
      <c r="R94" s="1057" t="s">
        <v>2319</v>
      </c>
      <c r="S94" s="1057" t="s">
        <v>2320</v>
      </c>
    </row>
    <row r="95" spans="1:19" x14ac:dyDescent="0.25">
      <c r="A95" s="1057" t="s">
        <v>2438</v>
      </c>
      <c r="B95" s="1057" t="s">
        <v>2439</v>
      </c>
      <c r="D95" s="1057">
        <v>6</v>
      </c>
      <c r="E95" s="1057">
        <v>5</v>
      </c>
      <c r="F95" s="1071">
        <f>'SALE AROS'!R52</f>
        <v>2480</v>
      </c>
      <c r="G95" s="1095">
        <f t="shared" si="2"/>
        <v>3224</v>
      </c>
      <c r="H95" s="1091">
        <v>3400</v>
      </c>
      <c r="L95" s="1071">
        <f>'SALE AROS'!P50</f>
        <v>1746.7</v>
      </c>
      <c r="M95" s="1082">
        <f t="shared" si="3"/>
        <v>2270.71</v>
      </c>
      <c r="P95" s="1057" t="s">
        <v>2439</v>
      </c>
      <c r="Q95" s="1057" t="s">
        <v>2318</v>
      </c>
      <c r="R95" s="1057" t="s">
        <v>2319</v>
      </c>
      <c r="S95" s="1057" t="s">
        <v>2320</v>
      </c>
    </row>
    <row r="96" spans="1:19" x14ac:dyDescent="0.25">
      <c r="A96" s="1057" t="s">
        <v>2440</v>
      </c>
      <c r="B96" s="1057" t="s">
        <v>2441</v>
      </c>
      <c r="D96" s="1057">
        <v>5</v>
      </c>
      <c r="E96" s="1057">
        <v>5</v>
      </c>
      <c r="F96" s="1071">
        <f>'SALE AROS'!R40</f>
        <v>2880</v>
      </c>
      <c r="G96" s="1095">
        <f t="shared" si="2"/>
        <v>3744</v>
      </c>
      <c r="H96" s="1091">
        <v>3600</v>
      </c>
      <c r="L96" s="1071">
        <f>'SALE AROS'!P38</f>
        <v>2973.4583333333335</v>
      </c>
      <c r="M96" s="1082">
        <f t="shared" si="3"/>
        <v>3865.4958333333334</v>
      </c>
      <c r="P96" s="1057" t="s">
        <v>2441</v>
      </c>
      <c r="Q96" s="1057" t="s">
        <v>2318</v>
      </c>
      <c r="R96" s="1057" t="s">
        <v>2319</v>
      </c>
      <c r="S96" s="1057" t="s">
        <v>2320</v>
      </c>
    </row>
    <row r="97" spans="1:19" x14ac:dyDescent="0.25">
      <c r="A97" s="1057" t="s">
        <v>2442</v>
      </c>
      <c r="B97" s="1057" t="s">
        <v>2443</v>
      </c>
      <c r="D97" s="1057">
        <v>2</v>
      </c>
      <c r="E97" s="1057">
        <v>5</v>
      </c>
      <c r="F97" s="1071">
        <f>AROS!T125</f>
        <v>5000</v>
      </c>
      <c r="G97" s="1095">
        <f t="shared" si="2"/>
        <v>6500</v>
      </c>
      <c r="H97" s="1091">
        <v>5200</v>
      </c>
      <c r="L97" s="1071">
        <f>AROS!R113</f>
        <v>2286.666666666667</v>
      </c>
      <c r="M97" s="1082">
        <f t="shared" si="3"/>
        <v>2972.666666666667</v>
      </c>
      <c r="P97" s="1057" t="s">
        <v>2443</v>
      </c>
      <c r="Q97" s="1057" t="s">
        <v>2318</v>
      </c>
      <c r="R97" s="1057" t="s">
        <v>2319</v>
      </c>
      <c r="S97" s="1057" t="s">
        <v>2320</v>
      </c>
    </row>
    <row r="98" spans="1:19" x14ac:dyDescent="0.25">
      <c r="A98" s="1057" t="s">
        <v>2444</v>
      </c>
      <c r="B98" s="1057" t="s">
        <v>2445</v>
      </c>
      <c r="D98" s="1057">
        <v>3</v>
      </c>
      <c r="E98" s="1057">
        <v>5</v>
      </c>
      <c r="F98" s="1071">
        <f>AROS!T41</f>
        <v>0</v>
      </c>
      <c r="G98" s="1095">
        <f t="shared" si="2"/>
        <v>0</v>
      </c>
      <c r="H98" s="1091">
        <v>5200</v>
      </c>
      <c r="L98" s="1071">
        <f>AROS!R39</f>
        <v>2205.6666666666665</v>
      </c>
      <c r="M98" s="1082">
        <f t="shared" si="3"/>
        <v>2867.3666666666663</v>
      </c>
      <c r="P98" s="1057" t="s">
        <v>2445</v>
      </c>
      <c r="Q98" s="1057" t="s">
        <v>2318</v>
      </c>
      <c r="R98" s="1057" t="s">
        <v>2319</v>
      </c>
      <c r="S98" s="1057" t="s">
        <v>2320</v>
      </c>
    </row>
    <row r="99" spans="1:19" x14ac:dyDescent="0.25">
      <c r="A99" s="1057" t="s">
        <v>2446</v>
      </c>
      <c r="B99" s="1057" t="s">
        <v>2447</v>
      </c>
      <c r="D99" s="1057">
        <v>2</v>
      </c>
      <c r="E99" s="1057">
        <v>5</v>
      </c>
      <c r="F99" s="1071">
        <f>AROS!T41</f>
        <v>0</v>
      </c>
      <c r="G99" s="1095">
        <f t="shared" si="2"/>
        <v>0</v>
      </c>
      <c r="H99" s="1091">
        <v>5200</v>
      </c>
      <c r="L99" s="1071">
        <f>AROS!R39</f>
        <v>2205.6666666666665</v>
      </c>
      <c r="M99" s="1082">
        <f t="shared" si="3"/>
        <v>2867.3666666666663</v>
      </c>
      <c r="P99" s="1057" t="s">
        <v>2447</v>
      </c>
      <c r="Q99" s="1057" t="s">
        <v>2318</v>
      </c>
      <c r="R99" s="1057" t="s">
        <v>2319</v>
      </c>
      <c r="S99" s="1057" t="s">
        <v>2320</v>
      </c>
    </row>
    <row r="100" spans="1:19" x14ac:dyDescent="0.25">
      <c r="A100" s="1057" t="s">
        <v>2448</v>
      </c>
      <c r="B100" s="1057" t="s">
        <v>2449</v>
      </c>
      <c r="D100" s="1057">
        <v>1</v>
      </c>
      <c r="E100" s="1057">
        <v>5</v>
      </c>
      <c r="F100" s="1071">
        <f>AROS!T41</f>
        <v>0</v>
      </c>
      <c r="G100" s="1095">
        <f t="shared" si="2"/>
        <v>0</v>
      </c>
      <c r="H100" s="1091">
        <v>5200</v>
      </c>
      <c r="L100" s="1071">
        <f>AROS!R39</f>
        <v>2205.6666666666665</v>
      </c>
      <c r="M100" s="1082">
        <f t="shared" si="3"/>
        <v>2867.3666666666663</v>
      </c>
      <c r="P100" s="1057" t="s">
        <v>2449</v>
      </c>
      <c r="Q100" s="1057" t="s">
        <v>2318</v>
      </c>
      <c r="R100" s="1057" t="s">
        <v>2319</v>
      </c>
      <c r="S100" s="1057" t="s">
        <v>2320</v>
      </c>
    </row>
    <row r="101" spans="1:19" x14ac:dyDescent="0.25">
      <c r="A101" s="1057" t="s">
        <v>2450</v>
      </c>
      <c r="B101" s="1057" t="s">
        <v>2451</v>
      </c>
      <c r="D101" s="1057">
        <v>3</v>
      </c>
      <c r="E101" s="1057">
        <v>5</v>
      </c>
      <c r="F101" s="1071">
        <f>AROS!T41</f>
        <v>0</v>
      </c>
      <c r="G101" s="1095">
        <f t="shared" si="2"/>
        <v>0</v>
      </c>
      <c r="H101" s="1091">
        <v>5200</v>
      </c>
      <c r="L101" s="1071">
        <f>AROS!R39</f>
        <v>2205.6666666666665</v>
      </c>
      <c r="M101" s="1082">
        <f t="shared" si="3"/>
        <v>2867.3666666666663</v>
      </c>
      <c r="P101" s="1057" t="s">
        <v>2451</v>
      </c>
      <c r="Q101" s="1057" t="s">
        <v>2318</v>
      </c>
      <c r="R101" s="1057" t="s">
        <v>2319</v>
      </c>
      <c r="S101" s="1057" t="s">
        <v>2320</v>
      </c>
    </row>
    <row r="102" spans="1:19" x14ac:dyDescent="0.25">
      <c r="A102" s="1057" t="s">
        <v>2452</v>
      </c>
      <c r="B102" s="1057" t="s">
        <v>2453</v>
      </c>
      <c r="D102" s="1057">
        <v>3</v>
      </c>
      <c r="E102" s="1057">
        <v>5</v>
      </c>
      <c r="F102" s="1071">
        <f>AROS!T41</f>
        <v>0</v>
      </c>
      <c r="G102" s="1095">
        <f t="shared" si="2"/>
        <v>0</v>
      </c>
      <c r="H102" s="1091">
        <v>5200</v>
      </c>
      <c r="L102" s="1071">
        <f>AROS!R39</f>
        <v>2205.6666666666665</v>
      </c>
      <c r="M102" s="1082">
        <f t="shared" si="3"/>
        <v>2867.3666666666663</v>
      </c>
      <c r="P102" s="1057" t="s">
        <v>2453</v>
      </c>
      <c r="Q102" s="1057" t="s">
        <v>2318</v>
      </c>
      <c r="R102" s="1057" t="s">
        <v>2319</v>
      </c>
      <c r="S102" s="1057" t="s">
        <v>2320</v>
      </c>
    </row>
    <row r="103" spans="1:19" x14ac:dyDescent="0.25">
      <c r="A103" s="1057" t="s">
        <v>2454</v>
      </c>
      <c r="B103" s="1057" t="s">
        <v>2455</v>
      </c>
      <c r="D103" s="1057">
        <v>3</v>
      </c>
      <c r="E103" s="1057">
        <v>5</v>
      </c>
      <c r="F103" s="1071">
        <f>AROS!T41</f>
        <v>0</v>
      </c>
      <c r="G103" s="1095">
        <f t="shared" si="2"/>
        <v>0</v>
      </c>
      <c r="H103" s="1091">
        <v>5200</v>
      </c>
      <c r="L103" s="1071">
        <f>AROS!R39</f>
        <v>2205.6666666666665</v>
      </c>
      <c r="M103" s="1082">
        <f t="shared" si="3"/>
        <v>2867.3666666666663</v>
      </c>
      <c r="P103" s="1057" t="s">
        <v>2455</v>
      </c>
      <c r="Q103" s="1057" t="s">
        <v>2318</v>
      </c>
      <c r="R103" s="1057" t="s">
        <v>2319</v>
      </c>
      <c r="S103" s="1057" t="s">
        <v>2320</v>
      </c>
    </row>
    <row r="104" spans="1:19" x14ac:dyDescent="0.25">
      <c r="A104" s="1057" t="s">
        <v>2456</v>
      </c>
      <c r="B104" s="1057" t="s">
        <v>2457</v>
      </c>
      <c r="D104" s="1057">
        <v>2</v>
      </c>
      <c r="E104" s="1057">
        <v>5</v>
      </c>
      <c r="F104" s="1071">
        <f>AROS!T41</f>
        <v>0</v>
      </c>
      <c r="G104" s="1095">
        <f t="shared" si="2"/>
        <v>0</v>
      </c>
      <c r="H104" s="1091">
        <v>5200</v>
      </c>
      <c r="L104" s="1071">
        <f>AROS!R39</f>
        <v>2205.6666666666665</v>
      </c>
      <c r="M104" s="1082">
        <f t="shared" si="3"/>
        <v>2867.3666666666663</v>
      </c>
      <c r="P104" s="1057" t="s">
        <v>2457</v>
      </c>
      <c r="Q104" s="1057" t="s">
        <v>2318</v>
      </c>
      <c r="R104" s="1057" t="s">
        <v>2319</v>
      </c>
      <c r="S104" s="1057" t="s">
        <v>2320</v>
      </c>
    </row>
    <row r="105" spans="1:19" x14ac:dyDescent="0.25">
      <c r="A105" s="1057" t="s">
        <v>2458</v>
      </c>
      <c r="B105" s="1057" t="s">
        <v>2459</v>
      </c>
      <c r="D105" s="1057">
        <v>1</v>
      </c>
      <c r="E105" s="1057">
        <v>5</v>
      </c>
      <c r="F105" s="1071">
        <f>AROS!T41</f>
        <v>0</v>
      </c>
      <c r="G105" s="1095">
        <f t="shared" si="2"/>
        <v>0</v>
      </c>
      <c r="H105" s="1091">
        <v>5200</v>
      </c>
      <c r="L105" s="1071">
        <f>AROS!R39</f>
        <v>2205.6666666666665</v>
      </c>
      <c r="M105" s="1082">
        <f t="shared" si="3"/>
        <v>2867.3666666666663</v>
      </c>
      <c r="P105" s="1057" t="s">
        <v>2459</v>
      </c>
      <c r="Q105" s="1057" t="s">
        <v>2318</v>
      </c>
      <c r="R105" s="1057" t="s">
        <v>2319</v>
      </c>
      <c r="S105" s="1057" t="s">
        <v>2320</v>
      </c>
    </row>
    <row r="106" spans="1:19" x14ac:dyDescent="0.25">
      <c r="A106" s="1057" t="s">
        <v>2460</v>
      </c>
      <c r="B106" s="1057" t="s">
        <v>2461</v>
      </c>
      <c r="D106" s="1057">
        <v>5</v>
      </c>
      <c r="E106" s="1057">
        <v>5</v>
      </c>
      <c r="F106" s="1071">
        <f>AROS!T41</f>
        <v>0</v>
      </c>
      <c r="G106" s="1095">
        <f t="shared" si="2"/>
        <v>0</v>
      </c>
      <c r="H106" s="1091">
        <v>5200</v>
      </c>
      <c r="L106" s="1071">
        <f>AROS!R39</f>
        <v>2205.6666666666665</v>
      </c>
      <c r="M106" s="1082">
        <f t="shared" si="3"/>
        <v>2867.3666666666663</v>
      </c>
      <c r="P106" s="1057" t="s">
        <v>2461</v>
      </c>
      <c r="Q106" s="1057" t="s">
        <v>2318</v>
      </c>
      <c r="R106" s="1057" t="s">
        <v>2319</v>
      </c>
      <c r="S106" s="1057" t="s">
        <v>2320</v>
      </c>
    </row>
    <row r="107" spans="1:19" x14ac:dyDescent="0.25">
      <c r="A107" s="1057" t="s">
        <v>2462</v>
      </c>
      <c r="B107" s="1057" t="s">
        <v>2463</v>
      </c>
      <c r="D107" s="1057">
        <v>2</v>
      </c>
      <c r="E107" s="1057">
        <v>5</v>
      </c>
      <c r="F107" s="1071">
        <f>AROS!T41</f>
        <v>0</v>
      </c>
      <c r="G107" s="1095">
        <f t="shared" si="2"/>
        <v>0</v>
      </c>
      <c r="H107" s="1091">
        <v>5200</v>
      </c>
      <c r="L107" s="1071">
        <f>AROS!R39</f>
        <v>2205.6666666666665</v>
      </c>
      <c r="M107" s="1082">
        <f t="shared" si="3"/>
        <v>2867.3666666666663</v>
      </c>
      <c r="P107" s="1057" t="s">
        <v>2463</v>
      </c>
      <c r="Q107" s="1057" t="s">
        <v>2318</v>
      </c>
      <c r="R107" s="1057" t="s">
        <v>2319</v>
      </c>
      <c r="S107" s="1057" t="s">
        <v>2320</v>
      </c>
    </row>
    <row r="108" spans="1:19" x14ac:dyDescent="0.25">
      <c r="A108" s="1057" t="s">
        <v>2464</v>
      </c>
      <c r="B108" s="1057" t="s">
        <v>2465</v>
      </c>
      <c r="D108" s="1057">
        <v>0</v>
      </c>
      <c r="E108" s="1057">
        <v>5</v>
      </c>
      <c r="F108" s="1071">
        <f>AROS!T41</f>
        <v>0</v>
      </c>
      <c r="G108" s="1095">
        <f t="shared" si="2"/>
        <v>0</v>
      </c>
      <c r="H108" s="1091">
        <v>5200</v>
      </c>
      <c r="L108" s="1071">
        <f>AROS!R39</f>
        <v>2205.6666666666665</v>
      </c>
      <c r="M108" s="1082">
        <f t="shared" si="3"/>
        <v>2867.3666666666663</v>
      </c>
      <c r="P108" s="1057" t="s">
        <v>2465</v>
      </c>
      <c r="Q108" s="1057" t="s">
        <v>2318</v>
      </c>
      <c r="R108" s="1057" t="s">
        <v>2319</v>
      </c>
      <c r="S108" s="1057" t="s">
        <v>2320</v>
      </c>
    </row>
    <row r="109" spans="1:19" x14ac:dyDescent="0.25">
      <c r="A109" s="1057" t="s">
        <v>2466</v>
      </c>
      <c r="B109" s="1057" t="s">
        <v>2467</v>
      </c>
      <c r="D109" s="1057">
        <v>2</v>
      </c>
      <c r="E109" s="1057">
        <v>5</v>
      </c>
      <c r="F109" s="1071">
        <f>AROS!T41</f>
        <v>0</v>
      </c>
      <c r="G109" s="1095">
        <f t="shared" si="2"/>
        <v>0</v>
      </c>
      <c r="H109" s="1091">
        <v>5200</v>
      </c>
      <c r="L109" s="1071">
        <f>AROS!R39</f>
        <v>2205.6666666666665</v>
      </c>
      <c r="M109" s="1082">
        <f t="shared" si="3"/>
        <v>2867.3666666666663</v>
      </c>
      <c r="P109" s="1057" t="s">
        <v>2467</v>
      </c>
      <c r="Q109" s="1057" t="s">
        <v>2318</v>
      </c>
      <c r="R109" s="1057" t="s">
        <v>2319</v>
      </c>
      <c r="S109" s="1057" t="s">
        <v>2320</v>
      </c>
    </row>
    <row r="110" spans="1:19" x14ac:dyDescent="0.25">
      <c r="A110" s="1057" t="s">
        <v>2468</v>
      </c>
      <c r="B110" s="1057" t="s">
        <v>2469</v>
      </c>
      <c r="D110" s="1057">
        <v>2</v>
      </c>
      <c r="E110" s="1057">
        <v>5</v>
      </c>
      <c r="F110" s="1071">
        <f>AROS!T41</f>
        <v>0</v>
      </c>
      <c r="G110" s="1095">
        <f t="shared" si="2"/>
        <v>0</v>
      </c>
      <c r="H110" s="1091">
        <v>5200</v>
      </c>
      <c r="L110" s="1071">
        <f>AROS!R39</f>
        <v>2205.6666666666665</v>
      </c>
      <c r="M110" s="1082">
        <f t="shared" si="3"/>
        <v>2867.3666666666663</v>
      </c>
      <c r="P110" s="1057" t="s">
        <v>2469</v>
      </c>
      <c r="Q110" s="1057" t="s">
        <v>2318</v>
      </c>
      <c r="R110" s="1057" t="s">
        <v>2319</v>
      </c>
      <c r="S110" s="1057" t="s">
        <v>2320</v>
      </c>
    </row>
    <row r="111" spans="1:19" x14ac:dyDescent="0.25">
      <c r="A111" s="1057" t="s">
        <v>2470</v>
      </c>
      <c r="B111" s="1057" t="s">
        <v>2471</v>
      </c>
      <c r="D111" s="1057">
        <v>4</v>
      </c>
      <c r="E111" s="1057">
        <v>5</v>
      </c>
      <c r="F111" s="1071">
        <f>AROS!T41</f>
        <v>0</v>
      </c>
      <c r="G111" s="1095">
        <f t="shared" si="2"/>
        <v>0</v>
      </c>
      <c r="H111" s="1091">
        <v>5200</v>
      </c>
      <c r="L111" s="1071">
        <f>AROS!R39</f>
        <v>2205.6666666666665</v>
      </c>
      <c r="M111" s="1082">
        <f t="shared" si="3"/>
        <v>2867.3666666666663</v>
      </c>
      <c r="P111" s="1057" t="s">
        <v>2471</v>
      </c>
      <c r="Q111" s="1057" t="s">
        <v>2318</v>
      </c>
      <c r="R111" s="1057" t="s">
        <v>2319</v>
      </c>
      <c r="S111" s="1057" t="s">
        <v>2320</v>
      </c>
    </row>
    <row r="112" spans="1:19" x14ac:dyDescent="0.25">
      <c r="A112" s="1057" t="s">
        <v>2472</v>
      </c>
      <c r="B112" s="1057" t="s">
        <v>2473</v>
      </c>
      <c r="D112" s="1057">
        <v>1</v>
      </c>
      <c r="E112" s="1057">
        <v>5</v>
      </c>
      <c r="F112" s="1071">
        <f>AROS!T41</f>
        <v>0</v>
      </c>
      <c r="G112" s="1095">
        <f t="shared" si="2"/>
        <v>0</v>
      </c>
      <c r="H112" s="1091">
        <v>5200</v>
      </c>
      <c r="L112" s="1071">
        <f>AROS!R39</f>
        <v>2205.6666666666665</v>
      </c>
      <c r="M112" s="1082">
        <f t="shared" si="3"/>
        <v>2867.3666666666663</v>
      </c>
      <c r="P112" s="1057" t="s">
        <v>2473</v>
      </c>
      <c r="Q112" s="1057" t="s">
        <v>2318</v>
      </c>
      <c r="R112" s="1057" t="s">
        <v>2319</v>
      </c>
      <c r="S112" s="1057" t="s">
        <v>2320</v>
      </c>
    </row>
    <row r="113" spans="1:19" x14ac:dyDescent="0.25">
      <c r="A113" s="1057" t="s">
        <v>2474</v>
      </c>
      <c r="B113" s="1057" t="s">
        <v>2475</v>
      </c>
      <c r="D113" s="1057">
        <v>3</v>
      </c>
      <c r="E113" s="1057">
        <v>5</v>
      </c>
      <c r="F113" s="1071">
        <f>AROS!T41</f>
        <v>0</v>
      </c>
      <c r="G113" s="1095">
        <f t="shared" si="2"/>
        <v>0</v>
      </c>
      <c r="H113" s="1091">
        <v>5200</v>
      </c>
      <c r="L113" s="1071">
        <f>AROS!R39</f>
        <v>2205.6666666666665</v>
      </c>
      <c r="M113" s="1082">
        <f t="shared" si="3"/>
        <v>2867.3666666666663</v>
      </c>
      <c r="P113" s="1057" t="s">
        <v>2475</v>
      </c>
      <c r="Q113" s="1057" t="s">
        <v>2318</v>
      </c>
      <c r="R113" s="1057" t="s">
        <v>2319</v>
      </c>
      <c r="S113" s="1057" t="s">
        <v>2320</v>
      </c>
    </row>
    <row r="114" spans="1:19" x14ac:dyDescent="0.25">
      <c r="A114" s="1057" t="s">
        <v>2476</v>
      </c>
      <c r="B114" s="1057" t="s">
        <v>2477</v>
      </c>
      <c r="D114" s="1057">
        <v>5</v>
      </c>
      <c r="E114" s="1057">
        <v>5</v>
      </c>
      <c r="F114" s="1071">
        <f>AROS!T41</f>
        <v>0</v>
      </c>
      <c r="G114" s="1095">
        <f t="shared" si="2"/>
        <v>0</v>
      </c>
      <c r="H114" s="1091">
        <v>5200</v>
      </c>
      <c r="L114" s="1071">
        <f>AROS!R39</f>
        <v>2205.6666666666665</v>
      </c>
      <c r="M114" s="1082">
        <f t="shared" si="3"/>
        <v>2867.3666666666663</v>
      </c>
      <c r="P114" s="1057" t="s">
        <v>2477</v>
      </c>
      <c r="Q114" s="1057" t="s">
        <v>2318</v>
      </c>
      <c r="R114" s="1057" t="s">
        <v>2319</v>
      </c>
      <c r="S114" s="1057" t="s">
        <v>2320</v>
      </c>
    </row>
    <row r="115" spans="1:19" x14ac:dyDescent="0.25">
      <c r="A115" s="1057" t="s">
        <v>2478</v>
      </c>
      <c r="B115" s="1057" t="s">
        <v>2479</v>
      </c>
      <c r="D115" s="1057">
        <v>3</v>
      </c>
      <c r="E115" s="1057">
        <v>5</v>
      </c>
      <c r="F115" s="1071">
        <f>AROS!T41</f>
        <v>0</v>
      </c>
      <c r="G115" s="1095">
        <f t="shared" si="2"/>
        <v>0</v>
      </c>
      <c r="H115" s="1091">
        <v>5200</v>
      </c>
      <c r="L115" s="1071">
        <f>AROS!R39</f>
        <v>2205.6666666666665</v>
      </c>
      <c r="M115" s="1082">
        <f t="shared" si="3"/>
        <v>2867.3666666666663</v>
      </c>
      <c r="P115" s="1057" t="s">
        <v>2479</v>
      </c>
      <c r="Q115" s="1057" t="s">
        <v>2318</v>
      </c>
      <c r="R115" s="1057" t="s">
        <v>2319</v>
      </c>
      <c r="S115" s="1057" t="s">
        <v>2320</v>
      </c>
    </row>
    <row r="116" spans="1:19" x14ac:dyDescent="0.25">
      <c r="A116" s="1057" t="s">
        <v>2480</v>
      </c>
      <c r="B116" s="1057" t="s">
        <v>2481</v>
      </c>
      <c r="D116" s="1057">
        <v>3</v>
      </c>
      <c r="E116" s="1057">
        <v>5</v>
      </c>
      <c r="F116" s="1071">
        <f>AROS!T41</f>
        <v>0</v>
      </c>
      <c r="G116" s="1095">
        <f t="shared" si="2"/>
        <v>0</v>
      </c>
      <c r="H116" s="1091">
        <v>5200</v>
      </c>
      <c r="L116" s="1071">
        <f>AROS!R39</f>
        <v>2205.6666666666665</v>
      </c>
      <c r="M116" s="1082">
        <f t="shared" si="3"/>
        <v>2867.3666666666663</v>
      </c>
      <c r="P116" s="1057" t="s">
        <v>2481</v>
      </c>
      <c r="Q116" s="1057" t="s">
        <v>2318</v>
      </c>
      <c r="R116" s="1057" t="s">
        <v>2319</v>
      </c>
      <c r="S116" s="1057" t="s">
        <v>2320</v>
      </c>
    </row>
    <row r="117" spans="1:19" x14ac:dyDescent="0.25">
      <c r="A117" s="1057" t="s">
        <v>2482</v>
      </c>
      <c r="B117" s="1057" t="s">
        <v>2483</v>
      </c>
      <c r="D117" s="1057">
        <v>1</v>
      </c>
      <c r="E117" s="1057">
        <v>5</v>
      </c>
      <c r="F117" s="1071">
        <f>AROS!T41</f>
        <v>0</v>
      </c>
      <c r="G117" s="1095">
        <f t="shared" si="2"/>
        <v>0</v>
      </c>
      <c r="H117" s="1091">
        <v>5200</v>
      </c>
      <c r="L117" s="1071">
        <f>AROS!R39</f>
        <v>2205.6666666666665</v>
      </c>
      <c r="M117" s="1082">
        <f t="shared" si="3"/>
        <v>2867.3666666666663</v>
      </c>
      <c r="P117" s="1057" t="s">
        <v>2483</v>
      </c>
      <c r="Q117" s="1057" t="s">
        <v>2318</v>
      </c>
      <c r="R117" s="1057" t="s">
        <v>2319</v>
      </c>
      <c r="S117" s="1057" t="s">
        <v>2320</v>
      </c>
    </row>
    <row r="118" spans="1:19" x14ac:dyDescent="0.25">
      <c r="A118" s="1057" t="s">
        <v>2484</v>
      </c>
      <c r="B118" s="1057" t="s">
        <v>2485</v>
      </c>
      <c r="D118" s="1057">
        <v>1</v>
      </c>
      <c r="E118" s="1057">
        <v>5</v>
      </c>
      <c r="F118" s="1071">
        <f>AROS!T41</f>
        <v>0</v>
      </c>
      <c r="G118" s="1095">
        <f t="shared" si="2"/>
        <v>0</v>
      </c>
      <c r="H118" s="1091">
        <v>5200</v>
      </c>
      <c r="L118" s="1071">
        <f>AROS!R39</f>
        <v>2205.6666666666665</v>
      </c>
      <c r="M118" s="1082">
        <f t="shared" si="3"/>
        <v>2867.3666666666663</v>
      </c>
      <c r="P118" s="1057" t="s">
        <v>2485</v>
      </c>
      <c r="Q118" s="1057" t="s">
        <v>2318</v>
      </c>
      <c r="R118" s="1057" t="s">
        <v>2319</v>
      </c>
      <c r="S118" s="1057" t="s">
        <v>2320</v>
      </c>
    </row>
    <row r="119" spans="1:19" x14ac:dyDescent="0.25">
      <c r="A119" s="1057" t="s">
        <v>2486</v>
      </c>
      <c r="B119" s="1057" t="s">
        <v>2487</v>
      </c>
      <c r="D119" s="1057">
        <v>2</v>
      </c>
      <c r="E119" s="1057">
        <v>5</v>
      </c>
      <c r="F119" s="1071">
        <f>AROS!T41</f>
        <v>0</v>
      </c>
      <c r="G119" s="1095">
        <f t="shared" si="2"/>
        <v>0</v>
      </c>
      <c r="H119" s="1091">
        <v>5200</v>
      </c>
      <c r="L119" s="1071">
        <f>AROS!R39</f>
        <v>2205.6666666666665</v>
      </c>
      <c r="M119" s="1082">
        <f t="shared" si="3"/>
        <v>2867.3666666666663</v>
      </c>
      <c r="P119" s="1057" t="s">
        <v>2487</v>
      </c>
      <c r="Q119" s="1057" t="s">
        <v>2318</v>
      </c>
      <c r="R119" s="1057" t="s">
        <v>2319</v>
      </c>
      <c r="S119" s="1057" t="s">
        <v>2320</v>
      </c>
    </row>
    <row r="120" spans="1:19" x14ac:dyDescent="0.25">
      <c r="A120" s="1057" t="s">
        <v>2488</v>
      </c>
      <c r="B120" s="1057" t="s">
        <v>2489</v>
      </c>
      <c r="D120" s="1057">
        <v>2</v>
      </c>
      <c r="E120" s="1057">
        <v>5</v>
      </c>
      <c r="F120" s="1071">
        <f>AROS!T41</f>
        <v>0</v>
      </c>
      <c r="G120" s="1095">
        <f t="shared" si="2"/>
        <v>0</v>
      </c>
      <c r="H120" s="1091">
        <v>5200</v>
      </c>
      <c r="L120" s="1071">
        <f>AROS!R39</f>
        <v>2205.6666666666665</v>
      </c>
      <c r="M120" s="1082">
        <f t="shared" si="3"/>
        <v>2867.3666666666663</v>
      </c>
      <c r="P120" s="1057" t="s">
        <v>2489</v>
      </c>
      <c r="Q120" s="1057" t="s">
        <v>2318</v>
      </c>
      <c r="R120" s="1057" t="s">
        <v>2319</v>
      </c>
      <c r="S120" s="1057" t="s">
        <v>2320</v>
      </c>
    </row>
    <row r="121" spans="1:19" x14ac:dyDescent="0.25">
      <c r="A121" s="1057" t="s">
        <v>2490</v>
      </c>
      <c r="B121" s="1057" t="s">
        <v>2491</v>
      </c>
      <c r="D121" s="1057">
        <v>1</v>
      </c>
      <c r="E121" s="1057">
        <v>5</v>
      </c>
      <c r="F121" s="1071">
        <f>AROS!T41</f>
        <v>0</v>
      </c>
      <c r="G121" s="1095">
        <f t="shared" si="2"/>
        <v>0</v>
      </c>
      <c r="H121" s="1091">
        <v>5200</v>
      </c>
      <c r="L121" s="1071">
        <f>AROS!R39</f>
        <v>2205.6666666666665</v>
      </c>
      <c r="M121" s="1082">
        <f t="shared" si="3"/>
        <v>2867.3666666666663</v>
      </c>
      <c r="P121" s="1057" t="s">
        <v>2491</v>
      </c>
      <c r="Q121" s="1057" t="s">
        <v>2318</v>
      </c>
      <c r="R121" s="1057" t="s">
        <v>2319</v>
      </c>
      <c r="S121" s="1057" t="s">
        <v>2320</v>
      </c>
    </row>
    <row r="122" spans="1:19" x14ac:dyDescent="0.25">
      <c r="A122" s="1057" t="s">
        <v>2492</v>
      </c>
      <c r="B122" s="1057" t="s">
        <v>2493</v>
      </c>
      <c r="D122" s="1057">
        <v>9</v>
      </c>
      <c r="E122" s="1057">
        <v>5</v>
      </c>
      <c r="F122" s="1071">
        <f>AROS!T153</f>
        <v>7200</v>
      </c>
      <c r="G122" s="1095">
        <f t="shared" si="2"/>
        <v>9360</v>
      </c>
      <c r="H122" s="1091">
        <v>5200</v>
      </c>
      <c r="L122" s="1071">
        <f>AROS!R152</f>
        <v>2526</v>
      </c>
      <c r="M122" s="1082">
        <f t="shared" si="3"/>
        <v>3283.8</v>
      </c>
      <c r="P122" s="1057" t="s">
        <v>2493</v>
      </c>
      <c r="Q122" s="1057" t="s">
        <v>2318</v>
      </c>
      <c r="R122" s="1057" t="s">
        <v>2319</v>
      </c>
      <c r="S122" s="1057" t="s">
        <v>2320</v>
      </c>
    </row>
    <row r="123" spans="1:19" x14ac:dyDescent="0.25">
      <c r="A123" s="1057" t="s">
        <v>2494</v>
      </c>
      <c r="B123" s="1057" t="s">
        <v>2495</v>
      </c>
      <c r="D123" s="1057">
        <v>7</v>
      </c>
      <c r="E123" s="1057">
        <v>5</v>
      </c>
      <c r="F123" s="1071">
        <f>'SALE AROS'!R27</f>
        <v>2480</v>
      </c>
      <c r="G123" s="1095">
        <f t="shared" si="2"/>
        <v>3224</v>
      </c>
      <c r="H123" s="1091">
        <v>3400</v>
      </c>
      <c r="L123" s="1071">
        <f>'SALE AROS'!P25</f>
        <v>2157.2333333333336</v>
      </c>
      <c r="M123" s="1082">
        <f t="shared" si="3"/>
        <v>2804.4033333333336</v>
      </c>
      <c r="P123" s="1057" t="s">
        <v>2495</v>
      </c>
      <c r="Q123" s="1057" t="s">
        <v>2318</v>
      </c>
      <c r="R123" s="1057" t="s">
        <v>2319</v>
      </c>
      <c r="S123" s="1057" t="s">
        <v>2320</v>
      </c>
    </row>
    <row r="124" spans="1:19" x14ac:dyDescent="0.25">
      <c r="A124" s="1057" t="s">
        <v>2496</v>
      </c>
      <c r="B124" s="1057" t="s">
        <v>2497</v>
      </c>
      <c r="D124" s="1057">
        <v>3</v>
      </c>
      <c r="E124" s="1057">
        <v>5</v>
      </c>
      <c r="F124" s="1071">
        <f>AROS!T87</f>
        <v>8000</v>
      </c>
      <c r="G124" s="1095">
        <f t="shared" si="2"/>
        <v>10400</v>
      </c>
      <c r="H124" s="1091">
        <v>6000</v>
      </c>
      <c r="L124" s="1071">
        <f>AROS!R86</f>
        <v>2169.2600000000002</v>
      </c>
      <c r="M124" s="1082">
        <f t="shared" si="3"/>
        <v>2820.0380000000005</v>
      </c>
      <c r="P124" s="1057" t="s">
        <v>2497</v>
      </c>
      <c r="Q124" s="1057" t="s">
        <v>2318</v>
      </c>
      <c r="R124" s="1057" t="s">
        <v>2319</v>
      </c>
      <c r="S124" s="1057" t="s">
        <v>2320</v>
      </c>
    </row>
    <row r="125" spans="1:19" x14ac:dyDescent="0.25">
      <c r="A125" s="1057" t="s">
        <v>2498</v>
      </c>
      <c r="B125" s="1057" t="s">
        <v>2499</v>
      </c>
      <c r="D125" s="1057">
        <v>1</v>
      </c>
      <c r="E125" s="1057">
        <v>5</v>
      </c>
      <c r="F125" s="1071">
        <f>AROS!T115</f>
        <v>7800</v>
      </c>
      <c r="G125" s="1095">
        <f t="shared" si="2"/>
        <v>10140</v>
      </c>
      <c r="H125" s="1091">
        <v>4200</v>
      </c>
      <c r="L125" s="1071">
        <f>AROS!R113</f>
        <v>2286.666666666667</v>
      </c>
      <c r="M125" s="1082">
        <f t="shared" si="3"/>
        <v>2972.666666666667</v>
      </c>
      <c r="P125" s="1057" t="s">
        <v>2499</v>
      </c>
      <c r="Q125" s="1057" t="s">
        <v>2318</v>
      </c>
      <c r="R125" s="1057" t="s">
        <v>2319</v>
      </c>
      <c r="S125" s="1057" t="s">
        <v>2320</v>
      </c>
    </row>
    <row r="126" spans="1:19" x14ac:dyDescent="0.25">
      <c r="A126" s="1057" t="s">
        <v>2500</v>
      </c>
      <c r="B126" s="1057" t="s">
        <v>2501</v>
      </c>
      <c r="D126" s="1057">
        <v>5</v>
      </c>
      <c r="E126" s="1057">
        <v>5</v>
      </c>
      <c r="F126" s="1071">
        <f>'SALE AROS'!R62</f>
        <v>2500</v>
      </c>
      <c r="G126" s="1095">
        <f t="shared" si="2"/>
        <v>3250</v>
      </c>
      <c r="H126" s="1091">
        <v>4000</v>
      </c>
      <c r="L126" s="1071">
        <f>'SALE AROS'!P60</f>
        <v>2370</v>
      </c>
      <c r="M126" s="1082">
        <f t="shared" si="3"/>
        <v>3081</v>
      </c>
      <c r="P126" s="1057" t="s">
        <v>2501</v>
      </c>
      <c r="Q126" s="1057" t="s">
        <v>2318</v>
      </c>
      <c r="R126" s="1057" t="s">
        <v>2319</v>
      </c>
      <c r="S126" s="1057" t="s">
        <v>2320</v>
      </c>
    </row>
    <row r="127" spans="1:19" x14ac:dyDescent="0.25">
      <c r="A127" s="1057" t="s">
        <v>2502</v>
      </c>
      <c r="B127" s="1057" t="s">
        <v>2503</v>
      </c>
      <c r="D127" s="1057">
        <v>10</v>
      </c>
      <c r="E127" s="1057">
        <v>5</v>
      </c>
      <c r="F127" s="1071">
        <f>'SALE AROS'!R62</f>
        <v>2500</v>
      </c>
      <c r="G127" s="1095">
        <f t="shared" si="2"/>
        <v>3250</v>
      </c>
      <c r="H127" s="1091">
        <v>4000</v>
      </c>
      <c r="L127" s="1071">
        <f>'SALE AROS'!P60</f>
        <v>2370</v>
      </c>
      <c r="M127" s="1082">
        <f t="shared" si="3"/>
        <v>3081</v>
      </c>
      <c r="P127" s="1057" t="s">
        <v>2503</v>
      </c>
      <c r="Q127" s="1057" t="s">
        <v>2318</v>
      </c>
      <c r="R127" s="1057" t="s">
        <v>2319</v>
      </c>
      <c r="S127" s="1057" t="s">
        <v>2320</v>
      </c>
    </row>
    <row r="128" spans="1:19" x14ac:dyDescent="0.25">
      <c r="A128" s="1057" t="s">
        <v>2504</v>
      </c>
      <c r="B128" s="1057" t="s">
        <v>2505</v>
      </c>
      <c r="D128" s="1057">
        <v>7</v>
      </c>
      <c r="E128" s="1057">
        <v>5</v>
      </c>
      <c r="F128" s="1071">
        <f>AROS!T31</f>
        <v>11000</v>
      </c>
      <c r="G128" s="1095">
        <f t="shared" si="2"/>
        <v>14300</v>
      </c>
      <c r="H128" s="1091">
        <v>4200</v>
      </c>
      <c r="L128" s="1071">
        <f>AROS!R29</f>
        <v>1991.8471428571429</v>
      </c>
      <c r="M128" s="1082">
        <f t="shared" si="3"/>
        <v>2589.4012857142857</v>
      </c>
      <c r="P128" s="1057" t="s">
        <v>2505</v>
      </c>
      <c r="Q128" s="1057" t="s">
        <v>2318</v>
      </c>
      <c r="R128" s="1057" t="s">
        <v>2319</v>
      </c>
      <c r="S128" s="1057" t="s">
        <v>2320</v>
      </c>
    </row>
    <row r="129" spans="1:20" x14ac:dyDescent="0.25">
      <c r="A129" s="1057" t="s">
        <v>2506</v>
      </c>
      <c r="B129" s="1057" t="s">
        <v>2507</v>
      </c>
      <c r="D129" s="1057">
        <v>8</v>
      </c>
      <c r="E129" s="1057">
        <v>5</v>
      </c>
      <c r="F129" s="1071">
        <f>'SALE AROS'!R75</f>
        <v>2880</v>
      </c>
      <c r="G129" s="1095">
        <f t="shared" si="2"/>
        <v>3744</v>
      </c>
      <c r="H129" s="1091">
        <v>4000</v>
      </c>
      <c r="L129" s="1071">
        <f>'SALE AROS'!P73</f>
        <v>3229.9583333333335</v>
      </c>
      <c r="M129" s="1082">
        <f t="shared" si="3"/>
        <v>4198.9458333333332</v>
      </c>
      <c r="P129" s="1057" t="s">
        <v>2507</v>
      </c>
      <c r="Q129" s="1057" t="s">
        <v>2318</v>
      </c>
      <c r="R129" s="1057" t="s">
        <v>2319</v>
      </c>
      <c r="S129" s="1057" t="s">
        <v>2320</v>
      </c>
    </row>
    <row r="130" spans="1:20" x14ac:dyDescent="0.25">
      <c r="A130" s="1057" t="s">
        <v>2508</v>
      </c>
      <c r="B130" s="1057" t="s">
        <v>2509</v>
      </c>
      <c r="D130" s="1057">
        <v>3</v>
      </c>
      <c r="E130" s="1057">
        <v>5</v>
      </c>
      <c r="F130" s="1071">
        <f>AROS!T77</f>
        <v>16000</v>
      </c>
      <c r="G130" s="1095">
        <f t="shared" ref="G130:G193" si="4">F130+F130*30%</f>
        <v>20800</v>
      </c>
      <c r="H130" s="1091">
        <v>6000</v>
      </c>
      <c r="L130" s="1071">
        <f>AROS!R76</f>
        <v>3985</v>
      </c>
      <c r="M130" s="1082">
        <f t="shared" ref="M130:M193" si="5">L130+L130*30%</f>
        <v>5180.5</v>
      </c>
      <c r="P130" s="1057" t="s">
        <v>2509</v>
      </c>
      <c r="Q130" s="1057" t="s">
        <v>2318</v>
      </c>
      <c r="R130" s="1057" t="s">
        <v>2319</v>
      </c>
      <c r="S130" s="1057" t="s">
        <v>2320</v>
      </c>
    </row>
    <row r="131" spans="1:20" x14ac:dyDescent="0.25">
      <c r="A131" s="1057" t="s">
        <v>3063</v>
      </c>
      <c r="B131" s="1057" t="s">
        <v>3064</v>
      </c>
      <c r="C131" s="1057"/>
      <c r="D131" s="1057">
        <v>15</v>
      </c>
      <c r="E131" s="1057">
        <v>5</v>
      </c>
      <c r="F131" s="1071">
        <f>AROS!T239</f>
        <v>11000</v>
      </c>
      <c r="G131" s="1095">
        <f t="shared" si="4"/>
        <v>14300</v>
      </c>
      <c r="H131" s="1091">
        <v>5200</v>
      </c>
      <c r="I131" s="1057"/>
      <c r="J131" s="1057"/>
      <c r="K131" s="1057"/>
      <c r="L131" s="1071">
        <f>AROS!R238</f>
        <v>2275</v>
      </c>
      <c r="M131" s="1082">
        <f t="shared" si="5"/>
        <v>2957.5</v>
      </c>
      <c r="N131" s="1057"/>
      <c r="O131" s="1057"/>
      <c r="P131" s="1057" t="s">
        <v>3064</v>
      </c>
      <c r="Q131" s="1057" t="s">
        <v>2318</v>
      </c>
      <c r="R131" s="1057" t="s">
        <v>2319</v>
      </c>
      <c r="S131" s="1057" t="s">
        <v>2320</v>
      </c>
      <c r="T131" s="1057"/>
    </row>
    <row r="132" spans="1:20" x14ac:dyDescent="0.25">
      <c r="A132" s="1057" t="s">
        <v>3061</v>
      </c>
      <c r="B132" s="1057" t="s">
        <v>3062</v>
      </c>
      <c r="C132" s="1057"/>
      <c r="D132" s="1057">
        <v>19</v>
      </c>
      <c r="E132" s="1057">
        <v>5</v>
      </c>
      <c r="F132" s="1071">
        <f>AROS!T230</f>
        <v>8600</v>
      </c>
      <c r="G132" s="1095">
        <f t="shared" si="4"/>
        <v>11180</v>
      </c>
      <c r="H132" s="1091">
        <v>6000</v>
      </c>
      <c r="I132" s="1057"/>
      <c r="J132" s="1057"/>
      <c r="K132" s="1057"/>
      <c r="L132" s="1071">
        <f>AROS!R229</f>
        <v>2595</v>
      </c>
      <c r="M132" s="1082">
        <f t="shared" si="5"/>
        <v>3373.5</v>
      </c>
      <c r="N132" s="1057"/>
      <c r="O132" s="1057"/>
      <c r="P132" s="1057" t="s">
        <v>3062</v>
      </c>
      <c r="Q132" s="1057" t="s">
        <v>2318</v>
      </c>
      <c r="R132" s="1057" t="s">
        <v>2319</v>
      </c>
      <c r="S132" s="1057" t="s">
        <v>2320</v>
      </c>
      <c r="T132" s="1057"/>
    </row>
    <row r="133" spans="1:20" x14ac:dyDescent="0.25">
      <c r="A133" s="1057" t="s">
        <v>2512</v>
      </c>
      <c r="B133" s="1057" t="s">
        <v>2513</v>
      </c>
      <c r="D133" s="1057">
        <v>2</v>
      </c>
      <c r="E133" s="1057">
        <v>5</v>
      </c>
      <c r="F133" s="1071">
        <f>AROS!T68</f>
        <v>8600</v>
      </c>
      <c r="G133" s="1095">
        <f t="shared" si="4"/>
        <v>11180</v>
      </c>
      <c r="H133" s="1091">
        <v>6000</v>
      </c>
      <c r="L133" s="1071">
        <f>AROS!R67</f>
        <v>3765</v>
      </c>
      <c r="M133" s="1082">
        <f t="shared" si="5"/>
        <v>4894.5</v>
      </c>
      <c r="P133" s="1057" t="s">
        <v>2513</v>
      </c>
      <c r="Q133" s="1057" t="s">
        <v>2318</v>
      </c>
      <c r="R133" s="1057" t="s">
        <v>2319</v>
      </c>
      <c r="S133" s="1057" t="s">
        <v>2320</v>
      </c>
    </row>
    <row r="134" spans="1:20" x14ac:dyDescent="0.25">
      <c r="A134" s="1057" t="s">
        <v>2514</v>
      </c>
      <c r="B134" s="1057" t="s">
        <v>3043</v>
      </c>
      <c r="D134" s="1057">
        <v>21</v>
      </c>
      <c r="E134" s="1057">
        <v>5</v>
      </c>
      <c r="F134" s="1071">
        <f>AROS!T185</f>
        <v>7200</v>
      </c>
      <c r="G134" s="1095">
        <f t="shared" si="4"/>
        <v>9360</v>
      </c>
      <c r="H134" s="1091">
        <v>6000</v>
      </c>
      <c r="L134" s="1071">
        <f>AROS!R184</f>
        <v>1594.5</v>
      </c>
      <c r="M134" s="1082">
        <f t="shared" si="5"/>
        <v>2072.85</v>
      </c>
      <c r="P134" s="1057" t="s">
        <v>3043</v>
      </c>
      <c r="Q134" s="1057" t="s">
        <v>2318</v>
      </c>
      <c r="R134" s="1057" t="s">
        <v>2319</v>
      </c>
      <c r="S134" s="1057" t="s">
        <v>2320</v>
      </c>
    </row>
    <row r="135" spans="1:20" x14ac:dyDescent="0.25">
      <c r="A135" s="1057" t="s">
        <v>2510</v>
      </c>
      <c r="B135" s="1057" t="s">
        <v>2511</v>
      </c>
      <c r="D135" s="1057">
        <v>11</v>
      </c>
      <c r="E135" s="1057">
        <v>5</v>
      </c>
      <c r="F135" s="1071">
        <f>AROS!T161</f>
        <v>16000</v>
      </c>
      <c r="G135" s="1095">
        <f t="shared" si="4"/>
        <v>20800</v>
      </c>
      <c r="H135" s="1091">
        <v>6000</v>
      </c>
      <c r="L135" s="1071">
        <f>AROS!R160</f>
        <v>3225</v>
      </c>
      <c r="M135" s="1082">
        <f t="shared" si="5"/>
        <v>4192.5</v>
      </c>
      <c r="P135" s="1057" t="s">
        <v>2511</v>
      </c>
      <c r="Q135" s="1057" t="s">
        <v>2318</v>
      </c>
      <c r="R135" s="1057" t="s">
        <v>2319</v>
      </c>
      <c r="S135" s="1057" t="s">
        <v>2320</v>
      </c>
    </row>
    <row r="136" spans="1:20" x14ac:dyDescent="0.25">
      <c r="A136" s="1057" t="s">
        <v>2515</v>
      </c>
      <c r="B136" s="1057" t="s">
        <v>2516</v>
      </c>
      <c r="D136" s="1057">
        <v>5</v>
      </c>
      <c r="E136" s="1057">
        <v>5</v>
      </c>
      <c r="F136" s="1071">
        <f>AROS!T194</f>
        <v>8600</v>
      </c>
      <c r="G136" s="1095">
        <f t="shared" si="4"/>
        <v>11180</v>
      </c>
      <c r="H136" s="1091">
        <v>6000</v>
      </c>
      <c r="L136" s="1071">
        <f>AROS!R193</f>
        <v>2625</v>
      </c>
      <c r="M136" s="1082">
        <f t="shared" si="5"/>
        <v>3412.5</v>
      </c>
      <c r="P136" s="1057" t="s">
        <v>2516</v>
      </c>
      <c r="Q136" s="1057" t="s">
        <v>2318</v>
      </c>
      <c r="R136" s="1057" t="s">
        <v>2319</v>
      </c>
      <c r="S136" s="1057" t="s">
        <v>2320</v>
      </c>
    </row>
    <row r="137" spans="1:20" x14ac:dyDescent="0.25">
      <c r="A137" s="1057" t="s">
        <v>2519</v>
      </c>
      <c r="B137" s="1057" t="s">
        <v>2520</v>
      </c>
      <c r="D137" s="1057">
        <v>5</v>
      </c>
      <c r="E137" s="1057">
        <v>5</v>
      </c>
      <c r="F137" s="1071" t="e">
        <f>AROS!#REF!</f>
        <v>#REF!</v>
      </c>
      <c r="G137" s="1095" t="e">
        <f t="shared" si="4"/>
        <v>#REF!</v>
      </c>
      <c r="H137" s="1091">
        <v>6000</v>
      </c>
      <c r="L137" s="1071" t="e">
        <f>AROS!#REF!</f>
        <v>#REF!</v>
      </c>
      <c r="M137" s="1082" t="e">
        <f t="shared" si="5"/>
        <v>#REF!</v>
      </c>
      <c r="P137" s="1057" t="s">
        <v>2520</v>
      </c>
      <c r="Q137" s="1057" t="s">
        <v>2318</v>
      </c>
      <c r="R137" s="1057" t="s">
        <v>2319</v>
      </c>
      <c r="S137" s="1057" t="s">
        <v>2320</v>
      </c>
    </row>
    <row r="138" spans="1:20" x14ac:dyDescent="0.25">
      <c r="A138" s="1057" t="s">
        <v>2521</v>
      </c>
      <c r="B138" s="1057" t="s">
        <v>2522</v>
      </c>
      <c r="D138" s="1057">
        <v>2</v>
      </c>
      <c r="E138" s="1057">
        <v>5</v>
      </c>
      <c r="F138" s="1071" t="e">
        <f>AROS!#REF!</f>
        <v>#REF!</v>
      </c>
      <c r="G138" s="1095" t="e">
        <f t="shared" si="4"/>
        <v>#REF!</v>
      </c>
      <c r="H138" s="1091">
        <v>6000</v>
      </c>
      <c r="L138" s="1071" t="e">
        <f>AROS!#REF!</f>
        <v>#REF!</v>
      </c>
      <c r="M138" s="1082" t="e">
        <f t="shared" si="5"/>
        <v>#REF!</v>
      </c>
      <c r="P138" s="1057" t="s">
        <v>2522</v>
      </c>
      <c r="Q138" s="1057" t="s">
        <v>2318</v>
      </c>
      <c r="R138" s="1057" t="s">
        <v>2319</v>
      </c>
      <c r="S138" s="1057" t="s">
        <v>2320</v>
      </c>
    </row>
    <row r="139" spans="1:20" x14ac:dyDescent="0.25">
      <c r="A139" s="1057" t="s">
        <v>2517</v>
      </c>
      <c r="B139" s="1057" t="s">
        <v>2518</v>
      </c>
      <c r="D139" s="1057">
        <v>3</v>
      </c>
      <c r="E139" s="1057">
        <v>5</v>
      </c>
      <c r="F139" s="1071">
        <f>AROS!T144</f>
        <v>16000</v>
      </c>
      <c r="G139" s="1095">
        <f t="shared" si="4"/>
        <v>20800</v>
      </c>
      <c r="H139" s="1091">
        <v>6000</v>
      </c>
      <c r="L139" s="1071">
        <f>AROS!R143</f>
        <v>4165</v>
      </c>
      <c r="M139" s="1082">
        <f t="shared" si="5"/>
        <v>5414.5</v>
      </c>
      <c r="P139" s="1057" t="s">
        <v>2518</v>
      </c>
      <c r="Q139" s="1057" t="s">
        <v>2318</v>
      </c>
      <c r="R139" s="1057" t="s">
        <v>2319</v>
      </c>
      <c r="S139" s="1057" t="s">
        <v>2320</v>
      </c>
    </row>
    <row r="140" spans="1:20" x14ac:dyDescent="0.25">
      <c r="A140" s="1057" t="s">
        <v>2523</v>
      </c>
      <c r="B140" s="1057" t="s">
        <v>2524</v>
      </c>
      <c r="D140" s="1057">
        <v>9</v>
      </c>
      <c r="E140" s="1057">
        <v>5</v>
      </c>
      <c r="F140" s="1071">
        <f>AROS!T125</f>
        <v>5000</v>
      </c>
      <c r="G140" s="1095">
        <f t="shared" si="4"/>
        <v>6500</v>
      </c>
      <c r="H140" s="1091">
        <v>5200</v>
      </c>
      <c r="L140" s="1071">
        <f>AROS!R123</f>
        <v>2339</v>
      </c>
      <c r="M140" s="1082">
        <f t="shared" si="5"/>
        <v>3040.7</v>
      </c>
      <c r="P140" s="1057" t="s">
        <v>2524</v>
      </c>
      <c r="Q140" s="1057" t="s">
        <v>2318</v>
      </c>
      <c r="R140" s="1057" t="s">
        <v>2319</v>
      </c>
      <c r="S140" s="1057" t="s">
        <v>2320</v>
      </c>
    </row>
    <row r="141" spans="1:20" x14ac:dyDescent="0.25">
      <c r="A141" s="1057" t="s">
        <v>2525</v>
      </c>
      <c r="B141" s="1057" t="s">
        <v>2526</v>
      </c>
      <c r="D141" s="1057">
        <v>5</v>
      </c>
      <c r="E141" s="1057">
        <v>5</v>
      </c>
      <c r="F141" s="1071">
        <f>AROS!T125</f>
        <v>5000</v>
      </c>
      <c r="G141" s="1095">
        <f t="shared" si="4"/>
        <v>6500</v>
      </c>
      <c r="H141" s="1091">
        <v>5200</v>
      </c>
      <c r="L141" s="1071">
        <f>AROS!R123</f>
        <v>2339</v>
      </c>
      <c r="M141" s="1082">
        <f t="shared" si="5"/>
        <v>3040.7</v>
      </c>
      <c r="P141" s="1057" t="s">
        <v>2526</v>
      </c>
      <c r="Q141" s="1057" t="s">
        <v>2318</v>
      </c>
      <c r="R141" s="1057" t="s">
        <v>2319</v>
      </c>
      <c r="S141" s="1057" t="s">
        <v>2320</v>
      </c>
    </row>
    <row r="142" spans="1:20" x14ac:dyDescent="0.25">
      <c r="A142" s="1057" t="s">
        <v>2527</v>
      </c>
      <c r="B142" s="1057" t="s">
        <v>2528</v>
      </c>
      <c r="D142" s="1057">
        <v>0</v>
      </c>
      <c r="E142" s="1057">
        <v>5</v>
      </c>
      <c r="F142" s="1071">
        <f>AROS!T125</f>
        <v>5000</v>
      </c>
      <c r="G142" s="1095">
        <f t="shared" si="4"/>
        <v>6500</v>
      </c>
      <c r="H142" s="1091">
        <v>5200</v>
      </c>
      <c r="L142" s="1071">
        <f>AROS!R123</f>
        <v>2339</v>
      </c>
      <c r="M142" s="1082">
        <f t="shared" si="5"/>
        <v>3040.7</v>
      </c>
      <c r="P142" s="1057" t="s">
        <v>2528</v>
      </c>
      <c r="Q142" s="1057" t="s">
        <v>2318</v>
      </c>
      <c r="R142" s="1057" t="s">
        <v>2319</v>
      </c>
      <c r="S142" s="1057" t="s">
        <v>2320</v>
      </c>
    </row>
    <row r="143" spans="1:20" x14ac:dyDescent="0.25">
      <c r="A143" s="1057" t="s">
        <v>2531</v>
      </c>
      <c r="B143" s="1057" t="s">
        <v>2532</v>
      </c>
      <c r="D143" s="1057">
        <v>23</v>
      </c>
      <c r="E143" s="1057">
        <v>5</v>
      </c>
      <c r="F143" s="1071">
        <f>AROS!T177</f>
        <v>7200</v>
      </c>
      <c r="G143" s="1095">
        <f t="shared" si="4"/>
        <v>9360</v>
      </c>
      <c r="H143" s="1091">
        <v>6000</v>
      </c>
      <c r="L143" s="1071">
        <f>AROS!R176</f>
        <v>1555</v>
      </c>
      <c r="M143" s="1082">
        <f t="shared" si="5"/>
        <v>2021.5</v>
      </c>
      <c r="P143" s="1057" t="s">
        <v>2532</v>
      </c>
      <c r="Q143" s="1057" t="s">
        <v>2318</v>
      </c>
      <c r="R143" s="1057" t="s">
        <v>2319</v>
      </c>
      <c r="S143" s="1057" t="s">
        <v>2320</v>
      </c>
    </row>
    <row r="144" spans="1:20" x14ac:dyDescent="0.25">
      <c r="A144" s="1057" t="s">
        <v>2529</v>
      </c>
      <c r="B144" s="1057" t="s">
        <v>2530</v>
      </c>
      <c r="D144" s="1057">
        <v>23</v>
      </c>
      <c r="E144" s="1057">
        <v>5</v>
      </c>
      <c r="F144" s="1071">
        <f>AROS!T169</f>
        <v>7200</v>
      </c>
      <c r="G144" s="1095">
        <f t="shared" si="4"/>
        <v>9360</v>
      </c>
      <c r="H144" s="1091">
        <v>6000</v>
      </c>
      <c r="L144" s="1071">
        <f>AROS!R168</f>
        <v>1555</v>
      </c>
      <c r="M144" s="1082">
        <f t="shared" si="5"/>
        <v>2021.5</v>
      </c>
      <c r="P144" s="1057" t="s">
        <v>2530</v>
      </c>
      <c r="Q144" s="1057" t="s">
        <v>2318</v>
      </c>
      <c r="R144" s="1057" t="s">
        <v>2319</v>
      </c>
      <c r="S144" s="1057" t="s">
        <v>2320</v>
      </c>
    </row>
    <row r="145" spans="1:20" x14ac:dyDescent="0.25">
      <c r="A145" s="1057" t="s">
        <v>2533</v>
      </c>
      <c r="B145" s="1057" t="s">
        <v>2534</v>
      </c>
      <c r="D145" s="1057">
        <v>8</v>
      </c>
      <c r="E145" s="1057">
        <v>5</v>
      </c>
      <c r="F145" s="1071">
        <f>AROS!T96</f>
        <v>8600</v>
      </c>
      <c r="G145" s="1095">
        <f t="shared" si="4"/>
        <v>11180</v>
      </c>
      <c r="H145" s="1091">
        <v>6000</v>
      </c>
      <c r="L145" s="1071">
        <f>AROS!R95</f>
        <v>2237</v>
      </c>
      <c r="M145" s="1082">
        <f t="shared" si="5"/>
        <v>2908.1</v>
      </c>
      <c r="P145" s="1057" t="s">
        <v>2534</v>
      </c>
      <c r="Q145" s="1057" t="s">
        <v>2318</v>
      </c>
      <c r="R145" s="1057" t="s">
        <v>2319</v>
      </c>
      <c r="S145" s="1057" t="s">
        <v>2320</v>
      </c>
    </row>
    <row r="146" spans="1:20" x14ac:dyDescent="0.25">
      <c r="A146" s="1057" t="s">
        <v>3059</v>
      </c>
      <c r="B146" s="1057" t="s">
        <v>3060</v>
      </c>
      <c r="C146" s="1057"/>
      <c r="D146" s="1057">
        <v>10</v>
      </c>
      <c r="E146" s="1057">
        <v>5</v>
      </c>
      <c r="F146" s="1071">
        <f>AROS!T204</f>
        <v>8600</v>
      </c>
      <c r="G146" s="1095">
        <f t="shared" si="4"/>
        <v>11180</v>
      </c>
      <c r="H146" s="1091">
        <v>6000</v>
      </c>
      <c r="I146" s="1057"/>
      <c r="J146" s="1057"/>
      <c r="K146" s="1057"/>
      <c r="L146" s="1071">
        <f>AROS!R203</f>
        <v>3989</v>
      </c>
      <c r="M146" s="1082">
        <f t="shared" si="5"/>
        <v>5185.7</v>
      </c>
      <c r="N146" s="1057"/>
      <c r="O146" s="1057"/>
      <c r="P146" s="1057" t="s">
        <v>3060</v>
      </c>
      <c r="Q146" s="1057" t="s">
        <v>2318</v>
      </c>
      <c r="R146" s="1057" t="s">
        <v>2319</v>
      </c>
      <c r="S146" s="1057" t="s">
        <v>2320</v>
      </c>
      <c r="T146" s="1057"/>
    </row>
    <row r="147" spans="1:20" x14ac:dyDescent="0.25">
      <c r="A147" s="1057" t="s">
        <v>2537</v>
      </c>
      <c r="B147" s="1057" t="s">
        <v>2538</v>
      </c>
      <c r="D147" s="1057">
        <v>0</v>
      </c>
      <c r="E147" s="1057">
        <v>5</v>
      </c>
      <c r="F147" s="1071">
        <f>AROS!T105</f>
        <v>8600</v>
      </c>
      <c r="G147" s="1095">
        <f t="shared" si="4"/>
        <v>11180</v>
      </c>
      <c r="H147" s="1091">
        <v>6000</v>
      </c>
      <c r="L147" s="1071">
        <f>AROS!R104</f>
        <v>2543</v>
      </c>
      <c r="M147" s="1082">
        <f t="shared" si="5"/>
        <v>3305.9</v>
      </c>
      <c r="P147" s="1057" t="s">
        <v>2538</v>
      </c>
      <c r="Q147" s="1057" t="s">
        <v>2318</v>
      </c>
      <c r="R147" s="1057" t="s">
        <v>2319</v>
      </c>
      <c r="S147" s="1057" t="s">
        <v>2320</v>
      </c>
    </row>
    <row r="148" spans="1:20" x14ac:dyDescent="0.25">
      <c r="A148" s="1057" t="s">
        <v>2535</v>
      </c>
      <c r="B148" s="1057" t="s">
        <v>2536</v>
      </c>
      <c r="D148" s="1057">
        <v>14</v>
      </c>
      <c r="E148" s="1057">
        <v>5</v>
      </c>
      <c r="F148" s="1071">
        <f>AROS!T136</f>
        <v>7200</v>
      </c>
      <c r="G148" s="1095">
        <f t="shared" si="4"/>
        <v>9360</v>
      </c>
      <c r="H148" s="1091">
        <v>6000</v>
      </c>
      <c r="L148" s="1071">
        <f>AROS!R135</f>
        <v>3220</v>
      </c>
      <c r="M148" s="1082">
        <f t="shared" si="5"/>
        <v>4186</v>
      </c>
      <c r="P148" s="1057" t="s">
        <v>2536</v>
      </c>
      <c r="Q148" s="1057" t="s">
        <v>2318</v>
      </c>
      <c r="R148" s="1057" t="s">
        <v>2319</v>
      </c>
      <c r="S148" s="1057" t="s">
        <v>2320</v>
      </c>
    </row>
    <row r="149" spans="1:20" x14ac:dyDescent="0.25">
      <c r="A149" s="1057" t="s">
        <v>3065</v>
      </c>
      <c r="B149" s="1057" t="s">
        <v>3066</v>
      </c>
      <c r="C149" s="1057"/>
      <c r="D149" s="1057">
        <v>17</v>
      </c>
      <c r="E149" s="1057">
        <v>5</v>
      </c>
      <c r="F149" s="1071">
        <f>AROS!T212</f>
        <v>14000</v>
      </c>
      <c r="G149" s="1095">
        <f t="shared" si="4"/>
        <v>18200</v>
      </c>
      <c r="H149" s="1091">
        <v>6000</v>
      </c>
      <c r="I149" s="1057"/>
      <c r="J149" s="1057"/>
      <c r="K149" s="1057"/>
      <c r="L149" s="1071">
        <f>AROS!R211</f>
        <v>3597</v>
      </c>
      <c r="M149" s="1082">
        <f t="shared" si="5"/>
        <v>4676.1000000000004</v>
      </c>
      <c r="N149" s="1057"/>
      <c r="O149" s="1057"/>
      <c r="P149" s="1057" t="s">
        <v>3066</v>
      </c>
      <c r="Q149" s="1057" t="s">
        <v>2318</v>
      </c>
      <c r="R149" s="1057" t="s">
        <v>2319</v>
      </c>
      <c r="S149" s="1057" t="s">
        <v>2320</v>
      </c>
      <c r="T149" s="1057"/>
    </row>
    <row r="150" spans="1:20" x14ac:dyDescent="0.25">
      <c r="A150" s="1057" t="s">
        <v>2539</v>
      </c>
      <c r="B150" s="1057" t="s">
        <v>2540</v>
      </c>
      <c r="D150" s="1057">
        <v>2</v>
      </c>
      <c r="E150" s="1057">
        <v>5</v>
      </c>
      <c r="F150" s="1071">
        <f>AROS!T59</f>
        <v>18000</v>
      </c>
      <c r="G150" s="1095">
        <f t="shared" si="4"/>
        <v>23400</v>
      </c>
      <c r="H150" s="1091">
        <v>6200</v>
      </c>
      <c r="L150" s="1071">
        <f>AROS!R58</f>
        <v>4812</v>
      </c>
      <c r="M150" s="1082">
        <f t="shared" si="5"/>
        <v>6255.6</v>
      </c>
      <c r="P150" s="1057" t="s">
        <v>2540</v>
      </c>
      <c r="Q150" s="1057" t="s">
        <v>2318</v>
      </c>
      <c r="R150" s="1057" t="s">
        <v>2319</v>
      </c>
      <c r="S150" s="1057" t="s">
        <v>2320</v>
      </c>
    </row>
    <row r="151" spans="1:20" x14ac:dyDescent="0.25">
      <c r="A151" s="1057" t="s">
        <v>3058</v>
      </c>
      <c r="B151" s="1057" t="s">
        <v>2540</v>
      </c>
      <c r="C151" s="1057"/>
      <c r="D151" s="1057">
        <v>7</v>
      </c>
      <c r="E151" s="1057">
        <v>2</v>
      </c>
      <c r="F151" s="1096">
        <f>AROS!T221</f>
        <v>9200</v>
      </c>
      <c r="G151" s="1095">
        <f t="shared" si="4"/>
        <v>11960</v>
      </c>
      <c r="H151" s="1091">
        <v>6200</v>
      </c>
      <c r="I151" s="1057"/>
      <c r="J151" s="1057"/>
      <c r="K151" s="1057"/>
      <c r="L151" s="1096">
        <f>AROS!R220</f>
        <v>2983</v>
      </c>
      <c r="M151" s="1096">
        <f t="shared" si="5"/>
        <v>3877.9</v>
      </c>
      <c r="N151" s="1057"/>
      <c r="O151" s="1057"/>
      <c r="P151" s="1057" t="s">
        <v>2540</v>
      </c>
      <c r="Q151" s="1057" t="s">
        <v>2318</v>
      </c>
      <c r="R151" s="1057" t="s">
        <v>2319</v>
      </c>
      <c r="S151" s="1057" t="s">
        <v>2320</v>
      </c>
      <c r="T151" s="1057"/>
    </row>
    <row r="152" spans="1:20" x14ac:dyDescent="0.25">
      <c r="A152" s="1057" t="s">
        <v>2541</v>
      </c>
      <c r="B152" s="1057" t="s">
        <v>2542</v>
      </c>
      <c r="D152" s="1057">
        <v>5</v>
      </c>
      <c r="E152" s="1057">
        <v>5</v>
      </c>
      <c r="F152" s="1071">
        <f>AROS!T77</f>
        <v>16000</v>
      </c>
      <c r="G152" s="1095">
        <f t="shared" si="4"/>
        <v>20800</v>
      </c>
      <c r="H152" s="1091">
        <v>6000</v>
      </c>
      <c r="L152" s="1071">
        <f>AROS!R76</f>
        <v>3985</v>
      </c>
      <c r="M152" s="1082">
        <f t="shared" si="5"/>
        <v>5180.5</v>
      </c>
      <c r="P152" s="1057" t="s">
        <v>2542</v>
      </c>
      <c r="Q152" s="1057" t="s">
        <v>2318</v>
      </c>
      <c r="R152" s="1057" t="s">
        <v>2319</v>
      </c>
      <c r="S152" s="1057" t="s">
        <v>2320</v>
      </c>
    </row>
    <row r="153" spans="1:20" x14ac:dyDescent="0.25">
      <c r="A153" s="1057" t="s">
        <v>2543</v>
      </c>
      <c r="B153" s="1057" t="s">
        <v>2544</v>
      </c>
      <c r="D153" s="1057">
        <v>5</v>
      </c>
      <c r="E153" s="1057">
        <v>5</v>
      </c>
      <c r="F153" s="1071">
        <f>AROS!T50</f>
        <v>28000</v>
      </c>
      <c r="G153" s="1095">
        <f t="shared" si="4"/>
        <v>36400</v>
      </c>
      <c r="H153" s="1091">
        <v>6800</v>
      </c>
      <c r="L153" s="1071">
        <f>AROS!R49</f>
        <v>6893.7</v>
      </c>
      <c r="M153" s="1082">
        <f t="shared" si="5"/>
        <v>8961.81</v>
      </c>
      <c r="P153" s="1057" t="s">
        <v>2544</v>
      </c>
      <c r="Q153" s="1057" t="s">
        <v>2318</v>
      </c>
      <c r="R153" s="1057" t="s">
        <v>2319</v>
      </c>
      <c r="S153" s="1057" t="s">
        <v>2320</v>
      </c>
    </row>
    <row r="154" spans="1:20" x14ac:dyDescent="0.25">
      <c r="A154" s="1057" t="s">
        <v>2573</v>
      </c>
      <c r="B154" s="1057" t="s">
        <v>2574</v>
      </c>
      <c r="D154" s="1057">
        <v>20</v>
      </c>
      <c r="E154" s="1057">
        <v>5</v>
      </c>
      <c r="F154" s="1071">
        <f>'TOBILLERAS Y ANILLOS'!O68</f>
        <v>26000</v>
      </c>
      <c r="G154" s="1095">
        <f t="shared" si="4"/>
        <v>33800</v>
      </c>
      <c r="H154" s="1091">
        <v>8000</v>
      </c>
      <c r="L154" s="1071">
        <f>'TOBILLERAS Y ANILLOS'!M67</f>
        <v>4143</v>
      </c>
      <c r="M154" s="1082">
        <f t="shared" si="5"/>
        <v>5385.9</v>
      </c>
      <c r="P154" s="1057" t="s">
        <v>2574</v>
      </c>
      <c r="Q154" s="1057" t="s">
        <v>2318</v>
      </c>
      <c r="R154" s="1057" t="s">
        <v>1479</v>
      </c>
      <c r="S154" s="1057" t="s">
        <v>2320</v>
      </c>
    </row>
    <row r="155" spans="1:20" x14ac:dyDescent="0.25">
      <c r="A155" s="1057" t="s">
        <v>2575</v>
      </c>
      <c r="B155" s="1057" t="s">
        <v>2576</v>
      </c>
      <c r="D155" s="1057">
        <v>27</v>
      </c>
      <c r="E155" s="1057">
        <v>5</v>
      </c>
      <c r="F155" s="1071">
        <f>'TOBILLERAS Y ANILLOS'!O24</f>
        <v>13000</v>
      </c>
      <c r="G155" s="1095">
        <f t="shared" si="4"/>
        <v>16900</v>
      </c>
      <c r="H155" s="1091">
        <v>8000</v>
      </c>
      <c r="L155" s="1071">
        <f>'TOBILLERAS Y ANILLOS'!M23</f>
        <v>2195</v>
      </c>
      <c r="M155" s="1082">
        <f t="shared" si="5"/>
        <v>2853.5</v>
      </c>
      <c r="P155" s="1057" t="s">
        <v>2576</v>
      </c>
      <c r="Q155" s="1057" t="s">
        <v>2318</v>
      </c>
      <c r="R155" s="1057" t="s">
        <v>1479</v>
      </c>
      <c r="S155" s="1057" t="s">
        <v>2320</v>
      </c>
    </row>
    <row r="156" spans="1:20" x14ac:dyDescent="0.25">
      <c r="A156" s="1057" t="s">
        <v>2577</v>
      </c>
      <c r="B156" s="1057" t="s">
        <v>2578</v>
      </c>
      <c r="D156" s="1057">
        <v>1</v>
      </c>
      <c r="E156" s="1057">
        <v>5</v>
      </c>
      <c r="F156" s="1071">
        <f>'TOBILLERAS Y ANILLOS'!O44</f>
        <v>7200</v>
      </c>
      <c r="G156" s="1095">
        <f t="shared" si="4"/>
        <v>9360</v>
      </c>
      <c r="H156" s="1091">
        <v>9600</v>
      </c>
      <c r="L156" s="1071">
        <f>'TOBILLERAS Y ANILLOS'!M43</f>
        <v>3710</v>
      </c>
      <c r="M156" s="1082">
        <f t="shared" si="5"/>
        <v>4823</v>
      </c>
      <c r="P156" s="1057" t="s">
        <v>2578</v>
      </c>
      <c r="Q156" s="1057" t="s">
        <v>2318</v>
      </c>
      <c r="R156" s="1057" t="s">
        <v>1479</v>
      </c>
      <c r="S156" s="1057" t="s">
        <v>2320</v>
      </c>
    </row>
    <row r="157" spans="1:20" x14ac:dyDescent="0.25">
      <c r="A157" s="1057" t="s">
        <v>2581</v>
      </c>
      <c r="B157" s="1057" t="s">
        <v>2582</v>
      </c>
      <c r="D157" s="1057">
        <v>3</v>
      </c>
      <c r="E157" s="1057">
        <v>5</v>
      </c>
      <c r="F157" s="1071">
        <f>'TOBILLERAS Y ANILLOS'!Q36</f>
        <v>14000</v>
      </c>
      <c r="G157" s="1095">
        <f t="shared" si="4"/>
        <v>18200</v>
      </c>
      <c r="H157" s="1091">
        <v>8000</v>
      </c>
      <c r="L157" s="1071">
        <f>'TOBILLERAS Y ANILLOS'!O34</f>
        <v>3215.975250980392</v>
      </c>
      <c r="M157" s="1082">
        <f t="shared" si="5"/>
        <v>4180.7678262745094</v>
      </c>
      <c r="P157" s="1057" t="s">
        <v>2582</v>
      </c>
      <c r="Q157" s="1057" t="s">
        <v>2318</v>
      </c>
      <c r="R157" s="1057" t="s">
        <v>1479</v>
      </c>
      <c r="S157" s="1057" t="s">
        <v>2320</v>
      </c>
    </row>
    <row r="158" spans="1:20" x14ac:dyDescent="0.25">
      <c r="A158" s="1057" t="s">
        <v>2579</v>
      </c>
      <c r="B158" s="1057" t="s">
        <v>2580</v>
      </c>
      <c r="D158" s="1057">
        <v>1</v>
      </c>
      <c r="E158" s="1057">
        <v>5</v>
      </c>
      <c r="F158" s="1071">
        <f>'TOBILLERAS Y ANILLOS'!Q36</f>
        <v>14000</v>
      </c>
      <c r="G158" s="1095">
        <f t="shared" si="4"/>
        <v>18200</v>
      </c>
      <c r="H158" s="1091">
        <v>8000</v>
      </c>
      <c r="L158" s="1071">
        <f>'TOBILLERAS Y ANILLOS'!O34</f>
        <v>3215.975250980392</v>
      </c>
      <c r="M158" s="1082">
        <f t="shared" si="5"/>
        <v>4180.7678262745094</v>
      </c>
      <c r="P158" s="1057" t="s">
        <v>2580</v>
      </c>
      <c r="Q158" s="1057" t="s">
        <v>2318</v>
      </c>
      <c r="R158" s="1057" t="s">
        <v>1479</v>
      </c>
      <c r="S158" s="1057" t="s">
        <v>2320</v>
      </c>
    </row>
    <row r="159" spans="1:20" x14ac:dyDescent="0.25">
      <c r="A159" s="1057" t="s">
        <v>2583</v>
      </c>
      <c r="B159" s="1057" t="s">
        <v>2584</v>
      </c>
      <c r="D159" s="1057">
        <v>5</v>
      </c>
      <c r="E159" s="1057">
        <v>5</v>
      </c>
      <c r="F159" s="1071">
        <f>'TOBILLERAS Y ANILLOS'!O60</f>
        <v>6200</v>
      </c>
      <c r="G159" s="1095">
        <f t="shared" si="4"/>
        <v>8060</v>
      </c>
      <c r="H159" s="1091">
        <v>8000</v>
      </c>
      <c r="L159" s="1071">
        <f>'TOBILLERAS Y ANILLOS'!M59</f>
        <v>3563</v>
      </c>
      <c r="M159" s="1082">
        <f t="shared" si="5"/>
        <v>4631.8999999999996</v>
      </c>
      <c r="P159" s="1057" t="s">
        <v>2584</v>
      </c>
      <c r="Q159" s="1057" t="s">
        <v>2318</v>
      </c>
      <c r="R159" s="1057" t="s">
        <v>1479</v>
      </c>
      <c r="S159" s="1057" t="s">
        <v>2320</v>
      </c>
    </row>
    <row r="160" spans="1:20" x14ac:dyDescent="0.25">
      <c r="A160" s="1057" t="s">
        <v>2585</v>
      </c>
      <c r="B160" s="1057" t="s">
        <v>2586</v>
      </c>
      <c r="D160" s="1057">
        <v>10</v>
      </c>
      <c r="E160" s="1057">
        <v>5</v>
      </c>
      <c r="F160" s="1071">
        <f>'TOBILLERAS Y ANILLOS'!O16</f>
        <v>20000</v>
      </c>
      <c r="G160" s="1095">
        <f t="shared" si="4"/>
        <v>26000</v>
      </c>
      <c r="H160" s="1091">
        <v>8000</v>
      </c>
      <c r="L160" s="1071">
        <f>'TOBILLERAS Y ANILLOS'!M15</f>
        <v>4168</v>
      </c>
      <c r="M160" s="1082">
        <f t="shared" si="5"/>
        <v>5418.4</v>
      </c>
      <c r="P160" s="1057" t="s">
        <v>2586</v>
      </c>
      <c r="Q160" s="1057" t="s">
        <v>2318</v>
      </c>
      <c r="R160" s="1057" t="s">
        <v>1479</v>
      </c>
      <c r="S160" s="1057" t="s">
        <v>2320</v>
      </c>
    </row>
    <row r="161" spans="1:19" x14ac:dyDescent="0.25">
      <c r="A161" s="1057" t="s">
        <v>2587</v>
      </c>
      <c r="B161" s="1057" t="s">
        <v>2588</v>
      </c>
      <c r="D161" s="1057">
        <v>8</v>
      </c>
      <c r="E161" s="1057">
        <v>5</v>
      </c>
      <c r="F161" s="1071">
        <f>'TOBILLERAS Y ANILLOS'!O52</f>
        <v>14000</v>
      </c>
      <c r="G161" s="1095">
        <f t="shared" si="4"/>
        <v>18200</v>
      </c>
      <c r="H161" s="1091">
        <v>8000</v>
      </c>
      <c r="L161" s="1071">
        <f>'TOBILLERAS Y ANILLOS'!M51</f>
        <v>3870</v>
      </c>
      <c r="M161" s="1082">
        <f t="shared" si="5"/>
        <v>5031</v>
      </c>
      <c r="P161" s="1057" t="s">
        <v>2588</v>
      </c>
      <c r="Q161" s="1057" t="s">
        <v>2318</v>
      </c>
      <c r="R161" s="1057" t="s">
        <v>1479</v>
      </c>
      <c r="S161" s="1057" t="s">
        <v>2320</v>
      </c>
    </row>
    <row r="162" spans="1:19" x14ac:dyDescent="0.25">
      <c r="A162" s="1057" t="s">
        <v>2589</v>
      </c>
      <c r="B162" s="1057" t="s">
        <v>2590</v>
      </c>
      <c r="D162" s="1057">
        <v>15</v>
      </c>
      <c r="E162" s="1057">
        <v>5</v>
      </c>
      <c r="F162" s="1071">
        <f>'TOBILLERAS Y ANILLOS'!O7</f>
        <v>14000</v>
      </c>
      <c r="G162" s="1095">
        <f t="shared" si="4"/>
        <v>18200</v>
      </c>
      <c r="H162" s="1091">
        <v>8800</v>
      </c>
      <c r="L162" s="1071">
        <f>'TOBILLERAS Y ANILLOS'!M6</f>
        <v>3588</v>
      </c>
      <c r="M162" s="1082">
        <f t="shared" si="5"/>
        <v>4664.3999999999996</v>
      </c>
      <c r="P162" s="1057" t="s">
        <v>2590</v>
      </c>
      <c r="Q162" s="1057" t="s">
        <v>2318</v>
      </c>
      <c r="R162" s="1057" t="s">
        <v>1479</v>
      </c>
      <c r="S162" s="1057" t="s">
        <v>2320</v>
      </c>
    </row>
    <row r="163" spans="1:19" x14ac:dyDescent="0.25">
      <c r="A163" s="1057" t="s">
        <v>2595</v>
      </c>
      <c r="B163" s="1057" t="s">
        <v>2596</v>
      </c>
      <c r="D163" s="1057">
        <v>7</v>
      </c>
      <c r="E163" s="1057">
        <v>5</v>
      </c>
      <c r="F163" s="1071">
        <f>'TOBILLERAS Y ANILLOS'!O77</f>
        <v>5000</v>
      </c>
      <c r="G163" s="1095">
        <f t="shared" si="4"/>
        <v>6500</v>
      </c>
      <c r="H163" s="1091">
        <v>3000</v>
      </c>
      <c r="L163" s="1071">
        <f>'TOBILLERAS Y ANILLOS'!M75</f>
        <v>1250</v>
      </c>
      <c r="M163" s="1082">
        <f t="shared" si="5"/>
        <v>1625</v>
      </c>
      <c r="P163" s="1057" t="s">
        <v>2596</v>
      </c>
      <c r="Q163" s="1057" t="s">
        <v>2318</v>
      </c>
      <c r="R163" s="1057" t="s">
        <v>1479</v>
      </c>
      <c r="S163" s="1057" t="s">
        <v>2320</v>
      </c>
    </row>
    <row r="164" spans="1:19" x14ac:dyDescent="0.25">
      <c r="A164" s="1057" t="s">
        <v>2599</v>
      </c>
      <c r="B164" s="1057" t="s">
        <v>2600</v>
      </c>
      <c r="D164" s="1057">
        <v>11</v>
      </c>
      <c r="E164" s="1057">
        <v>5</v>
      </c>
      <c r="F164" s="1071">
        <f>'TOBILLERAS Y ANILLOS'!O77</f>
        <v>5000</v>
      </c>
      <c r="G164" s="1095">
        <f t="shared" si="4"/>
        <v>6500</v>
      </c>
      <c r="H164" s="1091">
        <v>3000</v>
      </c>
      <c r="L164" s="1071">
        <f>'TOBILLERAS Y ANILLOS'!M75</f>
        <v>1250</v>
      </c>
      <c r="M164" s="1082">
        <f t="shared" si="5"/>
        <v>1625</v>
      </c>
      <c r="P164" s="1057" t="s">
        <v>2600</v>
      </c>
      <c r="Q164" s="1057" t="s">
        <v>2318</v>
      </c>
      <c r="R164" s="1057" t="s">
        <v>1479</v>
      </c>
      <c r="S164" s="1057" t="s">
        <v>2320</v>
      </c>
    </row>
    <row r="165" spans="1:19" x14ac:dyDescent="0.25">
      <c r="A165" s="1057" t="s">
        <v>2597</v>
      </c>
      <c r="B165" s="1057" t="s">
        <v>2598</v>
      </c>
      <c r="D165" s="1057">
        <v>12</v>
      </c>
      <c r="E165" s="1057">
        <v>5</v>
      </c>
      <c r="F165" s="1071">
        <f>'TOBILLERAS Y ANILLOS'!O77</f>
        <v>5000</v>
      </c>
      <c r="G165" s="1095">
        <f t="shared" si="4"/>
        <v>6500</v>
      </c>
      <c r="H165" s="1091">
        <v>3000</v>
      </c>
      <c r="L165" s="1071">
        <f>'TOBILLERAS Y ANILLOS'!M75</f>
        <v>1250</v>
      </c>
      <c r="M165" s="1082">
        <f t="shared" si="5"/>
        <v>1625</v>
      </c>
      <c r="P165" s="1057" t="s">
        <v>2598</v>
      </c>
      <c r="Q165" s="1057" t="s">
        <v>2318</v>
      </c>
      <c r="R165" s="1057" t="s">
        <v>1479</v>
      </c>
      <c r="S165" s="1057" t="s">
        <v>2320</v>
      </c>
    </row>
    <row r="166" spans="1:19" x14ac:dyDescent="0.25">
      <c r="A166" s="1057" t="s">
        <v>2593</v>
      </c>
      <c r="B166" s="1057" t="s">
        <v>2594</v>
      </c>
      <c r="D166" s="1057">
        <v>11</v>
      </c>
      <c r="E166" s="1057">
        <v>5</v>
      </c>
      <c r="F166" s="1071">
        <f>'TOBILLERAS Y ANILLOS'!O77</f>
        <v>5000</v>
      </c>
      <c r="G166" s="1095">
        <f t="shared" si="4"/>
        <v>6500</v>
      </c>
      <c r="H166" s="1091">
        <v>3000</v>
      </c>
      <c r="L166" s="1071">
        <f>'TOBILLERAS Y ANILLOS'!M75</f>
        <v>1250</v>
      </c>
      <c r="M166" s="1082">
        <f t="shared" si="5"/>
        <v>1625</v>
      </c>
      <c r="P166" s="1057" t="s">
        <v>2594</v>
      </c>
      <c r="Q166" s="1057" t="s">
        <v>2318</v>
      </c>
      <c r="R166" s="1057" t="s">
        <v>1479</v>
      </c>
      <c r="S166" s="1057" t="s">
        <v>2320</v>
      </c>
    </row>
    <row r="167" spans="1:19" x14ac:dyDescent="0.25">
      <c r="A167" s="1057" t="s">
        <v>2591</v>
      </c>
      <c r="B167" s="1057" t="s">
        <v>2592</v>
      </c>
      <c r="D167" s="1057">
        <v>11</v>
      </c>
      <c r="E167" s="1057">
        <v>5</v>
      </c>
      <c r="F167" s="1071">
        <f>'TOBILLERAS Y ANILLOS'!O77</f>
        <v>5000</v>
      </c>
      <c r="G167" s="1095">
        <f t="shared" si="4"/>
        <v>6500</v>
      </c>
      <c r="H167" s="1091">
        <v>3000</v>
      </c>
      <c r="L167" s="1071">
        <f>'TOBILLERAS Y ANILLOS'!M75</f>
        <v>1250</v>
      </c>
      <c r="M167" s="1082">
        <f t="shared" si="5"/>
        <v>1625</v>
      </c>
      <c r="P167" s="1057" t="s">
        <v>2592</v>
      </c>
      <c r="Q167" s="1057" t="s">
        <v>2318</v>
      </c>
      <c r="R167" s="1057" t="s">
        <v>1479</v>
      </c>
      <c r="S167" s="1057" t="s">
        <v>2320</v>
      </c>
    </row>
    <row r="168" spans="1:19" x14ac:dyDescent="0.25">
      <c r="A168" s="1057" t="s">
        <v>2695</v>
      </c>
      <c r="B168" s="1057" t="s">
        <v>2696</v>
      </c>
      <c r="D168" s="1057">
        <v>6</v>
      </c>
      <c r="E168" s="1057">
        <v>5</v>
      </c>
      <c r="F168" s="1071">
        <f>'SALE COLLARES'!I204</f>
        <v>4700</v>
      </c>
      <c r="G168" s="1095">
        <f t="shared" si="4"/>
        <v>6110</v>
      </c>
      <c r="H168" s="1091">
        <v>6200</v>
      </c>
      <c r="L168" s="1071">
        <f>'SALE COLLARES'!G202</f>
        <v>5403.7505494505494</v>
      </c>
      <c r="M168" s="1082">
        <f t="shared" si="5"/>
        <v>7024.8757142857139</v>
      </c>
      <c r="P168" s="1057" t="s">
        <v>2696</v>
      </c>
      <c r="Q168" s="1057" t="s">
        <v>2318</v>
      </c>
      <c r="R168" s="1057" t="s">
        <v>1534</v>
      </c>
      <c r="S168" s="1057" t="s">
        <v>2320</v>
      </c>
    </row>
    <row r="169" spans="1:19" x14ac:dyDescent="0.25">
      <c r="A169" s="1057" t="s">
        <v>2699</v>
      </c>
      <c r="B169" s="1057" t="s">
        <v>2700</v>
      </c>
      <c r="D169" s="1057">
        <v>6</v>
      </c>
      <c r="E169" s="1057">
        <v>5</v>
      </c>
      <c r="F169" s="1071">
        <f>'SALE COLLARES'!I162</f>
        <v>4700</v>
      </c>
      <c r="G169" s="1095">
        <f t="shared" si="4"/>
        <v>6110</v>
      </c>
      <c r="H169" s="1091">
        <v>6200</v>
      </c>
      <c r="L169" s="1071">
        <f>'SALE COLLARES'!G160</f>
        <v>4612.298534798535</v>
      </c>
      <c r="M169" s="1082">
        <f t="shared" si="5"/>
        <v>5995.9880952380954</v>
      </c>
      <c r="P169" s="1057" t="s">
        <v>2700</v>
      </c>
      <c r="Q169" s="1057" t="s">
        <v>2318</v>
      </c>
      <c r="R169" s="1057" t="s">
        <v>1534</v>
      </c>
      <c r="S169" s="1057" t="s">
        <v>2320</v>
      </c>
    </row>
    <row r="170" spans="1:19" x14ac:dyDescent="0.25">
      <c r="A170" s="1057" t="s">
        <v>2705</v>
      </c>
      <c r="B170" s="1057" t="s">
        <v>2706</v>
      </c>
      <c r="D170" s="1057">
        <v>2</v>
      </c>
      <c r="E170" s="1057">
        <v>5</v>
      </c>
      <c r="F170" s="1071">
        <f>'SALE COLLARES'!H267</f>
        <v>6000</v>
      </c>
      <c r="G170" s="1095">
        <f t="shared" si="4"/>
        <v>7800</v>
      </c>
      <c r="H170" s="1091">
        <v>7800</v>
      </c>
      <c r="L170" s="1071">
        <f>'SALE COLLARES'!F265</f>
        <v>6512.619829818871</v>
      </c>
      <c r="M170" s="1082">
        <f t="shared" si="5"/>
        <v>8466.4057787645324</v>
      </c>
      <c r="P170" s="1057" t="s">
        <v>2706</v>
      </c>
      <c r="Q170" s="1057" t="s">
        <v>2318</v>
      </c>
      <c r="R170" s="1057" t="s">
        <v>1534</v>
      </c>
      <c r="S170" s="1057" t="s">
        <v>2320</v>
      </c>
    </row>
    <row r="171" spans="1:19" x14ac:dyDescent="0.25">
      <c r="A171" s="1057" t="s">
        <v>2711</v>
      </c>
      <c r="B171" s="1057" t="s">
        <v>2712</v>
      </c>
      <c r="D171" s="1057">
        <v>5</v>
      </c>
      <c r="E171" s="1057">
        <v>5</v>
      </c>
      <c r="F171" s="1071">
        <f>'SALE COLLARES'!H133</f>
        <v>12600</v>
      </c>
      <c r="G171" s="1095">
        <f t="shared" si="4"/>
        <v>16380</v>
      </c>
      <c r="H171" s="1091">
        <v>8800</v>
      </c>
      <c r="L171" s="1071">
        <f>'SALE COLLARES'!F131</f>
        <v>7284.7852670892926</v>
      </c>
      <c r="M171" s="1082">
        <f t="shared" si="5"/>
        <v>9470.2208472160801</v>
      </c>
      <c r="P171" s="1057" t="s">
        <v>2712</v>
      </c>
      <c r="Q171" s="1057" t="s">
        <v>2318</v>
      </c>
      <c r="R171" s="1057" t="s">
        <v>1534</v>
      </c>
      <c r="S171" s="1057" t="s">
        <v>2320</v>
      </c>
    </row>
    <row r="172" spans="1:19" x14ac:dyDescent="0.25">
      <c r="A172" s="1057" t="s">
        <v>2723</v>
      </c>
      <c r="B172" s="1057" t="s">
        <v>2724</v>
      </c>
      <c r="D172" s="1057">
        <v>5</v>
      </c>
      <c r="E172" s="1057">
        <v>5</v>
      </c>
      <c r="F172" s="1071">
        <f>F173</f>
        <v>4200</v>
      </c>
      <c r="G172" s="1095">
        <f t="shared" si="4"/>
        <v>5460</v>
      </c>
      <c r="H172" s="1091">
        <v>5600</v>
      </c>
      <c r="L172" s="1071">
        <f>L173</f>
        <v>5181.9327228327229</v>
      </c>
      <c r="M172" s="1082">
        <f t="shared" si="5"/>
        <v>6736.5125396825397</v>
      </c>
      <c r="P172" s="1057" t="s">
        <v>2724</v>
      </c>
      <c r="Q172" s="1057" t="s">
        <v>2318</v>
      </c>
      <c r="R172" s="1057" t="s">
        <v>1534</v>
      </c>
      <c r="S172" s="1057" t="s">
        <v>2320</v>
      </c>
    </row>
    <row r="173" spans="1:19" x14ac:dyDescent="0.25">
      <c r="A173" s="1057" t="s">
        <v>2719</v>
      </c>
      <c r="B173" s="1057" t="s">
        <v>2720</v>
      </c>
      <c r="D173" s="1057">
        <v>1</v>
      </c>
      <c r="E173" s="1057">
        <v>5</v>
      </c>
      <c r="F173" s="1071">
        <f>'SALE COLLARES'!H34</f>
        <v>4200</v>
      </c>
      <c r="G173" s="1095">
        <f t="shared" si="4"/>
        <v>5460</v>
      </c>
      <c r="H173" s="1091">
        <v>5600</v>
      </c>
      <c r="L173" s="1071">
        <f>'SALE COLLARES'!F32</f>
        <v>5181.9327228327229</v>
      </c>
      <c r="M173" s="1082">
        <f t="shared" si="5"/>
        <v>6736.5125396825397</v>
      </c>
      <c r="P173" s="1057" t="s">
        <v>2720</v>
      </c>
      <c r="Q173" s="1057" t="s">
        <v>2318</v>
      </c>
      <c r="R173" s="1057" t="s">
        <v>1534</v>
      </c>
      <c r="S173" s="1057" t="s">
        <v>2320</v>
      </c>
    </row>
    <row r="174" spans="1:19" x14ac:dyDescent="0.25">
      <c r="A174" s="1057" t="s">
        <v>2725</v>
      </c>
      <c r="B174" s="1057" t="s">
        <v>2726</v>
      </c>
      <c r="D174" s="1057">
        <v>7</v>
      </c>
      <c r="E174" s="1057">
        <v>5</v>
      </c>
      <c r="F174" s="1071">
        <f>F173</f>
        <v>4200</v>
      </c>
      <c r="G174" s="1095">
        <f t="shared" si="4"/>
        <v>5460</v>
      </c>
      <c r="H174" s="1091">
        <v>5600</v>
      </c>
      <c r="L174" s="1071">
        <f>L173</f>
        <v>5181.9327228327229</v>
      </c>
      <c r="M174" s="1082">
        <f t="shared" si="5"/>
        <v>6736.5125396825397</v>
      </c>
      <c r="P174" s="1057" t="s">
        <v>2726</v>
      </c>
      <c r="Q174" s="1057" t="s">
        <v>2318</v>
      </c>
      <c r="R174" s="1057" t="s">
        <v>1534</v>
      </c>
      <c r="S174" s="1057" t="s">
        <v>2320</v>
      </c>
    </row>
    <row r="175" spans="1:19" x14ac:dyDescent="0.25">
      <c r="A175" s="1057" t="s">
        <v>2721</v>
      </c>
      <c r="B175" s="1057" t="s">
        <v>2722</v>
      </c>
      <c r="D175" s="1057">
        <v>2</v>
      </c>
      <c r="E175" s="1057">
        <v>5</v>
      </c>
      <c r="F175" s="1071">
        <f>F174</f>
        <v>4200</v>
      </c>
      <c r="G175" s="1095">
        <f t="shared" si="4"/>
        <v>5460</v>
      </c>
      <c r="H175" s="1091">
        <v>5600</v>
      </c>
      <c r="L175" s="1071">
        <f>L174</f>
        <v>5181.9327228327229</v>
      </c>
      <c r="M175" s="1082">
        <f t="shared" si="5"/>
        <v>6736.5125396825397</v>
      </c>
      <c r="P175" s="1057" t="s">
        <v>2722</v>
      </c>
      <c r="Q175" s="1057" t="s">
        <v>2318</v>
      </c>
      <c r="R175" s="1057" t="s">
        <v>1534</v>
      </c>
      <c r="S175" s="1057" t="s">
        <v>2320</v>
      </c>
    </row>
    <row r="176" spans="1:19" x14ac:dyDescent="0.25">
      <c r="A176" s="1057" t="s">
        <v>2671</v>
      </c>
      <c r="B176" s="1057" t="s">
        <v>2672</v>
      </c>
      <c r="D176" s="1057">
        <v>10</v>
      </c>
      <c r="E176" s="1057">
        <v>5</v>
      </c>
      <c r="F176" s="1071">
        <f>'SALE CADENAS'!R35</f>
        <v>5000</v>
      </c>
      <c r="G176" s="1095">
        <f t="shared" si="4"/>
        <v>6500</v>
      </c>
      <c r="H176" s="1091">
        <v>6600</v>
      </c>
      <c r="L176" s="1071">
        <f>'SALE CADENAS'!P33</f>
        <v>1939.6666666666667</v>
      </c>
      <c r="M176" s="1082">
        <f t="shared" si="5"/>
        <v>2521.5666666666666</v>
      </c>
      <c r="P176" s="1057" t="s">
        <v>2672</v>
      </c>
      <c r="Q176" s="1057" t="s">
        <v>2318</v>
      </c>
      <c r="R176" s="1057" t="s">
        <v>1534</v>
      </c>
      <c r="S176" s="1057" t="s">
        <v>2320</v>
      </c>
    </row>
    <row r="177" spans="1:19" x14ac:dyDescent="0.25">
      <c r="A177" s="1057" t="s">
        <v>2743</v>
      </c>
      <c r="B177" s="1057" t="s">
        <v>2744</v>
      </c>
      <c r="D177" s="1057">
        <v>8</v>
      </c>
      <c r="E177" s="1057">
        <v>5</v>
      </c>
      <c r="F177" s="1071">
        <f>'SALE COLLARES'!I239</f>
        <v>6700</v>
      </c>
      <c r="G177" s="1095">
        <f t="shared" si="4"/>
        <v>8710</v>
      </c>
      <c r="H177" s="1091">
        <v>8800</v>
      </c>
      <c r="L177" s="1071">
        <f>'SALE COLLARES'!G237</f>
        <v>7586.0560975609769</v>
      </c>
      <c r="M177" s="1082">
        <f t="shared" si="5"/>
        <v>9861.87292682927</v>
      </c>
      <c r="P177" s="1057" t="s">
        <v>2744</v>
      </c>
      <c r="Q177" s="1057" t="s">
        <v>2318</v>
      </c>
      <c r="R177" s="1057" t="s">
        <v>1534</v>
      </c>
      <c r="S177" s="1057" t="s">
        <v>2320</v>
      </c>
    </row>
    <row r="178" spans="1:19" x14ac:dyDescent="0.25">
      <c r="A178" s="1057" t="s">
        <v>2737</v>
      </c>
      <c r="B178" s="1057" t="s">
        <v>2738</v>
      </c>
      <c r="D178" s="1057">
        <v>5</v>
      </c>
      <c r="E178" s="1057">
        <v>0</v>
      </c>
      <c r="F178" s="1071">
        <f>'COLLAR INICIAL'!H49</f>
        <v>10000</v>
      </c>
      <c r="G178" s="1095">
        <f t="shared" si="4"/>
        <v>13000</v>
      </c>
      <c r="H178" s="1091">
        <v>7000</v>
      </c>
      <c r="L178" s="1071">
        <f>L176</f>
        <v>1939.6666666666667</v>
      </c>
      <c r="M178" s="1082">
        <f t="shared" si="5"/>
        <v>2521.5666666666666</v>
      </c>
      <c r="P178" s="1057" t="s">
        <v>2738</v>
      </c>
      <c r="Q178" s="1057" t="s">
        <v>2318</v>
      </c>
      <c r="R178" s="1057" t="s">
        <v>1534</v>
      </c>
      <c r="S178" s="1057" t="s">
        <v>2320</v>
      </c>
    </row>
    <row r="179" spans="1:19" x14ac:dyDescent="0.25">
      <c r="A179" s="1057" t="s">
        <v>2733</v>
      </c>
      <c r="B179" s="1057" t="s">
        <v>2734</v>
      </c>
      <c r="D179" s="1057">
        <v>5</v>
      </c>
      <c r="E179" s="1057">
        <v>0</v>
      </c>
      <c r="F179" s="1071">
        <f>'COLLAR INICIAL'!H49</f>
        <v>10000</v>
      </c>
      <c r="G179" s="1095">
        <f t="shared" si="4"/>
        <v>13000</v>
      </c>
      <c r="H179" s="1091">
        <v>7000</v>
      </c>
      <c r="L179" s="1071">
        <f>'COLLAR INICIAL'!F47</f>
        <v>5642.7666666666673</v>
      </c>
      <c r="M179" s="1082">
        <f t="shared" si="5"/>
        <v>7335.5966666666673</v>
      </c>
      <c r="P179" s="1057" t="s">
        <v>2734</v>
      </c>
      <c r="Q179" s="1057" t="s">
        <v>2318</v>
      </c>
      <c r="R179" s="1057" t="s">
        <v>1534</v>
      </c>
      <c r="S179" s="1057" t="s">
        <v>2320</v>
      </c>
    </row>
    <row r="180" spans="1:19" x14ac:dyDescent="0.25">
      <c r="A180" s="1057" t="s">
        <v>2735</v>
      </c>
      <c r="B180" s="1057" t="s">
        <v>2736</v>
      </c>
      <c r="D180" s="1057">
        <v>5</v>
      </c>
      <c r="E180" s="1057">
        <v>0</v>
      </c>
      <c r="F180" s="1071">
        <f>F179</f>
        <v>10000</v>
      </c>
      <c r="G180" s="1095">
        <f t="shared" si="4"/>
        <v>13000</v>
      </c>
      <c r="H180" s="1091">
        <v>7000</v>
      </c>
      <c r="L180" s="1071">
        <f>L179</f>
        <v>5642.7666666666673</v>
      </c>
      <c r="M180" s="1082">
        <f t="shared" si="5"/>
        <v>7335.5966666666673</v>
      </c>
      <c r="P180" s="1057" t="s">
        <v>2736</v>
      </c>
      <c r="Q180" s="1057" t="s">
        <v>2318</v>
      </c>
      <c r="R180" s="1057" t="s">
        <v>1534</v>
      </c>
      <c r="S180" s="1057" t="s">
        <v>2320</v>
      </c>
    </row>
    <row r="181" spans="1:19" x14ac:dyDescent="0.25">
      <c r="A181" s="1057" t="s">
        <v>2741</v>
      </c>
      <c r="B181" s="1057" t="s">
        <v>2742</v>
      </c>
      <c r="D181" s="1057">
        <v>5</v>
      </c>
      <c r="E181" s="1057">
        <v>0</v>
      </c>
      <c r="F181" s="1071">
        <f>'COLLAR INICIAL'!H49</f>
        <v>10000</v>
      </c>
      <c r="G181" s="1095">
        <f t="shared" si="4"/>
        <v>13000</v>
      </c>
      <c r="H181" s="1091">
        <v>7000</v>
      </c>
      <c r="L181" s="1071">
        <f>+L177</f>
        <v>7586.0560975609769</v>
      </c>
      <c r="M181" s="1082">
        <f t="shared" si="5"/>
        <v>9861.87292682927</v>
      </c>
      <c r="P181" s="1057" t="s">
        <v>2742</v>
      </c>
      <c r="Q181" s="1057" t="s">
        <v>2318</v>
      </c>
      <c r="R181" s="1057" t="s">
        <v>1534</v>
      </c>
      <c r="S181" s="1057" t="s">
        <v>2320</v>
      </c>
    </row>
    <row r="182" spans="1:19" x14ac:dyDescent="0.25">
      <c r="A182" s="1057" t="s">
        <v>2739</v>
      </c>
      <c r="B182" s="1057" t="s">
        <v>2740</v>
      </c>
      <c r="D182" s="1057">
        <v>5</v>
      </c>
      <c r="E182" s="1057">
        <v>0</v>
      </c>
      <c r="F182" s="1071">
        <f>F179</f>
        <v>10000</v>
      </c>
      <c r="G182" s="1095">
        <f t="shared" si="4"/>
        <v>13000</v>
      </c>
      <c r="H182" s="1091">
        <v>7000</v>
      </c>
      <c r="L182" s="1071">
        <f>L179</f>
        <v>5642.7666666666673</v>
      </c>
      <c r="M182" s="1082">
        <f t="shared" si="5"/>
        <v>7335.5966666666673</v>
      </c>
      <c r="P182" s="1057" t="s">
        <v>2740</v>
      </c>
      <c r="Q182" s="1057" t="s">
        <v>2318</v>
      </c>
      <c r="R182" s="1057" t="s">
        <v>1534</v>
      </c>
      <c r="S182" s="1057" t="s">
        <v>2320</v>
      </c>
    </row>
    <row r="183" spans="1:19" x14ac:dyDescent="0.25">
      <c r="A183" s="1057" t="s">
        <v>2745</v>
      </c>
      <c r="B183" s="1057" t="s">
        <v>2746</v>
      </c>
      <c r="D183" s="1057">
        <v>4</v>
      </c>
      <c r="E183" s="1057">
        <v>5</v>
      </c>
      <c r="F183" s="1071">
        <f>'SALE COLLARES'!I182</f>
        <v>4700</v>
      </c>
      <c r="G183" s="1095">
        <f t="shared" si="4"/>
        <v>6110</v>
      </c>
      <c r="H183" s="1091">
        <v>6200</v>
      </c>
      <c r="L183" s="1071">
        <f>'SALE COLLARES'!G180</f>
        <v>5671.830704589529</v>
      </c>
      <c r="M183" s="1082">
        <f t="shared" si="5"/>
        <v>7373.3799159663877</v>
      </c>
      <c r="P183" s="1057" t="s">
        <v>2746</v>
      </c>
      <c r="Q183" s="1057" t="s">
        <v>2318</v>
      </c>
      <c r="R183" s="1057" t="s">
        <v>1534</v>
      </c>
      <c r="S183" s="1057" t="s">
        <v>2320</v>
      </c>
    </row>
    <row r="184" spans="1:19" x14ac:dyDescent="0.25">
      <c r="A184" s="1057" t="s">
        <v>2747</v>
      </c>
      <c r="B184" s="1057" t="s">
        <v>2748</v>
      </c>
      <c r="D184" s="1057">
        <v>2</v>
      </c>
      <c r="E184" s="1057">
        <v>5</v>
      </c>
      <c r="F184" s="1071">
        <f>COLLARES!H422</f>
        <v>20000</v>
      </c>
      <c r="G184" s="1095">
        <f t="shared" si="4"/>
        <v>26000</v>
      </c>
      <c r="H184" s="1091">
        <v>6600</v>
      </c>
      <c r="L184" s="1071">
        <f>COLLARES!F420</f>
        <v>4871.6798997493734</v>
      </c>
      <c r="M184" s="1082">
        <f t="shared" si="5"/>
        <v>6333.1838696741852</v>
      </c>
      <c r="P184" s="1057" t="s">
        <v>2748</v>
      </c>
      <c r="Q184" s="1057" t="s">
        <v>2318</v>
      </c>
      <c r="R184" s="1057" t="s">
        <v>1534</v>
      </c>
      <c r="S184" s="1057" t="s">
        <v>2320</v>
      </c>
    </row>
    <row r="185" spans="1:19" x14ac:dyDescent="0.25">
      <c r="A185" s="1057" t="s">
        <v>2749</v>
      </c>
      <c r="B185" s="1057" t="s">
        <v>2750</v>
      </c>
      <c r="D185" s="1057">
        <v>5</v>
      </c>
      <c r="E185" s="1057">
        <v>5</v>
      </c>
      <c r="F185" s="1071">
        <f>COLLARES!V143</f>
        <v>0</v>
      </c>
      <c r="G185" s="1095">
        <f t="shared" si="4"/>
        <v>0</v>
      </c>
      <c r="H185" s="1091">
        <v>13600</v>
      </c>
      <c r="L185" s="1071">
        <f>COLLARES!T141</f>
        <v>5341.1686726795224</v>
      </c>
      <c r="M185" s="1082">
        <f t="shared" si="5"/>
        <v>6943.5192744833794</v>
      </c>
      <c r="P185" s="1057" t="s">
        <v>2750</v>
      </c>
      <c r="Q185" s="1057" t="s">
        <v>2318</v>
      </c>
      <c r="R185" s="1057" t="s">
        <v>1534</v>
      </c>
      <c r="S185" s="1057" t="s">
        <v>2320</v>
      </c>
    </row>
    <row r="186" spans="1:19" x14ac:dyDescent="0.25">
      <c r="A186" s="1057" t="s">
        <v>2677</v>
      </c>
      <c r="B186" s="1057" t="s">
        <v>2678</v>
      </c>
      <c r="D186" s="1057">
        <v>6</v>
      </c>
      <c r="E186" s="1057">
        <v>5</v>
      </c>
      <c r="F186" s="1071">
        <f>'SALE CADENAS'!R21</f>
        <v>5900</v>
      </c>
      <c r="G186" s="1095">
        <f t="shared" si="4"/>
        <v>7670</v>
      </c>
      <c r="H186" s="1091">
        <v>7800</v>
      </c>
      <c r="L186" s="1071">
        <f>'SALE CADENAS'!P20</f>
        <v>4690.6714333002319</v>
      </c>
      <c r="M186" s="1082">
        <f t="shared" si="5"/>
        <v>6097.8728632903012</v>
      </c>
      <c r="P186" s="1057" t="s">
        <v>2678</v>
      </c>
      <c r="Q186" s="1057" t="s">
        <v>2318</v>
      </c>
      <c r="R186" s="1057" t="s">
        <v>1534</v>
      </c>
      <c r="S186" s="1057" t="s">
        <v>2320</v>
      </c>
    </row>
    <row r="187" spans="1:19" x14ac:dyDescent="0.25">
      <c r="A187" s="1057" t="s">
        <v>2751</v>
      </c>
      <c r="B187" s="1057" t="s">
        <v>2752</v>
      </c>
      <c r="D187" s="1057">
        <v>8</v>
      </c>
      <c r="E187" s="1057">
        <v>5</v>
      </c>
      <c r="F187" s="1071">
        <f>'SALE COLLARES'!H108</f>
        <v>6800</v>
      </c>
      <c r="G187" s="1095">
        <f t="shared" si="4"/>
        <v>8840</v>
      </c>
      <c r="H187" s="1091">
        <v>8800</v>
      </c>
      <c r="L187" s="1071">
        <f>'SALE COLLARES'!F106</f>
        <v>5403.6928502284964</v>
      </c>
      <c r="M187" s="1082">
        <f t="shared" si="5"/>
        <v>7024.8007052970452</v>
      </c>
      <c r="P187" s="1057" t="s">
        <v>2752</v>
      </c>
      <c r="Q187" s="1057" t="s">
        <v>2318</v>
      </c>
      <c r="R187" s="1057" t="s">
        <v>1534</v>
      </c>
      <c r="S187" s="1057" t="s">
        <v>2320</v>
      </c>
    </row>
    <row r="188" spans="1:19" x14ac:dyDescent="0.25">
      <c r="A188" s="1057" t="s">
        <v>2763</v>
      </c>
      <c r="B188" s="1057" t="s">
        <v>2764</v>
      </c>
      <c r="D188" s="1057">
        <v>5</v>
      </c>
      <c r="E188" s="1057">
        <v>5</v>
      </c>
      <c r="F188" s="1071">
        <f>'SALE COLLARES'!H89</f>
        <v>5700</v>
      </c>
      <c r="G188" s="1095">
        <f t="shared" si="4"/>
        <v>7410</v>
      </c>
      <c r="H188" s="1091">
        <v>7400</v>
      </c>
      <c r="L188" s="1071">
        <f>'SALE COLLARES'!F87</f>
        <v>6071.8833333333323</v>
      </c>
      <c r="M188" s="1082">
        <f t="shared" si="5"/>
        <v>7893.4483333333319</v>
      </c>
      <c r="P188" s="1057" t="s">
        <v>2764</v>
      </c>
      <c r="Q188" s="1057" t="s">
        <v>2318</v>
      </c>
      <c r="R188" s="1057" t="s">
        <v>1534</v>
      </c>
      <c r="S188" s="1057" t="s">
        <v>2320</v>
      </c>
    </row>
    <row r="189" spans="1:19" x14ac:dyDescent="0.25">
      <c r="A189" s="1057" t="s">
        <v>2767</v>
      </c>
      <c r="B189" s="1057" t="s">
        <v>2768</v>
      </c>
      <c r="D189" s="1057">
        <v>4</v>
      </c>
      <c r="E189" s="1057">
        <v>5</v>
      </c>
      <c r="F189" s="1071">
        <f>F188</f>
        <v>5700</v>
      </c>
      <c r="G189" s="1095">
        <f t="shared" si="4"/>
        <v>7410</v>
      </c>
      <c r="H189" s="1091">
        <v>7400</v>
      </c>
      <c r="L189" s="1071">
        <f>L187</f>
        <v>5403.6928502284964</v>
      </c>
      <c r="M189" s="1082">
        <f t="shared" si="5"/>
        <v>7024.8007052970452</v>
      </c>
      <c r="P189" s="1057" t="s">
        <v>2768</v>
      </c>
      <c r="Q189" s="1057" t="s">
        <v>2318</v>
      </c>
      <c r="R189" s="1057" t="s">
        <v>1534</v>
      </c>
      <c r="S189" s="1057" t="s">
        <v>2320</v>
      </c>
    </row>
    <row r="190" spans="1:19" x14ac:dyDescent="0.25">
      <c r="A190" s="1057" t="s">
        <v>2769</v>
      </c>
      <c r="B190" s="1057" t="s">
        <v>2770</v>
      </c>
      <c r="D190" s="1057">
        <v>12</v>
      </c>
      <c r="E190" s="1057">
        <v>5</v>
      </c>
      <c r="F190" s="1071">
        <f>F189</f>
        <v>5700</v>
      </c>
      <c r="G190" s="1095">
        <f t="shared" si="4"/>
        <v>7410</v>
      </c>
      <c r="H190" s="1091">
        <v>7400</v>
      </c>
      <c r="L190" s="1071">
        <f>L188</f>
        <v>6071.8833333333323</v>
      </c>
      <c r="M190" s="1082">
        <f t="shared" si="5"/>
        <v>7893.4483333333319</v>
      </c>
      <c r="P190" s="1057" t="s">
        <v>2770</v>
      </c>
      <c r="Q190" s="1057" t="s">
        <v>2318</v>
      </c>
      <c r="R190" s="1057" t="s">
        <v>1534</v>
      </c>
      <c r="S190" s="1057" t="s">
        <v>2320</v>
      </c>
    </row>
    <row r="191" spans="1:19" x14ac:dyDescent="0.25">
      <c r="A191" s="1057" t="s">
        <v>2775</v>
      </c>
      <c r="B191" s="1057" t="s">
        <v>2776</v>
      </c>
      <c r="D191" s="1057">
        <v>1</v>
      </c>
      <c r="E191" s="1057">
        <v>5</v>
      </c>
      <c r="F191" s="1071">
        <f>'SALE COLLARES'!G356</f>
        <v>4500</v>
      </c>
      <c r="G191" s="1095">
        <f t="shared" si="4"/>
        <v>5850</v>
      </c>
      <c r="H191" s="1091">
        <v>6000</v>
      </c>
      <c r="L191" s="1071">
        <f>'SALE COLLARES'!E354</f>
        <v>3272.7</v>
      </c>
      <c r="M191" s="1082">
        <f t="shared" si="5"/>
        <v>4254.51</v>
      </c>
      <c r="P191" s="1057" t="s">
        <v>2776</v>
      </c>
      <c r="Q191" s="1057" t="s">
        <v>2318</v>
      </c>
      <c r="R191" s="1057" t="s">
        <v>1534</v>
      </c>
      <c r="S191" s="1057" t="s">
        <v>2320</v>
      </c>
    </row>
    <row r="192" spans="1:19" x14ac:dyDescent="0.25">
      <c r="A192" s="1057" t="s">
        <v>2649</v>
      </c>
      <c r="B192" s="1057" t="s">
        <v>2650</v>
      </c>
      <c r="D192" s="1057">
        <v>4</v>
      </c>
      <c r="E192" s="1057">
        <v>5</v>
      </c>
      <c r="F192" s="1071">
        <f>'SALE CADENAS'!G13</f>
        <v>3800</v>
      </c>
      <c r="G192" s="1095">
        <f t="shared" si="4"/>
        <v>4940</v>
      </c>
      <c r="H192" s="1091">
        <v>5000</v>
      </c>
      <c r="L192" s="1071">
        <f>'SALE CADENAS'!E11</f>
        <v>939</v>
      </c>
      <c r="M192" s="1082">
        <f t="shared" si="5"/>
        <v>1220.7</v>
      </c>
      <c r="P192" s="1057" t="s">
        <v>2650</v>
      </c>
      <c r="Q192" s="1057" t="s">
        <v>2318</v>
      </c>
      <c r="R192" s="1057" t="s">
        <v>1534</v>
      </c>
      <c r="S192" s="1057" t="s">
        <v>2320</v>
      </c>
    </row>
    <row r="193" spans="1:19" x14ac:dyDescent="0.25">
      <c r="A193" s="1057" t="s">
        <v>2787</v>
      </c>
      <c r="B193" s="1057" t="s">
        <v>2788</v>
      </c>
      <c r="D193" s="1057">
        <v>13</v>
      </c>
      <c r="E193" s="1057">
        <v>5</v>
      </c>
      <c r="F193" s="1071">
        <f>COLLARES!H674</f>
        <v>15000</v>
      </c>
      <c r="G193" s="1095">
        <f t="shared" si="4"/>
        <v>19500</v>
      </c>
      <c r="H193" s="1091">
        <v>6000</v>
      </c>
      <c r="L193" s="1071">
        <f>COLLARES!F672</f>
        <v>6224.1537815126048</v>
      </c>
      <c r="M193" s="1082">
        <f t="shared" si="5"/>
        <v>8091.3999159663863</v>
      </c>
      <c r="P193" s="1057" t="s">
        <v>2788</v>
      </c>
      <c r="Q193" s="1057" t="s">
        <v>2318</v>
      </c>
      <c r="R193" s="1057" t="s">
        <v>1534</v>
      </c>
      <c r="S193" s="1057" t="s">
        <v>2320</v>
      </c>
    </row>
    <row r="194" spans="1:19" x14ac:dyDescent="0.25">
      <c r="A194" s="1057" t="s">
        <v>2789</v>
      </c>
      <c r="B194" s="1057" t="s">
        <v>2790</v>
      </c>
      <c r="D194" s="1057">
        <v>6</v>
      </c>
      <c r="E194" s="1057">
        <v>5</v>
      </c>
      <c r="F194" s="1071">
        <f>COLLARES!H654</f>
        <v>16000</v>
      </c>
      <c r="G194" s="1095">
        <f t="shared" ref="G194:G257" si="6">F194+F194*30%</f>
        <v>20800</v>
      </c>
      <c r="H194" s="1091">
        <v>6000</v>
      </c>
      <c r="L194" s="1071">
        <f>COLLARES!F652</f>
        <v>5035.9921658986177</v>
      </c>
      <c r="M194" s="1082">
        <f t="shared" ref="M194:M257" si="7">L194+L194*30%</f>
        <v>6546.7898156682031</v>
      </c>
      <c r="P194" s="1057" t="s">
        <v>2790</v>
      </c>
      <c r="Q194" s="1057" t="s">
        <v>2318</v>
      </c>
      <c r="R194" s="1057" t="s">
        <v>1534</v>
      </c>
      <c r="S194" s="1057" t="s">
        <v>2320</v>
      </c>
    </row>
    <row r="195" spans="1:19" x14ac:dyDescent="0.25">
      <c r="A195" s="1057" t="s">
        <v>2631</v>
      </c>
      <c r="B195" s="1057" t="s">
        <v>2632</v>
      </c>
      <c r="D195" s="1057">
        <v>10</v>
      </c>
      <c r="E195" s="1057">
        <v>5</v>
      </c>
      <c r="F195" s="1071">
        <f>CADENAS!AF27</f>
        <v>4600</v>
      </c>
      <c r="G195" s="1095">
        <f t="shared" si="6"/>
        <v>5980</v>
      </c>
      <c r="H195" s="1091">
        <v>3600</v>
      </c>
      <c r="L195" s="1071">
        <f>CADENAS!AD25</f>
        <v>1152.7</v>
      </c>
      <c r="M195" s="1082">
        <f t="shared" si="7"/>
        <v>1498.51</v>
      </c>
      <c r="P195" s="1057" t="s">
        <v>2632</v>
      </c>
      <c r="Q195" s="1057" t="s">
        <v>2318</v>
      </c>
      <c r="R195" s="1057" t="s">
        <v>1534</v>
      </c>
      <c r="S195" s="1057" t="s">
        <v>2320</v>
      </c>
    </row>
    <row r="196" spans="1:19" x14ac:dyDescent="0.25">
      <c r="A196" s="1057" t="s">
        <v>2635</v>
      </c>
      <c r="B196" s="1057" t="s">
        <v>2636</v>
      </c>
      <c r="D196" s="1057">
        <v>6</v>
      </c>
      <c r="E196" s="1057">
        <v>5</v>
      </c>
      <c r="F196" s="1071">
        <f>CADENAS!I38</f>
        <v>22000</v>
      </c>
      <c r="G196" s="1095">
        <f t="shared" si="6"/>
        <v>28600</v>
      </c>
      <c r="H196" s="1091">
        <v>12000</v>
      </c>
      <c r="L196" s="1071">
        <f>CADENAS!F36</f>
        <v>5693.3333333333339</v>
      </c>
      <c r="M196" s="1082">
        <f t="shared" si="7"/>
        <v>7401.3333333333339</v>
      </c>
      <c r="P196" s="1057" t="s">
        <v>2636</v>
      </c>
      <c r="Q196" s="1057" t="s">
        <v>2318</v>
      </c>
      <c r="R196" s="1057" t="s">
        <v>1534</v>
      </c>
      <c r="S196" s="1057" t="s">
        <v>2320</v>
      </c>
    </row>
    <row r="197" spans="1:19" x14ac:dyDescent="0.25">
      <c r="A197" s="1057" t="s">
        <v>2633</v>
      </c>
      <c r="B197" s="1057" t="s">
        <v>2634</v>
      </c>
      <c r="D197" s="1057">
        <v>3</v>
      </c>
      <c r="E197" s="1057">
        <v>5</v>
      </c>
      <c r="F197" s="1071">
        <f>CADENAS!AF14</f>
        <v>4600</v>
      </c>
      <c r="G197" s="1095">
        <f t="shared" si="6"/>
        <v>5980</v>
      </c>
      <c r="H197" s="1091">
        <v>3600</v>
      </c>
      <c r="L197" s="1071">
        <f>CADENAS!AD12</f>
        <v>1413.3666666666668</v>
      </c>
      <c r="M197" s="1082">
        <f t="shared" si="7"/>
        <v>1837.3766666666668</v>
      </c>
      <c r="P197" s="1057" t="s">
        <v>2634</v>
      </c>
      <c r="Q197" s="1057" t="s">
        <v>2318</v>
      </c>
      <c r="R197" s="1057" t="s">
        <v>1534</v>
      </c>
      <c r="S197" s="1057" t="s">
        <v>2320</v>
      </c>
    </row>
    <row r="198" spans="1:19" x14ac:dyDescent="0.25">
      <c r="A198" s="1057" t="s">
        <v>2637</v>
      </c>
      <c r="B198" s="1057" t="s">
        <v>2638</v>
      </c>
      <c r="D198" s="1057">
        <v>7</v>
      </c>
      <c r="E198" s="1057">
        <v>5</v>
      </c>
      <c r="F198" s="1071">
        <f>CADENAS!G14</f>
        <v>14000</v>
      </c>
      <c r="G198" s="1095">
        <f t="shared" si="6"/>
        <v>18200</v>
      </c>
      <c r="H198" s="1091">
        <v>6000</v>
      </c>
      <c r="L198" s="1071">
        <f>CADENAS!E12</f>
        <v>1403.6666666666667</v>
      </c>
      <c r="M198" s="1082">
        <f t="shared" si="7"/>
        <v>1824.7666666666669</v>
      </c>
      <c r="P198" s="1057" t="s">
        <v>2638</v>
      </c>
      <c r="Q198" s="1057" t="s">
        <v>2318</v>
      </c>
      <c r="R198" s="1057" t="s">
        <v>1534</v>
      </c>
      <c r="S198" s="1057" t="s">
        <v>2320</v>
      </c>
    </row>
    <row r="199" spans="1:19" x14ac:dyDescent="0.25">
      <c r="A199" s="1057" t="s">
        <v>2639</v>
      </c>
      <c r="B199" s="1057" t="s">
        <v>2640</v>
      </c>
      <c r="D199" s="1057">
        <v>6</v>
      </c>
      <c r="E199" s="1057">
        <v>5</v>
      </c>
      <c r="F199" s="1071">
        <f>CADENAS!G59</f>
        <v>18000</v>
      </c>
      <c r="G199" s="1095">
        <f t="shared" si="6"/>
        <v>23400</v>
      </c>
      <c r="H199" s="1091">
        <v>9400</v>
      </c>
      <c r="L199" s="1071">
        <f>CADENAS!E57</f>
        <v>639</v>
      </c>
      <c r="M199" s="1082">
        <f t="shared" si="7"/>
        <v>830.7</v>
      </c>
      <c r="P199" s="1057" t="s">
        <v>2640</v>
      </c>
      <c r="Q199" s="1057" t="s">
        <v>2318</v>
      </c>
      <c r="R199" s="1057" t="s">
        <v>1534</v>
      </c>
      <c r="S199" s="1057" t="s">
        <v>2320</v>
      </c>
    </row>
    <row r="200" spans="1:19" x14ac:dyDescent="0.25">
      <c r="A200" s="1057" t="s">
        <v>2641</v>
      </c>
      <c r="B200" s="1057" t="s">
        <v>2642</v>
      </c>
      <c r="D200" s="1057">
        <v>6</v>
      </c>
      <c r="E200" s="1057">
        <v>5</v>
      </c>
      <c r="F200" s="1071">
        <f>CADENAS!G70</f>
        <v>18000</v>
      </c>
      <c r="G200" s="1095">
        <f t="shared" si="6"/>
        <v>23400</v>
      </c>
      <c r="H200" s="1091">
        <v>8000</v>
      </c>
      <c r="L200" s="1071">
        <f>CADENAS!E68</f>
        <v>1388</v>
      </c>
      <c r="M200" s="1082">
        <f t="shared" si="7"/>
        <v>1804.4</v>
      </c>
      <c r="P200" s="1057" t="s">
        <v>2642</v>
      </c>
      <c r="Q200" s="1057" t="s">
        <v>2318</v>
      </c>
      <c r="R200" s="1057" t="s">
        <v>1534</v>
      </c>
      <c r="S200" s="1057" t="s">
        <v>2320</v>
      </c>
    </row>
    <row r="201" spans="1:19" x14ac:dyDescent="0.25">
      <c r="A201" s="1057" t="s">
        <v>3021</v>
      </c>
      <c r="B201" s="1057" t="s">
        <v>3022</v>
      </c>
      <c r="D201" s="1057">
        <v>5</v>
      </c>
      <c r="E201" s="1057">
        <v>5</v>
      </c>
      <c r="F201" s="1071">
        <f>CADENAS!G93</f>
        <v>12000</v>
      </c>
      <c r="G201" s="1095">
        <f t="shared" si="6"/>
        <v>15600</v>
      </c>
      <c r="H201" s="1091">
        <v>4200</v>
      </c>
      <c r="L201" s="1071">
        <f>CADENAS!E91</f>
        <v>1892</v>
      </c>
      <c r="M201" s="1082">
        <f t="shared" si="7"/>
        <v>2459.6</v>
      </c>
      <c r="P201" s="1057" t="s">
        <v>3022</v>
      </c>
      <c r="Q201" s="1057" t="s">
        <v>2318</v>
      </c>
      <c r="R201" s="1057" t="s">
        <v>1534</v>
      </c>
      <c r="S201" s="1057" t="s">
        <v>2320</v>
      </c>
    </row>
    <row r="202" spans="1:19" x14ac:dyDescent="0.25">
      <c r="A202" s="1057" t="s">
        <v>2643</v>
      </c>
      <c r="B202" s="1057" t="s">
        <v>2644</v>
      </c>
      <c r="D202" s="1057">
        <v>5</v>
      </c>
      <c r="E202" s="1057">
        <v>5</v>
      </c>
      <c r="F202" s="1071">
        <f>CADENAS!I48</f>
        <v>22000</v>
      </c>
      <c r="G202" s="1095">
        <f t="shared" si="6"/>
        <v>28600</v>
      </c>
      <c r="H202" s="1091">
        <v>12000</v>
      </c>
      <c r="L202" s="1071">
        <f>CADENAS!F46</f>
        <v>4713</v>
      </c>
      <c r="M202" s="1082">
        <f t="shared" si="7"/>
        <v>6126.9</v>
      </c>
      <c r="P202" s="1057" t="s">
        <v>2644</v>
      </c>
      <c r="Q202" s="1057" t="s">
        <v>2318</v>
      </c>
      <c r="R202" s="1057" t="s">
        <v>1534</v>
      </c>
      <c r="S202" s="1057" t="s">
        <v>2320</v>
      </c>
    </row>
    <row r="203" spans="1:19" x14ac:dyDescent="0.25">
      <c r="A203" s="1057" t="s">
        <v>2645</v>
      </c>
      <c r="B203" s="1057" t="s">
        <v>2646</v>
      </c>
      <c r="D203" s="1057">
        <v>9</v>
      </c>
      <c r="E203" s="1057">
        <v>5</v>
      </c>
      <c r="F203" s="1071">
        <f>CADENAS!G26</f>
        <v>0</v>
      </c>
      <c r="G203" s="1095">
        <f t="shared" si="6"/>
        <v>0</v>
      </c>
      <c r="H203" s="1091">
        <v>6000</v>
      </c>
      <c r="L203" s="1071">
        <f>CADENAS!E24</f>
        <v>4961.7</v>
      </c>
      <c r="M203" s="1082">
        <f t="shared" si="7"/>
        <v>6450.21</v>
      </c>
      <c r="P203" s="1057" t="s">
        <v>2646</v>
      </c>
      <c r="Q203" s="1057" t="s">
        <v>2318</v>
      </c>
      <c r="R203" s="1057" t="s">
        <v>1534</v>
      </c>
      <c r="S203" s="1057" t="s">
        <v>2320</v>
      </c>
    </row>
    <row r="204" spans="1:19" x14ac:dyDescent="0.25">
      <c r="A204" s="1057" t="s">
        <v>2647</v>
      </c>
      <c r="B204" s="1057" t="s">
        <v>2648</v>
      </c>
      <c r="D204" s="1057">
        <v>13</v>
      </c>
      <c r="E204" s="1057">
        <v>5</v>
      </c>
      <c r="F204" s="1071">
        <f>CADENAS!I82</f>
        <v>0</v>
      </c>
      <c r="G204" s="1095">
        <f t="shared" si="6"/>
        <v>0</v>
      </c>
      <c r="H204" s="1091">
        <v>12000</v>
      </c>
      <c r="L204" s="1071">
        <f>CADENAS!F80</f>
        <v>7484.9333333333334</v>
      </c>
      <c r="M204" s="1082">
        <f t="shared" si="7"/>
        <v>9730.4133333333339</v>
      </c>
      <c r="P204" s="1057" t="s">
        <v>2648</v>
      </c>
      <c r="Q204" s="1057" t="s">
        <v>2318</v>
      </c>
      <c r="R204" s="1057" t="s">
        <v>1534</v>
      </c>
      <c r="S204" s="1057" t="s">
        <v>2320</v>
      </c>
    </row>
    <row r="205" spans="1:19" x14ac:dyDescent="0.25">
      <c r="A205" s="1057" t="s">
        <v>2691</v>
      </c>
      <c r="B205" s="1057" t="s">
        <v>2692</v>
      </c>
      <c r="D205" s="1057">
        <v>8</v>
      </c>
      <c r="E205" s="1057">
        <v>5</v>
      </c>
      <c r="F205" s="1071">
        <f>COLLARES!W103</f>
        <v>0</v>
      </c>
      <c r="G205" s="1095">
        <f t="shared" si="6"/>
        <v>0</v>
      </c>
      <c r="H205" s="1091">
        <v>15800</v>
      </c>
      <c r="L205" s="1071">
        <f>COLLARES!T101</f>
        <v>6888.5523809523811</v>
      </c>
      <c r="M205" s="1082">
        <f t="shared" si="7"/>
        <v>8955.1180952380964</v>
      </c>
      <c r="P205" s="1057" t="s">
        <v>2692</v>
      </c>
      <c r="Q205" s="1057" t="s">
        <v>2318</v>
      </c>
      <c r="R205" s="1057" t="s">
        <v>1534</v>
      </c>
      <c r="S205" s="1057" t="s">
        <v>2320</v>
      </c>
    </row>
    <row r="206" spans="1:19" x14ac:dyDescent="0.25">
      <c r="A206" s="1057" t="s">
        <v>2653</v>
      </c>
      <c r="B206" s="1057" t="s">
        <v>2654</v>
      </c>
      <c r="D206" s="1057">
        <v>7</v>
      </c>
      <c r="E206" s="1057">
        <v>5</v>
      </c>
      <c r="F206" s="1071">
        <f>CADENAS!T117</f>
        <v>30000</v>
      </c>
      <c r="G206" s="1095">
        <f t="shared" si="6"/>
        <v>39000</v>
      </c>
      <c r="H206" s="1091">
        <v>15200</v>
      </c>
      <c r="L206" s="1071">
        <f>CADENAS!R116</f>
        <v>8786.2666666666664</v>
      </c>
      <c r="M206" s="1082">
        <f t="shared" si="7"/>
        <v>11422.146666666666</v>
      </c>
      <c r="P206" s="1057" t="s">
        <v>2654</v>
      </c>
      <c r="Q206" s="1057" t="s">
        <v>2318</v>
      </c>
      <c r="R206" s="1057" t="s">
        <v>1534</v>
      </c>
      <c r="S206" s="1057" t="s">
        <v>2320</v>
      </c>
    </row>
    <row r="207" spans="1:19" x14ac:dyDescent="0.25">
      <c r="A207" s="1057" t="s">
        <v>2655</v>
      </c>
      <c r="B207" s="1057" t="s">
        <v>2656</v>
      </c>
      <c r="D207" s="1057">
        <v>6</v>
      </c>
      <c r="E207" s="1057">
        <v>5</v>
      </c>
      <c r="F207" s="1071">
        <f>CADENAS!T91</f>
        <v>10200</v>
      </c>
      <c r="G207" s="1095">
        <f t="shared" si="6"/>
        <v>13260</v>
      </c>
      <c r="H207" s="1091">
        <v>7800</v>
      </c>
      <c r="L207" s="1071">
        <f>CADENAS!R89</f>
        <v>1759.6666666666667</v>
      </c>
      <c r="M207" s="1082">
        <f t="shared" si="7"/>
        <v>2287.5666666666666</v>
      </c>
      <c r="P207" s="1057" t="s">
        <v>2656</v>
      </c>
      <c r="Q207" s="1057" t="s">
        <v>2318</v>
      </c>
      <c r="R207" s="1057" t="s">
        <v>1534</v>
      </c>
      <c r="S207" s="1057" t="s">
        <v>2320</v>
      </c>
    </row>
    <row r="208" spans="1:19" x14ac:dyDescent="0.25">
      <c r="A208" s="1057" t="s">
        <v>2697</v>
      </c>
      <c r="B208" s="1057" t="s">
        <v>2698</v>
      </c>
      <c r="D208" s="1057">
        <v>4</v>
      </c>
      <c r="E208" s="1057">
        <v>5</v>
      </c>
      <c r="F208" s="1071">
        <f>COLLARES!H90</f>
        <v>8800</v>
      </c>
      <c r="G208" s="1095">
        <f t="shared" si="6"/>
        <v>11440</v>
      </c>
      <c r="H208" s="1091">
        <v>11400</v>
      </c>
      <c r="L208" s="1071">
        <f>COLLARES!F88</f>
        <v>5441.4242081447956</v>
      </c>
      <c r="M208" s="1082">
        <f t="shared" si="7"/>
        <v>7073.8514705882344</v>
      </c>
      <c r="P208" s="1057" t="s">
        <v>2698</v>
      </c>
      <c r="Q208" s="1057" t="s">
        <v>2318</v>
      </c>
      <c r="R208" s="1057" t="s">
        <v>1534</v>
      </c>
      <c r="S208" s="1057" t="s">
        <v>2320</v>
      </c>
    </row>
    <row r="209" spans="1:20" x14ac:dyDescent="0.25">
      <c r="A209" s="1057" t="s">
        <v>2701</v>
      </c>
      <c r="B209" s="1057" t="s">
        <v>2702</v>
      </c>
      <c r="D209" s="1057">
        <v>13</v>
      </c>
      <c r="E209" s="1057">
        <v>5</v>
      </c>
      <c r="F209" s="1071">
        <f>COLLARES!I306</f>
        <v>17800</v>
      </c>
      <c r="G209" s="1095">
        <f t="shared" si="6"/>
        <v>23140</v>
      </c>
      <c r="H209" s="1091">
        <v>23200</v>
      </c>
      <c r="L209" s="1071">
        <f>COLLARES!F304</f>
        <v>10932.526855419375</v>
      </c>
      <c r="M209" s="1082">
        <f t="shared" si="7"/>
        <v>14212.284912045188</v>
      </c>
      <c r="P209" s="1057" t="s">
        <v>2702</v>
      </c>
      <c r="Q209" s="1057" t="s">
        <v>2318</v>
      </c>
      <c r="R209" s="1057" t="s">
        <v>1534</v>
      </c>
      <c r="S209" s="1057" t="s">
        <v>2320</v>
      </c>
    </row>
    <row r="210" spans="1:20" x14ac:dyDescent="0.25">
      <c r="A210" s="1057" t="s">
        <v>3075</v>
      </c>
      <c r="B210" s="1057" t="s">
        <v>3076</v>
      </c>
      <c r="C210" s="1057"/>
      <c r="D210" s="1057">
        <v>21</v>
      </c>
      <c r="E210" s="1057">
        <v>5</v>
      </c>
      <c r="F210" s="1071">
        <f>COLLARES!G322</f>
        <v>26000</v>
      </c>
      <c r="G210" s="1095">
        <f t="shared" si="6"/>
        <v>33800</v>
      </c>
      <c r="H210" s="1091">
        <v>12800</v>
      </c>
      <c r="I210" s="1057"/>
      <c r="J210" s="1057"/>
      <c r="K210" s="1057"/>
      <c r="L210" s="1071">
        <f>COLLARES!E321</f>
        <v>7479.7857142857147</v>
      </c>
      <c r="M210" s="1082">
        <f t="shared" si="7"/>
        <v>9723.721428571429</v>
      </c>
      <c r="N210" s="1057"/>
      <c r="O210" s="1057"/>
      <c r="P210" s="1057" t="s">
        <v>3076</v>
      </c>
      <c r="Q210" s="1057" t="s">
        <v>2318</v>
      </c>
      <c r="R210" s="1057" t="s">
        <v>1534</v>
      </c>
      <c r="S210" s="1057" t="s">
        <v>2320</v>
      </c>
      <c r="T210" s="1057"/>
    </row>
    <row r="211" spans="1:20" x14ac:dyDescent="0.25">
      <c r="A211" s="1057" t="s">
        <v>2709</v>
      </c>
      <c r="B211" s="1057" t="s">
        <v>2710</v>
      </c>
      <c r="D211" s="1057">
        <v>16</v>
      </c>
      <c r="E211" s="1057">
        <v>5</v>
      </c>
      <c r="F211" s="1071">
        <f>COLLARES!V163</f>
        <v>0</v>
      </c>
      <c r="G211" s="1095">
        <f t="shared" si="6"/>
        <v>0</v>
      </c>
      <c r="H211" s="1091">
        <v>19400</v>
      </c>
      <c r="L211" s="1071">
        <f>COLLARES!S161</f>
        <v>16198.529831932772</v>
      </c>
      <c r="M211" s="1082">
        <f t="shared" si="7"/>
        <v>21058.088781512604</v>
      </c>
      <c r="P211" s="1057" t="s">
        <v>2710</v>
      </c>
      <c r="Q211" s="1057" t="s">
        <v>2318</v>
      </c>
      <c r="R211" s="1057" t="s">
        <v>1534</v>
      </c>
      <c r="S211" s="1057" t="s">
        <v>2320</v>
      </c>
    </row>
    <row r="212" spans="1:20" x14ac:dyDescent="0.25">
      <c r="A212" s="1057" t="s">
        <v>2707</v>
      </c>
      <c r="B212" s="1057" t="s">
        <v>2708</v>
      </c>
      <c r="D212" s="1057">
        <v>11</v>
      </c>
      <c r="E212" s="1057">
        <v>5</v>
      </c>
      <c r="F212" s="1071">
        <f>COLLARES!G208</f>
        <v>18000</v>
      </c>
      <c r="G212" s="1095">
        <f t="shared" si="6"/>
        <v>23400</v>
      </c>
      <c r="H212" s="1091">
        <v>15200</v>
      </c>
      <c r="L212" s="1071">
        <f>COLLARES!E207</f>
        <v>8566.6278195488721</v>
      </c>
      <c r="M212" s="1082">
        <f t="shared" si="7"/>
        <v>11136.616165413534</v>
      </c>
      <c r="P212" s="1057" t="s">
        <v>2708</v>
      </c>
      <c r="Q212" s="1057" t="s">
        <v>2318</v>
      </c>
      <c r="R212" s="1057" t="s">
        <v>1534</v>
      </c>
      <c r="S212" s="1057" t="s">
        <v>2320</v>
      </c>
    </row>
    <row r="213" spans="1:20" x14ac:dyDescent="0.25">
      <c r="A213" s="1057" t="s">
        <v>2713</v>
      </c>
      <c r="B213" s="1057" t="s">
        <v>2714</v>
      </c>
      <c r="D213" s="1057">
        <v>21</v>
      </c>
      <c r="E213" s="1057">
        <v>5</v>
      </c>
      <c r="F213" s="1071">
        <f>COLLARES!H282</f>
        <v>23000</v>
      </c>
      <c r="G213" s="1095">
        <f t="shared" si="6"/>
        <v>29900</v>
      </c>
      <c r="H213" s="1091">
        <v>11400</v>
      </c>
      <c r="L213" s="1071">
        <f>COLLARES!F280</f>
        <v>4716.0861788617885</v>
      </c>
      <c r="M213" s="1082">
        <f t="shared" si="7"/>
        <v>6130.9120325203248</v>
      </c>
      <c r="P213" s="1057" t="s">
        <v>2714</v>
      </c>
      <c r="Q213" s="1057" t="s">
        <v>2318</v>
      </c>
      <c r="R213" s="1057" t="s">
        <v>1534</v>
      </c>
      <c r="S213" s="1057" t="s">
        <v>2320</v>
      </c>
    </row>
    <row r="214" spans="1:20" x14ac:dyDescent="0.25">
      <c r="A214" s="1057" t="s">
        <v>2651</v>
      </c>
      <c r="B214" s="1057" t="s">
        <v>2652</v>
      </c>
      <c r="D214" s="1057">
        <v>14</v>
      </c>
      <c r="E214" s="1057">
        <v>5</v>
      </c>
      <c r="F214" s="1071">
        <f>COLLARES!G539</f>
        <v>20000</v>
      </c>
      <c r="G214" s="1095">
        <f t="shared" si="6"/>
        <v>26000</v>
      </c>
      <c r="H214" s="1091">
        <v>7800</v>
      </c>
      <c r="L214" s="1071">
        <f>COLLARES!E537</f>
        <v>4196.8277142857141</v>
      </c>
      <c r="M214" s="1082">
        <f t="shared" si="7"/>
        <v>5455.8760285714288</v>
      </c>
      <c r="P214" s="1057" t="s">
        <v>2652</v>
      </c>
      <c r="Q214" s="1057" t="s">
        <v>2318</v>
      </c>
      <c r="R214" s="1057" t="s">
        <v>1534</v>
      </c>
      <c r="S214" s="1057" t="s">
        <v>2320</v>
      </c>
    </row>
    <row r="215" spans="1:20" x14ac:dyDescent="0.25">
      <c r="A215" s="1057" t="s">
        <v>2715</v>
      </c>
      <c r="B215" s="1057" t="s">
        <v>2716</v>
      </c>
      <c r="D215" s="1057">
        <v>8</v>
      </c>
      <c r="E215" s="1057">
        <v>5</v>
      </c>
      <c r="F215" s="1071">
        <f>COLLARES!U84</f>
        <v>34000</v>
      </c>
      <c r="G215" s="1095">
        <f t="shared" si="6"/>
        <v>44200</v>
      </c>
      <c r="H215" s="1091">
        <v>16200</v>
      </c>
      <c r="L215" s="1071">
        <f>COLLARES!S83</f>
        <v>12975.032069748833</v>
      </c>
      <c r="M215" s="1082">
        <f t="shared" si="7"/>
        <v>16867.541690673483</v>
      </c>
      <c r="P215" s="1057" t="s">
        <v>2716</v>
      </c>
      <c r="Q215" s="1057" t="s">
        <v>2318</v>
      </c>
      <c r="R215" s="1057" t="s">
        <v>1534</v>
      </c>
      <c r="S215" s="1057" t="s">
        <v>2320</v>
      </c>
    </row>
    <row r="216" spans="1:20" x14ac:dyDescent="0.25">
      <c r="A216" s="1057" t="s">
        <v>2661</v>
      </c>
      <c r="B216" s="1057" t="s">
        <v>2662</v>
      </c>
      <c r="D216" s="1057">
        <v>21</v>
      </c>
      <c r="E216" s="1057">
        <v>5</v>
      </c>
      <c r="F216" s="1071">
        <f>COLLARES!G322</f>
        <v>26000</v>
      </c>
      <c r="G216" s="1095">
        <f t="shared" si="6"/>
        <v>33800</v>
      </c>
      <c r="H216" s="1091">
        <v>12800</v>
      </c>
      <c r="L216" s="1071">
        <f>COLLARES!E321</f>
        <v>7479.7857142857147</v>
      </c>
      <c r="M216" s="1082">
        <f t="shared" si="7"/>
        <v>9723.721428571429</v>
      </c>
      <c r="P216" s="1057" t="s">
        <v>2662</v>
      </c>
      <c r="Q216" s="1057" t="s">
        <v>2318</v>
      </c>
      <c r="R216" s="1057" t="s">
        <v>1534</v>
      </c>
      <c r="S216" s="1057" t="s">
        <v>2320</v>
      </c>
    </row>
    <row r="217" spans="1:20" x14ac:dyDescent="0.25">
      <c r="A217" s="1057" t="s">
        <v>2657</v>
      </c>
      <c r="B217" s="1057" t="s">
        <v>2658</v>
      </c>
      <c r="D217" s="1057">
        <v>1</v>
      </c>
      <c r="E217" s="1057">
        <v>5</v>
      </c>
      <c r="F217" s="1071">
        <f>CADENAS!T17</f>
        <v>16000</v>
      </c>
      <c r="G217" s="1095">
        <f t="shared" si="6"/>
        <v>20800</v>
      </c>
      <c r="H217" s="1091">
        <v>11000</v>
      </c>
      <c r="L217" s="1071">
        <f>CADENAS!R16</f>
        <v>5306.4</v>
      </c>
      <c r="M217" s="1082">
        <f t="shared" si="7"/>
        <v>6898.32</v>
      </c>
      <c r="P217" s="1057" t="s">
        <v>2658</v>
      </c>
      <c r="Q217" s="1057" t="s">
        <v>2318</v>
      </c>
      <c r="R217" s="1057" t="s">
        <v>1534</v>
      </c>
      <c r="S217" s="1057" t="s">
        <v>2320</v>
      </c>
    </row>
    <row r="218" spans="1:20" x14ac:dyDescent="0.25">
      <c r="A218" s="1057" t="s">
        <v>2717</v>
      </c>
      <c r="B218" s="1057" t="s">
        <v>2718</v>
      </c>
      <c r="D218" s="1057">
        <v>1</v>
      </c>
      <c r="E218" s="1057">
        <v>1</v>
      </c>
      <c r="F218" s="1071">
        <f>COLLARES!I38</f>
        <v>30000</v>
      </c>
      <c r="G218" s="1095">
        <f t="shared" si="6"/>
        <v>39000</v>
      </c>
      <c r="H218" s="1091">
        <v>16000</v>
      </c>
      <c r="L218" s="1071">
        <f>COLLARES!G37</f>
        <v>8696.42</v>
      </c>
      <c r="M218" s="1082">
        <f t="shared" si="7"/>
        <v>11305.346</v>
      </c>
      <c r="P218" s="1057" t="s">
        <v>2718</v>
      </c>
      <c r="Q218" s="1057" t="s">
        <v>2318</v>
      </c>
      <c r="R218" s="1057" t="s">
        <v>1534</v>
      </c>
      <c r="S218" s="1057" t="s">
        <v>2320</v>
      </c>
    </row>
    <row r="219" spans="1:20" x14ac:dyDescent="0.25">
      <c r="A219" s="1057" t="s">
        <v>2659</v>
      </c>
      <c r="B219" s="1057" t="s">
        <v>2660</v>
      </c>
      <c r="D219" s="1057">
        <v>0</v>
      </c>
      <c r="E219" s="1057">
        <v>5</v>
      </c>
      <c r="F219" s="1071">
        <f>CADENAS!T131</f>
        <v>22000</v>
      </c>
      <c r="G219" s="1095">
        <f t="shared" si="6"/>
        <v>28600</v>
      </c>
      <c r="H219" s="1091">
        <v>11000</v>
      </c>
      <c r="L219" s="1071">
        <f>CADENAS!R130</f>
        <v>4860.166666666667</v>
      </c>
      <c r="M219" s="1082">
        <f t="shared" si="7"/>
        <v>6318.2166666666672</v>
      </c>
      <c r="P219" s="1057" t="s">
        <v>2660</v>
      </c>
      <c r="Q219" s="1057" t="s">
        <v>2318</v>
      </c>
      <c r="R219" s="1057" t="s">
        <v>1534</v>
      </c>
      <c r="S219" s="1057" t="s">
        <v>2320</v>
      </c>
    </row>
    <row r="220" spans="1:20" x14ac:dyDescent="0.25">
      <c r="A220" s="1057" t="s">
        <v>2727</v>
      </c>
      <c r="B220" s="1057" t="s">
        <v>2728</v>
      </c>
      <c r="D220" s="1057">
        <v>4</v>
      </c>
      <c r="E220" s="1057">
        <v>5</v>
      </c>
      <c r="F220" s="1071">
        <f>COLLARES!W56</f>
        <v>82000</v>
      </c>
      <c r="G220" s="1095">
        <f t="shared" si="6"/>
        <v>106600</v>
      </c>
      <c r="H220" s="1091">
        <v>25000</v>
      </c>
      <c r="L220" s="1071">
        <f>COLLARES!T55</f>
        <v>30223.88650658905</v>
      </c>
      <c r="M220" s="1082">
        <f t="shared" si="7"/>
        <v>39291.052458565762</v>
      </c>
      <c r="P220" s="1057" t="s">
        <v>2728</v>
      </c>
      <c r="Q220" s="1057" t="s">
        <v>2318</v>
      </c>
      <c r="R220" s="1057" t="s">
        <v>1534</v>
      </c>
      <c r="S220" s="1057" t="s">
        <v>2320</v>
      </c>
    </row>
    <row r="221" spans="1:20" x14ac:dyDescent="0.25">
      <c r="A221" s="1057" t="s">
        <v>2729</v>
      </c>
      <c r="B221" s="1057" t="s">
        <v>2730</v>
      </c>
      <c r="D221" s="1057">
        <v>8</v>
      </c>
      <c r="E221" s="1057">
        <v>5</v>
      </c>
      <c r="F221" s="1071">
        <f>COLLARES!W122</f>
        <v>24000</v>
      </c>
      <c r="G221" s="1095">
        <f t="shared" si="6"/>
        <v>31200</v>
      </c>
      <c r="H221" s="1091">
        <v>19400</v>
      </c>
      <c r="L221" s="1071">
        <f>COLLARES!T120</f>
        <v>12480.29161440186</v>
      </c>
      <c r="M221" s="1082">
        <f t="shared" si="7"/>
        <v>16224.379098722418</v>
      </c>
      <c r="P221" s="1057" t="s">
        <v>2730</v>
      </c>
      <c r="Q221" s="1057" t="s">
        <v>2318</v>
      </c>
      <c r="R221" s="1057" t="s">
        <v>1534</v>
      </c>
      <c r="S221" s="1057" t="s">
        <v>2320</v>
      </c>
    </row>
    <row r="222" spans="1:20" x14ac:dyDescent="0.25">
      <c r="A222" s="1057" t="s">
        <v>2665</v>
      </c>
      <c r="B222" s="1057" t="s">
        <v>2666</v>
      </c>
      <c r="D222" s="1057">
        <v>10</v>
      </c>
      <c r="E222" s="1057">
        <v>0</v>
      </c>
      <c r="F222" s="1071">
        <f>'COLLAR INICIAL'!G17</f>
        <v>0</v>
      </c>
      <c r="G222" s="1095">
        <f t="shared" si="6"/>
        <v>0</v>
      </c>
      <c r="H222" s="1091">
        <v>9400</v>
      </c>
      <c r="L222" s="1071">
        <f>L221</f>
        <v>12480.29161440186</v>
      </c>
      <c r="M222" s="1082">
        <f t="shared" si="7"/>
        <v>16224.379098722418</v>
      </c>
      <c r="P222" s="1057" t="s">
        <v>2666</v>
      </c>
      <c r="Q222" s="1057" t="s">
        <v>2318</v>
      </c>
      <c r="R222" s="1057" t="s">
        <v>1534</v>
      </c>
      <c r="S222" s="1057" t="s">
        <v>2320</v>
      </c>
    </row>
    <row r="223" spans="1:20" x14ac:dyDescent="0.25">
      <c r="A223" s="1057" t="s">
        <v>2669</v>
      </c>
      <c r="B223" s="1057" t="s">
        <v>2670</v>
      </c>
      <c r="D223" s="1057">
        <v>10</v>
      </c>
      <c r="E223" s="1057">
        <v>0</v>
      </c>
      <c r="F223" s="1071">
        <f>'COLLAR INICIAL'!G17</f>
        <v>0</v>
      </c>
      <c r="G223" s="1095">
        <f t="shared" si="6"/>
        <v>0</v>
      </c>
      <c r="H223" s="1091">
        <v>9400</v>
      </c>
      <c r="L223" s="1071">
        <f>L220</f>
        <v>30223.88650658905</v>
      </c>
      <c r="M223" s="1082">
        <f t="shared" si="7"/>
        <v>39291.052458565762</v>
      </c>
      <c r="P223" s="1057" t="s">
        <v>2670</v>
      </c>
      <c r="Q223" s="1057" t="s">
        <v>2318</v>
      </c>
      <c r="R223" s="1057" t="s">
        <v>1534</v>
      </c>
      <c r="S223" s="1057" t="s">
        <v>2320</v>
      </c>
    </row>
    <row r="224" spans="1:20" x14ac:dyDescent="0.25">
      <c r="A224" s="1057" t="s">
        <v>2663</v>
      </c>
      <c r="B224" s="1057" t="s">
        <v>2664</v>
      </c>
      <c r="D224" s="1057">
        <v>10</v>
      </c>
      <c r="E224" s="1057">
        <v>0</v>
      </c>
      <c r="F224" s="1071">
        <f>'COLLAR INICIAL'!G17</f>
        <v>0</v>
      </c>
      <c r="G224" s="1095">
        <f t="shared" si="6"/>
        <v>0</v>
      </c>
      <c r="H224" s="1091">
        <v>9400</v>
      </c>
      <c r="L224" s="1071">
        <f>'COLLAR INICIAL'!E15</f>
        <v>5987.4821428571431</v>
      </c>
      <c r="M224" s="1082">
        <f t="shared" si="7"/>
        <v>7783.7267857142861</v>
      </c>
      <c r="P224" s="1057" t="s">
        <v>2664</v>
      </c>
      <c r="Q224" s="1057" t="s">
        <v>2318</v>
      </c>
      <c r="R224" s="1057" t="s">
        <v>1534</v>
      </c>
      <c r="S224" s="1057" t="s">
        <v>2320</v>
      </c>
    </row>
    <row r="225" spans="1:19" x14ac:dyDescent="0.25">
      <c r="A225" s="1057" t="s">
        <v>2667</v>
      </c>
      <c r="B225" s="1057" t="s">
        <v>2668</v>
      </c>
      <c r="D225" s="1057">
        <v>10</v>
      </c>
      <c r="E225" s="1057">
        <v>0</v>
      </c>
      <c r="F225" s="1071">
        <f>'COLLAR INICIAL'!G17</f>
        <v>0</v>
      </c>
      <c r="G225" s="1095">
        <f t="shared" si="6"/>
        <v>0</v>
      </c>
      <c r="H225" s="1091">
        <v>9400</v>
      </c>
      <c r="L225" s="1071">
        <f>L223</f>
        <v>30223.88650658905</v>
      </c>
      <c r="M225" s="1082">
        <f t="shared" si="7"/>
        <v>39291.052458565762</v>
      </c>
      <c r="P225" s="1057" t="s">
        <v>2668</v>
      </c>
      <c r="Q225" s="1057" t="s">
        <v>2318</v>
      </c>
      <c r="R225" s="1057" t="s">
        <v>1534</v>
      </c>
      <c r="S225" s="1057" t="s">
        <v>2320</v>
      </c>
    </row>
    <row r="226" spans="1:19" x14ac:dyDescent="0.25">
      <c r="A226" s="1057" t="s">
        <v>2731</v>
      </c>
      <c r="B226" s="1057" t="s">
        <v>2732</v>
      </c>
      <c r="D226" s="1057">
        <v>6</v>
      </c>
      <c r="E226" s="1057">
        <v>5</v>
      </c>
      <c r="F226" s="1071">
        <f>COLLARES!H130</f>
        <v>20000</v>
      </c>
      <c r="G226" s="1095">
        <f t="shared" si="6"/>
        <v>26000</v>
      </c>
      <c r="H226" s="1091">
        <v>15200</v>
      </c>
      <c r="L226" s="1071">
        <f>COLLARES!F129</f>
        <v>10821.467732310317</v>
      </c>
      <c r="M226" s="1082">
        <f t="shared" si="7"/>
        <v>14067.908052003411</v>
      </c>
      <c r="P226" s="1057" t="s">
        <v>2732</v>
      </c>
      <c r="Q226" s="1057" t="s">
        <v>2318</v>
      </c>
      <c r="R226" s="1057" t="s">
        <v>1534</v>
      </c>
      <c r="S226" s="1057" t="s">
        <v>2320</v>
      </c>
    </row>
    <row r="227" spans="1:19" x14ac:dyDescent="0.25">
      <c r="A227" s="1057" t="s">
        <v>2673</v>
      </c>
      <c r="B227" s="1057" t="s">
        <v>2674</v>
      </c>
      <c r="D227" s="1057">
        <v>7</v>
      </c>
      <c r="E227" s="1057">
        <v>5</v>
      </c>
      <c r="F227" s="1071">
        <f>CADENAS!T46</f>
        <v>22000</v>
      </c>
      <c r="G227" s="1095">
        <f t="shared" si="6"/>
        <v>28600</v>
      </c>
      <c r="H227" s="1091">
        <v>11000</v>
      </c>
      <c r="L227" s="1071" t="e">
        <f>CADENAS!R44</f>
        <v>#REF!</v>
      </c>
      <c r="M227" s="1082" t="e">
        <f t="shared" si="7"/>
        <v>#REF!</v>
      </c>
      <c r="P227" s="1057" t="s">
        <v>2674</v>
      </c>
      <c r="Q227" s="1057" t="s">
        <v>2318</v>
      </c>
      <c r="R227" s="1057" t="s">
        <v>1534</v>
      </c>
      <c r="S227" s="1057" t="s">
        <v>2320</v>
      </c>
    </row>
    <row r="228" spans="1:19" x14ac:dyDescent="0.25">
      <c r="A228" s="1057" t="s">
        <v>2675</v>
      </c>
      <c r="B228" s="1057" t="s">
        <v>2676</v>
      </c>
      <c r="D228" s="1057">
        <v>3</v>
      </c>
      <c r="E228" s="1057">
        <v>5</v>
      </c>
      <c r="F228" s="1071">
        <f>CADENAS!T102</f>
        <v>6200</v>
      </c>
      <c r="G228" s="1095">
        <f t="shared" si="6"/>
        <v>8060</v>
      </c>
      <c r="H228" s="1091">
        <v>8000</v>
      </c>
      <c r="L228" s="1071">
        <f>CADENAS!R101</f>
        <v>2057</v>
      </c>
      <c r="M228" s="1082">
        <f t="shared" si="7"/>
        <v>2674.1</v>
      </c>
      <c r="P228" s="1057" t="s">
        <v>2676</v>
      </c>
      <c r="Q228" s="1057" t="s">
        <v>2318</v>
      </c>
      <c r="R228" s="1057" t="s">
        <v>1534</v>
      </c>
      <c r="S228" s="1057" t="s">
        <v>2320</v>
      </c>
    </row>
    <row r="229" spans="1:19" x14ac:dyDescent="0.25">
      <c r="A229" s="1057" t="s">
        <v>2679</v>
      </c>
      <c r="B229" s="1057" t="s">
        <v>2680</v>
      </c>
      <c r="D229" s="1057">
        <v>19</v>
      </c>
      <c r="E229" s="1057">
        <v>5</v>
      </c>
      <c r="F229" s="1071">
        <f>CADENAS!T145</f>
        <v>20000</v>
      </c>
      <c r="G229" s="1095">
        <f t="shared" si="6"/>
        <v>26000</v>
      </c>
      <c r="H229" s="1091">
        <v>14000</v>
      </c>
      <c r="L229" s="1071">
        <f>CADENAS!R144</f>
        <v>6525.5</v>
      </c>
      <c r="M229" s="1082">
        <f t="shared" si="7"/>
        <v>8483.15</v>
      </c>
      <c r="P229" s="1057" t="s">
        <v>2680</v>
      </c>
      <c r="Q229" s="1057" t="s">
        <v>2318</v>
      </c>
      <c r="R229" s="1057" t="s">
        <v>1534</v>
      </c>
      <c r="S229" s="1057" t="s">
        <v>2320</v>
      </c>
    </row>
    <row r="230" spans="1:19" x14ac:dyDescent="0.25">
      <c r="A230" s="1057" t="s">
        <v>2753</v>
      </c>
      <c r="B230" s="1057" t="s">
        <v>2754</v>
      </c>
      <c r="D230" s="1057">
        <v>13</v>
      </c>
      <c r="E230" s="1057">
        <v>5</v>
      </c>
      <c r="F230" s="1071">
        <f>COLLARES!V33</f>
        <v>78000</v>
      </c>
      <c r="G230" s="1095">
        <f t="shared" si="6"/>
        <v>101400</v>
      </c>
      <c r="H230" s="1091">
        <v>23000</v>
      </c>
      <c r="L230" s="1071">
        <f>COLLARES!S32</f>
        <v>26735.385714285712</v>
      </c>
      <c r="M230" s="1082">
        <f t="shared" si="7"/>
        <v>34756.001428571428</v>
      </c>
      <c r="P230" s="1057" t="s">
        <v>2754</v>
      </c>
      <c r="Q230" s="1057" t="s">
        <v>2318</v>
      </c>
      <c r="R230" s="1057" t="s">
        <v>1534</v>
      </c>
      <c r="S230" s="1057" t="s">
        <v>2320</v>
      </c>
    </row>
    <row r="231" spans="1:19" x14ac:dyDescent="0.25">
      <c r="A231" s="1057" t="s">
        <v>2755</v>
      </c>
      <c r="B231" s="1057" t="s">
        <v>2756</v>
      </c>
      <c r="D231" s="1057">
        <v>12</v>
      </c>
      <c r="E231" s="1057">
        <v>5</v>
      </c>
      <c r="F231" s="1071">
        <f>COLLARES!I38</f>
        <v>30000</v>
      </c>
      <c r="G231" s="1095">
        <f t="shared" si="6"/>
        <v>39000</v>
      </c>
      <c r="H231" s="1091">
        <v>16000</v>
      </c>
      <c r="L231" s="1071">
        <f>COLLARES!G37</f>
        <v>8696.42</v>
      </c>
      <c r="M231" s="1082">
        <f t="shared" si="7"/>
        <v>11305.346</v>
      </c>
      <c r="P231" s="1057" t="s">
        <v>2756</v>
      </c>
      <c r="Q231" s="1057" t="s">
        <v>2318</v>
      </c>
      <c r="R231" s="1057" t="s">
        <v>1534</v>
      </c>
      <c r="S231" s="1057" t="s">
        <v>2320</v>
      </c>
    </row>
    <row r="232" spans="1:19" x14ac:dyDescent="0.25">
      <c r="A232" s="1057" t="s">
        <v>2757</v>
      </c>
      <c r="B232" s="1057" t="s">
        <v>2758</v>
      </c>
      <c r="D232" s="1057">
        <v>18</v>
      </c>
      <c r="E232" s="1057">
        <v>5</v>
      </c>
      <c r="F232" s="1071">
        <f>CADENAS!T187</f>
        <v>22000</v>
      </c>
      <c r="G232" s="1095">
        <f t="shared" si="6"/>
        <v>28600</v>
      </c>
      <c r="H232" s="1091">
        <v>17000</v>
      </c>
      <c r="L232" s="1071">
        <f>CADENAS!R186</f>
        <v>5818.8039215686267</v>
      </c>
      <c r="M232" s="1082">
        <f t="shared" si="7"/>
        <v>7564.4450980392148</v>
      </c>
      <c r="P232" s="1057" t="s">
        <v>2758</v>
      </c>
      <c r="Q232" s="1057" t="s">
        <v>2318</v>
      </c>
      <c r="R232" s="1057" t="s">
        <v>1534</v>
      </c>
      <c r="S232" s="1057" t="s">
        <v>2320</v>
      </c>
    </row>
    <row r="233" spans="1:19" x14ac:dyDescent="0.25">
      <c r="A233" s="1057" t="s">
        <v>2759</v>
      </c>
      <c r="B233" s="1057" t="s">
        <v>2760</v>
      </c>
      <c r="D233" s="1057">
        <v>9</v>
      </c>
      <c r="E233" s="1057">
        <v>5</v>
      </c>
      <c r="F233" s="1071">
        <f>COLLARES!H21</f>
        <v>6600</v>
      </c>
      <c r="G233" s="1095">
        <f t="shared" si="6"/>
        <v>8580</v>
      </c>
      <c r="H233" s="1091">
        <v>8600</v>
      </c>
      <c r="L233" s="1071">
        <f>COLLARES!F19</f>
        <v>4959.7190476190472</v>
      </c>
      <c r="M233" s="1082">
        <f t="shared" si="7"/>
        <v>6447.634761904761</v>
      </c>
      <c r="P233" s="1057" t="s">
        <v>2760</v>
      </c>
      <c r="Q233" s="1057" t="s">
        <v>2318</v>
      </c>
      <c r="R233" s="1057" t="s">
        <v>1534</v>
      </c>
      <c r="S233" s="1057" t="s">
        <v>2320</v>
      </c>
    </row>
    <row r="234" spans="1:19" x14ac:dyDescent="0.25">
      <c r="A234" s="1057" t="s">
        <v>2765</v>
      </c>
      <c r="B234" s="1057" t="s">
        <v>2766</v>
      </c>
      <c r="D234" s="1057">
        <v>4</v>
      </c>
      <c r="E234" s="1057">
        <v>5</v>
      </c>
      <c r="F234" s="1071">
        <f>COLLARES!H54</f>
        <v>23000</v>
      </c>
      <c r="G234" s="1095">
        <f t="shared" si="6"/>
        <v>29900</v>
      </c>
      <c r="H234" s="1091">
        <v>11400</v>
      </c>
      <c r="L234" s="1071">
        <f>COLLARES!F52</f>
        <v>6330.4023577235766</v>
      </c>
      <c r="M234" s="1082">
        <f t="shared" si="7"/>
        <v>8229.5230650406502</v>
      </c>
      <c r="P234" s="1057" t="s">
        <v>2766</v>
      </c>
      <c r="Q234" s="1057" t="s">
        <v>2318</v>
      </c>
      <c r="R234" s="1057" t="s">
        <v>1534</v>
      </c>
      <c r="S234" s="1057" t="s">
        <v>2320</v>
      </c>
    </row>
    <row r="235" spans="1:19" x14ac:dyDescent="0.25">
      <c r="A235" s="1057" t="s">
        <v>2761</v>
      </c>
      <c r="B235" s="1057" t="s">
        <v>2762</v>
      </c>
      <c r="D235" s="1057">
        <v>18</v>
      </c>
      <c r="E235" s="1057">
        <v>5</v>
      </c>
      <c r="F235" s="1071">
        <f>COLLARES!H21</f>
        <v>6600</v>
      </c>
      <c r="G235" s="1095">
        <f t="shared" si="6"/>
        <v>8580</v>
      </c>
      <c r="H235" s="1091">
        <v>8600</v>
      </c>
      <c r="L235" s="1071">
        <f>L234</f>
        <v>6330.4023577235766</v>
      </c>
      <c r="M235" s="1082">
        <f t="shared" si="7"/>
        <v>8229.5230650406502</v>
      </c>
      <c r="P235" s="1057" t="s">
        <v>2762</v>
      </c>
      <c r="Q235" s="1057" t="s">
        <v>2318</v>
      </c>
      <c r="R235" s="1057" t="s">
        <v>1534</v>
      </c>
      <c r="S235" s="1057" t="s">
        <v>2320</v>
      </c>
    </row>
    <row r="236" spans="1:19" x14ac:dyDescent="0.25">
      <c r="A236" s="1057" t="s">
        <v>2771</v>
      </c>
      <c r="B236" s="1057" t="s">
        <v>2772</v>
      </c>
      <c r="D236" s="1057">
        <v>9</v>
      </c>
      <c r="E236" s="1057">
        <v>5</v>
      </c>
      <c r="F236" s="1071">
        <f>F233</f>
        <v>6600</v>
      </c>
      <c r="G236" s="1095">
        <f t="shared" si="6"/>
        <v>8580</v>
      </c>
      <c r="H236" s="1091">
        <v>8600</v>
      </c>
      <c r="L236" s="1071">
        <f>L233</f>
        <v>4959.7190476190472</v>
      </c>
      <c r="M236" s="1082">
        <f t="shared" si="7"/>
        <v>6447.634761904761</v>
      </c>
      <c r="P236" s="1057" t="s">
        <v>2772</v>
      </c>
      <c r="Q236" s="1057" t="s">
        <v>2318</v>
      </c>
      <c r="R236" s="1057" t="s">
        <v>1534</v>
      </c>
      <c r="S236" s="1057" t="s">
        <v>2320</v>
      </c>
    </row>
    <row r="237" spans="1:19" x14ac:dyDescent="0.25">
      <c r="A237" s="1057" t="s">
        <v>2773</v>
      </c>
      <c r="B237" s="1057" t="s">
        <v>2774</v>
      </c>
      <c r="D237" s="1057">
        <v>31</v>
      </c>
      <c r="E237" s="1057">
        <v>5</v>
      </c>
      <c r="F237" s="1071">
        <f>COLLARES!W19</f>
        <v>0</v>
      </c>
      <c r="G237" s="1095">
        <f t="shared" si="6"/>
        <v>0</v>
      </c>
      <c r="H237" s="1091">
        <v>23000</v>
      </c>
      <c r="L237" s="1071">
        <f>COLLARES!T17</f>
        <v>22535.452380952378</v>
      </c>
      <c r="M237" s="1082">
        <f t="shared" si="7"/>
        <v>29296.08809523809</v>
      </c>
      <c r="P237" s="1057" t="s">
        <v>2774</v>
      </c>
      <c r="Q237" s="1057" t="s">
        <v>2318</v>
      </c>
      <c r="R237" s="1057" t="s">
        <v>1534</v>
      </c>
      <c r="S237" s="1057" t="s">
        <v>2320</v>
      </c>
    </row>
    <row r="238" spans="1:19" x14ac:dyDescent="0.25">
      <c r="A238" s="1057" t="s">
        <v>2779</v>
      </c>
      <c r="B238" s="1057" t="s">
        <v>2780</v>
      </c>
      <c r="D238" s="1057">
        <v>13</v>
      </c>
      <c r="E238" s="1057">
        <v>5</v>
      </c>
      <c r="F238" s="1071">
        <f>COLLARES!H172</f>
        <v>16000</v>
      </c>
      <c r="G238" s="1095">
        <f t="shared" si="6"/>
        <v>20800</v>
      </c>
      <c r="H238" s="1091">
        <v>10600</v>
      </c>
      <c r="L238" s="1071">
        <f>COLLARES!F170</f>
        <v>4672.6128205128207</v>
      </c>
      <c r="M238" s="1082">
        <f t="shared" si="7"/>
        <v>6074.3966666666665</v>
      </c>
      <c r="P238" s="1057" t="s">
        <v>2780</v>
      </c>
      <c r="Q238" s="1057" t="s">
        <v>2318</v>
      </c>
      <c r="R238" s="1057" t="s">
        <v>1534</v>
      </c>
      <c r="S238" s="1057" t="s">
        <v>2320</v>
      </c>
    </row>
    <row r="239" spans="1:19" x14ac:dyDescent="0.25">
      <c r="A239" s="1057" t="s">
        <v>2781</v>
      </c>
      <c r="B239" s="1057" t="s">
        <v>2782</v>
      </c>
      <c r="D239" s="1057">
        <v>1</v>
      </c>
      <c r="E239" s="1057">
        <v>5</v>
      </c>
      <c r="F239" s="1071">
        <f>COLLARES!H192</f>
        <v>8800</v>
      </c>
      <c r="G239" s="1095">
        <f t="shared" si="6"/>
        <v>11440</v>
      </c>
      <c r="H239" s="1091">
        <v>11400</v>
      </c>
      <c r="L239" s="1071">
        <f>COLLARES!F191</f>
        <v>4053.2999999999997</v>
      </c>
      <c r="M239" s="1082">
        <f t="shared" si="7"/>
        <v>5269.2899999999991</v>
      </c>
      <c r="P239" s="1057" t="s">
        <v>2782</v>
      </c>
      <c r="Q239" s="1057" t="s">
        <v>2318</v>
      </c>
      <c r="R239" s="1057" t="s">
        <v>1534</v>
      </c>
      <c r="S239" s="1057" t="s">
        <v>2320</v>
      </c>
    </row>
    <row r="240" spans="1:19" x14ac:dyDescent="0.25">
      <c r="A240" s="1057" t="s">
        <v>2783</v>
      </c>
      <c r="B240" s="1057" t="s">
        <v>2784</v>
      </c>
      <c r="D240" s="1057">
        <v>10</v>
      </c>
      <c r="E240" s="1057">
        <v>5</v>
      </c>
      <c r="F240" s="1071">
        <f>COLLARES!H151</f>
        <v>16000</v>
      </c>
      <c r="G240" s="1095">
        <f t="shared" si="6"/>
        <v>20800</v>
      </c>
      <c r="H240" s="1091">
        <v>10600</v>
      </c>
      <c r="L240" s="1071">
        <f>COLLARES!F149</f>
        <v>3556.7153846153842</v>
      </c>
      <c r="M240" s="1082">
        <f t="shared" si="7"/>
        <v>4623.7299999999996</v>
      </c>
      <c r="P240" s="1057" t="s">
        <v>2784</v>
      </c>
      <c r="Q240" s="1057" t="s">
        <v>2318</v>
      </c>
      <c r="R240" s="1057" t="s">
        <v>1534</v>
      </c>
      <c r="S240" s="1057" t="s">
        <v>2320</v>
      </c>
    </row>
    <row r="241" spans="1:20" x14ac:dyDescent="0.25">
      <c r="A241" s="1057" t="s">
        <v>2785</v>
      </c>
      <c r="B241" s="1057" t="s">
        <v>2786</v>
      </c>
      <c r="D241" s="1057">
        <v>6</v>
      </c>
      <c r="E241" s="1057">
        <v>5</v>
      </c>
      <c r="F241" s="1071">
        <f>COLLARES!I226</f>
        <v>11600</v>
      </c>
      <c r="G241" s="1095">
        <f t="shared" si="6"/>
        <v>15080</v>
      </c>
      <c r="H241" s="1091">
        <v>15000</v>
      </c>
      <c r="L241" s="1071">
        <f>COLLARES!F224</f>
        <v>8676.3588235294119</v>
      </c>
      <c r="M241" s="1082">
        <f t="shared" si="7"/>
        <v>11279.266470588234</v>
      </c>
      <c r="P241" s="1057" t="s">
        <v>2786</v>
      </c>
      <c r="Q241" s="1057" t="s">
        <v>2318</v>
      </c>
      <c r="R241" s="1057" t="s">
        <v>1534</v>
      </c>
      <c r="S241" s="1057" t="s">
        <v>2320</v>
      </c>
    </row>
    <row r="242" spans="1:20" x14ac:dyDescent="0.25">
      <c r="A242" s="1057" t="s">
        <v>2685</v>
      </c>
      <c r="B242" s="1057" t="s">
        <v>2686</v>
      </c>
      <c r="D242" s="1057">
        <v>5</v>
      </c>
      <c r="E242" s="1057">
        <v>5</v>
      </c>
      <c r="F242" s="1071">
        <f>CADENAS!T30</f>
        <v>7200</v>
      </c>
      <c r="G242" s="1095">
        <f t="shared" si="6"/>
        <v>9360</v>
      </c>
      <c r="H242" s="1091">
        <v>9400</v>
      </c>
      <c r="L242" s="1071">
        <f>CADENAS!R29</f>
        <v>3215.7</v>
      </c>
      <c r="M242" s="1082">
        <f t="shared" si="7"/>
        <v>4180.41</v>
      </c>
      <c r="P242" s="1057" t="s">
        <v>2686</v>
      </c>
      <c r="Q242" s="1057" t="s">
        <v>2318</v>
      </c>
      <c r="R242" s="1057" t="s">
        <v>1534</v>
      </c>
      <c r="S242" s="1057" t="s">
        <v>2320</v>
      </c>
    </row>
    <row r="243" spans="1:20" x14ac:dyDescent="0.25">
      <c r="A243" s="1057" t="s">
        <v>2687</v>
      </c>
      <c r="B243" s="1057" t="s">
        <v>2688</v>
      </c>
      <c r="D243" s="1057">
        <v>9</v>
      </c>
      <c r="E243" s="1057">
        <v>5</v>
      </c>
      <c r="F243" s="1071">
        <f>CADENAS!T58</f>
        <v>22000</v>
      </c>
      <c r="G243" s="1095">
        <f t="shared" si="6"/>
        <v>28600</v>
      </c>
      <c r="H243" s="1091">
        <v>12000</v>
      </c>
      <c r="L243" s="1071">
        <f>CADENAS!R57</f>
        <v>5179.333333333333</v>
      </c>
      <c r="M243" s="1082">
        <f t="shared" si="7"/>
        <v>6733.1333333333332</v>
      </c>
      <c r="P243" s="1057" t="s">
        <v>2688</v>
      </c>
      <c r="Q243" s="1057" t="s">
        <v>2318</v>
      </c>
      <c r="R243" s="1057" t="s">
        <v>1534</v>
      </c>
      <c r="S243" s="1057" t="s">
        <v>2320</v>
      </c>
    </row>
    <row r="244" spans="1:20" x14ac:dyDescent="0.25">
      <c r="A244" s="1057" t="s">
        <v>2689</v>
      </c>
      <c r="B244" s="1057" t="s">
        <v>2690</v>
      </c>
      <c r="D244" s="1057">
        <v>0</v>
      </c>
      <c r="E244" s="1057">
        <v>5</v>
      </c>
      <c r="F244" s="1071">
        <f>CADENAS!T173</f>
        <v>20000</v>
      </c>
      <c r="G244" s="1095">
        <f t="shared" si="6"/>
        <v>26000</v>
      </c>
      <c r="H244" s="1091">
        <v>9400</v>
      </c>
      <c r="L244" s="1071">
        <f>CADENAS!R172</f>
        <v>4609.166666666667</v>
      </c>
      <c r="M244" s="1082">
        <f t="shared" si="7"/>
        <v>5991.916666666667</v>
      </c>
      <c r="P244" s="1057" t="s">
        <v>2690</v>
      </c>
      <c r="Q244" s="1057" t="s">
        <v>2318</v>
      </c>
      <c r="R244" s="1057" t="s">
        <v>1534</v>
      </c>
      <c r="S244" s="1057" t="s">
        <v>2320</v>
      </c>
    </row>
    <row r="245" spans="1:20" x14ac:dyDescent="0.25">
      <c r="A245" s="1057" t="s">
        <v>2791</v>
      </c>
      <c r="B245" s="1057" t="s">
        <v>2792</v>
      </c>
      <c r="D245" s="1057">
        <v>8</v>
      </c>
      <c r="E245" s="1057">
        <v>5</v>
      </c>
      <c r="F245" s="1071">
        <f>COLLARES!G243</f>
        <v>8800</v>
      </c>
      <c r="G245" s="1095">
        <f t="shared" si="6"/>
        <v>11440</v>
      </c>
      <c r="H245" s="1091">
        <v>11400</v>
      </c>
      <c r="L245" s="1071">
        <f>COLLARES!E241</f>
        <v>5314.6376227789424</v>
      </c>
      <c r="M245" s="1082">
        <f t="shared" si="7"/>
        <v>6909.0289096126253</v>
      </c>
      <c r="P245" s="1057" t="s">
        <v>2792</v>
      </c>
      <c r="Q245" s="1057" t="s">
        <v>2318</v>
      </c>
      <c r="R245" s="1057" t="s">
        <v>1534</v>
      </c>
      <c r="S245" s="1057" t="s">
        <v>2320</v>
      </c>
    </row>
    <row r="246" spans="1:20" x14ac:dyDescent="0.25">
      <c r="A246" s="1057" t="s">
        <v>2793</v>
      </c>
      <c r="B246" s="1057" t="s">
        <v>2794</v>
      </c>
      <c r="D246" s="1057">
        <v>9</v>
      </c>
      <c r="E246" s="1057">
        <v>5</v>
      </c>
      <c r="F246" s="1071">
        <f>'SALE COLLARES'!H295</f>
        <v>6000</v>
      </c>
      <c r="G246" s="1095">
        <f t="shared" si="6"/>
        <v>7800</v>
      </c>
      <c r="H246" s="1091">
        <v>7800</v>
      </c>
      <c r="L246" s="1071" t="e">
        <f>'SALE COLLARES'!F293</f>
        <v>#REF!</v>
      </c>
      <c r="M246" s="1082" t="e">
        <f t="shared" si="7"/>
        <v>#REF!</v>
      </c>
      <c r="P246" s="1057" t="s">
        <v>2794</v>
      </c>
      <c r="Q246" s="1057" t="s">
        <v>2318</v>
      </c>
      <c r="R246" s="1057" t="s">
        <v>1534</v>
      </c>
      <c r="S246" s="1057" t="s">
        <v>2320</v>
      </c>
    </row>
    <row r="247" spans="1:20" x14ac:dyDescent="0.25">
      <c r="A247" s="1057" t="s">
        <v>3069</v>
      </c>
      <c r="B247" s="1057" t="s">
        <v>3070</v>
      </c>
      <c r="C247" s="1057"/>
      <c r="D247" s="1057">
        <v>13</v>
      </c>
      <c r="E247" s="1057">
        <v>5</v>
      </c>
      <c r="F247" s="1071">
        <f>COLLARES!I330</f>
        <v>48000</v>
      </c>
      <c r="G247" s="1095">
        <f t="shared" si="6"/>
        <v>62400</v>
      </c>
      <c r="H247" s="1091">
        <v>24200</v>
      </c>
      <c r="I247" s="1057"/>
      <c r="J247" s="1057"/>
      <c r="K247" s="1057"/>
      <c r="L247" s="1071">
        <f>COLLARES!F329</f>
        <v>18783</v>
      </c>
      <c r="M247" s="1082">
        <f t="shared" si="7"/>
        <v>24417.9</v>
      </c>
      <c r="N247" s="1057"/>
      <c r="O247" s="1057"/>
      <c r="P247" s="1057" t="s">
        <v>3070</v>
      </c>
      <c r="Q247" s="1057" t="s">
        <v>2318</v>
      </c>
      <c r="R247" s="1057" t="s">
        <v>1534</v>
      </c>
      <c r="S247" s="1057" t="s">
        <v>2320</v>
      </c>
      <c r="T247" s="1057"/>
    </row>
    <row r="248" spans="1:20" x14ac:dyDescent="0.25">
      <c r="A248" s="1057" t="s">
        <v>2693</v>
      </c>
      <c r="B248" s="1057" t="s">
        <v>2694</v>
      </c>
      <c r="D248" s="1057">
        <v>12</v>
      </c>
      <c r="E248" s="1057">
        <v>5</v>
      </c>
      <c r="F248" s="1071">
        <f>COLLARES!I264</f>
        <v>8800</v>
      </c>
      <c r="G248" s="1095">
        <f t="shared" si="6"/>
        <v>11440</v>
      </c>
      <c r="H248" s="1091">
        <v>11400</v>
      </c>
      <c r="L248" s="1071">
        <f>COLLARES!G262</f>
        <v>6434.9784519828008</v>
      </c>
      <c r="M248" s="1082">
        <f t="shared" si="7"/>
        <v>8365.4719875776409</v>
      </c>
      <c r="P248" s="1057" t="s">
        <v>2694</v>
      </c>
      <c r="Q248" s="1057" t="s">
        <v>2318</v>
      </c>
      <c r="R248" s="1057" t="s">
        <v>1534</v>
      </c>
      <c r="S248" s="1057" t="s">
        <v>2320</v>
      </c>
    </row>
    <row r="249" spans="1:20" x14ac:dyDescent="0.25">
      <c r="A249" s="1057" t="s">
        <v>2703</v>
      </c>
      <c r="B249" s="1057" t="s">
        <v>2704</v>
      </c>
      <c r="D249" s="1057">
        <v>9</v>
      </c>
      <c r="E249" s="1057">
        <v>5</v>
      </c>
      <c r="F249" s="1071">
        <f>COLLARES!H72</f>
        <v>23200</v>
      </c>
      <c r="G249" s="1095">
        <f t="shared" si="6"/>
        <v>30160</v>
      </c>
      <c r="H249" s="1091">
        <v>11400</v>
      </c>
      <c r="L249" s="1071">
        <f>COLLARES!F70</f>
        <v>5369.8153846153846</v>
      </c>
      <c r="M249" s="1082">
        <f t="shared" si="7"/>
        <v>6980.76</v>
      </c>
      <c r="P249" s="1057" t="s">
        <v>2704</v>
      </c>
      <c r="Q249" s="1057" t="s">
        <v>2318</v>
      </c>
      <c r="R249" s="1057" t="s">
        <v>1534</v>
      </c>
      <c r="S249" s="1057" t="s">
        <v>2320</v>
      </c>
    </row>
    <row r="250" spans="1:20" x14ac:dyDescent="0.25">
      <c r="A250" s="1057" t="s">
        <v>2681</v>
      </c>
      <c r="B250" s="1057" t="s">
        <v>2682</v>
      </c>
      <c r="D250" s="1057">
        <v>7</v>
      </c>
      <c r="E250" s="1057">
        <v>5</v>
      </c>
      <c r="F250" s="1071">
        <f>CADENAS!T76</f>
        <v>18000</v>
      </c>
      <c r="G250" s="1095">
        <f t="shared" si="6"/>
        <v>23400</v>
      </c>
      <c r="H250" s="1091">
        <v>11000</v>
      </c>
      <c r="L250" s="1071">
        <f>CADENAS!R75</f>
        <v>4856.550640394089</v>
      </c>
      <c r="M250" s="1082">
        <f t="shared" si="7"/>
        <v>6313.5158325123157</v>
      </c>
      <c r="P250" s="1057" t="s">
        <v>2682</v>
      </c>
      <c r="Q250" s="1057" t="s">
        <v>2318</v>
      </c>
      <c r="R250" s="1057" t="s">
        <v>1534</v>
      </c>
      <c r="S250" s="1057" t="s">
        <v>2320</v>
      </c>
    </row>
    <row r="251" spans="1:20" x14ac:dyDescent="0.25">
      <c r="A251" s="1057" t="s">
        <v>2683</v>
      </c>
      <c r="B251" s="1057" t="s">
        <v>2684</v>
      </c>
      <c r="D251" s="1057">
        <v>19</v>
      </c>
      <c r="E251" s="1057">
        <v>5</v>
      </c>
      <c r="F251" s="1071">
        <f>CADENAS!T159</f>
        <v>17000</v>
      </c>
      <c r="G251" s="1095">
        <f t="shared" si="6"/>
        <v>22100</v>
      </c>
      <c r="H251" s="1091">
        <v>12800</v>
      </c>
      <c r="L251" s="1071">
        <f>CADENAS!R158</f>
        <v>4697.166666666667</v>
      </c>
      <c r="M251" s="1082">
        <f t="shared" si="7"/>
        <v>6106.3166666666675</v>
      </c>
      <c r="P251" s="1057" t="s">
        <v>2684</v>
      </c>
      <c r="Q251" s="1057" t="s">
        <v>2318</v>
      </c>
      <c r="R251" s="1057" t="s">
        <v>1534</v>
      </c>
      <c r="S251" s="1057" t="s">
        <v>2320</v>
      </c>
    </row>
    <row r="252" spans="1:20" x14ac:dyDescent="0.25">
      <c r="A252" s="1057" t="s">
        <v>2777</v>
      </c>
      <c r="B252" s="1057" t="s">
        <v>2778</v>
      </c>
      <c r="D252" s="1057">
        <v>10</v>
      </c>
      <c r="E252" s="1057">
        <v>5</v>
      </c>
      <c r="F252" s="1071">
        <f>COLLARES!I226</f>
        <v>11600</v>
      </c>
      <c r="G252" s="1095">
        <f t="shared" si="6"/>
        <v>15080</v>
      </c>
      <c r="H252" s="1091">
        <v>15000</v>
      </c>
      <c r="L252" s="1071">
        <f>COLLARES!F224</f>
        <v>8676.3588235294119</v>
      </c>
      <c r="M252" s="1082">
        <f t="shared" si="7"/>
        <v>11279.266470588234</v>
      </c>
      <c r="P252" s="1057" t="s">
        <v>2778</v>
      </c>
      <c r="Q252" s="1057" t="s">
        <v>2318</v>
      </c>
      <c r="R252" s="1057" t="s">
        <v>1534</v>
      </c>
      <c r="S252" s="1057" t="s">
        <v>2320</v>
      </c>
    </row>
    <row r="253" spans="1:20" x14ac:dyDescent="0.25">
      <c r="A253" s="1057" t="s">
        <v>2567</v>
      </c>
      <c r="B253" s="1057" t="s">
        <v>2568</v>
      </c>
      <c r="D253" s="1057">
        <v>10</v>
      </c>
      <c r="E253" s="1057">
        <v>0</v>
      </c>
      <c r="F253" s="1071">
        <f>'COLLAR INICIAL'!G30</f>
        <v>0</v>
      </c>
      <c r="G253" s="1095">
        <f t="shared" si="6"/>
        <v>0</v>
      </c>
      <c r="H253" s="1091">
        <v>6500</v>
      </c>
      <c r="L253" s="1071">
        <f>'COLLAR INICIAL'!E28</f>
        <v>3477.0874999999996</v>
      </c>
      <c r="M253" s="1082">
        <f t="shared" si="7"/>
        <v>4520.213749999999</v>
      </c>
      <c r="P253" s="1057" t="s">
        <v>2568</v>
      </c>
      <c r="Q253" s="1057" t="s">
        <v>2318</v>
      </c>
      <c r="R253" s="1057" t="s">
        <v>2566</v>
      </c>
      <c r="S253" s="1057" t="s">
        <v>2320</v>
      </c>
    </row>
    <row r="254" spans="1:20" x14ac:dyDescent="0.25">
      <c r="A254" s="1057" t="s">
        <v>2569</v>
      </c>
      <c r="B254" s="1057" t="s">
        <v>2570</v>
      </c>
      <c r="D254" s="1057">
        <v>10</v>
      </c>
      <c r="E254" s="1057">
        <v>0</v>
      </c>
      <c r="F254" s="1071">
        <f>'COLLAR INICIAL'!G30</f>
        <v>0</v>
      </c>
      <c r="G254" s="1095">
        <f t="shared" si="6"/>
        <v>0</v>
      </c>
      <c r="H254" s="1091">
        <v>6500</v>
      </c>
      <c r="L254" s="1071">
        <f>'COLLAR INICIAL'!E28</f>
        <v>3477.0874999999996</v>
      </c>
      <c r="M254" s="1082">
        <f t="shared" si="7"/>
        <v>4520.213749999999</v>
      </c>
      <c r="P254" s="1057" t="s">
        <v>2570</v>
      </c>
      <c r="Q254" s="1057" t="s">
        <v>2318</v>
      </c>
      <c r="R254" s="1057" t="s">
        <v>2566</v>
      </c>
      <c r="S254" s="1057" t="s">
        <v>2320</v>
      </c>
    </row>
    <row r="255" spans="1:20" x14ac:dyDescent="0.25">
      <c r="A255" s="1057" t="s">
        <v>2564</v>
      </c>
      <c r="B255" s="1057" t="s">
        <v>2565</v>
      </c>
      <c r="D255" s="1057">
        <v>10</v>
      </c>
      <c r="E255" s="1057">
        <v>0</v>
      </c>
      <c r="F255" s="1071">
        <f>'COLLAR INICIAL'!G30</f>
        <v>0</v>
      </c>
      <c r="G255" s="1095">
        <f t="shared" si="6"/>
        <v>0</v>
      </c>
      <c r="H255" s="1091">
        <v>6500</v>
      </c>
      <c r="L255" s="1071">
        <f>'COLLAR INICIAL'!E28</f>
        <v>3477.0874999999996</v>
      </c>
      <c r="M255" s="1082">
        <f t="shared" si="7"/>
        <v>4520.213749999999</v>
      </c>
      <c r="P255" s="1057" t="s">
        <v>2565</v>
      </c>
      <c r="Q255" s="1057" t="s">
        <v>2318</v>
      </c>
      <c r="R255" s="1057" t="s">
        <v>2566</v>
      </c>
      <c r="S255" s="1057" t="s">
        <v>2320</v>
      </c>
    </row>
    <row r="256" spans="1:20" x14ac:dyDescent="0.25">
      <c r="A256" s="1057" t="s">
        <v>2571</v>
      </c>
      <c r="B256" s="1057" t="s">
        <v>2572</v>
      </c>
      <c r="D256" s="1057">
        <v>10</v>
      </c>
      <c r="E256" s="1057">
        <v>0</v>
      </c>
      <c r="F256" s="1071">
        <f>'COLLAR INICIAL'!G30</f>
        <v>0</v>
      </c>
      <c r="G256" s="1095">
        <f t="shared" si="6"/>
        <v>0</v>
      </c>
      <c r="H256" s="1091">
        <v>6500</v>
      </c>
      <c r="L256" s="1071">
        <f>'COLLAR INICIAL'!E28</f>
        <v>3477.0874999999996</v>
      </c>
      <c r="M256" s="1082">
        <f t="shared" si="7"/>
        <v>4520.213749999999</v>
      </c>
      <c r="P256" s="1057" t="s">
        <v>2572</v>
      </c>
      <c r="Q256" s="1057" t="s">
        <v>2318</v>
      </c>
      <c r="R256" s="1057" t="s">
        <v>2566</v>
      </c>
      <c r="S256" s="1057" t="s">
        <v>2320</v>
      </c>
    </row>
    <row r="257" spans="1:19" x14ac:dyDescent="0.25">
      <c r="A257" s="1057" t="s">
        <v>2605</v>
      </c>
      <c r="B257" s="1057" t="s">
        <v>2606</v>
      </c>
      <c r="D257" s="1057">
        <v>0</v>
      </c>
      <c r="E257" s="1057">
        <v>5</v>
      </c>
      <c r="F257" s="1071">
        <f>'SALE COLLARES'!T17</f>
        <v>5400</v>
      </c>
      <c r="G257" s="1095">
        <f t="shared" si="6"/>
        <v>7020</v>
      </c>
      <c r="H257" s="1091">
        <v>7000</v>
      </c>
      <c r="L257" s="1071">
        <f>'SALE COLLARES'!R15</f>
        <v>4546.8333333333339</v>
      </c>
      <c r="M257" s="1082">
        <f t="shared" si="7"/>
        <v>5910.8833333333341</v>
      </c>
      <c r="P257" s="1057" t="s">
        <v>2606</v>
      </c>
      <c r="Q257" s="1057" t="s">
        <v>2318</v>
      </c>
      <c r="R257" s="1057" t="s">
        <v>1534</v>
      </c>
      <c r="S257" s="1057" t="s">
        <v>2320</v>
      </c>
    </row>
    <row r="258" spans="1:19" x14ac:dyDescent="0.25">
      <c r="A258" s="1057" t="s">
        <v>2609</v>
      </c>
      <c r="B258" s="1057" t="s">
        <v>2610</v>
      </c>
      <c r="D258" s="1057">
        <v>7</v>
      </c>
      <c r="E258" s="1057">
        <v>5</v>
      </c>
      <c r="F258" s="1071">
        <f>F257</f>
        <v>5400</v>
      </c>
      <c r="G258" s="1095">
        <f t="shared" ref="G258:G321" si="8">F258+F258*30%</f>
        <v>7020</v>
      </c>
      <c r="H258" s="1091">
        <v>6500</v>
      </c>
      <c r="L258" s="1071">
        <f>L256</f>
        <v>3477.0874999999996</v>
      </c>
      <c r="M258" s="1082">
        <f t="shared" ref="M258:M321" si="9">L258+L258*30%</f>
        <v>4520.213749999999</v>
      </c>
      <c r="P258" s="1057" t="s">
        <v>2610</v>
      </c>
      <c r="Q258" s="1057" t="s">
        <v>2318</v>
      </c>
      <c r="R258" s="1057" t="s">
        <v>1534</v>
      </c>
      <c r="S258" s="1057" t="s">
        <v>2320</v>
      </c>
    </row>
    <row r="259" spans="1:19" x14ac:dyDescent="0.25">
      <c r="A259" s="1057" t="s">
        <v>2611</v>
      </c>
      <c r="B259" s="1057" t="s">
        <v>2612</v>
      </c>
      <c r="D259" s="1057">
        <v>0</v>
      </c>
      <c r="E259" s="1057">
        <v>5</v>
      </c>
      <c r="F259" s="1071">
        <f>F258</f>
        <v>5400</v>
      </c>
      <c r="G259" s="1095">
        <f t="shared" si="8"/>
        <v>7020</v>
      </c>
      <c r="H259" s="1091">
        <v>6500</v>
      </c>
      <c r="L259" s="1071">
        <f>L256</f>
        <v>3477.0874999999996</v>
      </c>
      <c r="M259" s="1082">
        <f t="shared" si="9"/>
        <v>4520.213749999999</v>
      </c>
      <c r="P259" s="1057" t="s">
        <v>2612</v>
      </c>
      <c r="Q259" s="1057" t="s">
        <v>2318</v>
      </c>
      <c r="R259" s="1057" t="s">
        <v>1534</v>
      </c>
      <c r="S259" s="1057" t="s">
        <v>2320</v>
      </c>
    </row>
    <row r="260" spans="1:19" x14ac:dyDescent="0.25">
      <c r="A260" s="1057" t="s">
        <v>2615</v>
      </c>
      <c r="B260" s="1057" t="s">
        <v>2616</v>
      </c>
      <c r="D260" s="1057">
        <v>0</v>
      </c>
      <c r="E260" s="1057">
        <v>5</v>
      </c>
      <c r="F260" s="1071">
        <f>F259</f>
        <v>5400</v>
      </c>
      <c r="G260" s="1095">
        <f t="shared" si="8"/>
        <v>7020</v>
      </c>
      <c r="H260" s="1091">
        <v>6500</v>
      </c>
      <c r="L260" s="1071">
        <f>L255</f>
        <v>3477.0874999999996</v>
      </c>
      <c r="M260" s="1082">
        <f t="shared" si="9"/>
        <v>4520.213749999999</v>
      </c>
      <c r="P260" s="1057" t="s">
        <v>2616</v>
      </c>
      <c r="Q260" s="1057" t="s">
        <v>2318</v>
      </c>
      <c r="R260" s="1057" t="s">
        <v>1534</v>
      </c>
      <c r="S260" s="1057" t="s">
        <v>2320</v>
      </c>
    </row>
    <row r="261" spans="1:19" x14ac:dyDescent="0.25">
      <c r="A261" s="1057" t="s">
        <v>2629</v>
      </c>
      <c r="B261" s="1057" t="s">
        <v>2630</v>
      </c>
      <c r="D261" s="1057">
        <v>3</v>
      </c>
      <c r="E261" s="1057">
        <v>5</v>
      </c>
      <c r="F261" s="1071">
        <f>LAZOS!G148</f>
        <v>23000</v>
      </c>
      <c r="G261" s="1095">
        <f t="shared" si="8"/>
        <v>29900</v>
      </c>
      <c r="H261" s="1091">
        <v>5000</v>
      </c>
      <c r="L261" s="1071">
        <f>LAZOS!E146</f>
        <v>3317.8142857142857</v>
      </c>
      <c r="M261" s="1082">
        <f t="shared" si="9"/>
        <v>4313.1585714285711</v>
      </c>
      <c r="P261" s="1057" t="s">
        <v>2630</v>
      </c>
      <c r="Q261" s="1057" t="s">
        <v>2318</v>
      </c>
      <c r="R261" s="1057" t="s">
        <v>1534</v>
      </c>
      <c r="S261" s="1057" t="s">
        <v>2320</v>
      </c>
    </row>
    <row r="262" spans="1:19" x14ac:dyDescent="0.25">
      <c r="A262" s="1057" t="s">
        <v>2601</v>
      </c>
      <c r="B262" s="1057" t="s">
        <v>2602</v>
      </c>
      <c r="D262" s="1057">
        <v>19</v>
      </c>
      <c r="E262" s="1057">
        <v>5</v>
      </c>
      <c r="F262" s="1071">
        <f>LAZOS!I66</f>
        <v>29000</v>
      </c>
      <c r="G262" s="1095">
        <f t="shared" si="8"/>
        <v>37700</v>
      </c>
      <c r="H262" s="1091">
        <v>15200</v>
      </c>
      <c r="L262" s="1071">
        <f>LAZOS!G64</f>
        <v>11914.173809523809</v>
      </c>
      <c r="M262" s="1082">
        <f t="shared" si="9"/>
        <v>15488.425952380952</v>
      </c>
      <c r="P262" s="1057" t="s">
        <v>2602</v>
      </c>
      <c r="Q262" s="1057" t="s">
        <v>2318</v>
      </c>
      <c r="R262" s="1057" t="s">
        <v>1479</v>
      </c>
      <c r="S262" s="1057" t="s">
        <v>2320</v>
      </c>
    </row>
    <row r="263" spans="1:19" x14ac:dyDescent="0.25">
      <c r="A263" s="1057" t="s">
        <v>2603</v>
      </c>
      <c r="B263" s="1057" t="s">
        <v>2604</v>
      </c>
      <c r="D263" s="1057">
        <v>10</v>
      </c>
      <c r="E263" s="1057">
        <v>5</v>
      </c>
      <c r="F263" s="1071">
        <f>LAZOS!H40</f>
        <v>18000</v>
      </c>
      <c r="G263" s="1095">
        <f t="shared" si="8"/>
        <v>23400</v>
      </c>
      <c r="H263" s="1091">
        <v>10800</v>
      </c>
      <c r="L263" s="1071">
        <f>LAZOS!F38</f>
        <v>4546.8333333333339</v>
      </c>
      <c r="M263" s="1082">
        <f t="shared" si="9"/>
        <v>5910.8833333333341</v>
      </c>
      <c r="P263" s="1057" t="s">
        <v>2604</v>
      </c>
      <c r="Q263" s="1057" t="s">
        <v>2318</v>
      </c>
      <c r="R263" s="1057" t="s">
        <v>1534</v>
      </c>
      <c r="S263" s="1057" t="s">
        <v>2320</v>
      </c>
    </row>
    <row r="264" spans="1:19" x14ac:dyDescent="0.25">
      <c r="A264" s="1057" t="s">
        <v>2607</v>
      </c>
      <c r="B264" s="1057" t="s">
        <v>2608</v>
      </c>
      <c r="D264" s="1057">
        <v>14</v>
      </c>
      <c r="E264" s="1057">
        <v>5</v>
      </c>
      <c r="F264" s="1071">
        <f>LAZOS!H40</f>
        <v>18000</v>
      </c>
      <c r="G264" s="1095">
        <f t="shared" si="8"/>
        <v>23400</v>
      </c>
      <c r="H264" s="1091">
        <v>10800</v>
      </c>
      <c r="L264" s="1071">
        <f>L262</f>
        <v>11914.173809523809</v>
      </c>
      <c r="M264" s="1082">
        <f t="shared" si="9"/>
        <v>15488.425952380952</v>
      </c>
      <c r="P264" s="1057" t="s">
        <v>2608</v>
      </c>
      <c r="Q264" s="1057" t="s">
        <v>2318</v>
      </c>
      <c r="R264" s="1057" t="s">
        <v>1534</v>
      </c>
      <c r="S264" s="1057" t="s">
        <v>2320</v>
      </c>
    </row>
    <row r="265" spans="1:19" x14ac:dyDescent="0.25">
      <c r="A265" s="1057" t="s">
        <v>2613</v>
      </c>
      <c r="B265" s="1057" t="s">
        <v>2614</v>
      </c>
      <c r="D265" s="1057">
        <v>17</v>
      </c>
      <c r="E265" s="1057">
        <v>5</v>
      </c>
      <c r="F265" s="1071">
        <f>F264</f>
        <v>18000</v>
      </c>
      <c r="G265" s="1095">
        <f t="shared" si="8"/>
        <v>23400</v>
      </c>
      <c r="H265" s="1091">
        <v>10800</v>
      </c>
      <c r="L265" s="1071">
        <f>L260</f>
        <v>3477.0874999999996</v>
      </c>
      <c r="M265" s="1082">
        <f t="shared" si="9"/>
        <v>4520.213749999999</v>
      </c>
      <c r="P265" s="1057" t="s">
        <v>2614</v>
      </c>
      <c r="Q265" s="1057" t="s">
        <v>2318</v>
      </c>
      <c r="R265" s="1057" t="s">
        <v>1534</v>
      </c>
      <c r="S265" s="1057" t="s">
        <v>2320</v>
      </c>
    </row>
    <row r="266" spans="1:19" x14ac:dyDescent="0.25">
      <c r="A266" s="1057" t="s">
        <v>2617</v>
      </c>
      <c r="B266" s="1057" t="s">
        <v>2618</v>
      </c>
      <c r="D266" s="1057">
        <v>13</v>
      </c>
      <c r="E266" s="1057">
        <v>5</v>
      </c>
      <c r="F266" s="1071">
        <f>F265</f>
        <v>18000</v>
      </c>
      <c r="G266" s="1095">
        <f t="shared" si="8"/>
        <v>23400</v>
      </c>
      <c r="H266" s="1091">
        <v>10800</v>
      </c>
      <c r="L266" s="1071">
        <f>L259</f>
        <v>3477.0874999999996</v>
      </c>
      <c r="M266" s="1082">
        <f t="shared" si="9"/>
        <v>4520.213749999999</v>
      </c>
      <c r="P266" s="1057" t="s">
        <v>2618</v>
      </c>
      <c r="Q266" s="1057" t="s">
        <v>2318</v>
      </c>
      <c r="R266" s="1057" t="s">
        <v>1534</v>
      </c>
      <c r="S266" s="1057" t="s">
        <v>2320</v>
      </c>
    </row>
    <row r="267" spans="1:19" x14ac:dyDescent="0.25">
      <c r="A267" s="1057" t="s">
        <v>2619</v>
      </c>
      <c r="B267" s="1057" t="s">
        <v>2620</v>
      </c>
      <c r="D267" s="1057">
        <v>7</v>
      </c>
      <c r="E267" s="1057">
        <v>5</v>
      </c>
      <c r="F267" s="1071">
        <f>LAZOS!J13</f>
        <v>24000</v>
      </c>
      <c r="G267" s="1095">
        <f t="shared" si="8"/>
        <v>31200</v>
      </c>
      <c r="H267" s="1091">
        <v>20200</v>
      </c>
      <c r="L267" s="1071">
        <f>LAZOS!G11</f>
        <v>11104.322077922079</v>
      </c>
      <c r="M267" s="1082">
        <f t="shared" si="9"/>
        <v>14435.618701298703</v>
      </c>
      <c r="P267" s="1057" t="s">
        <v>2620</v>
      </c>
      <c r="Q267" s="1057" t="s">
        <v>2318</v>
      </c>
      <c r="R267" s="1057" t="s">
        <v>1534</v>
      </c>
      <c r="S267" s="1057" t="s">
        <v>2320</v>
      </c>
    </row>
    <row r="268" spans="1:19" x14ac:dyDescent="0.25">
      <c r="A268" s="1057" t="s">
        <v>2621</v>
      </c>
      <c r="B268" s="1057" t="s">
        <v>2622</v>
      </c>
      <c r="D268" s="1057">
        <v>10</v>
      </c>
      <c r="E268" s="1057">
        <v>5</v>
      </c>
      <c r="F268" s="1071">
        <f>LAZOS!J13</f>
        <v>24000</v>
      </c>
      <c r="G268" s="1095">
        <f t="shared" si="8"/>
        <v>31200</v>
      </c>
      <c r="H268" s="1091">
        <v>20200</v>
      </c>
      <c r="L268" s="1071">
        <f>L267</f>
        <v>11104.322077922079</v>
      </c>
      <c r="M268" s="1082">
        <f t="shared" si="9"/>
        <v>14435.618701298703</v>
      </c>
      <c r="P268" s="1057" t="s">
        <v>2622</v>
      </c>
      <c r="Q268" s="1057" t="s">
        <v>2318</v>
      </c>
      <c r="R268" s="1057" t="s">
        <v>1534</v>
      </c>
      <c r="S268" s="1057" t="s">
        <v>2320</v>
      </c>
    </row>
    <row r="269" spans="1:19" x14ac:dyDescent="0.25">
      <c r="A269" s="1057" t="s">
        <v>2623</v>
      </c>
      <c r="B269" s="1057" t="s">
        <v>2624</v>
      </c>
      <c r="D269" s="1057">
        <v>3</v>
      </c>
      <c r="E269" s="1057">
        <v>5</v>
      </c>
      <c r="F269" s="1071">
        <f>LAZOS!J25</f>
        <v>39000</v>
      </c>
      <c r="G269" s="1095">
        <f t="shared" si="8"/>
        <v>50700</v>
      </c>
      <c r="H269" s="1091">
        <v>19000</v>
      </c>
      <c r="L269" s="1071">
        <f>LAZOS!G23</f>
        <v>10969.303030303032</v>
      </c>
      <c r="M269" s="1082">
        <f t="shared" si="9"/>
        <v>14260.093939393941</v>
      </c>
      <c r="P269" s="1057" t="s">
        <v>2624</v>
      </c>
      <c r="Q269" s="1057" t="s">
        <v>2318</v>
      </c>
      <c r="R269" s="1057" t="s">
        <v>1534</v>
      </c>
      <c r="S269" s="1057" t="s">
        <v>2320</v>
      </c>
    </row>
    <row r="270" spans="1:19" x14ac:dyDescent="0.25">
      <c r="A270" s="1057" t="s">
        <v>2625</v>
      </c>
      <c r="B270" s="1057" t="s">
        <v>2626</v>
      </c>
      <c r="D270" s="1057">
        <v>2</v>
      </c>
      <c r="E270" s="1057">
        <v>5</v>
      </c>
      <c r="F270" s="1071">
        <f>F269</f>
        <v>39000</v>
      </c>
      <c r="G270" s="1095">
        <f t="shared" si="8"/>
        <v>50700</v>
      </c>
      <c r="H270" s="1091">
        <v>19000</v>
      </c>
      <c r="L270" s="1071">
        <f>L269</f>
        <v>10969.303030303032</v>
      </c>
      <c r="M270" s="1082">
        <f t="shared" si="9"/>
        <v>14260.093939393941</v>
      </c>
      <c r="P270" s="1057" t="s">
        <v>2626</v>
      </c>
      <c r="Q270" s="1057" t="s">
        <v>2318</v>
      </c>
      <c r="R270" s="1057" t="s">
        <v>1534</v>
      </c>
      <c r="S270" s="1057" t="s">
        <v>2320</v>
      </c>
    </row>
    <row r="271" spans="1:19" x14ac:dyDescent="0.25">
      <c r="A271" s="1057" t="s">
        <v>2627</v>
      </c>
      <c r="B271" s="1057" t="s">
        <v>2628</v>
      </c>
      <c r="D271" s="1057">
        <v>3</v>
      </c>
      <c r="E271" s="1057">
        <v>5</v>
      </c>
      <c r="F271" s="1071">
        <f>F269</f>
        <v>39000</v>
      </c>
      <c r="G271" s="1095">
        <f t="shared" si="8"/>
        <v>50700</v>
      </c>
      <c r="H271" s="1091">
        <v>19000</v>
      </c>
      <c r="L271" s="1071">
        <f>L269</f>
        <v>10969.303030303032</v>
      </c>
      <c r="M271" s="1082">
        <f t="shared" si="9"/>
        <v>14260.093939393941</v>
      </c>
      <c r="P271" s="1057" t="s">
        <v>2628</v>
      </c>
      <c r="Q271" s="1057" t="s">
        <v>2318</v>
      </c>
      <c r="R271" s="1057" t="s">
        <v>1534</v>
      </c>
      <c r="S271" s="1057" t="s">
        <v>2320</v>
      </c>
    </row>
    <row r="272" spans="1:19" x14ac:dyDescent="0.25">
      <c r="A272" s="1057" t="s">
        <v>2553</v>
      </c>
      <c r="B272" s="1057" t="s">
        <v>2554</v>
      </c>
      <c r="D272" s="1057">
        <v>12</v>
      </c>
      <c r="E272" s="1057">
        <v>5</v>
      </c>
      <c r="F272" s="1071">
        <f>AROS!AN10</f>
        <v>10400</v>
      </c>
      <c r="G272" s="1095">
        <f t="shared" si="8"/>
        <v>13520</v>
      </c>
      <c r="H272" s="1091">
        <v>5000</v>
      </c>
      <c r="L272" s="1071">
        <f>AROS!AL9</f>
        <v>3751</v>
      </c>
      <c r="M272" s="1082">
        <f t="shared" si="9"/>
        <v>4876.3</v>
      </c>
      <c r="P272" s="1057" t="s">
        <v>2554</v>
      </c>
      <c r="Q272" s="1057" t="s">
        <v>2318</v>
      </c>
      <c r="R272" s="1057" t="s">
        <v>2555</v>
      </c>
      <c r="S272" s="1057" t="s">
        <v>2320</v>
      </c>
    </row>
    <row r="273" spans="1:19" x14ac:dyDescent="0.25">
      <c r="A273" s="1057" t="s">
        <v>2558</v>
      </c>
      <c r="B273" s="1057" t="s">
        <v>2559</v>
      </c>
      <c r="D273" s="1057">
        <v>7</v>
      </c>
      <c r="E273" s="1057">
        <v>5</v>
      </c>
      <c r="F273" s="1071">
        <f>AROS!AN42</f>
        <v>11400</v>
      </c>
      <c r="G273" s="1095">
        <f t="shared" si="8"/>
        <v>14820</v>
      </c>
      <c r="H273" s="1091">
        <v>5600</v>
      </c>
      <c r="L273" s="1071">
        <f>AROS!AL41</f>
        <v>4138</v>
      </c>
      <c r="M273" s="1082">
        <f t="shared" si="9"/>
        <v>5379.4</v>
      </c>
      <c r="P273" s="1057" t="s">
        <v>2559</v>
      </c>
      <c r="Q273" s="1057" t="s">
        <v>2318</v>
      </c>
      <c r="R273" s="1057" t="s">
        <v>2555</v>
      </c>
      <c r="S273" s="1057" t="s">
        <v>2320</v>
      </c>
    </row>
    <row r="274" spans="1:19" x14ac:dyDescent="0.25">
      <c r="A274" s="1057" t="s">
        <v>2556</v>
      </c>
      <c r="B274" s="1057" t="s">
        <v>2557</v>
      </c>
      <c r="D274" s="1057">
        <v>10</v>
      </c>
      <c r="E274" s="1057">
        <v>5</v>
      </c>
      <c r="F274" s="1071">
        <f>AROS!AN26</f>
        <v>16000</v>
      </c>
      <c r="G274" s="1095">
        <f t="shared" si="8"/>
        <v>20800</v>
      </c>
      <c r="H274" s="1091">
        <v>5000</v>
      </c>
      <c r="L274" s="1071">
        <f>AROS!AL25</f>
        <v>4260</v>
      </c>
      <c r="M274" s="1082">
        <f t="shared" si="9"/>
        <v>5538</v>
      </c>
      <c r="P274" s="1057" t="s">
        <v>2557</v>
      </c>
      <c r="Q274" s="1057" t="s">
        <v>2318</v>
      </c>
      <c r="R274" s="1057" t="s">
        <v>2555</v>
      </c>
      <c r="S274" s="1057" t="s">
        <v>2320</v>
      </c>
    </row>
    <row r="275" spans="1:19" x14ac:dyDescent="0.25">
      <c r="A275" s="1057" t="s">
        <v>2560</v>
      </c>
      <c r="B275" s="1057" t="s">
        <v>2561</v>
      </c>
      <c r="D275" s="1057">
        <v>14</v>
      </c>
      <c r="E275" s="1057">
        <v>5</v>
      </c>
      <c r="F275" s="1071">
        <f>AROS!AN34</f>
        <v>11400</v>
      </c>
      <c r="G275" s="1095">
        <f t="shared" si="8"/>
        <v>14820</v>
      </c>
      <c r="H275" s="1091">
        <v>5600</v>
      </c>
      <c r="L275" s="1071">
        <f>AROS!AL33</f>
        <v>4138</v>
      </c>
      <c r="M275" s="1082">
        <f t="shared" si="9"/>
        <v>5379.4</v>
      </c>
      <c r="P275" s="1057" t="s">
        <v>2561</v>
      </c>
      <c r="Q275" s="1057" t="s">
        <v>2318</v>
      </c>
      <c r="R275" s="1057" t="s">
        <v>2555</v>
      </c>
      <c r="S275" s="1057" t="s">
        <v>2320</v>
      </c>
    </row>
    <row r="276" spans="1:19" x14ac:dyDescent="0.25">
      <c r="A276" s="1057" t="s">
        <v>2562</v>
      </c>
      <c r="B276" s="1057" t="s">
        <v>2563</v>
      </c>
      <c r="D276" s="1057">
        <v>11</v>
      </c>
      <c r="E276" s="1057">
        <v>5</v>
      </c>
      <c r="F276" s="1071">
        <f>AROS!AN18</f>
        <v>10400</v>
      </c>
      <c r="G276" s="1095">
        <f t="shared" si="8"/>
        <v>13520</v>
      </c>
      <c r="H276" s="1091">
        <v>5000</v>
      </c>
      <c r="L276" s="1071">
        <f>AROS!AL17</f>
        <v>3751</v>
      </c>
      <c r="M276" s="1082">
        <f t="shared" si="9"/>
        <v>4876.3</v>
      </c>
      <c r="P276" s="1057" t="s">
        <v>2563</v>
      </c>
      <c r="Q276" s="1057" t="s">
        <v>2318</v>
      </c>
      <c r="R276" s="1057" t="s">
        <v>2555</v>
      </c>
      <c r="S276" s="1057" t="s">
        <v>2320</v>
      </c>
    </row>
    <row r="277" spans="1:19" x14ac:dyDescent="0.25">
      <c r="A277" s="1057" t="s">
        <v>2804</v>
      </c>
      <c r="B277" s="1057" t="s">
        <v>2805</v>
      </c>
      <c r="D277" s="1057">
        <v>20</v>
      </c>
      <c r="E277" s="1057">
        <v>5</v>
      </c>
      <c r="F277" s="1071">
        <f>'SALE PULSERAS'!H40</f>
        <v>2200</v>
      </c>
      <c r="G277" s="1095">
        <f t="shared" si="8"/>
        <v>2860</v>
      </c>
      <c r="H277" s="1091">
        <v>3000</v>
      </c>
      <c r="L277" s="1071">
        <f>'SALE PULSERAS'!F38</f>
        <v>1487.6141941391941</v>
      </c>
      <c r="M277" s="1082">
        <f t="shared" si="9"/>
        <v>1933.8984523809522</v>
      </c>
      <c r="P277" s="1057" t="s">
        <v>2805</v>
      </c>
      <c r="Q277" s="1057" t="s">
        <v>2318</v>
      </c>
      <c r="R277" s="1057" t="s">
        <v>2797</v>
      </c>
      <c r="S277" s="1057" t="s">
        <v>2320</v>
      </c>
    </row>
    <row r="278" spans="1:19" x14ac:dyDescent="0.25">
      <c r="A278" s="1057" t="s">
        <v>2806</v>
      </c>
      <c r="B278" s="1057" t="s">
        <v>2807</v>
      </c>
      <c r="D278" s="1057">
        <v>11</v>
      </c>
      <c r="E278" s="1057">
        <v>5</v>
      </c>
      <c r="F278" s="1071">
        <f>'SALE PULSERAS'!H138</f>
        <v>2900</v>
      </c>
      <c r="G278" s="1095">
        <f t="shared" si="8"/>
        <v>3770</v>
      </c>
      <c r="H278" s="1091">
        <v>3800</v>
      </c>
      <c r="L278" s="1071">
        <f>'SALE PULSERAS'!F136</f>
        <v>2653.3385798618319</v>
      </c>
      <c r="M278" s="1082">
        <f t="shared" si="9"/>
        <v>3449.3401538203816</v>
      </c>
      <c r="P278" s="1057" t="s">
        <v>2807</v>
      </c>
      <c r="Q278" s="1057" t="s">
        <v>2318</v>
      </c>
      <c r="R278" s="1057" t="s">
        <v>2797</v>
      </c>
      <c r="S278" s="1057" t="s">
        <v>2320</v>
      </c>
    </row>
    <row r="279" spans="1:19" x14ac:dyDescent="0.25">
      <c r="A279" s="1057" t="s">
        <v>2812</v>
      </c>
      <c r="B279" s="1057" t="s">
        <v>2813</v>
      </c>
      <c r="D279" s="1057">
        <v>4</v>
      </c>
      <c r="E279" s="1057">
        <v>5</v>
      </c>
      <c r="F279" s="1071">
        <f>'SALE PULSERAS'!H81</f>
        <v>6000</v>
      </c>
      <c r="G279" s="1095">
        <f t="shared" si="8"/>
        <v>7800</v>
      </c>
      <c r="H279" s="1091">
        <v>5200</v>
      </c>
      <c r="L279" s="1071">
        <f>'SALE PULSERAS'!F79</f>
        <v>4134.6482529854047</v>
      </c>
      <c r="M279" s="1082">
        <f t="shared" si="9"/>
        <v>5375.0427288810261</v>
      </c>
      <c r="P279" s="1057" t="s">
        <v>2813</v>
      </c>
      <c r="Q279" s="1057" t="s">
        <v>2318</v>
      </c>
      <c r="R279" s="1057" t="s">
        <v>2797</v>
      </c>
      <c r="S279" s="1057" t="s">
        <v>2320</v>
      </c>
    </row>
    <row r="280" spans="1:19" x14ac:dyDescent="0.25">
      <c r="A280" s="1057" t="s">
        <v>2818</v>
      </c>
      <c r="B280" s="1057" t="s">
        <v>2819</v>
      </c>
      <c r="D280" s="1057">
        <v>9</v>
      </c>
      <c r="E280" s="1057">
        <v>5</v>
      </c>
      <c r="F280" s="1071">
        <f>PULSERAS!I107</f>
        <v>11800</v>
      </c>
      <c r="G280" s="1095">
        <f t="shared" si="8"/>
        <v>15340</v>
      </c>
      <c r="H280" s="1091">
        <v>11200</v>
      </c>
      <c r="L280" s="1071">
        <f>PULSERAS!G106</f>
        <v>4916.7052616446235</v>
      </c>
      <c r="M280" s="1082">
        <f t="shared" si="9"/>
        <v>6391.7168401380104</v>
      </c>
      <c r="P280" s="1057" t="s">
        <v>2819</v>
      </c>
      <c r="Q280" s="1057" t="s">
        <v>2318</v>
      </c>
      <c r="R280" s="1057" t="s">
        <v>2797</v>
      </c>
      <c r="S280" s="1057" t="s">
        <v>2320</v>
      </c>
    </row>
    <row r="281" spans="1:19" x14ac:dyDescent="0.25">
      <c r="A281" s="1057" t="s">
        <v>2852</v>
      </c>
      <c r="B281" s="1057" t="s">
        <v>2853</v>
      </c>
      <c r="D281" s="1057">
        <v>1</v>
      </c>
      <c r="E281" s="1057">
        <v>5</v>
      </c>
      <c r="F281" s="1071">
        <f>'SALE PULSERAS'!H23</f>
        <v>2500</v>
      </c>
      <c r="G281" s="1095">
        <f t="shared" si="8"/>
        <v>3250</v>
      </c>
      <c r="H281" s="1091">
        <v>3600</v>
      </c>
      <c r="L281" s="1071">
        <f>L282</f>
        <v>1612.1753846153847</v>
      </c>
      <c r="M281" s="1082">
        <f t="shared" si="9"/>
        <v>2095.828</v>
      </c>
      <c r="P281" s="1057" t="s">
        <v>2853</v>
      </c>
      <c r="Q281" s="1057" t="s">
        <v>2318</v>
      </c>
      <c r="R281" s="1057" t="s">
        <v>2797</v>
      </c>
      <c r="S281" s="1057" t="s">
        <v>2320</v>
      </c>
    </row>
    <row r="282" spans="1:19" x14ac:dyDescent="0.25">
      <c r="A282" s="1057" t="s">
        <v>2850</v>
      </c>
      <c r="B282" s="1057" t="s">
        <v>2851</v>
      </c>
      <c r="D282" s="1057">
        <v>4</v>
      </c>
      <c r="E282" s="1057">
        <v>5</v>
      </c>
      <c r="F282" s="1071">
        <f>'SALE PULSERAS'!H23</f>
        <v>2500</v>
      </c>
      <c r="G282" s="1095">
        <f t="shared" si="8"/>
        <v>3250</v>
      </c>
      <c r="H282" s="1091">
        <v>3600</v>
      </c>
      <c r="L282" s="1071">
        <f>'SALE PULSERAS'!F21</f>
        <v>1612.1753846153847</v>
      </c>
      <c r="M282" s="1082">
        <f t="shared" si="9"/>
        <v>2095.828</v>
      </c>
      <c r="P282" s="1057" t="s">
        <v>2851</v>
      </c>
      <c r="Q282" s="1057" t="s">
        <v>2318</v>
      </c>
      <c r="R282" s="1057" t="s">
        <v>2797</v>
      </c>
      <c r="S282" s="1057" t="s">
        <v>2320</v>
      </c>
    </row>
    <row r="283" spans="1:19" x14ac:dyDescent="0.25">
      <c r="A283" s="1057" t="s">
        <v>2854</v>
      </c>
      <c r="B283" s="1057" t="s">
        <v>2855</v>
      </c>
      <c r="D283" s="1057">
        <v>6</v>
      </c>
      <c r="E283" s="1057">
        <v>5</v>
      </c>
      <c r="F283" s="1071">
        <f>F281</f>
        <v>2500</v>
      </c>
      <c r="G283" s="1095">
        <f t="shared" si="8"/>
        <v>3250</v>
      </c>
      <c r="H283" s="1091">
        <v>3600</v>
      </c>
      <c r="L283" s="1071">
        <f>L281</f>
        <v>1612.1753846153847</v>
      </c>
      <c r="M283" s="1082">
        <f t="shared" si="9"/>
        <v>2095.828</v>
      </c>
      <c r="P283" s="1057" t="s">
        <v>2855</v>
      </c>
      <c r="Q283" s="1057" t="s">
        <v>2318</v>
      </c>
      <c r="R283" s="1057" t="s">
        <v>2797</v>
      </c>
      <c r="S283" s="1057" t="s">
        <v>2320</v>
      </c>
    </row>
    <row r="284" spans="1:19" x14ac:dyDescent="0.25">
      <c r="A284" s="1057" t="s">
        <v>2868</v>
      </c>
      <c r="B284" s="1057" t="s">
        <v>2869</v>
      </c>
      <c r="D284" s="1057">
        <v>3</v>
      </c>
      <c r="E284" s="1057">
        <v>5</v>
      </c>
      <c r="F284" s="1071">
        <f>+'SALE PULSERAS'!H12</f>
        <v>3300</v>
      </c>
      <c r="G284" s="1095">
        <f t="shared" si="8"/>
        <v>4290</v>
      </c>
      <c r="H284" s="1091">
        <v>4400</v>
      </c>
      <c r="L284" s="1071">
        <f>+'SALE PULSERAS'!F10</f>
        <v>2254.0709999999999</v>
      </c>
      <c r="M284" s="1082">
        <f t="shared" si="9"/>
        <v>2930.2923000000001</v>
      </c>
      <c r="P284" s="1057" t="s">
        <v>2869</v>
      </c>
      <c r="Q284" s="1057" t="s">
        <v>2318</v>
      </c>
      <c r="R284" s="1057" t="s">
        <v>2797</v>
      </c>
      <c r="S284" s="1057" t="s">
        <v>2320</v>
      </c>
    </row>
    <row r="285" spans="1:19" x14ac:dyDescent="0.25">
      <c r="A285" s="1057" t="s">
        <v>2870</v>
      </c>
      <c r="B285" s="1057" t="s">
        <v>2871</v>
      </c>
      <c r="D285" s="1057">
        <v>1</v>
      </c>
      <c r="E285" s="1057">
        <v>5</v>
      </c>
      <c r="F285" s="1071">
        <f>+F284</f>
        <v>3300</v>
      </c>
      <c r="G285" s="1095">
        <f t="shared" si="8"/>
        <v>4290</v>
      </c>
      <c r="H285" s="1091">
        <v>4400</v>
      </c>
      <c r="L285" s="1071">
        <f>+L284</f>
        <v>2254.0709999999999</v>
      </c>
      <c r="M285" s="1082">
        <f t="shared" si="9"/>
        <v>2930.2923000000001</v>
      </c>
      <c r="P285" s="1057" t="s">
        <v>2871</v>
      </c>
      <c r="Q285" s="1057" t="s">
        <v>2318</v>
      </c>
      <c r="R285" s="1057" t="s">
        <v>2797</v>
      </c>
      <c r="S285" s="1057" t="s">
        <v>2320</v>
      </c>
    </row>
    <row r="286" spans="1:19" x14ac:dyDescent="0.25">
      <c r="A286" s="1057" t="s">
        <v>2872</v>
      </c>
      <c r="B286" s="1057" t="s">
        <v>2873</v>
      </c>
      <c r="D286" s="1057">
        <v>10</v>
      </c>
      <c r="E286" s="1057">
        <v>5</v>
      </c>
      <c r="F286" s="1071">
        <f>'SALE PULSERAS'!H149</f>
        <v>3300</v>
      </c>
      <c r="G286" s="1095">
        <f t="shared" si="8"/>
        <v>4290</v>
      </c>
      <c r="H286" s="1091">
        <v>4400</v>
      </c>
      <c r="L286" s="1071">
        <f>+L285</f>
        <v>2254.0709999999999</v>
      </c>
      <c r="M286" s="1082">
        <f t="shared" si="9"/>
        <v>2930.2923000000001</v>
      </c>
      <c r="P286" s="1057" t="s">
        <v>2873</v>
      </c>
      <c r="Q286" s="1057" t="s">
        <v>2318</v>
      </c>
      <c r="R286" s="1057" t="s">
        <v>2797</v>
      </c>
      <c r="S286" s="1057" t="s">
        <v>2320</v>
      </c>
    </row>
    <row r="287" spans="1:19" x14ac:dyDescent="0.25">
      <c r="A287" s="1057" t="s">
        <v>2866</v>
      </c>
      <c r="B287" s="1057" t="s">
        <v>2867</v>
      </c>
      <c r="D287" s="1057">
        <v>16</v>
      </c>
      <c r="E287" s="1057">
        <v>5</v>
      </c>
      <c r="F287" s="1071">
        <f>+PULSERAS!I285</f>
        <v>15000</v>
      </c>
      <c r="G287" s="1095">
        <f t="shared" si="8"/>
        <v>19500</v>
      </c>
      <c r="H287" s="1091">
        <v>9000</v>
      </c>
      <c r="L287" s="1071">
        <f>+PULSERAS!G283</f>
        <v>4653.8565949779568</v>
      </c>
      <c r="M287" s="1082">
        <f t="shared" si="9"/>
        <v>6050.013573471344</v>
      </c>
      <c r="P287" s="1057" t="s">
        <v>2867</v>
      </c>
      <c r="Q287" s="1057" t="s">
        <v>2318</v>
      </c>
      <c r="R287" s="1057" t="s">
        <v>2797</v>
      </c>
      <c r="S287" s="1057" t="s">
        <v>2320</v>
      </c>
    </row>
    <row r="288" spans="1:19" x14ac:dyDescent="0.25">
      <c r="A288" s="1057" t="s">
        <v>2888</v>
      </c>
      <c r="B288" s="1057" t="s">
        <v>2889</v>
      </c>
      <c r="D288" s="1057">
        <v>9</v>
      </c>
      <c r="E288" s="1057">
        <v>5</v>
      </c>
      <c r="F288" s="1071">
        <f>+'SALE PULSERAS'!H58</f>
        <v>3700</v>
      </c>
      <c r="G288" s="1095">
        <f t="shared" si="8"/>
        <v>4810</v>
      </c>
      <c r="H288" s="1091">
        <v>5200</v>
      </c>
      <c r="L288" s="1071">
        <f>+'SALE PULSERAS'!F56</f>
        <v>3316.8271493212669</v>
      </c>
      <c r="M288" s="1082">
        <f t="shared" si="9"/>
        <v>4311.8752941176472</v>
      </c>
      <c r="P288" s="1057" t="s">
        <v>2889</v>
      </c>
      <c r="Q288" s="1057" t="s">
        <v>2318</v>
      </c>
      <c r="R288" s="1057" t="s">
        <v>2797</v>
      </c>
      <c r="S288" s="1057" t="s">
        <v>2320</v>
      </c>
    </row>
    <row r="289" spans="1:20" x14ac:dyDescent="0.25">
      <c r="A289" s="1057" t="s">
        <v>2896</v>
      </c>
      <c r="B289" s="1057" t="s">
        <v>2897</v>
      </c>
      <c r="D289" s="1057">
        <v>17</v>
      </c>
      <c r="E289" s="1057">
        <v>5</v>
      </c>
      <c r="F289" s="1071">
        <f>'SALE PULSERAS'!H163</f>
        <v>3300</v>
      </c>
      <c r="G289" s="1095">
        <f t="shared" si="8"/>
        <v>4290</v>
      </c>
      <c r="H289" s="1091">
        <v>5200</v>
      </c>
      <c r="L289" s="1071">
        <f>+L288</f>
        <v>3316.8271493212669</v>
      </c>
      <c r="M289" s="1082">
        <f t="shared" si="9"/>
        <v>4311.8752941176472</v>
      </c>
      <c r="P289" s="1057" t="s">
        <v>2897</v>
      </c>
      <c r="Q289" s="1057" t="s">
        <v>2318</v>
      </c>
      <c r="R289" s="1057" t="s">
        <v>2797</v>
      </c>
      <c r="S289" s="1057" t="s">
        <v>2320</v>
      </c>
    </row>
    <row r="290" spans="1:20" x14ac:dyDescent="0.25">
      <c r="A290" s="1057" t="s">
        <v>2894</v>
      </c>
      <c r="B290" s="1057" t="s">
        <v>2895</v>
      </c>
      <c r="D290" s="1057">
        <v>5</v>
      </c>
      <c r="E290" s="1057">
        <v>5</v>
      </c>
      <c r="F290" s="1071">
        <f>+F289</f>
        <v>3300</v>
      </c>
      <c r="G290" s="1095">
        <f t="shared" si="8"/>
        <v>4290</v>
      </c>
      <c r="H290" s="1091">
        <v>5200</v>
      </c>
      <c r="L290" s="1071">
        <f>+L289</f>
        <v>3316.8271493212669</v>
      </c>
      <c r="M290" s="1082">
        <f t="shared" si="9"/>
        <v>4311.8752941176472</v>
      </c>
      <c r="P290" s="1057" t="s">
        <v>2895</v>
      </c>
      <c r="Q290" s="1057" t="s">
        <v>2318</v>
      </c>
      <c r="R290" s="1057" t="s">
        <v>2797</v>
      </c>
      <c r="S290" s="1057" t="s">
        <v>2320</v>
      </c>
    </row>
    <row r="291" spans="1:20" x14ac:dyDescent="0.25">
      <c r="A291" s="1057" t="s">
        <v>2892</v>
      </c>
      <c r="B291" s="1057" t="s">
        <v>2893</v>
      </c>
      <c r="D291" s="1057">
        <v>9</v>
      </c>
      <c r="E291" s="1057">
        <v>5</v>
      </c>
      <c r="F291" s="1071">
        <f>+'SALE PULSERAS'!H163</f>
        <v>3300</v>
      </c>
      <c r="G291" s="1095">
        <f t="shared" si="8"/>
        <v>4290</v>
      </c>
      <c r="H291" s="1091">
        <v>5200</v>
      </c>
      <c r="L291" s="1071">
        <f>+'SALE PULSERAS'!F161</f>
        <v>3899.2750000000001</v>
      </c>
      <c r="M291" s="1082">
        <f t="shared" si="9"/>
        <v>5069.0574999999999</v>
      </c>
      <c r="P291" s="1057" t="s">
        <v>2893</v>
      </c>
      <c r="Q291" s="1057" t="s">
        <v>2318</v>
      </c>
      <c r="R291" s="1057" t="s">
        <v>2797</v>
      </c>
      <c r="S291" s="1057" t="s">
        <v>2320</v>
      </c>
    </row>
    <row r="292" spans="1:20" x14ac:dyDescent="0.25">
      <c r="A292" s="1057" t="s">
        <v>2925</v>
      </c>
      <c r="B292" s="1057" t="s">
        <v>2926</v>
      </c>
      <c r="D292" s="1057">
        <v>0</v>
      </c>
      <c r="E292" s="1057">
        <v>5</v>
      </c>
      <c r="F292" s="1071">
        <f>+'SALE PULSERAS'!G120</f>
        <v>2900</v>
      </c>
      <c r="G292" s="1095">
        <f t="shared" si="8"/>
        <v>3770</v>
      </c>
      <c r="H292" s="1091">
        <v>3800</v>
      </c>
      <c r="L292" s="1071">
        <f>+'SALE PULSERAS'!E118</f>
        <v>2526.7932432432435</v>
      </c>
      <c r="M292" s="1082">
        <f t="shared" si="9"/>
        <v>3284.8312162162165</v>
      </c>
      <c r="P292" s="1057" t="s">
        <v>2926</v>
      </c>
      <c r="Q292" s="1057" t="s">
        <v>2318</v>
      </c>
      <c r="R292" s="1057" t="s">
        <v>2797</v>
      </c>
      <c r="S292" s="1057" t="s">
        <v>2320</v>
      </c>
    </row>
    <row r="293" spans="1:20" x14ac:dyDescent="0.25">
      <c r="A293" s="1057" t="s">
        <v>2933</v>
      </c>
      <c r="B293" s="1057" t="s">
        <v>2934</v>
      </c>
      <c r="D293" s="1057">
        <v>11</v>
      </c>
      <c r="E293" s="1057">
        <v>5</v>
      </c>
      <c r="F293" s="1071">
        <f>+'SALE PULSERAS'!H104</f>
        <v>3400</v>
      </c>
      <c r="G293" s="1095">
        <f t="shared" si="8"/>
        <v>4420</v>
      </c>
      <c r="H293" s="1091">
        <v>5200</v>
      </c>
      <c r="L293" s="1071">
        <f>+'SALE PULSERAS'!F102</f>
        <v>4251.20424362221</v>
      </c>
      <c r="M293" s="1082">
        <f t="shared" si="9"/>
        <v>5526.5655167088735</v>
      </c>
      <c r="P293" s="1057" t="s">
        <v>2934</v>
      </c>
      <c r="Q293" s="1057" t="s">
        <v>2318</v>
      </c>
      <c r="R293" s="1057" t="s">
        <v>2797</v>
      </c>
      <c r="S293" s="1057" t="s">
        <v>2320</v>
      </c>
    </row>
    <row r="294" spans="1:20" x14ac:dyDescent="0.25">
      <c r="A294" s="1057" t="s">
        <v>2795</v>
      </c>
      <c r="B294" s="1057" t="s">
        <v>2796</v>
      </c>
      <c r="D294" s="1057">
        <v>12</v>
      </c>
      <c r="E294" s="1057">
        <v>5</v>
      </c>
      <c r="F294" s="1071">
        <f>PULSERAS!H141</f>
        <v>8000</v>
      </c>
      <c r="G294" s="1095">
        <f t="shared" si="8"/>
        <v>10400</v>
      </c>
      <c r="H294" s="1091">
        <v>6600</v>
      </c>
      <c r="L294" s="1071">
        <f>PULSERAS!F139</f>
        <v>3686.8742812219225</v>
      </c>
      <c r="M294" s="1082">
        <f t="shared" si="9"/>
        <v>4792.9365655884994</v>
      </c>
      <c r="P294" s="1057" t="s">
        <v>2796</v>
      </c>
      <c r="Q294" s="1057" t="s">
        <v>2318</v>
      </c>
      <c r="R294" s="1057" t="s">
        <v>2797</v>
      </c>
      <c r="S294" s="1057" t="s">
        <v>2320</v>
      </c>
    </row>
    <row r="295" spans="1:20" x14ac:dyDescent="0.25">
      <c r="A295" s="1057" t="s">
        <v>2802</v>
      </c>
      <c r="B295" s="1057" t="s">
        <v>2803</v>
      </c>
      <c r="D295" s="1057">
        <v>10</v>
      </c>
      <c r="E295" s="1057">
        <v>5</v>
      </c>
      <c r="F295" s="1071">
        <f>PULSERAS!P10</f>
        <v>14000</v>
      </c>
      <c r="G295" s="1095">
        <f t="shared" si="8"/>
        <v>18200</v>
      </c>
      <c r="H295" s="1091">
        <v>7400</v>
      </c>
      <c r="L295" s="1071">
        <f>PULSERAS!N8</f>
        <v>1876.3333333333335</v>
      </c>
      <c r="M295" s="1082">
        <f t="shared" si="9"/>
        <v>2439.2333333333336</v>
      </c>
      <c r="P295" s="1057" t="s">
        <v>2803</v>
      </c>
      <c r="Q295" s="1057" t="s">
        <v>2318</v>
      </c>
      <c r="R295" s="1057" t="s">
        <v>2797</v>
      </c>
      <c r="S295" s="1057" t="s">
        <v>2320</v>
      </c>
    </row>
    <row r="296" spans="1:20" x14ac:dyDescent="0.25">
      <c r="A296" s="1057" t="s">
        <v>2800</v>
      </c>
      <c r="B296" s="1057" t="s">
        <v>2801</v>
      </c>
      <c r="D296" s="1057">
        <v>9</v>
      </c>
      <c r="E296" s="1057">
        <v>5</v>
      </c>
      <c r="F296" s="1071">
        <f>PULSERAS!G90</f>
        <v>5800</v>
      </c>
      <c r="G296" s="1095">
        <f t="shared" si="8"/>
        <v>7540</v>
      </c>
      <c r="H296" s="1091">
        <v>4800</v>
      </c>
      <c r="L296" s="1071">
        <f>L295</f>
        <v>1876.3333333333335</v>
      </c>
      <c r="M296" s="1082">
        <f t="shared" si="9"/>
        <v>2439.2333333333336</v>
      </c>
      <c r="P296" s="1057" t="s">
        <v>2801</v>
      </c>
      <c r="Q296" s="1057" t="s">
        <v>2318</v>
      </c>
      <c r="R296" s="1057" t="s">
        <v>2797</v>
      </c>
      <c r="S296" s="1057" t="s">
        <v>2320</v>
      </c>
    </row>
    <row r="297" spans="1:20" x14ac:dyDescent="0.25">
      <c r="A297" s="1057" t="s">
        <v>2798</v>
      </c>
      <c r="B297" s="1057" t="s">
        <v>2799</v>
      </c>
      <c r="D297" s="1057">
        <v>8</v>
      </c>
      <c r="E297" s="1057">
        <v>5</v>
      </c>
      <c r="F297" s="1071">
        <f>PULSERAS!G90</f>
        <v>5800</v>
      </c>
      <c r="G297" s="1095">
        <f t="shared" si="8"/>
        <v>7540</v>
      </c>
      <c r="H297" s="1091">
        <v>4800</v>
      </c>
      <c r="L297" s="1071">
        <f>PULSERAS!E88</f>
        <v>1242.4733333333334</v>
      </c>
      <c r="M297" s="1082">
        <f t="shared" si="9"/>
        <v>1615.2153333333333</v>
      </c>
      <c r="P297" s="1057" t="s">
        <v>2799</v>
      </c>
      <c r="Q297" s="1057" t="s">
        <v>2318</v>
      </c>
      <c r="R297" s="1057" t="s">
        <v>2797</v>
      </c>
      <c r="S297" s="1057" t="s">
        <v>2320</v>
      </c>
    </row>
    <row r="298" spans="1:20" x14ac:dyDescent="0.25">
      <c r="A298" s="1057" t="s">
        <v>3077</v>
      </c>
      <c r="B298" s="1057" t="s">
        <v>3078</v>
      </c>
      <c r="C298" s="1057"/>
      <c r="D298" s="1057">
        <v>11</v>
      </c>
      <c r="E298" s="1057">
        <v>5</v>
      </c>
      <c r="F298" s="1071">
        <f>PULSERAS!H352</f>
        <v>16000</v>
      </c>
      <c r="G298" s="1095">
        <f t="shared" si="8"/>
        <v>20800</v>
      </c>
      <c r="H298" s="1091">
        <v>9400</v>
      </c>
      <c r="I298" s="1057"/>
      <c r="J298" s="1057"/>
      <c r="K298" s="1057"/>
      <c r="L298" s="1071">
        <f>PULSERAS!F350</f>
        <v>3320.2694117647056</v>
      </c>
      <c r="M298" s="1082">
        <f t="shared" si="9"/>
        <v>4316.3502352941177</v>
      </c>
      <c r="N298" s="1057"/>
      <c r="O298" s="1057"/>
      <c r="P298" s="1057" t="s">
        <v>3078</v>
      </c>
      <c r="Q298" s="1057" t="s">
        <v>2318</v>
      </c>
      <c r="R298" s="1057" t="s">
        <v>2797</v>
      </c>
      <c r="S298" s="1057" t="s">
        <v>2320</v>
      </c>
      <c r="T298" s="1057"/>
    </row>
    <row r="299" spans="1:20" x14ac:dyDescent="0.25">
      <c r="A299" s="1057" t="s">
        <v>2808</v>
      </c>
      <c r="B299" s="1057" t="s">
        <v>2809</v>
      </c>
      <c r="D299" s="1057">
        <v>1</v>
      </c>
      <c r="E299" s="1057">
        <v>5</v>
      </c>
      <c r="F299" s="1071">
        <f>PULSERAS!E8</f>
        <v>3200</v>
      </c>
      <c r="G299" s="1095">
        <f t="shared" si="8"/>
        <v>4160</v>
      </c>
      <c r="H299" s="1091">
        <v>4400</v>
      </c>
      <c r="L299" s="1071">
        <f>PULSERAS!C6</f>
        <v>831</v>
      </c>
      <c r="M299" s="1082">
        <f t="shared" si="9"/>
        <v>1080.3</v>
      </c>
      <c r="P299" s="1057" t="s">
        <v>2809</v>
      </c>
      <c r="Q299" s="1057" t="s">
        <v>2318</v>
      </c>
      <c r="R299" s="1057" t="s">
        <v>2797</v>
      </c>
      <c r="S299" s="1057" t="s">
        <v>2320</v>
      </c>
    </row>
    <row r="300" spans="1:20" x14ac:dyDescent="0.25">
      <c r="A300" s="1057" t="s">
        <v>2810</v>
      </c>
      <c r="B300" s="1057" t="s">
        <v>2811</v>
      </c>
      <c r="D300" s="1057">
        <v>10</v>
      </c>
      <c r="E300" s="1057">
        <v>5</v>
      </c>
      <c r="F300" s="1071">
        <f>PULSERAS!I126</f>
        <v>15000</v>
      </c>
      <c r="G300" s="1095">
        <f t="shared" si="8"/>
        <v>19500</v>
      </c>
      <c r="H300" s="1091">
        <v>10200</v>
      </c>
      <c r="L300" s="1071">
        <f>PULSERAS!G124</f>
        <v>5126.1988721804519</v>
      </c>
      <c r="M300" s="1082">
        <f t="shared" si="9"/>
        <v>6664.0585338345873</v>
      </c>
      <c r="P300" s="1057" t="s">
        <v>2811</v>
      </c>
      <c r="Q300" s="1057" t="s">
        <v>2318</v>
      </c>
      <c r="R300" s="1057" t="s">
        <v>2797</v>
      </c>
      <c r="S300" s="1057" t="s">
        <v>2320</v>
      </c>
    </row>
    <row r="301" spans="1:20" x14ac:dyDescent="0.25">
      <c r="A301" s="1057" t="s">
        <v>2814</v>
      </c>
      <c r="B301" s="1057" t="s">
        <v>2815</v>
      </c>
      <c r="D301" s="1057">
        <v>10</v>
      </c>
      <c r="E301" s="1057">
        <v>5</v>
      </c>
      <c r="F301" s="1071">
        <f>+PULSERAS!H152</f>
        <v>12000</v>
      </c>
      <c r="G301" s="1095">
        <f t="shared" si="8"/>
        <v>15600</v>
      </c>
      <c r="H301" s="1091">
        <v>7400</v>
      </c>
      <c r="L301" s="1071">
        <f>PULSERAS!F150</f>
        <v>1809.6863414634147</v>
      </c>
      <c r="M301" s="1082">
        <f t="shared" si="9"/>
        <v>2352.5922439024389</v>
      </c>
      <c r="P301" s="1057" t="s">
        <v>2815</v>
      </c>
      <c r="Q301" s="1057" t="s">
        <v>2318</v>
      </c>
      <c r="R301" s="1057" t="s">
        <v>2797</v>
      </c>
      <c r="S301" s="1057" t="s">
        <v>2320</v>
      </c>
    </row>
    <row r="302" spans="1:20" x14ac:dyDescent="0.25">
      <c r="A302" s="1057" t="s">
        <v>2842</v>
      </c>
      <c r="B302" s="1057" t="s">
        <v>2843</v>
      </c>
      <c r="D302" s="1057">
        <v>7</v>
      </c>
      <c r="E302" s="1057">
        <v>5</v>
      </c>
      <c r="F302" s="1071">
        <f>PULSERAS!H78</f>
        <v>0</v>
      </c>
      <c r="G302" s="1095">
        <f t="shared" si="8"/>
        <v>0</v>
      </c>
      <c r="H302" s="1091">
        <v>4200</v>
      </c>
      <c r="L302" s="1071">
        <f t="shared" ref="L302:L308" si="10">L301</f>
        <v>1809.6863414634147</v>
      </c>
      <c r="M302" s="1082">
        <f t="shared" si="9"/>
        <v>2352.5922439024389</v>
      </c>
      <c r="P302" s="1057" t="s">
        <v>2843</v>
      </c>
      <c r="Q302" s="1057" t="s">
        <v>2318</v>
      </c>
      <c r="R302" s="1057" t="s">
        <v>2797</v>
      </c>
      <c r="S302" s="1057" t="s">
        <v>2320</v>
      </c>
    </row>
    <row r="303" spans="1:20" x14ac:dyDescent="0.25">
      <c r="A303" s="1057" t="s">
        <v>2848</v>
      </c>
      <c r="B303" s="1057" t="s">
        <v>2849</v>
      </c>
      <c r="D303" s="1057">
        <v>5</v>
      </c>
      <c r="E303" s="1057">
        <v>5</v>
      </c>
      <c r="F303" s="1071">
        <f t="shared" ref="F303:F308" si="11">F302</f>
        <v>0</v>
      </c>
      <c r="G303" s="1095">
        <f t="shared" si="8"/>
        <v>0</v>
      </c>
      <c r="H303" s="1091">
        <v>4200</v>
      </c>
      <c r="L303" s="1071">
        <f t="shared" si="10"/>
        <v>1809.6863414634147</v>
      </c>
      <c r="M303" s="1082">
        <f t="shared" si="9"/>
        <v>2352.5922439024389</v>
      </c>
      <c r="P303" s="1057" t="s">
        <v>2849</v>
      </c>
      <c r="Q303" s="1057" t="s">
        <v>2318</v>
      </c>
      <c r="R303" s="1057" t="s">
        <v>2797</v>
      </c>
      <c r="S303" s="1057" t="s">
        <v>2320</v>
      </c>
    </row>
    <row r="304" spans="1:20" x14ac:dyDescent="0.25">
      <c r="A304" s="1057" t="s">
        <v>2836</v>
      </c>
      <c r="B304" s="1057" t="s">
        <v>2837</v>
      </c>
      <c r="D304" s="1057">
        <v>11</v>
      </c>
      <c r="E304" s="1057">
        <v>5</v>
      </c>
      <c r="F304" s="1071">
        <f t="shared" si="11"/>
        <v>0</v>
      </c>
      <c r="G304" s="1095">
        <f t="shared" si="8"/>
        <v>0</v>
      </c>
      <c r="H304" s="1091">
        <v>4200</v>
      </c>
      <c r="L304" s="1071">
        <f t="shared" si="10"/>
        <v>1809.6863414634147</v>
      </c>
      <c r="M304" s="1082">
        <f t="shared" si="9"/>
        <v>2352.5922439024389</v>
      </c>
      <c r="P304" s="1057" t="s">
        <v>2837</v>
      </c>
      <c r="Q304" s="1057" t="s">
        <v>2318</v>
      </c>
      <c r="R304" s="1057" t="s">
        <v>2797</v>
      </c>
      <c r="S304" s="1057" t="s">
        <v>2320</v>
      </c>
    </row>
    <row r="305" spans="1:20" x14ac:dyDescent="0.25">
      <c r="A305" s="1057" t="s">
        <v>2834</v>
      </c>
      <c r="B305" s="1057" t="s">
        <v>2835</v>
      </c>
      <c r="D305" s="1057">
        <v>7</v>
      </c>
      <c r="E305" s="1057">
        <v>5</v>
      </c>
      <c r="F305" s="1071">
        <f t="shared" si="11"/>
        <v>0</v>
      </c>
      <c r="G305" s="1095">
        <f t="shared" si="8"/>
        <v>0</v>
      </c>
      <c r="H305" s="1091">
        <v>4200</v>
      </c>
      <c r="L305" s="1071">
        <f t="shared" si="10"/>
        <v>1809.6863414634147</v>
      </c>
      <c r="M305" s="1082">
        <f t="shared" si="9"/>
        <v>2352.5922439024389</v>
      </c>
      <c r="P305" s="1057" t="s">
        <v>2835</v>
      </c>
      <c r="Q305" s="1057" t="s">
        <v>2318</v>
      </c>
      <c r="R305" s="1057" t="s">
        <v>2797</v>
      </c>
      <c r="S305" s="1057" t="s">
        <v>2320</v>
      </c>
    </row>
    <row r="306" spans="1:20" x14ac:dyDescent="0.25">
      <c r="A306" s="1057" t="s">
        <v>2846</v>
      </c>
      <c r="B306" s="1057" t="s">
        <v>2847</v>
      </c>
      <c r="D306" s="1057">
        <v>12</v>
      </c>
      <c r="E306" s="1057">
        <v>5</v>
      </c>
      <c r="F306" s="1071">
        <f t="shared" si="11"/>
        <v>0</v>
      </c>
      <c r="G306" s="1095">
        <f t="shared" si="8"/>
        <v>0</v>
      </c>
      <c r="H306" s="1091">
        <v>4200</v>
      </c>
      <c r="L306" s="1071">
        <f t="shared" si="10"/>
        <v>1809.6863414634147</v>
      </c>
      <c r="M306" s="1082">
        <f t="shared" si="9"/>
        <v>2352.5922439024389</v>
      </c>
      <c r="P306" s="1057" t="s">
        <v>2847</v>
      </c>
      <c r="Q306" s="1057" t="s">
        <v>2318</v>
      </c>
      <c r="R306" s="1057" t="s">
        <v>2797</v>
      </c>
      <c r="S306" s="1057" t="s">
        <v>2320</v>
      </c>
    </row>
    <row r="307" spans="1:20" x14ac:dyDescent="0.25">
      <c r="A307" s="1057" t="s">
        <v>2838</v>
      </c>
      <c r="B307" s="1057" t="s">
        <v>2839</v>
      </c>
      <c r="D307" s="1057">
        <v>14</v>
      </c>
      <c r="E307" s="1057">
        <v>5</v>
      </c>
      <c r="F307" s="1071">
        <f t="shared" si="11"/>
        <v>0</v>
      </c>
      <c r="G307" s="1095">
        <f t="shared" si="8"/>
        <v>0</v>
      </c>
      <c r="H307" s="1091">
        <v>4200</v>
      </c>
      <c r="L307" s="1071">
        <f t="shared" si="10"/>
        <v>1809.6863414634147</v>
      </c>
      <c r="M307" s="1082">
        <f t="shared" si="9"/>
        <v>2352.5922439024389</v>
      </c>
      <c r="P307" s="1057" t="s">
        <v>2839</v>
      </c>
      <c r="Q307" s="1057" t="s">
        <v>2318</v>
      </c>
      <c r="R307" s="1057" t="s">
        <v>2797</v>
      </c>
      <c r="S307" s="1057" t="s">
        <v>2320</v>
      </c>
    </row>
    <row r="308" spans="1:20" x14ac:dyDescent="0.25">
      <c r="A308" s="1057" t="s">
        <v>2824</v>
      </c>
      <c r="B308" s="1057" t="s">
        <v>2825</v>
      </c>
      <c r="D308" s="1057">
        <v>16</v>
      </c>
      <c r="E308" s="1057">
        <v>5</v>
      </c>
      <c r="F308" s="1071">
        <f t="shared" si="11"/>
        <v>0</v>
      </c>
      <c r="G308" s="1095">
        <f t="shared" si="8"/>
        <v>0</v>
      </c>
      <c r="H308" s="1091">
        <v>4200</v>
      </c>
      <c r="L308" s="1071">
        <f t="shared" si="10"/>
        <v>1809.6863414634147</v>
      </c>
      <c r="M308" s="1082">
        <f t="shared" si="9"/>
        <v>2352.5922439024389</v>
      </c>
      <c r="P308" s="1057" t="s">
        <v>2825</v>
      </c>
      <c r="Q308" s="1057" t="s">
        <v>2318</v>
      </c>
      <c r="R308" s="1057" t="s">
        <v>2797</v>
      </c>
      <c r="S308" s="1057" t="s">
        <v>2320</v>
      </c>
    </row>
    <row r="309" spans="1:20" x14ac:dyDescent="0.25">
      <c r="A309" s="1057" t="s">
        <v>2820</v>
      </c>
      <c r="B309" s="1057" t="s">
        <v>2821</v>
      </c>
      <c r="D309" s="1057">
        <v>9</v>
      </c>
      <c r="E309" s="1057">
        <v>5</v>
      </c>
      <c r="F309" s="1071">
        <f>PULSERAS!H78</f>
        <v>0</v>
      </c>
      <c r="G309" s="1095">
        <f t="shared" si="8"/>
        <v>0</v>
      </c>
      <c r="H309" s="1091">
        <v>4200</v>
      </c>
      <c r="L309" s="1071">
        <f>PULSERAS!F76</f>
        <v>2334.3742476190478</v>
      </c>
      <c r="M309" s="1082">
        <f t="shared" si="9"/>
        <v>3034.6865219047622</v>
      </c>
      <c r="P309" s="1057" t="s">
        <v>2821</v>
      </c>
      <c r="Q309" s="1057" t="s">
        <v>2318</v>
      </c>
      <c r="R309" s="1057" t="s">
        <v>2797</v>
      </c>
      <c r="S309" s="1057" t="s">
        <v>2320</v>
      </c>
    </row>
    <row r="310" spans="1:20" x14ac:dyDescent="0.25">
      <c r="A310" s="1057" t="s">
        <v>2840</v>
      </c>
      <c r="B310" s="1057" t="s">
        <v>2841</v>
      </c>
      <c r="D310" s="1057">
        <v>8</v>
      </c>
      <c r="E310" s="1057">
        <v>5</v>
      </c>
      <c r="F310" s="1071">
        <f t="shared" ref="F310:F316" si="12">F309</f>
        <v>0</v>
      </c>
      <c r="G310" s="1095">
        <f t="shared" si="8"/>
        <v>0</v>
      </c>
      <c r="H310" s="1091">
        <v>4200</v>
      </c>
      <c r="L310" s="1071">
        <f t="shared" ref="L310:L316" si="13">L309</f>
        <v>2334.3742476190478</v>
      </c>
      <c r="M310" s="1082">
        <f t="shared" si="9"/>
        <v>3034.6865219047622</v>
      </c>
      <c r="P310" s="1057" t="s">
        <v>2841</v>
      </c>
      <c r="Q310" s="1057" t="s">
        <v>2318</v>
      </c>
      <c r="R310" s="1057" t="s">
        <v>2797</v>
      </c>
      <c r="S310" s="1057" t="s">
        <v>2320</v>
      </c>
    </row>
    <row r="311" spans="1:20" x14ac:dyDescent="0.25">
      <c r="A311" s="1057" t="s">
        <v>2844</v>
      </c>
      <c r="B311" s="1057" t="s">
        <v>2845</v>
      </c>
      <c r="D311" s="1057">
        <v>17</v>
      </c>
      <c r="E311" s="1057">
        <v>5</v>
      </c>
      <c r="F311" s="1071">
        <f t="shared" si="12"/>
        <v>0</v>
      </c>
      <c r="G311" s="1095">
        <f t="shared" si="8"/>
        <v>0</v>
      </c>
      <c r="H311" s="1091">
        <v>4200</v>
      </c>
      <c r="L311" s="1071">
        <f t="shared" si="13"/>
        <v>2334.3742476190478</v>
      </c>
      <c r="M311" s="1082">
        <f t="shared" si="9"/>
        <v>3034.6865219047622</v>
      </c>
      <c r="P311" s="1057" t="s">
        <v>2845</v>
      </c>
      <c r="Q311" s="1057" t="s">
        <v>2318</v>
      </c>
      <c r="R311" s="1057" t="s">
        <v>2797</v>
      </c>
      <c r="S311" s="1057" t="s">
        <v>2320</v>
      </c>
    </row>
    <row r="312" spans="1:20" x14ac:dyDescent="0.25">
      <c r="A312" s="1057" t="s">
        <v>2826</v>
      </c>
      <c r="B312" s="1057" t="s">
        <v>2827</v>
      </c>
      <c r="D312" s="1057">
        <v>11</v>
      </c>
      <c r="E312" s="1057">
        <v>5</v>
      </c>
      <c r="F312" s="1071">
        <f t="shared" si="12"/>
        <v>0</v>
      </c>
      <c r="G312" s="1095">
        <f t="shared" si="8"/>
        <v>0</v>
      </c>
      <c r="H312" s="1091">
        <v>4200</v>
      </c>
      <c r="L312" s="1071">
        <f t="shared" si="13"/>
        <v>2334.3742476190478</v>
      </c>
      <c r="M312" s="1082">
        <f t="shared" si="9"/>
        <v>3034.6865219047622</v>
      </c>
      <c r="P312" s="1057" t="s">
        <v>2827</v>
      </c>
      <c r="Q312" s="1057" t="s">
        <v>2318</v>
      </c>
      <c r="R312" s="1057" t="s">
        <v>2797</v>
      </c>
      <c r="S312" s="1057" t="s">
        <v>2320</v>
      </c>
    </row>
    <row r="313" spans="1:20" x14ac:dyDescent="0.25">
      <c r="A313" s="1057" t="s">
        <v>2822</v>
      </c>
      <c r="B313" s="1057" t="s">
        <v>2823</v>
      </c>
      <c r="D313" s="1057">
        <v>14</v>
      </c>
      <c r="E313" s="1057">
        <v>5</v>
      </c>
      <c r="F313" s="1071">
        <f t="shared" si="12"/>
        <v>0</v>
      </c>
      <c r="G313" s="1095">
        <f t="shared" si="8"/>
        <v>0</v>
      </c>
      <c r="H313" s="1091">
        <v>4200</v>
      </c>
      <c r="L313" s="1071">
        <f t="shared" si="13"/>
        <v>2334.3742476190478</v>
      </c>
      <c r="M313" s="1082">
        <f t="shared" si="9"/>
        <v>3034.6865219047622</v>
      </c>
      <c r="P313" s="1057" t="s">
        <v>2823</v>
      </c>
      <c r="Q313" s="1057" t="s">
        <v>2318</v>
      </c>
      <c r="R313" s="1057" t="s">
        <v>2797</v>
      </c>
      <c r="S313" s="1057" t="s">
        <v>2320</v>
      </c>
    </row>
    <row r="314" spans="1:20" x14ac:dyDescent="0.25">
      <c r="A314" s="1057" t="s">
        <v>2828</v>
      </c>
      <c r="B314" s="1057" t="s">
        <v>2829</v>
      </c>
      <c r="D314" s="1057">
        <v>7</v>
      </c>
      <c r="E314" s="1057">
        <v>5</v>
      </c>
      <c r="F314" s="1071">
        <f t="shared" si="12"/>
        <v>0</v>
      </c>
      <c r="G314" s="1095">
        <f t="shared" si="8"/>
        <v>0</v>
      </c>
      <c r="H314" s="1091">
        <v>4200</v>
      </c>
      <c r="L314" s="1071">
        <f t="shared" si="13"/>
        <v>2334.3742476190478</v>
      </c>
      <c r="M314" s="1082">
        <f t="shared" si="9"/>
        <v>3034.6865219047622</v>
      </c>
      <c r="P314" s="1057" t="s">
        <v>2829</v>
      </c>
      <c r="Q314" s="1057" t="s">
        <v>2318</v>
      </c>
      <c r="R314" s="1057" t="s">
        <v>2797</v>
      </c>
      <c r="S314" s="1057" t="s">
        <v>2320</v>
      </c>
    </row>
    <row r="315" spans="1:20" x14ac:dyDescent="0.25">
      <c r="A315" s="1057" t="s">
        <v>2830</v>
      </c>
      <c r="B315" s="1057" t="s">
        <v>2831</v>
      </c>
      <c r="D315" s="1057">
        <v>8</v>
      </c>
      <c r="E315" s="1057">
        <v>5</v>
      </c>
      <c r="F315" s="1071">
        <f t="shared" si="12"/>
        <v>0</v>
      </c>
      <c r="G315" s="1095">
        <f t="shared" si="8"/>
        <v>0</v>
      </c>
      <c r="H315" s="1091">
        <v>4200</v>
      </c>
      <c r="L315" s="1071">
        <f t="shared" si="13"/>
        <v>2334.3742476190478</v>
      </c>
      <c r="M315" s="1082">
        <f t="shared" si="9"/>
        <v>3034.6865219047622</v>
      </c>
      <c r="P315" s="1057" t="s">
        <v>2831</v>
      </c>
      <c r="Q315" s="1057" t="s">
        <v>2318</v>
      </c>
      <c r="R315" s="1057" t="s">
        <v>2797</v>
      </c>
      <c r="S315" s="1057" t="s">
        <v>2320</v>
      </c>
    </row>
    <row r="316" spans="1:20" x14ac:dyDescent="0.25">
      <c r="A316" s="1057" t="s">
        <v>2832</v>
      </c>
      <c r="B316" s="1057" t="s">
        <v>2833</v>
      </c>
      <c r="D316" s="1057">
        <v>9</v>
      </c>
      <c r="E316" s="1057">
        <v>5</v>
      </c>
      <c r="F316" s="1071">
        <f t="shared" si="12"/>
        <v>0</v>
      </c>
      <c r="G316" s="1095">
        <f t="shared" si="8"/>
        <v>0</v>
      </c>
      <c r="H316" s="1091">
        <v>4200</v>
      </c>
      <c r="L316" s="1071">
        <f t="shared" si="13"/>
        <v>2334.3742476190478</v>
      </c>
      <c r="M316" s="1082">
        <f t="shared" si="9"/>
        <v>3034.6865219047622</v>
      </c>
      <c r="P316" s="1057" t="s">
        <v>2833</v>
      </c>
      <c r="Q316" s="1057" t="s">
        <v>2318</v>
      </c>
      <c r="R316" s="1057" t="s">
        <v>2797</v>
      </c>
      <c r="S316" s="1057" t="s">
        <v>2320</v>
      </c>
    </row>
    <row r="317" spans="1:20" x14ac:dyDescent="0.25">
      <c r="A317" s="1057" t="s">
        <v>2816</v>
      </c>
      <c r="B317" s="1057" t="s">
        <v>2817</v>
      </c>
      <c r="D317" s="1057">
        <v>26</v>
      </c>
      <c r="E317" s="1057">
        <v>5</v>
      </c>
      <c r="F317" s="1071">
        <f>PULSERAS!G187</f>
        <v>5800</v>
      </c>
      <c r="G317" s="1095">
        <f t="shared" si="8"/>
        <v>7540</v>
      </c>
      <c r="H317" s="1091">
        <v>4200</v>
      </c>
      <c r="L317" s="1071">
        <f>+PULSERAS!E185</f>
        <v>1556.431</v>
      </c>
      <c r="M317" s="1082">
        <f t="shared" si="9"/>
        <v>2023.3603000000001</v>
      </c>
      <c r="P317" s="1057" t="s">
        <v>2817</v>
      </c>
      <c r="Q317" s="1057" t="s">
        <v>2318</v>
      </c>
      <c r="R317" s="1057" t="s">
        <v>2797</v>
      </c>
      <c r="S317" s="1057" t="s">
        <v>2320</v>
      </c>
    </row>
    <row r="318" spans="1:20" x14ac:dyDescent="0.25">
      <c r="A318" s="1057" t="s">
        <v>3073</v>
      </c>
      <c r="B318" s="1057" t="s">
        <v>3074</v>
      </c>
      <c r="C318" s="1057"/>
      <c r="D318" s="1057">
        <v>11</v>
      </c>
      <c r="E318" s="1057">
        <v>5</v>
      </c>
      <c r="F318" s="1071">
        <f>PULSERAS!H352</f>
        <v>16000</v>
      </c>
      <c r="G318" s="1095">
        <f t="shared" si="8"/>
        <v>20800</v>
      </c>
      <c r="H318" s="1091">
        <v>9400</v>
      </c>
      <c r="I318" s="1057"/>
      <c r="J318" s="1057"/>
      <c r="K318" s="1057"/>
      <c r="L318" s="1071">
        <f>PULSERAS!F350</f>
        <v>3320.2694117647056</v>
      </c>
      <c r="M318" s="1082">
        <f t="shared" si="9"/>
        <v>4316.3502352941177</v>
      </c>
      <c r="N318" s="1057"/>
      <c r="O318" s="1057"/>
      <c r="P318" s="1057" t="s">
        <v>3074</v>
      </c>
      <c r="Q318" s="1057" t="s">
        <v>2318</v>
      </c>
      <c r="R318" s="1057" t="s">
        <v>2797</v>
      </c>
      <c r="S318" s="1057" t="s">
        <v>2320</v>
      </c>
      <c r="T318" s="1057"/>
    </row>
    <row r="319" spans="1:20" x14ac:dyDescent="0.25">
      <c r="A319" s="1057" t="s">
        <v>2858</v>
      </c>
      <c r="B319" s="1057" t="s">
        <v>2859</v>
      </c>
      <c r="D319" s="1057">
        <v>17</v>
      </c>
      <c r="E319" s="1057">
        <v>5</v>
      </c>
      <c r="F319" s="1071">
        <f>PULSERAS!H33</f>
        <v>10000</v>
      </c>
      <c r="G319" s="1095">
        <f t="shared" si="8"/>
        <v>13000</v>
      </c>
      <c r="H319" s="1091">
        <v>3200</v>
      </c>
      <c r="L319" s="1071">
        <f>+L318</f>
        <v>3320.2694117647056</v>
      </c>
      <c r="M319" s="1082">
        <f t="shared" si="9"/>
        <v>4316.3502352941177</v>
      </c>
      <c r="P319" s="1057" t="s">
        <v>2859</v>
      </c>
      <c r="Q319" s="1057" t="s">
        <v>2318</v>
      </c>
      <c r="R319" s="1057" t="s">
        <v>2797</v>
      </c>
      <c r="S319" s="1057" t="s">
        <v>2320</v>
      </c>
    </row>
    <row r="320" spans="1:20" x14ac:dyDescent="0.25">
      <c r="A320" s="1057" t="s">
        <v>2856</v>
      </c>
      <c r="B320" s="1057" t="s">
        <v>2857</v>
      </c>
      <c r="D320" s="1057">
        <v>21</v>
      </c>
      <c r="E320" s="1057">
        <v>5</v>
      </c>
      <c r="F320" s="1071">
        <f>PULSERAS!H33</f>
        <v>10000</v>
      </c>
      <c r="G320" s="1095">
        <f t="shared" si="8"/>
        <v>13000</v>
      </c>
      <c r="H320" s="1091">
        <v>3200</v>
      </c>
      <c r="L320" s="1071">
        <f>+PULSERAS!E32</f>
        <v>1496.308</v>
      </c>
      <c r="M320" s="1082">
        <f t="shared" si="9"/>
        <v>1945.2003999999999</v>
      </c>
      <c r="P320" s="1057" t="s">
        <v>2857</v>
      </c>
      <c r="Q320" s="1057" t="s">
        <v>2318</v>
      </c>
      <c r="R320" s="1057" t="s">
        <v>2797</v>
      </c>
      <c r="S320" s="1057" t="s">
        <v>2320</v>
      </c>
    </row>
    <row r="321" spans="1:19" x14ac:dyDescent="0.25">
      <c r="A321" s="1057" t="s">
        <v>2860</v>
      </c>
      <c r="B321" s="1057" t="s">
        <v>2861</v>
      </c>
      <c r="D321" s="1057">
        <v>22</v>
      </c>
      <c r="E321" s="1057">
        <v>5</v>
      </c>
      <c r="F321" s="1071">
        <f>PULSERAS!H65</f>
        <v>0</v>
      </c>
      <c r="G321" s="1095">
        <f t="shared" si="8"/>
        <v>0</v>
      </c>
      <c r="H321" s="1091">
        <v>4800</v>
      </c>
      <c r="L321" s="1071">
        <f>+PULSERAS!F63</f>
        <v>2257.3745091575092</v>
      </c>
      <c r="M321" s="1082">
        <f t="shared" si="9"/>
        <v>2934.5868619047619</v>
      </c>
      <c r="P321" s="1057" t="s">
        <v>2861</v>
      </c>
      <c r="Q321" s="1057" t="s">
        <v>2318</v>
      </c>
      <c r="R321" s="1057" t="s">
        <v>2797</v>
      </c>
      <c r="S321" s="1057" t="s">
        <v>2320</v>
      </c>
    </row>
    <row r="322" spans="1:19" x14ac:dyDescent="0.25">
      <c r="A322" s="1057" t="s">
        <v>2862</v>
      </c>
      <c r="B322" s="1057" t="s">
        <v>2863</v>
      </c>
      <c r="D322" s="1057">
        <v>10</v>
      </c>
      <c r="E322" s="1057">
        <v>5</v>
      </c>
      <c r="F322" s="1071">
        <f>PULSERAS!G267</f>
        <v>17000</v>
      </c>
      <c r="G322" s="1095">
        <f t="shared" ref="G322:G360" si="14">F322+F322*30%</f>
        <v>22100</v>
      </c>
      <c r="H322" s="1091">
        <v>11200</v>
      </c>
      <c r="L322" s="1071">
        <f>+PULSERAS!E266</f>
        <v>3859.6666666666665</v>
      </c>
      <c r="M322" s="1082">
        <f t="shared" ref="M322:M360" si="15">L322+L322*30%</f>
        <v>5017.5666666666666</v>
      </c>
      <c r="P322" s="1057" t="s">
        <v>2863</v>
      </c>
      <c r="Q322" s="1057" t="s">
        <v>2318</v>
      </c>
      <c r="R322" s="1057" t="s">
        <v>2797</v>
      </c>
      <c r="S322" s="1057" t="s">
        <v>2320</v>
      </c>
    </row>
    <row r="323" spans="1:19" x14ac:dyDescent="0.25">
      <c r="A323" s="1057" t="s">
        <v>2864</v>
      </c>
      <c r="B323" s="1057" t="s">
        <v>2865</v>
      </c>
      <c r="D323" s="1057">
        <v>5</v>
      </c>
      <c r="E323" s="1057">
        <v>5</v>
      </c>
      <c r="F323" s="1071">
        <f>+PULSERAS!G332</f>
        <v>11000</v>
      </c>
      <c r="G323" s="1095">
        <f t="shared" si="14"/>
        <v>14300</v>
      </c>
      <c r="H323" s="1091">
        <v>9400</v>
      </c>
      <c r="L323" s="1071">
        <f>+PULSERAS!E331</f>
        <v>4896.666666666667</v>
      </c>
      <c r="M323" s="1082">
        <f t="shared" si="15"/>
        <v>6365.666666666667</v>
      </c>
      <c r="P323" s="1057" t="s">
        <v>2865</v>
      </c>
      <c r="Q323" s="1057" t="s">
        <v>2318</v>
      </c>
      <c r="R323" s="1057" t="s">
        <v>2797</v>
      </c>
      <c r="S323" s="1057" t="s">
        <v>2320</v>
      </c>
    </row>
    <row r="324" spans="1:19" x14ac:dyDescent="0.25">
      <c r="A324" s="1057" t="s">
        <v>2874</v>
      </c>
      <c r="B324" s="1057" t="s">
        <v>2875</v>
      </c>
      <c r="D324" s="1057">
        <v>16</v>
      </c>
      <c r="E324" s="1057">
        <v>5</v>
      </c>
      <c r="F324" s="1071">
        <f>+PULSERAS!H247</f>
        <v>11000</v>
      </c>
      <c r="G324" s="1095">
        <f t="shared" si="14"/>
        <v>14300</v>
      </c>
      <c r="H324" s="1091">
        <v>7600</v>
      </c>
      <c r="L324" s="1071">
        <f>+PULSERAS!F246</f>
        <v>3559.7730476190477</v>
      </c>
      <c r="M324" s="1082">
        <f t="shared" si="15"/>
        <v>4627.7049619047621</v>
      </c>
      <c r="P324" s="1057" t="s">
        <v>2875</v>
      </c>
      <c r="Q324" s="1057" t="s">
        <v>2318</v>
      </c>
      <c r="R324" s="1057" t="s">
        <v>2797</v>
      </c>
      <c r="S324" s="1057" t="s">
        <v>2320</v>
      </c>
    </row>
    <row r="325" spans="1:19" x14ac:dyDescent="0.25">
      <c r="A325" s="1057" t="s">
        <v>2876</v>
      </c>
      <c r="B325" s="1057" t="s">
        <v>2877</v>
      </c>
      <c r="D325" s="1057">
        <v>8</v>
      </c>
      <c r="E325" s="1057">
        <v>5</v>
      </c>
      <c r="F325" s="1071">
        <f>+F324</f>
        <v>11000</v>
      </c>
      <c r="G325" s="1095">
        <f t="shared" si="14"/>
        <v>14300</v>
      </c>
      <c r="H325" s="1091">
        <v>7600</v>
      </c>
      <c r="L325" s="1071">
        <f>+L324</f>
        <v>3559.7730476190477</v>
      </c>
      <c r="M325" s="1082">
        <f t="shared" si="15"/>
        <v>4627.7049619047621</v>
      </c>
      <c r="P325" s="1057" t="s">
        <v>2877</v>
      </c>
      <c r="Q325" s="1057" t="s">
        <v>2318</v>
      </c>
      <c r="R325" s="1057" t="s">
        <v>2797</v>
      </c>
      <c r="S325" s="1057" t="s">
        <v>2320</v>
      </c>
    </row>
    <row r="326" spans="1:19" x14ac:dyDescent="0.25">
      <c r="A326" s="1057" t="s">
        <v>2878</v>
      </c>
      <c r="B326" s="1057" t="s">
        <v>2879</v>
      </c>
      <c r="D326" s="1057">
        <v>11</v>
      </c>
      <c r="E326" s="1057">
        <v>5</v>
      </c>
      <c r="F326" s="1071">
        <f>+F325</f>
        <v>11000</v>
      </c>
      <c r="G326" s="1095">
        <f t="shared" si="14"/>
        <v>14300</v>
      </c>
      <c r="H326" s="1091">
        <v>7600</v>
      </c>
      <c r="L326" s="1071">
        <f>+L324</f>
        <v>3559.7730476190477</v>
      </c>
      <c r="M326" s="1082">
        <f t="shared" si="15"/>
        <v>4627.7049619047621</v>
      </c>
      <c r="P326" s="1057" t="s">
        <v>2879</v>
      </c>
      <c r="Q326" s="1057" t="s">
        <v>2318</v>
      </c>
      <c r="R326" s="1057" t="s">
        <v>2797</v>
      </c>
      <c r="S326" s="1057" t="s">
        <v>2320</v>
      </c>
    </row>
    <row r="327" spans="1:19" x14ac:dyDescent="0.25">
      <c r="A327" s="1057" t="s">
        <v>2880</v>
      </c>
      <c r="B327" s="1057" t="s">
        <v>2881</v>
      </c>
      <c r="D327" s="1057">
        <v>8</v>
      </c>
      <c r="E327" s="1057">
        <v>5</v>
      </c>
      <c r="F327" s="1071">
        <f>+F326</f>
        <v>11000</v>
      </c>
      <c r="G327" s="1095">
        <f t="shared" si="14"/>
        <v>14300</v>
      </c>
      <c r="H327" s="1091">
        <v>7600</v>
      </c>
      <c r="L327" s="1071">
        <f>+L324</f>
        <v>3559.7730476190477</v>
      </c>
      <c r="M327" s="1082">
        <f t="shared" si="15"/>
        <v>4627.7049619047621</v>
      </c>
      <c r="P327" s="1057" t="s">
        <v>2881</v>
      </c>
      <c r="Q327" s="1057" t="s">
        <v>2318</v>
      </c>
      <c r="R327" s="1057" t="s">
        <v>2797</v>
      </c>
      <c r="S327" s="1057" t="s">
        <v>2320</v>
      </c>
    </row>
    <row r="328" spans="1:19" x14ac:dyDescent="0.25">
      <c r="A328" s="1057" t="s">
        <v>2884</v>
      </c>
      <c r="B328" s="1057" t="s">
        <v>2885</v>
      </c>
      <c r="D328" s="1057">
        <v>0</v>
      </c>
      <c r="E328" s="1057">
        <v>5</v>
      </c>
      <c r="F328" s="1071">
        <f>+PULSERAS!H322</f>
        <v>6400</v>
      </c>
      <c r="G328" s="1095">
        <f t="shared" si="14"/>
        <v>8320</v>
      </c>
      <c r="H328" s="1091">
        <v>6200</v>
      </c>
      <c r="L328" s="1071">
        <f>+PULSERAS!F320</f>
        <v>2791.6368253968258</v>
      </c>
      <c r="M328" s="1082">
        <f t="shared" si="15"/>
        <v>3629.1278730158733</v>
      </c>
      <c r="P328" s="1057" t="s">
        <v>2885</v>
      </c>
      <c r="Q328" s="1057" t="s">
        <v>2318</v>
      </c>
      <c r="R328" s="1057" t="s">
        <v>2797</v>
      </c>
      <c r="S328" s="1057" t="s">
        <v>2320</v>
      </c>
    </row>
    <row r="329" spans="1:19" x14ac:dyDescent="0.25">
      <c r="A329" s="1057" t="s">
        <v>2882</v>
      </c>
      <c r="B329" s="1057" t="s">
        <v>2883</v>
      </c>
      <c r="D329" s="1057">
        <v>17</v>
      </c>
      <c r="E329" s="1057">
        <v>5</v>
      </c>
      <c r="F329" s="1071">
        <f>+PULSERAS!H297</f>
        <v>6200</v>
      </c>
      <c r="G329" s="1095">
        <f t="shared" si="14"/>
        <v>8060</v>
      </c>
      <c r="H329" s="1091">
        <v>4200</v>
      </c>
      <c r="L329" s="1071">
        <f>+PULSERAS!F295</f>
        <v>2001.4397142857142</v>
      </c>
      <c r="M329" s="1082">
        <f t="shared" si="15"/>
        <v>2601.8716285714286</v>
      </c>
      <c r="P329" s="1057" t="s">
        <v>2883</v>
      </c>
      <c r="Q329" s="1057" t="s">
        <v>2318</v>
      </c>
      <c r="R329" s="1057" t="s">
        <v>2797</v>
      </c>
      <c r="S329" s="1057" t="s">
        <v>2320</v>
      </c>
    </row>
    <row r="330" spans="1:19" x14ac:dyDescent="0.25">
      <c r="A330" s="1057" t="s">
        <v>2886</v>
      </c>
      <c r="B330" s="1057" t="s">
        <v>2887</v>
      </c>
      <c r="D330" s="1057">
        <v>24</v>
      </c>
      <c r="E330" s="1057">
        <v>5</v>
      </c>
      <c r="F330" s="1071">
        <f>+PULSERAS!G201</f>
        <v>5800</v>
      </c>
      <c r="G330" s="1095">
        <f t="shared" si="14"/>
        <v>7540</v>
      </c>
      <c r="H330" s="1091">
        <v>4200</v>
      </c>
      <c r="L330" s="1071">
        <f>+PULSERAS!E199</f>
        <v>1930.7167142857143</v>
      </c>
      <c r="M330" s="1082">
        <f t="shared" si="15"/>
        <v>2509.9317285714287</v>
      </c>
      <c r="P330" s="1057" t="s">
        <v>2887</v>
      </c>
      <c r="Q330" s="1057" t="s">
        <v>2318</v>
      </c>
      <c r="R330" s="1057" t="s">
        <v>2797</v>
      </c>
      <c r="S330" s="1057" t="s">
        <v>2320</v>
      </c>
    </row>
    <row r="331" spans="1:19" x14ac:dyDescent="0.25">
      <c r="A331" s="1057" t="s">
        <v>2890</v>
      </c>
      <c r="B331" s="1057" t="s">
        <v>2891</v>
      </c>
      <c r="D331" s="1057">
        <v>8</v>
      </c>
      <c r="E331" s="1057">
        <v>5</v>
      </c>
      <c r="F331" s="1071">
        <f>+PULSERAS!I223</f>
        <v>0</v>
      </c>
      <c r="G331" s="1095">
        <f t="shared" si="14"/>
        <v>0</v>
      </c>
      <c r="H331" s="1091">
        <v>16000</v>
      </c>
      <c r="L331" s="1071">
        <f>PULSERAS!F221</f>
        <v>21388.552380952377</v>
      </c>
      <c r="M331" s="1082">
        <f t="shared" si="15"/>
        <v>27805.118095238089</v>
      </c>
      <c r="P331" s="1057" t="s">
        <v>2891</v>
      </c>
      <c r="Q331" s="1057" t="s">
        <v>2318</v>
      </c>
      <c r="R331" s="1057" t="s">
        <v>2797</v>
      </c>
      <c r="S331" s="1057" t="s">
        <v>2320</v>
      </c>
    </row>
    <row r="332" spans="1:19" x14ac:dyDescent="0.25">
      <c r="A332" s="1057" t="s">
        <v>3079</v>
      </c>
      <c r="B332" s="1057" t="s">
        <v>2908</v>
      </c>
      <c r="D332" s="1057">
        <v>8</v>
      </c>
      <c r="E332" s="1057">
        <v>5</v>
      </c>
      <c r="F332" s="1071">
        <f>PULSERAS!G21</f>
        <v>7000</v>
      </c>
      <c r="G332" s="1095">
        <f t="shared" si="14"/>
        <v>9100</v>
      </c>
      <c r="H332" s="1091">
        <v>2400</v>
      </c>
      <c r="L332" s="1071">
        <f>+L331</f>
        <v>21388.552380952377</v>
      </c>
      <c r="M332" s="1082">
        <f t="shared" si="15"/>
        <v>27805.118095238089</v>
      </c>
      <c r="P332" s="1057" t="s">
        <v>2908</v>
      </c>
      <c r="Q332" s="1057" t="s">
        <v>2318</v>
      </c>
      <c r="R332" s="1057" t="s">
        <v>2797</v>
      </c>
      <c r="S332" s="1057" t="s">
        <v>2320</v>
      </c>
    </row>
    <row r="333" spans="1:19" x14ac:dyDescent="0.25">
      <c r="A333" s="1057" t="s">
        <v>2898</v>
      </c>
      <c r="B333" s="1057" t="s">
        <v>2899</v>
      </c>
      <c r="D333" s="1057">
        <v>60</v>
      </c>
      <c r="E333" s="1057">
        <v>5</v>
      </c>
      <c r="F333" s="1071">
        <f>+PULSERAS!G21</f>
        <v>7000</v>
      </c>
      <c r="G333" s="1095">
        <f t="shared" si="14"/>
        <v>9100</v>
      </c>
      <c r="H333" s="1091">
        <v>2400</v>
      </c>
      <c r="L333" s="1071">
        <f>+PULSERAS!E19</f>
        <v>1119.7811515151516</v>
      </c>
      <c r="M333" s="1082">
        <f t="shared" si="15"/>
        <v>1455.7154969696971</v>
      </c>
      <c r="P333" s="1057" t="s">
        <v>2899</v>
      </c>
      <c r="Q333" s="1057" t="s">
        <v>2318</v>
      </c>
      <c r="R333" s="1057" t="s">
        <v>2797</v>
      </c>
      <c r="S333" s="1057" t="s">
        <v>2320</v>
      </c>
    </row>
    <row r="334" spans="1:19" x14ac:dyDescent="0.25">
      <c r="A334" s="1057" t="s">
        <v>2904</v>
      </c>
      <c r="B334" s="1057" t="s">
        <v>2905</v>
      </c>
      <c r="D334" s="1057">
        <v>49</v>
      </c>
      <c r="E334" s="1057">
        <v>5</v>
      </c>
      <c r="F334" s="1071">
        <f t="shared" ref="F334:F340" si="16">+F333</f>
        <v>7000</v>
      </c>
      <c r="G334" s="1095">
        <f t="shared" si="14"/>
        <v>9100</v>
      </c>
      <c r="H334" s="1091">
        <v>2400</v>
      </c>
      <c r="L334" s="1071">
        <f t="shared" ref="L334:L340" si="17">+L333</f>
        <v>1119.7811515151516</v>
      </c>
      <c r="M334" s="1082">
        <f t="shared" si="15"/>
        <v>1455.7154969696971</v>
      </c>
      <c r="P334" s="1057" t="s">
        <v>2905</v>
      </c>
      <c r="Q334" s="1057" t="s">
        <v>2318</v>
      </c>
      <c r="R334" s="1057" t="s">
        <v>2797</v>
      </c>
      <c r="S334" s="1057" t="s">
        <v>2320</v>
      </c>
    </row>
    <row r="335" spans="1:19" x14ac:dyDescent="0.25">
      <c r="A335" s="1057" t="s">
        <v>2900</v>
      </c>
      <c r="B335" s="1057" t="s">
        <v>2901</v>
      </c>
      <c r="D335" s="1057">
        <v>33</v>
      </c>
      <c r="E335" s="1057">
        <v>5</v>
      </c>
      <c r="F335" s="1071">
        <f t="shared" si="16"/>
        <v>7000</v>
      </c>
      <c r="G335" s="1095">
        <f t="shared" si="14"/>
        <v>9100</v>
      </c>
      <c r="H335" s="1091">
        <v>2400</v>
      </c>
      <c r="L335" s="1071">
        <f t="shared" si="17"/>
        <v>1119.7811515151516</v>
      </c>
      <c r="M335" s="1082">
        <f t="shared" si="15"/>
        <v>1455.7154969696971</v>
      </c>
      <c r="P335" s="1057" t="s">
        <v>2901</v>
      </c>
      <c r="Q335" s="1057" t="s">
        <v>2318</v>
      </c>
      <c r="R335" s="1057" t="s">
        <v>2797</v>
      </c>
      <c r="S335" s="1057" t="s">
        <v>2320</v>
      </c>
    </row>
    <row r="336" spans="1:19" x14ac:dyDescent="0.25">
      <c r="A336" s="1057" t="s">
        <v>3080</v>
      </c>
      <c r="B336" s="1057" t="s">
        <v>2912</v>
      </c>
      <c r="D336" s="1057">
        <v>3</v>
      </c>
      <c r="E336" s="1057">
        <v>5</v>
      </c>
      <c r="F336" s="1071">
        <f t="shared" si="16"/>
        <v>7000</v>
      </c>
      <c r="G336" s="1095">
        <f t="shared" si="14"/>
        <v>9100</v>
      </c>
      <c r="H336" s="1091">
        <v>2400</v>
      </c>
      <c r="L336" s="1071">
        <f t="shared" si="17"/>
        <v>1119.7811515151516</v>
      </c>
      <c r="M336" s="1082">
        <f t="shared" si="15"/>
        <v>1455.7154969696971</v>
      </c>
      <c r="P336" s="1057" t="s">
        <v>2912</v>
      </c>
      <c r="Q336" s="1057" t="s">
        <v>2318</v>
      </c>
      <c r="R336" s="1057" t="s">
        <v>2797</v>
      </c>
      <c r="S336" s="1057" t="s">
        <v>2320</v>
      </c>
    </row>
    <row r="337" spans="1:20" x14ac:dyDescent="0.25">
      <c r="A337" s="1057" t="s">
        <v>2902</v>
      </c>
      <c r="B337" s="1057" t="s">
        <v>2903</v>
      </c>
      <c r="D337" s="1057">
        <v>10</v>
      </c>
      <c r="E337" s="1057">
        <v>5</v>
      </c>
      <c r="F337" s="1071">
        <f t="shared" si="16"/>
        <v>7000</v>
      </c>
      <c r="G337" s="1095">
        <f t="shared" si="14"/>
        <v>9100</v>
      </c>
      <c r="H337" s="1091">
        <v>2400</v>
      </c>
      <c r="L337" s="1071">
        <f t="shared" si="17"/>
        <v>1119.7811515151516</v>
      </c>
      <c r="M337" s="1082">
        <f t="shared" si="15"/>
        <v>1455.7154969696971</v>
      </c>
      <c r="P337" s="1057" t="s">
        <v>2903</v>
      </c>
      <c r="Q337" s="1057" t="s">
        <v>2318</v>
      </c>
      <c r="R337" s="1057" t="s">
        <v>2797</v>
      </c>
      <c r="S337" s="1057" t="s">
        <v>2320</v>
      </c>
    </row>
    <row r="338" spans="1:20" x14ac:dyDescent="0.25">
      <c r="A338" s="1057" t="s">
        <v>3081</v>
      </c>
      <c r="B338" s="1057" t="s">
        <v>2911</v>
      </c>
      <c r="D338" s="1057">
        <v>0</v>
      </c>
      <c r="E338" s="1057">
        <v>5</v>
      </c>
      <c r="F338" s="1071">
        <f t="shared" si="16"/>
        <v>7000</v>
      </c>
      <c r="G338" s="1095">
        <f t="shared" si="14"/>
        <v>9100</v>
      </c>
      <c r="H338" s="1091">
        <v>2400</v>
      </c>
      <c r="L338" s="1071">
        <f t="shared" si="17"/>
        <v>1119.7811515151516</v>
      </c>
      <c r="M338" s="1082">
        <f t="shared" si="15"/>
        <v>1455.7154969696971</v>
      </c>
      <c r="P338" s="1057" t="s">
        <v>2911</v>
      </c>
      <c r="Q338" s="1057" t="s">
        <v>2318</v>
      </c>
      <c r="R338" s="1057" t="s">
        <v>2797</v>
      </c>
      <c r="S338" s="1057" t="s">
        <v>2320</v>
      </c>
    </row>
    <row r="339" spans="1:20" x14ac:dyDescent="0.25">
      <c r="A339" s="1057" t="s">
        <v>2909</v>
      </c>
      <c r="B339" s="1057" t="s">
        <v>2910</v>
      </c>
      <c r="D339" s="1057">
        <v>9</v>
      </c>
      <c r="E339" s="1057">
        <v>5</v>
      </c>
      <c r="F339" s="1071">
        <f t="shared" si="16"/>
        <v>7000</v>
      </c>
      <c r="G339" s="1095">
        <f t="shared" si="14"/>
        <v>9100</v>
      </c>
      <c r="H339" s="1091">
        <v>2400</v>
      </c>
      <c r="L339" s="1071">
        <f t="shared" si="17"/>
        <v>1119.7811515151516</v>
      </c>
      <c r="M339" s="1082">
        <f t="shared" si="15"/>
        <v>1455.7154969696971</v>
      </c>
      <c r="P339" s="1057" t="s">
        <v>2910</v>
      </c>
      <c r="Q339" s="1057" t="s">
        <v>2318</v>
      </c>
      <c r="R339" s="1057" t="s">
        <v>2797</v>
      </c>
      <c r="S339" s="1057" t="s">
        <v>2320</v>
      </c>
    </row>
    <row r="340" spans="1:20" x14ac:dyDescent="0.25">
      <c r="A340" s="1057" t="s">
        <v>2906</v>
      </c>
      <c r="B340" s="1057" t="s">
        <v>2907</v>
      </c>
      <c r="D340" s="1057">
        <v>6</v>
      </c>
      <c r="E340" s="1057">
        <v>5</v>
      </c>
      <c r="F340" s="1071">
        <f t="shared" si="16"/>
        <v>7000</v>
      </c>
      <c r="G340" s="1095">
        <f t="shared" si="14"/>
        <v>9100</v>
      </c>
      <c r="H340" s="1091">
        <v>2400</v>
      </c>
      <c r="L340" s="1071">
        <f t="shared" si="17"/>
        <v>1119.7811515151516</v>
      </c>
      <c r="M340" s="1082">
        <f t="shared" si="15"/>
        <v>1455.7154969696971</v>
      </c>
      <c r="P340" s="1057" t="s">
        <v>2907</v>
      </c>
      <c r="Q340" s="1057" t="s">
        <v>2318</v>
      </c>
      <c r="R340" s="1057" t="s">
        <v>2797</v>
      </c>
      <c r="S340" s="1057" t="s">
        <v>2320</v>
      </c>
    </row>
    <row r="341" spans="1:20" x14ac:dyDescent="0.25">
      <c r="A341" s="1057" t="s">
        <v>2913</v>
      </c>
      <c r="B341" s="1057" t="s">
        <v>2914</v>
      </c>
      <c r="D341" s="1057">
        <v>19</v>
      </c>
      <c r="E341" s="1057">
        <v>5</v>
      </c>
      <c r="F341" s="1071">
        <f>PULSERAS!H236</f>
        <v>13000</v>
      </c>
      <c r="G341" s="1095">
        <f t="shared" si="14"/>
        <v>16900</v>
      </c>
      <c r="H341" s="1091">
        <v>4400</v>
      </c>
      <c r="L341" s="1071">
        <f>+PULSERAS!F234</f>
        <v>2056.2111428571429</v>
      </c>
      <c r="M341" s="1082">
        <f t="shared" si="15"/>
        <v>2673.0744857142859</v>
      </c>
      <c r="P341" s="1057" t="s">
        <v>2914</v>
      </c>
      <c r="Q341" s="1057" t="s">
        <v>2318</v>
      </c>
      <c r="R341" s="1057" t="s">
        <v>2797</v>
      </c>
      <c r="S341" s="1057" t="s">
        <v>2320</v>
      </c>
    </row>
    <row r="342" spans="1:20" x14ac:dyDescent="0.25">
      <c r="A342" s="1057" t="s">
        <v>2917</v>
      </c>
      <c r="B342" s="1057" t="s">
        <v>2918</v>
      </c>
      <c r="D342" s="1057">
        <v>15</v>
      </c>
      <c r="E342" s="1057">
        <v>5</v>
      </c>
      <c r="F342" s="1071">
        <f>F341</f>
        <v>13000</v>
      </c>
      <c r="G342" s="1095">
        <f t="shared" si="14"/>
        <v>16900</v>
      </c>
      <c r="H342" s="1091">
        <v>4400</v>
      </c>
      <c r="L342" s="1071">
        <f>+L341</f>
        <v>2056.2111428571429</v>
      </c>
      <c r="M342" s="1082">
        <f t="shared" si="15"/>
        <v>2673.0744857142859</v>
      </c>
      <c r="P342" s="1057" t="s">
        <v>2918</v>
      </c>
      <c r="Q342" s="1057" t="s">
        <v>2318</v>
      </c>
      <c r="R342" s="1057" t="s">
        <v>2797</v>
      </c>
      <c r="S342" s="1057" t="s">
        <v>2320</v>
      </c>
    </row>
    <row r="343" spans="1:20" x14ac:dyDescent="0.25">
      <c r="A343" s="1057" t="s">
        <v>2915</v>
      </c>
      <c r="B343" s="1057" t="s">
        <v>2916</v>
      </c>
      <c r="D343" s="1057">
        <v>19</v>
      </c>
      <c r="E343" s="1057">
        <v>5</v>
      </c>
      <c r="F343" s="1071">
        <f>F342</f>
        <v>13000</v>
      </c>
      <c r="G343" s="1095">
        <f t="shared" si="14"/>
        <v>16900</v>
      </c>
      <c r="H343" s="1091">
        <v>4400</v>
      </c>
      <c r="L343" s="1071">
        <f>+L342</f>
        <v>2056.2111428571429</v>
      </c>
      <c r="M343" s="1082">
        <f t="shared" si="15"/>
        <v>2673.0744857142859</v>
      </c>
      <c r="P343" s="1057" t="s">
        <v>2916</v>
      </c>
      <c r="Q343" s="1057" t="s">
        <v>2318</v>
      </c>
      <c r="R343" s="1057" t="s">
        <v>2797</v>
      </c>
      <c r="S343" s="1057" t="s">
        <v>2320</v>
      </c>
    </row>
    <row r="344" spans="1:20" x14ac:dyDescent="0.25">
      <c r="A344" s="1057" t="s">
        <v>2919</v>
      </c>
      <c r="B344" s="1057" t="s">
        <v>2920</v>
      </c>
      <c r="D344" s="1057">
        <v>5</v>
      </c>
      <c r="E344" s="1057">
        <v>5</v>
      </c>
      <c r="F344" s="1071">
        <f>F343</f>
        <v>13000</v>
      </c>
      <c r="G344" s="1095">
        <f t="shared" si="14"/>
        <v>16900</v>
      </c>
      <c r="H344" s="1091">
        <v>4400</v>
      </c>
      <c r="L344" s="1071">
        <f>+L343</f>
        <v>2056.2111428571429</v>
      </c>
      <c r="M344" s="1082">
        <f t="shared" si="15"/>
        <v>2673.0744857142859</v>
      </c>
      <c r="P344" s="1057" t="s">
        <v>2920</v>
      </c>
      <c r="Q344" s="1057" t="s">
        <v>2318</v>
      </c>
      <c r="R344" s="1057" t="s">
        <v>2797</v>
      </c>
      <c r="S344" s="1057" t="s">
        <v>2320</v>
      </c>
    </row>
    <row r="345" spans="1:20" x14ac:dyDescent="0.25">
      <c r="A345" s="1057" t="s">
        <v>2921</v>
      </c>
      <c r="B345" s="1057" t="s">
        <v>2922</v>
      </c>
      <c r="D345" s="1057">
        <v>9</v>
      </c>
      <c r="E345" s="1057">
        <v>5</v>
      </c>
      <c r="F345" s="1071">
        <f>+PULSERAS!G309</f>
        <v>14000</v>
      </c>
      <c r="G345" s="1095">
        <f t="shared" si="14"/>
        <v>18200</v>
      </c>
      <c r="H345" s="1091">
        <v>7400</v>
      </c>
      <c r="L345" s="1071">
        <f>+PULSERAS!E307</f>
        <v>2434.1733333333332</v>
      </c>
      <c r="M345" s="1082">
        <f t="shared" si="15"/>
        <v>3164.4253333333331</v>
      </c>
      <c r="P345" s="1057" t="s">
        <v>2922</v>
      </c>
      <c r="Q345" s="1057" t="s">
        <v>2318</v>
      </c>
      <c r="R345" s="1057" t="s">
        <v>2797</v>
      </c>
      <c r="S345" s="1057" t="s">
        <v>2320</v>
      </c>
    </row>
    <row r="346" spans="1:20" x14ac:dyDescent="0.25">
      <c r="A346" s="1057" t="s">
        <v>2923</v>
      </c>
      <c r="B346" s="1057" t="s">
        <v>2924</v>
      </c>
      <c r="D346" s="1057">
        <v>18</v>
      </c>
      <c r="E346" s="1057">
        <v>5</v>
      </c>
      <c r="F346" s="1071">
        <f>+PULSERAS!P22</f>
        <v>0</v>
      </c>
      <c r="G346" s="1095">
        <f t="shared" si="14"/>
        <v>0</v>
      </c>
      <c r="H346" s="1091">
        <v>10800</v>
      </c>
      <c r="L346" s="1071">
        <f>PULSERAS!O20</f>
        <v>0</v>
      </c>
      <c r="M346" s="1082">
        <f t="shared" si="15"/>
        <v>0</v>
      </c>
      <c r="P346" s="1057" t="s">
        <v>2924</v>
      </c>
      <c r="Q346" s="1057" t="s">
        <v>2318</v>
      </c>
      <c r="R346" s="1057" t="s">
        <v>2797</v>
      </c>
      <c r="S346" s="1057" t="s">
        <v>2320</v>
      </c>
    </row>
    <row r="347" spans="1:20" x14ac:dyDescent="0.25">
      <c r="A347" s="1057" t="s">
        <v>2927</v>
      </c>
      <c r="B347" s="1057" t="s">
        <v>2928</v>
      </c>
      <c r="D347" s="1057">
        <v>18</v>
      </c>
      <c r="E347" s="1057">
        <v>5</v>
      </c>
      <c r="F347" s="1071">
        <f>PULSERAS!H163</f>
        <v>9600</v>
      </c>
      <c r="G347" s="1095">
        <f t="shared" si="14"/>
        <v>12480</v>
      </c>
      <c r="H347" s="1091">
        <v>6000</v>
      </c>
      <c r="L347" s="1071">
        <f>+PULSERAS!F161</f>
        <v>1639.6399999999999</v>
      </c>
      <c r="M347" s="1082">
        <f t="shared" si="15"/>
        <v>2131.5319999999997</v>
      </c>
      <c r="P347" s="1057" t="s">
        <v>2928</v>
      </c>
      <c r="Q347" s="1057" t="s">
        <v>2318</v>
      </c>
      <c r="R347" s="1057" t="s">
        <v>2797</v>
      </c>
      <c r="S347" s="1057" t="s">
        <v>2320</v>
      </c>
    </row>
    <row r="348" spans="1:20" x14ac:dyDescent="0.25">
      <c r="A348" s="1057" t="s">
        <v>2929</v>
      </c>
      <c r="B348" s="1057" t="s">
        <v>2930</v>
      </c>
      <c r="D348" s="1057">
        <v>10</v>
      </c>
      <c r="E348" s="1057">
        <v>5</v>
      </c>
      <c r="F348" s="1071">
        <f>+F347</f>
        <v>9600</v>
      </c>
      <c r="G348" s="1095">
        <f t="shared" si="14"/>
        <v>12480</v>
      </c>
      <c r="H348" s="1091">
        <v>6000</v>
      </c>
      <c r="L348" s="1071">
        <f>+PULSERAS!P162</f>
        <v>938.37333333333333</v>
      </c>
      <c r="M348" s="1082">
        <f t="shared" si="15"/>
        <v>1219.8853333333334</v>
      </c>
      <c r="P348" s="1057" t="s">
        <v>2930</v>
      </c>
      <c r="Q348" s="1057" t="s">
        <v>2318</v>
      </c>
      <c r="R348" s="1057" t="s">
        <v>2797</v>
      </c>
      <c r="S348" s="1057" t="s">
        <v>2320</v>
      </c>
    </row>
    <row r="349" spans="1:20" x14ac:dyDescent="0.25">
      <c r="A349" s="1057" t="s">
        <v>2931</v>
      </c>
      <c r="B349" s="1057" t="s">
        <v>2932</v>
      </c>
      <c r="D349" s="1057">
        <v>2</v>
      </c>
      <c r="E349" s="1057">
        <v>5</v>
      </c>
      <c r="F349" s="1071">
        <f>+PULSERAS!G210</f>
        <v>15000</v>
      </c>
      <c r="G349" s="1095">
        <f t="shared" si="14"/>
        <v>19500</v>
      </c>
      <c r="H349" s="1091">
        <v>8400</v>
      </c>
      <c r="L349" s="1071">
        <f>+PULSERAS!E208</f>
        <v>1320</v>
      </c>
      <c r="M349" s="1082">
        <f t="shared" si="15"/>
        <v>1716</v>
      </c>
      <c r="P349" s="1057" t="s">
        <v>2932</v>
      </c>
      <c r="Q349" s="1057" t="s">
        <v>2318</v>
      </c>
      <c r="R349" s="1057" t="s">
        <v>2797</v>
      </c>
      <c r="S349" s="1057" t="s">
        <v>2320</v>
      </c>
    </row>
    <row r="350" spans="1:20" x14ac:dyDescent="0.25">
      <c r="A350" s="1057" t="s">
        <v>3071</v>
      </c>
      <c r="B350" s="1057" t="s">
        <v>3072</v>
      </c>
      <c r="C350" s="1057"/>
      <c r="D350" s="1057">
        <v>7</v>
      </c>
      <c r="E350" s="1057">
        <v>2</v>
      </c>
      <c r="F350" s="1071">
        <f>PULSERAS!I340</f>
        <v>52000</v>
      </c>
      <c r="G350" s="1095">
        <f t="shared" si="14"/>
        <v>67600</v>
      </c>
      <c r="H350" s="1091">
        <v>19600</v>
      </c>
      <c r="I350" s="1057"/>
      <c r="J350" s="1057"/>
      <c r="K350" s="1057"/>
      <c r="L350" s="1071">
        <f>PULSERAS!F339</f>
        <v>16995</v>
      </c>
      <c r="M350" s="1082">
        <f t="shared" si="15"/>
        <v>22093.5</v>
      </c>
      <c r="N350" s="1057"/>
      <c r="O350" s="1057"/>
      <c r="P350" s="1057" t="s">
        <v>3072</v>
      </c>
      <c r="Q350" s="1057" t="s">
        <v>2318</v>
      </c>
      <c r="R350" s="1057" t="s">
        <v>2797</v>
      </c>
      <c r="S350" s="1057" t="s">
        <v>2320</v>
      </c>
      <c r="T350" s="1057"/>
    </row>
    <row r="351" spans="1:20" x14ac:dyDescent="0.25">
      <c r="A351" s="1057" t="s">
        <v>2935</v>
      </c>
      <c r="B351" s="1057" t="s">
        <v>2936</v>
      </c>
      <c r="D351" s="1057">
        <v>16</v>
      </c>
      <c r="E351" s="1057">
        <v>5</v>
      </c>
      <c r="F351" s="1071">
        <f>+OSITO!X17</f>
        <v>12000</v>
      </c>
      <c r="G351" s="1095">
        <f t="shared" si="14"/>
        <v>15600</v>
      </c>
      <c r="H351" s="1091">
        <v>7600</v>
      </c>
      <c r="L351" s="1071">
        <f>+OSITO!V16</f>
        <v>5165.6701149425289</v>
      </c>
      <c r="M351" s="1082">
        <f t="shared" si="15"/>
        <v>6715.3711494252875</v>
      </c>
      <c r="P351" s="1057" t="s">
        <v>2936</v>
      </c>
      <c r="Q351" s="1057" t="s">
        <v>2937</v>
      </c>
      <c r="S351" s="1057" t="s">
        <v>2320</v>
      </c>
    </row>
    <row r="352" spans="1:20" x14ac:dyDescent="0.25">
      <c r="A352" s="1057" t="s">
        <v>2938</v>
      </c>
      <c r="B352" s="1057" t="s">
        <v>2939</v>
      </c>
      <c r="D352" s="1057">
        <v>8</v>
      </c>
      <c r="E352" s="1057">
        <v>5</v>
      </c>
      <c r="F352" s="1071">
        <f>+F351</f>
        <v>12000</v>
      </c>
      <c r="G352" s="1095">
        <f t="shared" si="14"/>
        <v>15600</v>
      </c>
      <c r="H352" s="1091">
        <v>7600</v>
      </c>
      <c r="L352" s="1071">
        <f>+L351</f>
        <v>5165.6701149425289</v>
      </c>
      <c r="M352" s="1082">
        <f t="shared" si="15"/>
        <v>6715.3711494252875</v>
      </c>
      <c r="P352" s="1057" t="s">
        <v>2939</v>
      </c>
      <c r="Q352" s="1057" t="s">
        <v>2937</v>
      </c>
      <c r="S352" s="1057" t="s">
        <v>2320</v>
      </c>
    </row>
    <row r="353" spans="1:20" x14ac:dyDescent="0.25">
      <c r="A353" s="1057" t="s">
        <v>2940</v>
      </c>
      <c r="B353" s="1057" t="s">
        <v>2941</v>
      </c>
      <c r="D353" s="1057">
        <v>4</v>
      </c>
      <c r="E353" s="1057">
        <v>5</v>
      </c>
      <c r="F353" s="1071">
        <f>+F351</f>
        <v>12000</v>
      </c>
      <c r="G353" s="1095">
        <f t="shared" si="14"/>
        <v>15600</v>
      </c>
      <c r="H353" s="1091">
        <v>7600</v>
      </c>
      <c r="L353" s="1071">
        <f>+L352</f>
        <v>5165.6701149425289</v>
      </c>
      <c r="M353" s="1082">
        <f t="shared" si="15"/>
        <v>6715.3711494252875</v>
      </c>
      <c r="P353" s="1057" t="s">
        <v>2941</v>
      </c>
      <c r="Q353" s="1057" t="s">
        <v>2937</v>
      </c>
      <c r="S353" s="1057" t="s">
        <v>2320</v>
      </c>
    </row>
    <row r="354" spans="1:20" s="1057" customFormat="1" x14ac:dyDescent="0.25">
      <c r="A354" s="1057" t="s">
        <v>2995</v>
      </c>
      <c r="B354" s="1057" t="s">
        <v>2996</v>
      </c>
      <c r="C354"/>
      <c r="D354" s="1057">
        <v>1</v>
      </c>
      <c r="E354" s="1057">
        <v>1</v>
      </c>
      <c r="F354" s="1071">
        <f>VARIOS!D8</f>
        <v>2000</v>
      </c>
      <c r="G354" s="1095">
        <f t="shared" si="14"/>
        <v>2600</v>
      </c>
      <c r="H354" s="1091">
        <v>3200</v>
      </c>
      <c r="I354"/>
      <c r="J354"/>
      <c r="K354"/>
      <c r="L354" s="1071">
        <f>VARIOS!C7</f>
        <v>103</v>
      </c>
      <c r="M354" s="1082">
        <f t="shared" si="15"/>
        <v>133.9</v>
      </c>
      <c r="N354"/>
      <c r="O354"/>
      <c r="P354" s="1057" t="s">
        <v>2996</v>
      </c>
      <c r="Q354" s="1057" t="s">
        <v>2997</v>
      </c>
      <c r="R354"/>
      <c r="S354" s="1057" t="s">
        <v>2320</v>
      </c>
      <c r="T354"/>
    </row>
    <row r="355" spans="1:20" s="1057" customFormat="1" ht="12.75" x14ac:dyDescent="0.2">
      <c r="A355" s="1057" t="s">
        <v>3055</v>
      </c>
      <c r="B355" s="1057" t="s">
        <v>3055</v>
      </c>
      <c r="D355" s="1057">
        <v>19.986000000000001</v>
      </c>
      <c r="E355" s="1057">
        <v>100</v>
      </c>
      <c r="F355" s="1071">
        <v>1</v>
      </c>
      <c r="G355" s="1095">
        <f t="shared" si="14"/>
        <v>1.3</v>
      </c>
      <c r="H355" s="1091">
        <v>1</v>
      </c>
      <c r="L355" s="1071"/>
      <c r="M355" s="1082">
        <f t="shared" si="15"/>
        <v>0</v>
      </c>
      <c r="P355" s="1057" t="s">
        <v>3055</v>
      </c>
      <c r="Q355" s="1057" t="s">
        <v>3056</v>
      </c>
      <c r="S355" s="1057" t="s">
        <v>2320</v>
      </c>
    </row>
    <row r="356" spans="1:20" s="1057" customFormat="1" ht="12.75" x14ac:dyDescent="0.2">
      <c r="A356" s="1057" t="s">
        <v>3057</v>
      </c>
      <c r="B356" s="1057" t="s">
        <v>3057</v>
      </c>
      <c r="D356" s="1057">
        <v>19.995000000000001</v>
      </c>
      <c r="E356" s="1057">
        <v>100</v>
      </c>
      <c r="F356" s="1071">
        <v>0.1</v>
      </c>
      <c r="G356" s="1095">
        <f t="shared" si="14"/>
        <v>0.13</v>
      </c>
      <c r="H356" s="1091">
        <v>0.1</v>
      </c>
      <c r="L356" s="1071"/>
      <c r="M356" s="1082">
        <f t="shared" si="15"/>
        <v>0</v>
      </c>
      <c r="P356" s="1057" t="s">
        <v>3057</v>
      </c>
      <c r="Q356" s="1057" t="s">
        <v>3056</v>
      </c>
      <c r="S356" s="1057" t="s">
        <v>2320</v>
      </c>
    </row>
    <row r="357" spans="1:20" s="1057" customFormat="1" x14ac:dyDescent="0.25">
      <c r="A357" s="1057" t="s">
        <v>3008</v>
      </c>
      <c r="B357" s="1057" t="s">
        <v>3009</v>
      </c>
      <c r="C357"/>
      <c r="D357" s="1057">
        <v>1</v>
      </c>
      <c r="E357" s="1057">
        <v>1</v>
      </c>
      <c r="F357" s="1071">
        <f>VARIOS!H70</f>
        <v>16800</v>
      </c>
      <c r="G357" s="1095">
        <f t="shared" si="14"/>
        <v>21840</v>
      </c>
      <c r="H357" s="1091">
        <v>22000</v>
      </c>
      <c r="I357"/>
      <c r="J357"/>
      <c r="K357"/>
      <c r="L357" s="1071">
        <f>VARIOS!F69</f>
        <v>7244.3772917148008</v>
      </c>
      <c r="M357" s="1082">
        <f t="shared" si="15"/>
        <v>9417.6904792292407</v>
      </c>
      <c r="N357"/>
      <c r="O357"/>
      <c r="P357" s="1057" t="s">
        <v>3009</v>
      </c>
      <c r="Q357" s="1057" t="s">
        <v>3007</v>
      </c>
      <c r="R357"/>
      <c r="S357" s="1057" t="s">
        <v>2320</v>
      </c>
      <c r="T357"/>
    </row>
    <row r="358" spans="1:20" s="1057" customFormat="1" x14ac:dyDescent="0.25">
      <c r="A358" s="1057" t="s">
        <v>3005</v>
      </c>
      <c r="B358" s="1057" t="s">
        <v>3006</v>
      </c>
      <c r="C358"/>
      <c r="D358" s="1057">
        <v>1</v>
      </c>
      <c r="E358" s="1057">
        <v>1</v>
      </c>
      <c r="F358" s="1071">
        <f>VARIOS!H54</f>
        <v>16800</v>
      </c>
      <c r="G358" s="1095">
        <f t="shared" si="14"/>
        <v>21840</v>
      </c>
      <c r="H358" s="1091">
        <v>22000</v>
      </c>
      <c r="I358"/>
      <c r="J358"/>
      <c r="K358"/>
      <c r="L358" s="1071">
        <f>VARIOS!F53</f>
        <v>6944.911204481793</v>
      </c>
      <c r="M358" s="1082">
        <f t="shared" si="15"/>
        <v>9028.3845658263308</v>
      </c>
      <c r="N358"/>
      <c r="O358"/>
      <c r="P358" s="1057" t="s">
        <v>3006</v>
      </c>
      <c r="Q358" s="1057" t="s">
        <v>3007</v>
      </c>
      <c r="R358"/>
      <c r="S358" s="1057" t="s">
        <v>2320</v>
      </c>
      <c r="T358"/>
    </row>
    <row r="359" spans="1:20" s="1057" customFormat="1" x14ac:dyDescent="0.25">
      <c r="A359" s="1057" t="s">
        <v>2942</v>
      </c>
      <c r="B359" s="1057" t="s">
        <v>3089</v>
      </c>
      <c r="C359"/>
      <c r="D359" s="1057">
        <v>11</v>
      </c>
      <c r="E359" s="1057">
        <v>5</v>
      </c>
      <c r="F359" s="1071">
        <f>+STRAPS!H177</f>
        <v>9000</v>
      </c>
      <c r="G359" s="1095">
        <f t="shared" si="14"/>
        <v>11700</v>
      </c>
      <c r="H359" s="1091">
        <v>5400</v>
      </c>
      <c r="I359"/>
      <c r="J359"/>
      <c r="K359"/>
      <c r="L359" s="1071">
        <f>+STRAPS!F175</f>
        <v>2125.757361876811</v>
      </c>
      <c r="M359" s="1082">
        <f t="shared" si="15"/>
        <v>2763.4845704398545</v>
      </c>
      <c r="N359"/>
      <c r="O359"/>
      <c r="P359" s="1057" t="s">
        <v>3089</v>
      </c>
      <c r="Q359" s="1057" t="s">
        <v>2943</v>
      </c>
      <c r="R359"/>
      <c r="S359" s="1057" t="s">
        <v>2320</v>
      </c>
      <c r="T359"/>
    </row>
    <row r="360" spans="1:20" s="1057" customFormat="1" x14ac:dyDescent="0.25">
      <c r="A360" s="1057" t="s">
        <v>2944</v>
      </c>
      <c r="B360" s="1057" t="s">
        <v>3090</v>
      </c>
      <c r="C360"/>
      <c r="D360" s="1057">
        <v>17</v>
      </c>
      <c r="E360" s="1057">
        <v>5</v>
      </c>
      <c r="F360" s="1071">
        <f>+STRAPS!I196</f>
        <v>9000</v>
      </c>
      <c r="G360" s="1095">
        <f t="shared" si="14"/>
        <v>11700</v>
      </c>
      <c r="H360" s="1091">
        <v>5400</v>
      </c>
      <c r="I360"/>
      <c r="J360"/>
      <c r="K360"/>
      <c r="L360" s="1071">
        <f>+STRAPS!G195</f>
        <v>3100.7472368201011</v>
      </c>
      <c r="M360" s="1082">
        <f t="shared" si="15"/>
        <v>4030.9714078661314</v>
      </c>
      <c r="N360"/>
      <c r="O360"/>
      <c r="P360" s="1057" t="s">
        <v>3090</v>
      </c>
      <c r="Q360" s="1057" t="s">
        <v>2943</v>
      </c>
      <c r="R360"/>
      <c r="S360" s="1057" t="s">
        <v>2320</v>
      </c>
      <c r="T360"/>
    </row>
  </sheetData>
  <autoFilter ref="A1:T1" xr:uid="{8AC4DBAE-A126-4FC5-BF50-91DF18AF8951}">
    <sortState xmlns:xlrd2="http://schemas.microsoft.com/office/spreadsheetml/2017/richdata2" ref="A2:T360">
      <sortCondition ref="B1"/>
    </sortState>
  </autoFilter>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Hoja25"/>
  <dimension ref="A2:T120"/>
  <sheetViews>
    <sheetView topLeftCell="A69" zoomScale="70" zoomScaleNormal="70" workbookViewId="0">
      <selection activeCell="L4" sqref="L4:R14"/>
    </sheetView>
  </sheetViews>
  <sheetFormatPr baseColWidth="10" defaultColWidth="10.85546875" defaultRowHeight="15.75" x14ac:dyDescent="0.25"/>
  <cols>
    <col min="1" max="1" width="25.42578125" style="653" bestFit="1" customWidth="1"/>
    <col min="2" max="3" width="10.85546875" style="653"/>
    <col min="4" max="8" width="11.5703125" style="653" bestFit="1" customWidth="1"/>
    <col min="9" max="9" width="10.85546875" style="653"/>
    <col min="10" max="10" width="4.140625" style="370" customWidth="1"/>
    <col min="11" max="11" width="10.85546875" style="653"/>
    <col min="12" max="12" width="14.5703125" style="653" bestFit="1" customWidth="1"/>
    <col min="13" max="14" width="10.85546875" style="653"/>
    <col min="15" max="18" width="11.5703125" style="653" bestFit="1" customWidth="1"/>
    <col min="19" max="19" width="10.85546875" style="653"/>
    <col min="20" max="20" width="4.140625" style="370" customWidth="1"/>
    <col min="21" max="16384" width="10.85546875" style="653"/>
  </cols>
  <sheetData>
    <row r="2" spans="1:20" ht="18" x14ac:dyDescent="0.25">
      <c r="A2" s="1759" t="s">
        <v>1881</v>
      </c>
      <c r="B2" s="1759"/>
      <c r="C2" s="1759"/>
      <c r="D2" s="1759"/>
      <c r="E2" s="1759"/>
      <c r="F2" s="1759"/>
      <c r="G2" s="1759"/>
      <c r="H2" s="1759"/>
      <c r="I2" s="1759"/>
      <c r="J2" s="1759"/>
      <c r="K2" s="1759" t="s">
        <v>581</v>
      </c>
      <c r="L2" s="1759"/>
      <c r="M2" s="1759"/>
      <c r="N2" s="1759"/>
      <c r="O2" s="1759"/>
      <c r="P2" s="1759"/>
      <c r="Q2" s="1759"/>
      <c r="R2" s="1759"/>
      <c r="S2" s="1759"/>
      <c r="T2" s="766"/>
    </row>
    <row r="3" spans="1:20" ht="16.5" thickBot="1" x14ac:dyDescent="0.3"/>
    <row r="4" spans="1:20" x14ac:dyDescent="0.25">
      <c r="A4" s="1766" t="s">
        <v>160</v>
      </c>
      <c r="B4" s="1767"/>
      <c r="C4" s="1767"/>
      <c r="D4" s="1767"/>
      <c r="E4" s="1768"/>
      <c r="F4" s="804"/>
    </row>
    <row r="5" spans="1:20" x14ac:dyDescent="0.25">
      <c r="A5" s="805" t="s">
        <v>916</v>
      </c>
      <c r="B5" s="806" t="s">
        <v>1073</v>
      </c>
      <c r="C5" s="807" t="s">
        <v>1547</v>
      </c>
      <c r="D5" s="807" t="s">
        <v>1035</v>
      </c>
      <c r="E5" s="808" t="s">
        <v>1549</v>
      </c>
      <c r="F5" s="658"/>
    </row>
    <row r="6" spans="1:20" x14ac:dyDescent="0.25">
      <c r="A6" s="665" t="s">
        <v>748</v>
      </c>
      <c r="B6" s="769" t="s">
        <v>789</v>
      </c>
      <c r="C6" s="779">
        <v>1</v>
      </c>
      <c r="D6" s="668">
        <f>'AROS, CADENAS, DIJES, ETC'!C4</f>
        <v>1200</v>
      </c>
      <c r="E6" s="662">
        <f>D6</f>
        <v>1200</v>
      </c>
      <c r="F6" s="658"/>
    </row>
    <row r="7" spans="1:20" x14ac:dyDescent="0.25">
      <c r="A7" s="665" t="s">
        <v>2054</v>
      </c>
      <c r="B7" s="769"/>
      <c r="C7" s="779">
        <v>2</v>
      </c>
      <c r="D7" s="668">
        <f>VIDRIOS!E21</f>
        <v>65</v>
      </c>
      <c r="E7" s="662">
        <f>D7</f>
        <v>65</v>
      </c>
      <c r="F7" s="658"/>
    </row>
    <row r="8" spans="1:20" x14ac:dyDescent="0.25">
      <c r="A8" s="665" t="s">
        <v>1224</v>
      </c>
      <c r="B8" s="769"/>
      <c r="C8" s="779">
        <v>0.3</v>
      </c>
      <c r="D8" s="668">
        <f>'HILOS-CORDONES-TANZA-CUERO'!E5</f>
        <v>50.35</v>
      </c>
      <c r="E8" s="662">
        <f>D8*C8</f>
        <v>15.105</v>
      </c>
      <c r="F8" s="658"/>
    </row>
    <row r="9" spans="1:20" x14ac:dyDescent="0.25">
      <c r="A9" s="665" t="s">
        <v>1555</v>
      </c>
      <c r="B9" s="769" t="s">
        <v>1933</v>
      </c>
      <c r="C9" s="779">
        <v>2</v>
      </c>
      <c r="D9" s="668">
        <f>FORNITURAS!D5</f>
        <v>46.8</v>
      </c>
      <c r="E9" s="662">
        <f>D9*C9</f>
        <v>93.6</v>
      </c>
      <c r="F9" s="658"/>
    </row>
    <row r="10" spans="1:20" x14ac:dyDescent="0.25">
      <c r="A10" s="665" t="s">
        <v>1557</v>
      </c>
      <c r="B10" s="769"/>
      <c r="C10" s="779"/>
      <c r="D10" s="668"/>
      <c r="E10" s="662">
        <f>PACKAGING!E3</f>
        <v>150</v>
      </c>
      <c r="F10" s="658"/>
    </row>
    <row r="11" spans="1:20" x14ac:dyDescent="0.25">
      <c r="A11" s="665" t="s">
        <v>1538</v>
      </c>
      <c r="B11" s="769"/>
      <c r="C11" s="779"/>
      <c r="D11" s="668"/>
      <c r="E11" s="662">
        <f>PACKAGING!E8</f>
        <v>420</v>
      </c>
      <c r="F11" s="658"/>
    </row>
    <row r="12" spans="1:20" x14ac:dyDescent="0.25">
      <c r="A12" s="665" t="s">
        <v>1558</v>
      </c>
      <c r="B12" s="769">
        <v>60</v>
      </c>
      <c r="C12" s="779">
        <v>10</v>
      </c>
      <c r="D12" s="668">
        <f>'INSUMOS VARIOS'!B3</f>
        <v>3500</v>
      </c>
      <c r="E12" s="662">
        <f>D12*C12/B12</f>
        <v>583.33333333333337</v>
      </c>
      <c r="F12" s="658"/>
    </row>
    <row r="13" spans="1:20" ht="16.5" thickBot="1" x14ac:dyDescent="0.3">
      <c r="A13" s="670" t="s">
        <v>525</v>
      </c>
      <c r="B13" s="672"/>
      <c r="C13" s="780"/>
      <c r="D13" s="780"/>
      <c r="E13" s="673">
        <f>SUM(E6:E11)</f>
        <v>1943.7049999999999</v>
      </c>
      <c r="F13" s="809"/>
    </row>
    <row r="14" spans="1:20" x14ac:dyDescent="0.25">
      <c r="A14" s="675" t="s">
        <v>544</v>
      </c>
      <c r="B14" s="810"/>
      <c r="C14" s="810"/>
      <c r="D14" s="810"/>
      <c r="E14" s="692">
        <f>E13*2</f>
        <v>3887.41</v>
      </c>
      <c r="F14" s="811">
        <f>E14+E14*25%</f>
        <v>4859.2624999999998</v>
      </c>
      <c r="G14" s="682">
        <v>1400</v>
      </c>
    </row>
    <row r="15" spans="1:20" ht="16.5" thickBot="1" x14ac:dyDescent="0.3">
      <c r="A15" s="812" t="s">
        <v>1559</v>
      </c>
      <c r="B15" s="813"/>
      <c r="C15" s="813"/>
      <c r="D15" s="813"/>
      <c r="E15" s="694"/>
      <c r="F15" s="814"/>
      <c r="G15" s="815">
        <f>G14*2</f>
        <v>2800</v>
      </c>
      <c r="L15" s="171"/>
      <c r="M15" s="171"/>
      <c r="N15" s="171"/>
      <c r="O15" s="171"/>
      <c r="P15" s="171"/>
      <c r="Q15" s="171"/>
      <c r="R15" s="171"/>
    </row>
    <row r="16" spans="1:20" ht="16.5" thickBot="1" x14ac:dyDescent="0.3">
      <c r="L16" s="1589" t="s">
        <v>642</v>
      </c>
      <c r="M16" s="1596"/>
      <c r="N16" s="1596"/>
      <c r="O16" s="1596"/>
      <c r="P16" s="1590"/>
      <c r="Q16" s="23"/>
      <c r="R16" s="171"/>
    </row>
    <row r="17" spans="1:18" x14ac:dyDescent="0.25">
      <c r="A17" s="1766" t="s">
        <v>168</v>
      </c>
      <c r="B17" s="1767"/>
      <c r="C17" s="1767"/>
      <c r="D17" s="1767"/>
      <c r="E17" s="1768"/>
      <c r="F17" s="804"/>
      <c r="L17" s="271" t="s">
        <v>916</v>
      </c>
      <c r="M17" s="272" t="s">
        <v>1073</v>
      </c>
      <c r="N17" s="273" t="s">
        <v>1547</v>
      </c>
      <c r="O17" s="273" t="s">
        <v>1035</v>
      </c>
      <c r="P17" s="274" t="s">
        <v>1549</v>
      </c>
      <c r="Q17" s="1"/>
      <c r="R17" s="171"/>
    </row>
    <row r="18" spans="1:18" x14ac:dyDescent="0.25">
      <c r="A18" s="805" t="s">
        <v>916</v>
      </c>
      <c r="B18" s="806" t="s">
        <v>1073</v>
      </c>
      <c r="C18" s="807" t="s">
        <v>1547</v>
      </c>
      <c r="D18" s="807" t="s">
        <v>1035</v>
      </c>
      <c r="E18" s="808" t="s">
        <v>1549</v>
      </c>
      <c r="F18" s="658"/>
      <c r="L18" s="3" t="s">
        <v>784</v>
      </c>
      <c r="M18" s="2" t="s">
        <v>785</v>
      </c>
      <c r="N18" s="6">
        <v>1</v>
      </c>
      <c r="O18" s="66">
        <f>'AROS, CADENAS, DIJES, ETC'!D4</f>
        <v>600</v>
      </c>
      <c r="P18" s="39">
        <f>O18</f>
        <v>600</v>
      </c>
      <c r="Q18" s="1"/>
      <c r="R18" s="171"/>
    </row>
    <row r="19" spans="1:18" x14ac:dyDescent="0.25">
      <c r="A19" s="665" t="s">
        <v>748</v>
      </c>
      <c r="B19" s="769" t="s">
        <v>765</v>
      </c>
      <c r="C19" s="779">
        <v>1</v>
      </c>
      <c r="D19" s="668">
        <f>'AROS, CADENAS, DIJES, ETC'!D6</f>
        <v>650</v>
      </c>
      <c r="E19" s="662">
        <f>D19</f>
        <v>650</v>
      </c>
      <c r="F19" s="658"/>
      <c r="L19" s="3" t="s">
        <v>970</v>
      </c>
      <c r="M19" s="2"/>
      <c r="N19" s="6">
        <v>1</v>
      </c>
      <c r="O19" s="66">
        <f>'INSUMOS VARIOS'!E42</f>
        <v>300</v>
      </c>
      <c r="P19" s="39">
        <f>O19*N19</f>
        <v>300</v>
      </c>
      <c r="Q19" s="1"/>
      <c r="R19" s="171"/>
    </row>
    <row r="20" spans="1:18" x14ac:dyDescent="0.25">
      <c r="A20" s="665" t="s">
        <v>784</v>
      </c>
      <c r="B20" s="769" t="s">
        <v>785</v>
      </c>
      <c r="C20" s="779">
        <v>1</v>
      </c>
      <c r="D20" s="668">
        <f>'AROS, CADENAS, DIJES, ETC'!D8</f>
        <v>1400</v>
      </c>
      <c r="E20" s="662">
        <f>D20</f>
        <v>1400</v>
      </c>
      <c r="F20" s="658"/>
      <c r="L20" s="3" t="s">
        <v>908</v>
      </c>
      <c r="M20" s="2">
        <v>0.5</v>
      </c>
      <c r="N20" s="6">
        <v>0.04</v>
      </c>
      <c r="O20" s="66">
        <f>'AROS, CADENAS, DIJES, ETC'!I55</f>
        <v>690</v>
      </c>
      <c r="P20" s="39">
        <f>O20*N20/M20</f>
        <v>55.2</v>
      </c>
      <c r="Q20" s="1"/>
      <c r="R20" s="171"/>
    </row>
    <row r="21" spans="1:18" x14ac:dyDescent="0.25">
      <c r="A21" s="665" t="s">
        <v>2056</v>
      </c>
      <c r="B21" s="769"/>
      <c r="C21" s="779">
        <v>1</v>
      </c>
      <c r="D21" s="668">
        <f>'SALE COLLARES'!Q7</f>
        <v>100</v>
      </c>
      <c r="E21" s="662">
        <f t="shared" ref="E21:E26" si="0">D21*C21</f>
        <v>100</v>
      </c>
      <c r="F21" s="658"/>
      <c r="L21" s="3" t="s">
        <v>1555</v>
      </c>
      <c r="M21" s="2" t="s">
        <v>1556</v>
      </c>
      <c r="N21" s="6">
        <v>1</v>
      </c>
      <c r="O21" s="66">
        <f>FORNITURAS!D4</f>
        <v>48.7</v>
      </c>
      <c r="P21" s="39">
        <f>O21*N21</f>
        <v>48.7</v>
      </c>
      <c r="Q21" s="1"/>
      <c r="R21" s="171"/>
    </row>
    <row r="22" spans="1:18" x14ac:dyDescent="0.25">
      <c r="A22" s="665" t="s">
        <v>1020</v>
      </c>
      <c r="B22" s="769"/>
      <c r="C22" s="779">
        <v>1</v>
      </c>
      <c r="D22" s="668">
        <f>FORNITURAS!D30</f>
        <v>255</v>
      </c>
      <c r="E22" s="662">
        <f t="shared" si="0"/>
        <v>255</v>
      </c>
      <c r="F22" s="658"/>
      <c r="L22" s="3" t="s">
        <v>1557</v>
      </c>
      <c r="M22" s="2"/>
      <c r="N22" s="6"/>
      <c r="O22" s="66"/>
      <c r="P22" s="39">
        <f>PACKAGING!E3</f>
        <v>150</v>
      </c>
      <c r="Q22" s="1"/>
      <c r="R22" s="171"/>
    </row>
    <row r="23" spans="1:18" x14ac:dyDescent="0.25">
      <c r="A23" s="665" t="s">
        <v>1937</v>
      </c>
      <c r="B23" s="769"/>
      <c r="C23" s="779">
        <v>1</v>
      </c>
      <c r="D23" s="668">
        <f>PIEDRAS!F24</f>
        <v>102.05882352941177</v>
      </c>
      <c r="E23" s="662">
        <f t="shared" si="0"/>
        <v>102.05882352941177</v>
      </c>
      <c r="F23" s="658"/>
      <c r="L23" s="3" t="s">
        <v>1538</v>
      </c>
      <c r="M23" s="2"/>
      <c r="N23" s="6"/>
      <c r="O23" s="66"/>
      <c r="P23" s="39">
        <f>PACKAGING!E8</f>
        <v>420</v>
      </c>
      <c r="Q23" s="1"/>
      <c r="R23" s="171"/>
    </row>
    <row r="24" spans="1:18" x14ac:dyDescent="0.25">
      <c r="A24" s="665" t="s">
        <v>1597</v>
      </c>
      <c r="B24" s="769"/>
      <c r="C24" s="779">
        <v>1</v>
      </c>
      <c r="D24" s="668">
        <f>PERLAS!F14</f>
        <v>103.125</v>
      </c>
      <c r="E24" s="662">
        <f t="shared" si="0"/>
        <v>103.125</v>
      </c>
      <c r="F24" s="658"/>
      <c r="L24" s="3" t="s">
        <v>1558</v>
      </c>
      <c r="M24" s="2">
        <v>60</v>
      </c>
      <c r="N24" s="6">
        <v>10</v>
      </c>
      <c r="O24" s="66">
        <f>'INSUMOS VARIOS'!B3</f>
        <v>3500</v>
      </c>
      <c r="P24" s="39">
        <f>O24*N24/M24</f>
        <v>583.33333333333337</v>
      </c>
      <c r="Q24" s="1"/>
      <c r="R24" s="171"/>
    </row>
    <row r="25" spans="1:18" ht="16.5" thickBot="1" x14ac:dyDescent="0.3">
      <c r="A25" s="665" t="s">
        <v>1743</v>
      </c>
      <c r="B25" s="769"/>
      <c r="C25" s="779">
        <v>1</v>
      </c>
      <c r="D25" s="668">
        <f>FORNITURAS!D14</f>
        <v>98.8</v>
      </c>
      <c r="E25" s="662">
        <f t="shared" si="0"/>
        <v>98.8</v>
      </c>
      <c r="F25" s="658"/>
      <c r="L25" s="79" t="s">
        <v>525</v>
      </c>
      <c r="M25" s="70"/>
      <c r="N25" s="85"/>
      <c r="O25" s="85"/>
      <c r="P25" s="51">
        <f>SUM(P18:P24)</f>
        <v>2157.2333333333336</v>
      </c>
      <c r="Q25" s="134"/>
      <c r="R25" s="171"/>
    </row>
    <row r="26" spans="1:18" x14ac:dyDescent="0.25">
      <c r="A26" s="665" t="s">
        <v>1555</v>
      </c>
      <c r="B26" s="769" t="s">
        <v>1573</v>
      </c>
      <c r="C26" s="779">
        <v>2</v>
      </c>
      <c r="D26" s="668">
        <f>FORNITURAS!D7</f>
        <v>52</v>
      </c>
      <c r="E26" s="662">
        <f t="shared" si="0"/>
        <v>104</v>
      </c>
      <c r="F26" s="658"/>
      <c r="L26" s="80" t="s">
        <v>544</v>
      </c>
      <c r="M26" s="220"/>
      <c r="N26" s="220"/>
      <c r="O26" s="220"/>
      <c r="P26" s="221">
        <f>P25*2</f>
        <v>4314.4666666666672</v>
      </c>
      <c r="Q26" s="492">
        <f>P26+P26*25%</f>
        <v>5393.0833333333339</v>
      </c>
      <c r="R26" s="268">
        <v>1240</v>
      </c>
    </row>
    <row r="27" spans="1:18" ht="16.5" thickBot="1" x14ac:dyDescent="0.3">
      <c r="A27" s="665" t="s">
        <v>1557</v>
      </c>
      <c r="B27" s="769"/>
      <c r="C27" s="779"/>
      <c r="D27" s="668"/>
      <c r="E27" s="662">
        <f>PACKAGING!E3</f>
        <v>150</v>
      </c>
      <c r="F27" s="658"/>
      <c r="L27" s="275" t="s">
        <v>1559</v>
      </c>
      <c r="M27" s="269"/>
      <c r="N27" s="269"/>
      <c r="O27" s="269"/>
      <c r="P27" s="488"/>
      <c r="Q27" s="493"/>
      <c r="R27" s="281">
        <f>R26*2</f>
        <v>2480</v>
      </c>
    </row>
    <row r="28" spans="1:18" ht="16.5" thickBot="1" x14ac:dyDescent="0.3">
      <c r="A28" s="665" t="s">
        <v>1538</v>
      </c>
      <c r="B28" s="769"/>
      <c r="C28" s="779"/>
      <c r="D28" s="668"/>
      <c r="E28" s="662">
        <f>PACKAGING!E8</f>
        <v>420</v>
      </c>
      <c r="F28" s="658"/>
    </row>
    <row r="29" spans="1:18" x14ac:dyDescent="0.25">
      <c r="A29" s="665" t="s">
        <v>1558</v>
      </c>
      <c r="B29" s="769">
        <v>60</v>
      </c>
      <c r="C29" s="779">
        <v>20</v>
      </c>
      <c r="D29" s="668">
        <f>'INSUMOS VARIOS'!B3</f>
        <v>3500</v>
      </c>
      <c r="E29" s="662">
        <f>D29*C29/B29</f>
        <v>1166.6666666666667</v>
      </c>
      <c r="F29" s="658"/>
      <c r="L29" s="1589" t="s">
        <v>206</v>
      </c>
      <c r="M29" s="1596"/>
      <c r="N29" s="1596"/>
      <c r="O29" s="1596"/>
      <c r="P29" s="1590"/>
      <c r="Q29" s="23"/>
      <c r="R29" s="171"/>
    </row>
    <row r="30" spans="1:18" ht="16.5" thickBot="1" x14ac:dyDescent="0.3">
      <c r="A30" s="670" t="s">
        <v>525</v>
      </c>
      <c r="B30" s="672"/>
      <c r="C30" s="780"/>
      <c r="D30" s="780"/>
      <c r="E30" s="673">
        <f>SUM(E19:E29)</f>
        <v>4549.6504901960789</v>
      </c>
      <c r="F30" s="809"/>
      <c r="L30" s="271" t="s">
        <v>916</v>
      </c>
      <c r="M30" s="272" t="s">
        <v>1073</v>
      </c>
      <c r="N30" s="273" t="s">
        <v>1547</v>
      </c>
      <c r="O30" s="273" t="s">
        <v>1035</v>
      </c>
      <c r="P30" s="274" t="s">
        <v>1549</v>
      </c>
      <c r="Q30" s="1"/>
      <c r="R30" s="171"/>
    </row>
    <row r="31" spans="1:18" x14ac:dyDescent="0.25">
      <c r="A31" s="675" t="s">
        <v>544</v>
      </c>
      <c r="B31" s="810"/>
      <c r="C31" s="810"/>
      <c r="D31" s="810"/>
      <c r="E31" s="692">
        <f>E30*2</f>
        <v>9099.3009803921577</v>
      </c>
      <c r="F31" s="811">
        <f>E31+E31*25%</f>
        <v>11374.126225490198</v>
      </c>
      <c r="G31" s="682">
        <v>2450</v>
      </c>
      <c r="L31" s="3" t="s">
        <v>784</v>
      </c>
      <c r="M31" s="2" t="s">
        <v>785</v>
      </c>
      <c r="N31" s="6">
        <v>1</v>
      </c>
      <c r="O31" s="66">
        <f>'AROS, CADENAS, DIJES, ETC'!D8</f>
        <v>1400</v>
      </c>
      <c r="P31" s="39">
        <f>O31</f>
        <v>1400</v>
      </c>
      <c r="Q31" s="1"/>
      <c r="R31" s="171"/>
    </row>
    <row r="32" spans="1:18" ht="16.5" thickBot="1" x14ac:dyDescent="0.3">
      <c r="A32" s="812" t="s">
        <v>1559</v>
      </c>
      <c r="B32" s="813"/>
      <c r="C32" s="813"/>
      <c r="D32" s="813"/>
      <c r="E32" s="694"/>
      <c r="F32" s="814"/>
      <c r="G32" s="815">
        <f>G31*2</f>
        <v>4900</v>
      </c>
      <c r="L32" s="3" t="s">
        <v>1994</v>
      </c>
      <c r="M32" s="2"/>
      <c r="N32" s="6">
        <v>1</v>
      </c>
      <c r="O32" s="66">
        <f>'PALAIS DU BIJOU'!M56</f>
        <v>175</v>
      </c>
      <c r="P32" s="39">
        <f>O32*N32</f>
        <v>175</v>
      </c>
      <c r="Q32" s="1"/>
      <c r="R32" s="171"/>
    </row>
    <row r="33" spans="1:18" x14ac:dyDescent="0.25">
      <c r="L33" s="3" t="s">
        <v>1742</v>
      </c>
      <c r="M33" s="2"/>
      <c r="N33" s="6">
        <v>1</v>
      </c>
      <c r="O33" s="66">
        <f>PERLAS!F14</f>
        <v>103.125</v>
      </c>
      <c r="P33" s="39">
        <f>O33*N33</f>
        <v>103.125</v>
      </c>
      <c r="Q33" s="1"/>
      <c r="R33" s="171"/>
    </row>
    <row r="34" spans="1:18" x14ac:dyDescent="0.25">
      <c r="A34" s="1769" t="s">
        <v>144</v>
      </c>
      <c r="B34" s="1770"/>
      <c r="C34" s="1770"/>
      <c r="D34" s="1770"/>
      <c r="E34" s="1770"/>
      <c r="F34" s="1771"/>
      <c r="G34" s="804"/>
      <c r="L34" s="3" t="s">
        <v>1743</v>
      </c>
      <c r="M34" s="2" t="s">
        <v>1744</v>
      </c>
      <c r="N34" s="6">
        <v>1</v>
      </c>
      <c r="O34" s="66">
        <f>FORNITURAS!D15</f>
        <v>142</v>
      </c>
      <c r="P34" s="39">
        <f>O34*N34</f>
        <v>142</v>
      </c>
      <c r="Q34" s="1"/>
      <c r="R34" s="171"/>
    </row>
    <row r="35" spans="1:18" x14ac:dyDescent="0.25">
      <c r="A35" s="805" t="s">
        <v>916</v>
      </c>
      <c r="B35" s="806" t="s">
        <v>1073</v>
      </c>
      <c r="C35" s="807" t="s">
        <v>1607</v>
      </c>
      <c r="D35" s="807" t="s">
        <v>1547</v>
      </c>
      <c r="E35" s="807" t="s">
        <v>1035</v>
      </c>
      <c r="F35" s="808" t="s">
        <v>1549</v>
      </c>
      <c r="G35" s="658"/>
      <c r="L35" s="3" t="s">
        <v>1557</v>
      </c>
      <c r="M35" s="2"/>
      <c r="N35" s="6"/>
      <c r="O35" s="66"/>
      <c r="P35" s="39">
        <f>PACKAGING!E3</f>
        <v>150</v>
      </c>
      <c r="Q35" s="1"/>
      <c r="R35" s="171"/>
    </row>
    <row r="36" spans="1:18" x14ac:dyDescent="0.25">
      <c r="A36" s="665" t="s">
        <v>784</v>
      </c>
      <c r="B36" s="769" t="s">
        <v>785</v>
      </c>
      <c r="C36" s="779"/>
      <c r="D36" s="779">
        <v>1</v>
      </c>
      <c r="E36" s="668">
        <f>'AROS, CADENAS, DIJES, ETC'!C8</f>
        <v>2800</v>
      </c>
      <c r="F36" s="662">
        <f>E36</f>
        <v>2800</v>
      </c>
      <c r="G36" s="658"/>
      <c r="L36" s="3" t="s">
        <v>1538</v>
      </c>
      <c r="M36" s="2"/>
      <c r="N36" s="6"/>
      <c r="O36" s="66"/>
      <c r="P36" s="39">
        <f>PACKAGING!E8</f>
        <v>420</v>
      </c>
      <c r="Q36" s="1"/>
      <c r="R36" s="171"/>
    </row>
    <row r="37" spans="1:18" x14ac:dyDescent="0.25">
      <c r="A37" s="665" t="s">
        <v>2057</v>
      </c>
      <c r="B37" s="769"/>
      <c r="C37" s="779"/>
      <c r="D37" s="779">
        <v>2</v>
      </c>
      <c r="E37" s="668">
        <f>VIDRIOS!E26</f>
        <v>62.173913043478258</v>
      </c>
      <c r="F37" s="662">
        <f>E37*D37</f>
        <v>124.34782608695652</v>
      </c>
      <c r="G37" s="658"/>
      <c r="L37" s="3" t="s">
        <v>1558</v>
      </c>
      <c r="M37" s="2">
        <v>60</v>
      </c>
      <c r="N37" s="6">
        <v>10</v>
      </c>
      <c r="O37" s="66">
        <f>'INSUMOS VARIOS'!B3</f>
        <v>3500</v>
      </c>
      <c r="P37" s="39">
        <f>O37*N37/M37</f>
        <v>583.33333333333337</v>
      </c>
      <c r="Q37" s="1"/>
      <c r="R37" s="171"/>
    </row>
    <row r="38" spans="1:18" ht="16.5" thickBot="1" x14ac:dyDescent="0.3">
      <c r="A38" s="665" t="s">
        <v>1555</v>
      </c>
      <c r="B38" s="769" t="s">
        <v>1933</v>
      </c>
      <c r="C38" s="779"/>
      <c r="D38" s="779">
        <v>2</v>
      </c>
      <c r="E38" s="668">
        <f>FORNITURAS!D5</f>
        <v>46.8</v>
      </c>
      <c r="F38" s="662">
        <f>E38*D38</f>
        <v>93.6</v>
      </c>
      <c r="G38" s="658"/>
      <c r="L38" s="79" t="s">
        <v>525</v>
      </c>
      <c r="M38" s="70"/>
      <c r="N38" s="85"/>
      <c r="O38" s="85"/>
      <c r="P38" s="51">
        <f>SUM(P31:P37)</f>
        <v>2973.4583333333335</v>
      </c>
      <c r="Q38" s="134"/>
      <c r="R38" s="171"/>
    </row>
    <row r="39" spans="1:18" x14ac:dyDescent="0.25">
      <c r="A39" s="665" t="s">
        <v>1050</v>
      </c>
      <c r="B39" s="769" t="s">
        <v>1059</v>
      </c>
      <c r="C39" s="779">
        <v>2</v>
      </c>
      <c r="D39" s="779">
        <v>0.05</v>
      </c>
      <c r="E39" s="668">
        <f>FORNITURAS!W5</f>
        <v>906.42857142857144</v>
      </c>
      <c r="F39" s="662">
        <f>E39*D39</f>
        <v>45.321428571428577</v>
      </c>
      <c r="G39" s="658"/>
      <c r="L39" s="80" t="s">
        <v>544</v>
      </c>
      <c r="M39" s="220"/>
      <c r="N39" s="220"/>
      <c r="O39" s="220"/>
      <c r="P39" s="221">
        <f>P38*2</f>
        <v>5946.916666666667</v>
      </c>
      <c r="Q39" s="492">
        <f>P39+P39*25%</f>
        <v>7433.6458333333339</v>
      </c>
      <c r="R39" s="268">
        <v>1440</v>
      </c>
    </row>
    <row r="40" spans="1:18" ht="16.5" thickBot="1" x14ac:dyDescent="0.3">
      <c r="A40" s="665" t="s">
        <v>1012</v>
      </c>
      <c r="B40" s="769"/>
      <c r="C40" s="779">
        <v>2</v>
      </c>
      <c r="D40" s="779"/>
      <c r="E40" s="668">
        <f>FORNITURAS!D17</f>
        <v>45.05</v>
      </c>
      <c r="F40" s="662">
        <f>E40*C40</f>
        <v>90.1</v>
      </c>
      <c r="G40" s="658"/>
      <c r="L40" s="275" t="s">
        <v>1559</v>
      </c>
      <c r="M40" s="269"/>
      <c r="N40" s="269"/>
      <c r="O40" s="269"/>
      <c r="P40" s="488"/>
      <c r="Q40" s="493"/>
      <c r="R40" s="281">
        <f>R39*2</f>
        <v>2880</v>
      </c>
    </row>
    <row r="41" spans="1:18" ht="16.5" thickBot="1" x14ac:dyDescent="0.3">
      <c r="A41" s="665" t="s">
        <v>1557</v>
      </c>
      <c r="B41" s="769"/>
      <c r="C41" s="779"/>
      <c r="D41" s="779"/>
      <c r="E41" s="668"/>
      <c r="F41" s="662">
        <f>PACKAGING!E3</f>
        <v>150</v>
      </c>
      <c r="G41" s="658"/>
    </row>
    <row r="42" spans="1:18" x14ac:dyDescent="0.25">
      <c r="A42" s="665" t="s">
        <v>1538</v>
      </c>
      <c r="B42" s="769"/>
      <c r="C42" s="779"/>
      <c r="D42" s="779"/>
      <c r="E42" s="668"/>
      <c r="F42" s="662">
        <f>PACKAGING!E8</f>
        <v>420</v>
      </c>
      <c r="G42" s="658"/>
      <c r="L42" s="1589" t="s">
        <v>212</v>
      </c>
      <c r="M42" s="1596"/>
      <c r="N42" s="1596"/>
      <c r="O42" s="1596"/>
      <c r="P42" s="1590"/>
      <c r="Q42" s="23"/>
      <c r="R42" s="171"/>
    </row>
    <row r="43" spans="1:18" x14ac:dyDescent="0.25">
      <c r="A43" s="665" t="s">
        <v>1558</v>
      </c>
      <c r="B43" s="769">
        <v>60</v>
      </c>
      <c r="C43" s="779"/>
      <c r="D43" s="779">
        <v>15</v>
      </c>
      <c r="E43" s="668">
        <f>'INSUMOS VARIOS'!B3</f>
        <v>3500</v>
      </c>
      <c r="F43" s="662">
        <f>E43*D43/B43</f>
        <v>875</v>
      </c>
      <c r="G43" s="658"/>
      <c r="L43" s="271" t="s">
        <v>916</v>
      </c>
      <c r="M43" s="272" t="s">
        <v>1073</v>
      </c>
      <c r="N43" s="273" t="s">
        <v>1547</v>
      </c>
      <c r="O43" s="273" t="s">
        <v>1035</v>
      </c>
      <c r="P43" s="274" t="s">
        <v>1549</v>
      </c>
      <c r="Q43" s="1"/>
      <c r="R43" s="171"/>
    </row>
    <row r="44" spans="1:18" ht="16.5" thickBot="1" x14ac:dyDescent="0.3">
      <c r="A44" s="670" t="s">
        <v>525</v>
      </c>
      <c r="B44" s="672"/>
      <c r="C44" s="780"/>
      <c r="D44" s="780"/>
      <c r="E44" s="780"/>
      <c r="F44" s="673">
        <f>SUM(F36:F43)</f>
        <v>4598.3692546583843</v>
      </c>
      <c r="G44" s="809"/>
      <c r="L44" s="3" t="s">
        <v>784</v>
      </c>
      <c r="M44" s="2" t="s">
        <v>765</v>
      </c>
      <c r="N44" s="6">
        <v>1</v>
      </c>
      <c r="O44" s="66">
        <f>'AROS, CADENAS, DIJES, ETC'!D12</f>
        <v>800</v>
      </c>
      <c r="P44" s="39">
        <f>O44</f>
        <v>800</v>
      </c>
      <c r="Q44" s="1"/>
      <c r="R44" s="171"/>
    </row>
    <row r="45" spans="1:18" x14ac:dyDescent="0.25">
      <c r="A45" s="675" t="s">
        <v>544</v>
      </c>
      <c r="B45" s="810"/>
      <c r="C45" s="810"/>
      <c r="D45" s="810"/>
      <c r="E45" s="810"/>
      <c r="F45" s="786">
        <f>F44*2</f>
        <v>9196.7385093167686</v>
      </c>
      <c r="G45" s="693">
        <f>F45+F45*25%</f>
        <v>11495.923136645961</v>
      </c>
      <c r="H45" s="682">
        <v>1500</v>
      </c>
      <c r="L45" s="3" t="s">
        <v>59</v>
      </c>
      <c r="M45" s="2"/>
      <c r="N45" s="6">
        <v>1</v>
      </c>
      <c r="O45" s="66">
        <f>'AROS, CADENAS, DIJES, ETC'!O22</f>
        <v>276</v>
      </c>
      <c r="P45" s="39">
        <f>O45</f>
        <v>276</v>
      </c>
      <c r="Q45" s="1"/>
      <c r="R45" s="171"/>
    </row>
    <row r="46" spans="1:18" ht="16.5" thickBot="1" x14ac:dyDescent="0.3">
      <c r="A46" s="812" t="s">
        <v>1559</v>
      </c>
      <c r="B46" s="813"/>
      <c r="C46" s="813"/>
      <c r="D46" s="813"/>
      <c r="E46" s="813"/>
      <c r="F46" s="816"/>
      <c r="G46" s="694"/>
      <c r="H46" s="815">
        <f>H45*2</f>
        <v>3000</v>
      </c>
      <c r="L46" s="1613" t="s">
        <v>1555</v>
      </c>
      <c r="M46" s="2" t="s">
        <v>1556</v>
      </c>
      <c r="N46" s="6">
        <v>1</v>
      </c>
      <c r="O46" s="66">
        <f>FORNITURAS!D4</f>
        <v>48.7</v>
      </c>
      <c r="P46" s="39">
        <f>O46*N46</f>
        <v>48.7</v>
      </c>
      <c r="Q46" s="1"/>
      <c r="R46" s="171"/>
    </row>
    <row r="47" spans="1:18" ht="16.5" thickBot="1" x14ac:dyDescent="0.3">
      <c r="L47" s="1615"/>
      <c r="M47" s="2" t="s">
        <v>1573</v>
      </c>
      <c r="N47" s="6">
        <v>1</v>
      </c>
      <c r="O47" s="66">
        <f>FORNITURAS!D7</f>
        <v>52</v>
      </c>
      <c r="P47" s="39">
        <f>O47*N47</f>
        <v>52</v>
      </c>
      <c r="Q47" s="1"/>
      <c r="R47" s="171"/>
    </row>
    <row r="48" spans="1:18" x14ac:dyDescent="0.25">
      <c r="A48" s="1766" t="s">
        <v>140</v>
      </c>
      <c r="B48" s="1767"/>
      <c r="C48" s="1767"/>
      <c r="D48" s="1767"/>
      <c r="E48" s="1768"/>
      <c r="F48" s="804"/>
      <c r="L48" s="3" t="s">
        <v>1557</v>
      </c>
      <c r="M48" s="2"/>
      <c r="N48" s="6"/>
      <c r="O48" s="66"/>
      <c r="P48" s="39">
        <f>PACKAGING!E3</f>
        <v>150</v>
      </c>
      <c r="Q48" s="1"/>
      <c r="R48" s="171"/>
    </row>
    <row r="49" spans="1:18" x14ac:dyDescent="0.25">
      <c r="A49" s="805" t="s">
        <v>916</v>
      </c>
      <c r="B49" s="806" t="s">
        <v>1073</v>
      </c>
      <c r="C49" s="807" t="s">
        <v>1547</v>
      </c>
      <c r="D49" s="807" t="s">
        <v>1035</v>
      </c>
      <c r="E49" s="808" t="s">
        <v>1549</v>
      </c>
      <c r="F49" s="658"/>
      <c r="L49" s="3" t="s">
        <v>1538</v>
      </c>
      <c r="M49" s="2"/>
      <c r="N49" s="6"/>
      <c r="O49" s="66"/>
      <c r="P49" s="39">
        <f>PACKAGING!E8</f>
        <v>420</v>
      </c>
      <c r="Q49" s="1"/>
      <c r="R49" s="171"/>
    </row>
    <row r="50" spans="1:18" ht="16.5" thickBot="1" x14ac:dyDescent="0.3">
      <c r="A50" s="665" t="s">
        <v>784</v>
      </c>
      <c r="B50" s="769" t="s">
        <v>785</v>
      </c>
      <c r="C50" s="779">
        <v>1</v>
      </c>
      <c r="D50" s="668">
        <f>'AROS, CADENAS, DIJES, ETC'!C8</f>
        <v>2800</v>
      </c>
      <c r="E50" s="662">
        <f>D50</f>
        <v>2800</v>
      </c>
      <c r="F50" s="658"/>
      <c r="L50" s="79" t="s">
        <v>525</v>
      </c>
      <c r="M50" s="70"/>
      <c r="N50" s="85"/>
      <c r="O50" s="85"/>
      <c r="P50" s="51">
        <f>SUM(P44:P49)</f>
        <v>1746.7</v>
      </c>
      <c r="Q50" s="134"/>
      <c r="R50" s="171"/>
    </row>
    <row r="51" spans="1:18" x14ac:dyDescent="0.25">
      <c r="A51" s="1736" t="s">
        <v>1691</v>
      </c>
      <c r="B51" s="769" t="s">
        <v>2058</v>
      </c>
      <c r="C51" s="779">
        <v>4</v>
      </c>
      <c r="D51" s="668">
        <f>PERLAS!F25</f>
        <v>106.45161290322581</v>
      </c>
      <c r="E51" s="662">
        <f t="shared" ref="E51:E60" si="1">D51*C51</f>
        <v>425.80645161290323</v>
      </c>
      <c r="F51" s="658"/>
      <c r="L51" s="80" t="s">
        <v>544</v>
      </c>
      <c r="M51" s="220"/>
      <c r="N51" s="220"/>
      <c r="O51" s="220"/>
      <c r="P51" s="72">
        <f>P50*2</f>
        <v>3493.4</v>
      </c>
      <c r="Q51" s="496">
        <f>P51+P51*25%</f>
        <v>4366.75</v>
      </c>
      <c r="R51" s="268">
        <v>1240</v>
      </c>
    </row>
    <row r="52" spans="1:18" ht="16.5" thickBot="1" x14ac:dyDescent="0.3">
      <c r="A52" s="1758"/>
      <c r="B52" s="769" t="s">
        <v>1313</v>
      </c>
      <c r="C52" s="779">
        <v>1</v>
      </c>
      <c r="D52" s="668">
        <f>PERLAS!F14</f>
        <v>103.125</v>
      </c>
      <c r="E52" s="662">
        <f t="shared" si="1"/>
        <v>103.125</v>
      </c>
      <c r="F52" s="658"/>
      <c r="L52" s="275" t="s">
        <v>1559</v>
      </c>
      <c r="M52" s="269"/>
      <c r="N52" s="269"/>
      <c r="O52" s="269"/>
      <c r="P52" s="493"/>
      <c r="Q52" s="505"/>
      <c r="R52" s="281">
        <f>R51*2</f>
        <v>2480</v>
      </c>
    </row>
    <row r="53" spans="1:18" ht="16.5" thickBot="1" x14ac:dyDescent="0.3">
      <c r="A53" s="1737"/>
      <c r="B53" s="769" t="s">
        <v>2059</v>
      </c>
      <c r="C53" s="779">
        <v>1</v>
      </c>
      <c r="D53" s="668">
        <f>PERLAS!F14</f>
        <v>103.125</v>
      </c>
      <c r="E53" s="662">
        <f t="shared" si="1"/>
        <v>103.125</v>
      </c>
      <c r="F53" s="658"/>
    </row>
    <row r="54" spans="1:18" x14ac:dyDescent="0.25">
      <c r="A54" s="665" t="s">
        <v>2060</v>
      </c>
      <c r="B54" s="769"/>
      <c r="C54" s="779">
        <v>1</v>
      </c>
      <c r="D54" s="668" t="e">
        <f>PIEDRAS!#REF!</f>
        <v>#REF!</v>
      </c>
      <c r="E54" s="662" t="e">
        <f t="shared" si="1"/>
        <v>#REF!</v>
      </c>
      <c r="F54" s="658"/>
      <c r="L54" s="1589" t="s">
        <v>2061</v>
      </c>
      <c r="M54" s="1596"/>
      <c r="N54" s="1596"/>
      <c r="O54" s="1596"/>
      <c r="P54" s="1590"/>
      <c r="Q54" s="23"/>
      <c r="R54" s="171"/>
    </row>
    <row r="55" spans="1:18" x14ac:dyDescent="0.25">
      <c r="A55" s="665" t="s">
        <v>1859</v>
      </c>
      <c r="B55" s="769"/>
      <c r="C55" s="779">
        <v>3</v>
      </c>
      <c r="D55" s="668">
        <f>'PALAIS DU BIJOU'!N50</f>
        <v>37.313432835820898</v>
      </c>
      <c r="E55" s="662">
        <f t="shared" si="1"/>
        <v>111.9402985074627</v>
      </c>
      <c r="F55" s="658"/>
      <c r="L55" s="271" t="s">
        <v>916</v>
      </c>
      <c r="M55" s="272" t="s">
        <v>1073</v>
      </c>
      <c r="N55" s="273" t="s">
        <v>1547</v>
      </c>
      <c r="O55" s="273" t="s">
        <v>1035</v>
      </c>
      <c r="P55" s="274" t="s">
        <v>1549</v>
      </c>
      <c r="Q55" s="1"/>
      <c r="R55" s="171"/>
    </row>
    <row r="56" spans="1:18" x14ac:dyDescent="0.25">
      <c r="A56" s="663" t="s">
        <v>2062</v>
      </c>
      <c r="B56" s="769"/>
      <c r="C56" s="779">
        <v>1</v>
      </c>
      <c r="D56" s="668">
        <f>VIDRIOS!E21</f>
        <v>65</v>
      </c>
      <c r="E56" s="662">
        <f t="shared" si="1"/>
        <v>65</v>
      </c>
      <c r="F56" s="658"/>
      <c r="L56" s="3" t="s">
        <v>784</v>
      </c>
      <c r="M56" s="2" t="s">
        <v>789</v>
      </c>
      <c r="N56" s="6">
        <v>1</v>
      </c>
      <c r="O56" s="66">
        <f>'AROS, CADENAS, DIJES, ETC'!D9</f>
        <v>1500</v>
      </c>
      <c r="P56" s="39">
        <f>O56</f>
        <v>1500</v>
      </c>
      <c r="Q56" s="1"/>
      <c r="R56" s="171"/>
    </row>
    <row r="57" spans="1:18" x14ac:dyDescent="0.25">
      <c r="A57" s="1736" t="s">
        <v>1050</v>
      </c>
      <c r="B57" s="769" t="s">
        <v>1059</v>
      </c>
      <c r="C57" s="779">
        <v>0.08</v>
      </c>
      <c r="D57" s="668">
        <f>FORNITURAS!W5</f>
        <v>906.42857142857144</v>
      </c>
      <c r="E57" s="662">
        <f t="shared" si="1"/>
        <v>72.51428571428572</v>
      </c>
      <c r="F57" s="658"/>
      <c r="L57" s="3" t="s">
        <v>2063</v>
      </c>
      <c r="M57" s="2"/>
      <c r="N57" s="6">
        <v>1</v>
      </c>
      <c r="O57" s="66">
        <f>'AROS, CADENAS, DIJES, ETC'!O41</f>
        <v>300</v>
      </c>
      <c r="P57" s="39">
        <f>O57*N57</f>
        <v>300</v>
      </c>
      <c r="Q57" s="1"/>
      <c r="R57" s="171"/>
    </row>
    <row r="58" spans="1:18" x14ac:dyDescent="0.25">
      <c r="A58" s="1737"/>
      <c r="B58" s="769" t="s">
        <v>1059</v>
      </c>
      <c r="C58" s="779">
        <v>0.06</v>
      </c>
      <c r="D58" s="668">
        <f>D57</f>
        <v>906.42857142857144</v>
      </c>
      <c r="E58" s="662">
        <f t="shared" si="1"/>
        <v>54.385714285714286</v>
      </c>
      <c r="F58" s="658"/>
      <c r="L58" s="3" t="s">
        <v>1557</v>
      </c>
      <c r="M58" s="2"/>
      <c r="N58" s="6"/>
      <c r="O58" s="66"/>
      <c r="P58" s="39">
        <f>PACKAGING!E3</f>
        <v>150</v>
      </c>
      <c r="Q58" s="1"/>
      <c r="R58" s="171"/>
    </row>
    <row r="59" spans="1:18" x14ac:dyDescent="0.25">
      <c r="A59" s="665" t="s">
        <v>1012</v>
      </c>
      <c r="B59" s="769"/>
      <c r="C59" s="779">
        <v>2</v>
      </c>
      <c r="D59" s="668">
        <f>FORNITURAS!D17</f>
        <v>45.05</v>
      </c>
      <c r="E59" s="662">
        <f t="shared" si="1"/>
        <v>90.1</v>
      </c>
      <c r="F59" s="658"/>
      <c r="L59" s="3" t="s">
        <v>1538</v>
      </c>
      <c r="M59" s="2"/>
      <c r="N59" s="6"/>
      <c r="O59" s="66"/>
      <c r="P59" s="39">
        <f>PACKAGING!E8</f>
        <v>420</v>
      </c>
      <c r="Q59" s="1"/>
      <c r="R59" s="171"/>
    </row>
    <row r="60" spans="1:18" ht="16.5" thickBot="1" x14ac:dyDescent="0.3">
      <c r="A60" s="665" t="s">
        <v>1555</v>
      </c>
      <c r="B60" s="769" t="s">
        <v>1933</v>
      </c>
      <c r="C60" s="779">
        <v>2</v>
      </c>
      <c r="D60" s="668">
        <f>FORNITURAS!D4</f>
        <v>48.7</v>
      </c>
      <c r="E60" s="662">
        <f t="shared" si="1"/>
        <v>97.4</v>
      </c>
      <c r="F60" s="658"/>
      <c r="L60" s="79" t="s">
        <v>525</v>
      </c>
      <c r="M60" s="70"/>
      <c r="N60" s="85"/>
      <c r="O60" s="85"/>
      <c r="P60" s="51">
        <f>SUM(P56:P59)</f>
        <v>2370</v>
      </c>
      <c r="Q60" s="134"/>
      <c r="R60" s="171"/>
    </row>
    <row r="61" spans="1:18" x14ac:dyDescent="0.25">
      <c r="A61" s="665" t="s">
        <v>1557</v>
      </c>
      <c r="B61" s="769"/>
      <c r="C61" s="779"/>
      <c r="D61" s="668"/>
      <c r="E61" s="662">
        <f>PACKAGING!E3</f>
        <v>150</v>
      </c>
      <c r="F61" s="658"/>
      <c r="L61" s="80" t="s">
        <v>544</v>
      </c>
      <c r="M61" s="220"/>
      <c r="N61" s="220"/>
      <c r="O61" s="220"/>
      <c r="P61" s="267">
        <f>P60*2</f>
        <v>4740</v>
      </c>
      <c r="Q61" s="492">
        <f>P61+P61*25%</f>
        <v>5925</v>
      </c>
      <c r="R61" s="268">
        <v>1250</v>
      </c>
    </row>
    <row r="62" spans="1:18" ht="16.5" thickBot="1" x14ac:dyDescent="0.3">
      <c r="A62" s="665" t="s">
        <v>1538</v>
      </c>
      <c r="B62" s="769"/>
      <c r="C62" s="779"/>
      <c r="D62" s="668"/>
      <c r="E62" s="662">
        <f>PACKAGING!E8</f>
        <v>420</v>
      </c>
      <c r="F62" s="658"/>
      <c r="L62" s="275" t="s">
        <v>1559</v>
      </c>
      <c r="M62" s="269"/>
      <c r="N62" s="269"/>
      <c r="O62" s="269"/>
      <c r="P62" s="270"/>
      <c r="Q62" s="493"/>
      <c r="R62" s="281">
        <f>R61*2</f>
        <v>2500</v>
      </c>
    </row>
    <row r="63" spans="1:18" ht="16.5" thickBot="1" x14ac:dyDescent="0.3">
      <c r="A63" s="665" t="s">
        <v>1558</v>
      </c>
      <c r="B63" s="769">
        <v>60</v>
      </c>
      <c r="C63" s="779">
        <v>15</v>
      </c>
      <c r="D63" s="668">
        <f>'INSUMOS VARIOS'!B3</f>
        <v>3500</v>
      </c>
      <c r="E63" s="662">
        <f>D63*C63/B63</f>
        <v>875</v>
      </c>
      <c r="F63" s="658"/>
      <c r="L63"/>
      <c r="M63"/>
      <c r="N63"/>
      <c r="O63"/>
      <c r="P63"/>
      <c r="Q63"/>
      <c r="R63"/>
    </row>
    <row r="64" spans="1:18" ht="16.5" thickBot="1" x14ac:dyDescent="0.3">
      <c r="A64" s="670" t="s">
        <v>525</v>
      </c>
      <c r="B64" s="672"/>
      <c r="C64" s="780"/>
      <c r="D64" s="780"/>
      <c r="E64" s="673" t="e">
        <f>SUM(E50:E63)</f>
        <v>#REF!</v>
      </c>
      <c r="F64" s="809"/>
      <c r="L64" s="1589" t="s">
        <v>225</v>
      </c>
      <c r="M64" s="1596"/>
      <c r="N64" s="1596"/>
      <c r="O64" s="1596"/>
      <c r="P64" s="1590"/>
      <c r="Q64" s="23"/>
      <c r="R64" s="171"/>
    </row>
    <row r="65" spans="1:18" x14ac:dyDescent="0.25">
      <c r="A65" s="675" t="s">
        <v>544</v>
      </c>
      <c r="B65" s="810"/>
      <c r="C65" s="810"/>
      <c r="D65" s="810"/>
      <c r="E65" s="692" t="e">
        <f>E64*2</f>
        <v>#REF!</v>
      </c>
      <c r="F65" s="811" t="e">
        <f>E65+E65*25%</f>
        <v>#REF!</v>
      </c>
      <c r="G65" s="682">
        <v>1700</v>
      </c>
      <c r="L65" s="271" t="s">
        <v>916</v>
      </c>
      <c r="M65" s="272" t="s">
        <v>1073</v>
      </c>
      <c r="N65" s="273" t="s">
        <v>1547</v>
      </c>
      <c r="O65" s="273" t="s">
        <v>1035</v>
      </c>
      <c r="P65" s="274" t="s">
        <v>1549</v>
      </c>
      <c r="Q65" s="1"/>
      <c r="R65" s="171"/>
    </row>
    <row r="66" spans="1:18" ht="16.5" thickBot="1" x14ac:dyDescent="0.3">
      <c r="A66" s="812" t="s">
        <v>1559</v>
      </c>
      <c r="B66" s="813"/>
      <c r="C66" s="813"/>
      <c r="D66" s="813"/>
      <c r="E66" s="694"/>
      <c r="F66" s="814"/>
      <c r="G66" s="815">
        <f>G65*2</f>
        <v>3400</v>
      </c>
      <c r="L66" s="3" t="s">
        <v>784</v>
      </c>
      <c r="M66" s="2" t="s">
        <v>785</v>
      </c>
      <c r="N66" s="6">
        <v>1</v>
      </c>
      <c r="O66" s="66">
        <f>'AROS, CADENAS, DIJES, ETC'!D8</f>
        <v>1400</v>
      </c>
      <c r="P66" s="39">
        <f>O66</f>
        <v>1400</v>
      </c>
      <c r="Q66" s="1"/>
      <c r="R66" s="171"/>
    </row>
    <row r="67" spans="1:18" x14ac:dyDescent="0.25">
      <c r="L67" s="3" t="s">
        <v>2064</v>
      </c>
      <c r="M67" s="2"/>
      <c r="N67" s="6">
        <v>1</v>
      </c>
      <c r="O67" s="66">
        <f>'INSUMOS VARIOS'!K24</f>
        <v>431.5</v>
      </c>
      <c r="P67" s="39">
        <f>O67*N67</f>
        <v>431.5</v>
      </c>
      <c r="Q67" s="1"/>
      <c r="R67" s="171"/>
    </row>
    <row r="68" spans="1:18" x14ac:dyDescent="0.25">
      <c r="A68" s="1764" t="s">
        <v>139</v>
      </c>
      <c r="B68" s="1765"/>
      <c r="C68" s="1765"/>
      <c r="D68" s="1765"/>
      <c r="E68" s="1765"/>
      <c r="L68" s="3" t="s">
        <v>1742</v>
      </c>
      <c r="M68" s="2"/>
      <c r="N68" s="6">
        <v>1</v>
      </c>
      <c r="O68" s="66">
        <f>PERLAS!F14</f>
        <v>103.125</v>
      </c>
      <c r="P68" s="39">
        <f>O68*N68</f>
        <v>103.125</v>
      </c>
      <c r="Q68" s="1"/>
      <c r="R68" s="171"/>
    </row>
    <row r="69" spans="1:18" x14ac:dyDescent="0.25">
      <c r="A69" s="805" t="s">
        <v>916</v>
      </c>
      <c r="B69" s="806" t="s">
        <v>1073</v>
      </c>
      <c r="C69" s="807" t="s">
        <v>1547</v>
      </c>
      <c r="D69" s="807" t="s">
        <v>1035</v>
      </c>
      <c r="E69" s="808" t="s">
        <v>1549</v>
      </c>
      <c r="F69" s="658"/>
      <c r="L69" s="3" t="s">
        <v>1743</v>
      </c>
      <c r="M69" s="2" t="s">
        <v>1744</v>
      </c>
      <c r="N69" s="6">
        <v>1</v>
      </c>
      <c r="O69" s="66">
        <f>FORNITURAS!D15</f>
        <v>142</v>
      </c>
      <c r="P69" s="39">
        <f>O69*N69</f>
        <v>142</v>
      </c>
      <c r="Q69" s="1"/>
      <c r="R69" s="171"/>
    </row>
    <row r="70" spans="1:18" x14ac:dyDescent="0.25">
      <c r="A70" s="665" t="s">
        <v>748</v>
      </c>
      <c r="B70" s="769" t="s">
        <v>789</v>
      </c>
      <c r="C70" s="779">
        <v>1</v>
      </c>
      <c r="D70" s="668">
        <f>'AROS, CADENAS, DIJES, ETC'!C4</f>
        <v>1200</v>
      </c>
      <c r="E70" s="662">
        <f>D70*C70</f>
        <v>1200</v>
      </c>
      <c r="F70" s="658"/>
      <c r="L70" s="3" t="s">
        <v>1557</v>
      </c>
      <c r="M70" s="2"/>
      <c r="N70" s="6"/>
      <c r="O70" s="66"/>
      <c r="P70" s="39">
        <f>PACKAGING!E3</f>
        <v>150</v>
      </c>
      <c r="Q70" s="1"/>
      <c r="R70" s="171"/>
    </row>
    <row r="71" spans="1:18" x14ac:dyDescent="0.25">
      <c r="A71" s="665" t="s">
        <v>1691</v>
      </c>
      <c r="B71" s="769"/>
      <c r="C71" s="779">
        <v>4</v>
      </c>
      <c r="D71" s="668" t="e">
        <f>PIEDRAS!#REF!</f>
        <v>#REF!</v>
      </c>
      <c r="E71" s="662" t="e">
        <f>D71*C71</f>
        <v>#REF!</v>
      </c>
      <c r="F71" s="658"/>
      <c r="L71" s="3" t="s">
        <v>1538</v>
      </c>
      <c r="M71" s="2"/>
      <c r="N71" s="6"/>
      <c r="O71" s="66"/>
      <c r="P71" s="39">
        <f>PACKAGING!E8</f>
        <v>420</v>
      </c>
      <c r="Q71" s="1"/>
      <c r="R71" s="171"/>
    </row>
    <row r="72" spans="1:18" x14ac:dyDescent="0.25">
      <c r="A72" s="665" t="s">
        <v>2065</v>
      </c>
      <c r="B72" s="769"/>
      <c r="C72" s="779">
        <v>1</v>
      </c>
      <c r="D72" s="668">
        <f>'INSUMOS VARIOS'!E48</f>
        <v>227</v>
      </c>
      <c r="E72" s="662">
        <f>D72*C72</f>
        <v>227</v>
      </c>
      <c r="L72" s="3" t="s">
        <v>1558</v>
      </c>
      <c r="M72" s="2">
        <v>60</v>
      </c>
      <c r="N72" s="6">
        <v>10</v>
      </c>
      <c r="O72" s="66">
        <f>'INSUMOS VARIOS'!B3</f>
        <v>3500</v>
      </c>
      <c r="P72" s="39">
        <f>O72*N72/M72</f>
        <v>583.33333333333337</v>
      </c>
      <c r="Q72" s="1"/>
      <c r="R72" s="171"/>
    </row>
    <row r="73" spans="1:18" ht="16.5" thickBot="1" x14ac:dyDescent="0.3">
      <c r="A73" s="663" t="s">
        <v>1743</v>
      </c>
      <c r="B73" s="769" t="s">
        <v>1744</v>
      </c>
      <c r="C73" s="779">
        <v>1</v>
      </c>
      <c r="D73" s="668">
        <f>FORNITURAS!D15</f>
        <v>142</v>
      </c>
      <c r="E73" s="662">
        <f>D73*C73</f>
        <v>142</v>
      </c>
      <c r="F73" s="658"/>
      <c r="L73" s="79" t="s">
        <v>525</v>
      </c>
      <c r="M73" s="70"/>
      <c r="N73" s="85"/>
      <c r="O73" s="85"/>
      <c r="P73" s="51">
        <f>SUM(P66:P72)</f>
        <v>3229.9583333333335</v>
      </c>
      <c r="Q73" s="134"/>
      <c r="R73" s="171"/>
    </row>
    <row r="74" spans="1:18" x14ac:dyDescent="0.25">
      <c r="A74" s="663" t="s">
        <v>1555</v>
      </c>
      <c r="B74" s="769" t="s">
        <v>1933</v>
      </c>
      <c r="C74" s="779">
        <v>2</v>
      </c>
      <c r="D74" s="668">
        <f>FORNITURAS!D5</f>
        <v>46.8</v>
      </c>
      <c r="E74" s="662">
        <f>D74*C74</f>
        <v>93.6</v>
      </c>
      <c r="F74" s="658"/>
      <c r="L74" s="80" t="s">
        <v>544</v>
      </c>
      <c r="M74" s="220"/>
      <c r="N74" s="220"/>
      <c r="O74" s="220"/>
      <c r="P74" s="221">
        <f>P73*2</f>
        <v>6459.916666666667</v>
      </c>
      <c r="Q74" s="492">
        <f>P74+P74*25%</f>
        <v>8074.8958333333339</v>
      </c>
      <c r="R74" s="268">
        <v>1440</v>
      </c>
    </row>
    <row r="75" spans="1:18" ht="16.5" thickBot="1" x14ac:dyDescent="0.3">
      <c r="A75" s="665" t="s">
        <v>1557</v>
      </c>
      <c r="B75" s="769"/>
      <c r="C75" s="779"/>
      <c r="D75" s="668"/>
      <c r="E75" s="662">
        <f>PACKAGING!E3</f>
        <v>150</v>
      </c>
      <c r="F75" s="658"/>
      <c r="L75" s="275" t="s">
        <v>1559</v>
      </c>
      <c r="M75" s="269"/>
      <c r="N75" s="269"/>
      <c r="O75" s="269"/>
      <c r="P75" s="488"/>
      <c r="Q75" s="493"/>
      <c r="R75" s="281">
        <f>R74*2</f>
        <v>2880</v>
      </c>
    </row>
    <row r="76" spans="1:18" x14ac:dyDescent="0.25">
      <c r="A76" s="665" t="s">
        <v>1538</v>
      </c>
      <c r="B76" s="769"/>
      <c r="C76" s="779"/>
      <c r="D76" s="668"/>
      <c r="E76" s="662">
        <f>PACKAGING!E8</f>
        <v>420</v>
      </c>
      <c r="F76" s="658"/>
      <c r="L76"/>
      <c r="M76"/>
      <c r="N76"/>
      <c r="O76"/>
      <c r="P76"/>
      <c r="Q76"/>
      <c r="R76"/>
    </row>
    <row r="77" spans="1:18" x14ac:dyDescent="0.25">
      <c r="A77" s="665" t="s">
        <v>1558</v>
      </c>
      <c r="B77" s="769">
        <v>60</v>
      </c>
      <c r="C77" s="779">
        <v>10</v>
      </c>
      <c r="D77" s="668">
        <f>'INSUMOS VARIOS'!B3</f>
        <v>3500</v>
      </c>
      <c r="E77" s="662">
        <f>D77*C77/B77</f>
        <v>583.33333333333337</v>
      </c>
      <c r="F77" s="658"/>
      <c r="L77"/>
      <c r="M77"/>
      <c r="N77"/>
      <c r="O77"/>
      <c r="P77"/>
      <c r="Q77"/>
      <c r="R77"/>
    </row>
    <row r="78" spans="1:18" ht="16.5" thickBot="1" x14ac:dyDescent="0.3">
      <c r="A78" s="670" t="s">
        <v>525</v>
      </c>
      <c r="B78" s="672"/>
      <c r="C78" s="780"/>
      <c r="D78" s="780"/>
      <c r="E78" s="673" t="e">
        <f>SUM(E70:E77)</f>
        <v>#REF!</v>
      </c>
      <c r="F78" s="809"/>
      <c r="L78"/>
      <c r="M78"/>
      <c r="N78"/>
      <c r="O78"/>
      <c r="P78"/>
      <c r="Q78"/>
      <c r="R78"/>
    </row>
    <row r="79" spans="1:18" x14ac:dyDescent="0.25">
      <c r="A79" s="675" t="s">
        <v>544</v>
      </c>
      <c r="B79" s="810"/>
      <c r="C79" s="810"/>
      <c r="D79" s="810"/>
      <c r="E79" s="692" t="e">
        <f>E78*2</f>
        <v>#REF!</v>
      </c>
      <c r="F79" s="817" t="e">
        <f>E79+E79*25%</f>
        <v>#REF!</v>
      </c>
      <c r="G79" s="682">
        <v>1900</v>
      </c>
    </row>
    <row r="80" spans="1:18" ht="16.5" thickBot="1" x14ac:dyDescent="0.3">
      <c r="A80" s="812" t="s">
        <v>1559</v>
      </c>
      <c r="B80" s="813"/>
      <c r="C80" s="813"/>
      <c r="D80" s="813"/>
      <c r="E80" s="694"/>
      <c r="F80" s="818"/>
      <c r="G80" s="815">
        <f>G79*2</f>
        <v>3800</v>
      </c>
    </row>
    <row r="82" spans="1:8" x14ac:dyDescent="0.25">
      <c r="A82" s="1764" t="s">
        <v>142</v>
      </c>
      <c r="B82" s="1765"/>
      <c r="C82" s="1765"/>
      <c r="D82" s="1765"/>
      <c r="E82" s="1765"/>
      <c r="F82" s="1765"/>
    </row>
    <row r="83" spans="1:8" x14ac:dyDescent="0.25">
      <c r="A83" s="805" t="s">
        <v>916</v>
      </c>
      <c r="B83" s="806" t="s">
        <v>1073</v>
      </c>
      <c r="C83" s="807" t="s">
        <v>1089</v>
      </c>
      <c r="D83" s="807" t="s">
        <v>1547</v>
      </c>
      <c r="E83" s="807" t="s">
        <v>1035</v>
      </c>
      <c r="F83" s="808" t="s">
        <v>1549</v>
      </c>
      <c r="G83" s="658"/>
    </row>
    <row r="84" spans="1:8" x14ac:dyDescent="0.25">
      <c r="A84" s="665" t="s">
        <v>811</v>
      </c>
      <c r="B84" s="769"/>
      <c r="C84" s="779"/>
      <c r="D84" s="779" t="s">
        <v>1649</v>
      </c>
      <c r="E84" s="668">
        <f>'AROS, CADENAS, DIJES, ETC'!C15</f>
        <v>1410</v>
      </c>
      <c r="F84" s="662">
        <f>E84</f>
        <v>1410</v>
      </c>
      <c r="G84" s="658"/>
    </row>
    <row r="85" spans="1:8" x14ac:dyDescent="0.25">
      <c r="A85" s="665" t="s">
        <v>2066</v>
      </c>
      <c r="B85" s="769"/>
      <c r="C85" s="779">
        <v>0.4</v>
      </c>
      <c r="D85" s="779">
        <v>0.05</v>
      </c>
      <c r="E85" s="668">
        <f>'INSUMOS VARIOS'!E64</f>
        <v>600</v>
      </c>
      <c r="F85" s="662">
        <f>E85*D85/C85</f>
        <v>75</v>
      </c>
      <c r="G85" s="658"/>
    </row>
    <row r="86" spans="1:8" x14ac:dyDescent="0.25">
      <c r="A86" s="665" t="s">
        <v>2067</v>
      </c>
      <c r="B86" s="769"/>
      <c r="C86" s="779"/>
      <c r="D86" s="779">
        <v>2</v>
      </c>
      <c r="E86" s="668" t="e">
        <f>PIEDRAS!#REF!</f>
        <v>#REF!</v>
      </c>
      <c r="F86" s="662" t="e">
        <f>E86*D86</f>
        <v>#REF!</v>
      </c>
      <c r="G86" s="658"/>
    </row>
    <row r="87" spans="1:8" x14ac:dyDescent="0.25">
      <c r="A87" s="658" t="s">
        <v>1667</v>
      </c>
      <c r="B87" s="769" t="s">
        <v>1744</v>
      </c>
      <c r="C87" s="779"/>
      <c r="D87" s="779">
        <v>2</v>
      </c>
      <c r="E87" s="668">
        <f>FORNITURAS!D15</f>
        <v>142</v>
      </c>
      <c r="F87" s="662">
        <f>E87*D87</f>
        <v>284</v>
      </c>
      <c r="G87" s="658"/>
    </row>
    <row r="88" spans="1:8" x14ac:dyDescent="0.25">
      <c r="A88" s="659" t="s">
        <v>1050</v>
      </c>
      <c r="B88" s="769" t="s">
        <v>1059</v>
      </c>
      <c r="C88" s="779"/>
      <c r="D88" s="779">
        <v>0.08</v>
      </c>
      <c r="E88" s="668">
        <f>FORNITURAS!W5</f>
        <v>906.42857142857144</v>
      </c>
      <c r="F88" s="662">
        <f>E88*D88</f>
        <v>72.51428571428572</v>
      </c>
      <c r="G88" s="658"/>
    </row>
    <row r="89" spans="1:8" x14ac:dyDescent="0.25">
      <c r="A89" s="665" t="s">
        <v>1557</v>
      </c>
      <c r="B89" s="769"/>
      <c r="C89" s="779"/>
      <c r="D89" s="779"/>
      <c r="E89" s="668"/>
      <c r="F89" s="662">
        <f>PACKAGING!E3</f>
        <v>150</v>
      </c>
      <c r="G89" s="658"/>
    </row>
    <row r="90" spans="1:8" x14ac:dyDescent="0.25">
      <c r="A90" s="665" t="s">
        <v>1538</v>
      </c>
      <c r="B90" s="769"/>
      <c r="C90" s="779"/>
      <c r="D90" s="779"/>
      <c r="E90" s="668"/>
      <c r="F90" s="662">
        <f>PACKAGING!E9</f>
        <v>450</v>
      </c>
      <c r="G90" s="658"/>
    </row>
    <row r="91" spans="1:8" x14ac:dyDescent="0.25">
      <c r="A91" s="665" t="s">
        <v>1558</v>
      </c>
      <c r="B91" s="769">
        <v>60</v>
      </c>
      <c r="C91" s="779">
        <v>15</v>
      </c>
      <c r="D91" s="779"/>
      <c r="E91" s="668">
        <v>450</v>
      </c>
      <c r="F91" s="662">
        <f>E91*C91/B91</f>
        <v>112.5</v>
      </c>
      <c r="G91" s="658"/>
    </row>
    <row r="92" spans="1:8" ht="16.5" thickBot="1" x14ac:dyDescent="0.3">
      <c r="A92" s="670" t="s">
        <v>525</v>
      </c>
      <c r="B92" s="672"/>
      <c r="C92" s="780"/>
      <c r="D92" s="780"/>
      <c r="E92" s="780"/>
      <c r="F92" s="673" t="e">
        <f>SUM(F84:F91)</f>
        <v>#REF!</v>
      </c>
      <c r="G92" s="809"/>
    </row>
    <row r="93" spans="1:8" x14ac:dyDescent="0.25">
      <c r="A93" s="675" t="s">
        <v>544</v>
      </c>
      <c r="B93" s="810"/>
      <c r="C93" s="810"/>
      <c r="D93" s="810"/>
      <c r="E93" s="810"/>
      <c r="F93" s="678" t="e">
        <f>F92*2</f>
        <v>#REF!</v>
      </c>
      <c r="G93" s="693" t="e">
        <f>F93+F93*25%</f>
        <v>#REF!</v>
      </c>
      <c r="H93" s="682">
        <v>2100</v>
      </c>
    </row>
    <row r="94" spans="1:8" ht="16.5" thickBot="1" x14ac:dyDescent="0.3">
      <c r="A94" s="812" t="s">
        <v>1559</v>
      </c>
      <c r="B94" s="813"/>
      <c r="C94" s="813"/>
      <c r="D94" s="813"/>
      <c r="E94" s="813"/>
      <c r="F94" s="819"/>
      <c r="G94" s="694"/>
      <c r="H94" s="815">
        <f>H93*2</f>
        <v>4200</v>
      </c>
    </row>
    <row r="96" spans="1:8" x14ac:dyDescent="0.25">
      <c r="A96" s="1764" t="s">
        <v>153</v>
      </c>
      <c r="B96" s="1765"/>
      <c r="C96" s="1765"/>
      <c r="D96" s="1765"/>
      <c r="E96" s="1765"/>
      <c r="F96" s="1765"/>
    </row>
    <row r="97" spans="1:8" x14ac:dyDescent="0.25">
      <c r="A97" s="805" t="s">
        <v>916</v>
      </c>
      <c r="B97" s="806" t="s">
        <v>1073</v>
      </c>
      <c r="C97" s="807" t="s">
        <v>1089</v>
      </c>
      <c r="D97" s="807" t="s">
        <v>1547</v>
      </c>
      <c r="E97" s="807" t="s">
        <v>1035</v>
      </c>
      <c r="F97" s="808" t="s">
        <v>1549</v>
      </c>
      <c r="G97" s="658"/>
    </row>
    <row r="98" spans="1:8" x14ac:dyDescent="0.25">
      <c r="A98" s="665" t="s">
        <v>784</v>
      </c>
      <c r="B98" s="769" t="s">
        <v>789</v>
      </c>
      <c r="C98" s="779"/>
      <c r="D98" s="779" t="s">
        <v>1649</v>
      </c>
      <c r="E98" s="668">
        <f>'AROS, CADENAS, DIJES, ETC'!C9</f>
        <v>3000</v>
      </c>
      <c r="F98" s="662">
        <f>E98</f>
        <v>3000</v>
      </c>
      <c r="G98" s="658"/>
    </row>
    <row r="99" spans="1:8" x14ac:dyDescent="0.25">
      <c r="A99" s="665" t="s">
        <v>1804</v>
      </c>
      <c r="B99" s="769"/>
      <c r="C99" s="779"/>
      <c r="D99" s="779">
        <v>2</v>
      </c>
      <c r="E99" s="668">
        <f>'INSUMOS VARIOS'!E60</f>
        <v>16.8</v>
      </c>
      <c r="F99" s="662">
        <f t="shared" ref="F99:F105" si="2">E99*D99</f>
        <v>33.6</v>
      </c>
      <c r="G99" s="658"/>
    </row>
    <row r="100" spans="1:8" x14ac:dyDescent="0.25">
      <c r="A100" s="665" t="s">
        <v>1742</v>
      </c>
      <c r="B100" s="769" t="s">
        <v>1308</v>
      </c>
      <c r="C100" s="779"/>
      <c r="D100" s="779">
        <v>1</v>
      </c>
      <c r="E100" s="668">
        <f>PERLAS!F14</f>
        <v>103.125</v>
      </c>
      <c r="F100" s="662">
        <f t="shared" si="2"/>
        <v>103.125</v>
      </c>
      <c r="G100" s="658"/>
    </row>
    <row r="101" spans="1:8" x14ac:dyDescent="0.25">
      <c r="A101" s="658" t="s">
        <v>1554</v>
      </c>
      <c r="B101" s="769" t="s">
        <v>777</v>
      </c>
      <c r="C101" s="779"/>
      <c r="D101" s="779">
        <v>1</v>
      </c>
      <c r="E101" s="668">
        <f>FORNITURAS!D26</f>
        <v>297.14285714285717</v>
      </c>
      <c r="F101" s="662">
        <f t="shared" si="2"/>
        <v>297.14285714285717</v>
      </c>
      <c r="G101" s="658"/>
    </row>
    <row r="102" spans="1:8" x14ac:dyDescent="0.25">
      <c r="A102" s="660" t="s">
        <v>1050</v>
      </c>
      <c r="B102" s="769" t="s">
        <v>1062</v>
      </c>
      <c r="C102" s="779"/>
      <c r="D102" s="779">
        <v>0.05</v>
      </c>
      <c r="E102" s="668">
        <f>FORNITURAS!W6</f>
        <v>541.13207547169816</v>
      </c>
      <c r="F102" s="662">
        <f t="shared" si="2"/>
        <v>27.056603773584911</v>
      </c>
      <c r="G102" s="658"/>
    </row>
    <row r="103" spans="1:8" x14ac:dyDescent="0.25">
      <c r="A103" s="820" t="s">
        <v>1743</v>
      </c>
      <c r="B103" s="769" t="s">
        <v>1887</v>
      </c>
      <c r="C103" s="779"/>
      <c r="D103" s="779">
        <v>1</v>
      </c>
      <c r="E103" s="668">
        <f>FORNITURAS!D14</f>
        <v>98.8</v>
      </c>
      <c r="F103" s="662">
        <f t="shared" si="2"/>
        <v>98.8</v>
      </c>
      <c r="G103" s="658"/>
    </row>
    <row r="104" spans="1:8" x14ac:dyDescent="0.25">
      <c r="A104" s="659" t="s">
        <v>1572</v>
      </c>
      <c r="B104" s="769" t="s">
        <v>1556</v>
      </c>
      <c r="C104" s="779"/>
      <c r="D104" s="779">
        <v>2</v>
      </c>
      <c r="E104" s="668">
        <f>FORNITURAS!D10</f>
        <v>32.628571428571426</v>
      </c>
      <c r="F104" s="662">
        <f t="shared" si="2"/>
        <v>65.257142857142853</v>
      </c>
      <c r="G104" s="658"/>
    </row>
    <row r="105" spans="1:8" x14ac:dyDescent="0.25">
      <c r="A105" s="663" t="s">
        <v>1958</v>
      </c>
      <c r="B105" s="769"/>
      <c r="C105" s="779"/>
      <c r="D105" s="779">
        <v>2</v>
      </c>
      <c r="E105" s="668">
        <f>'INSUMOS VARIOS'!B7</f>
        <v>5</v>
      </c>
      <c r="F105" s="662">
        <f t="shared" si="2"/>
        <v>10</v>
      </c>
      <c r="G105" s="658"/>
    </row>
    <row r="106" spans="1:8" x14ac:dyDescent="0.25">
      <c r="A106" s="659" t="s">
        <v>1746</v>
      </c>
      <c r="B106" s="769"/>
      <c r="C106" s="779"/>
      <c r="D106" s="779"/>
      <c r="E106" s="668"/>
      <c r="F106" s="662">
        <v>2</v>
      </c>
      <c r="G106" s="658"/>
    </row>
    <row r="107" spans="1:8" x14ac:dyDescent="0.25">
      <c r="A107" s="665" t="s">
        <v>1557</v>
      </c>
      <c r="B107" s="769"/>
      <c r="C107" s="779"/>
      <c r="D107" s="779"/>
      <c r="E107" s="668"/>
      <c r="F107" s="662">
        <f>PACKAGING!E3</f>
        <v>150</v>
      </c>
      <c r="G107" s="658"/>
    </row>
    <row r="108" spans="1:8" x14ac:dyDescent="0.25">
      <c r="A108" s="665" t="s">
        <v>1538</v>
      </c>
      <c r="B108" s="769"/>
      <c r="C108" s="779"/>
      <c r="D108" s="779"/>
      <c r="E108" s="668"/>
      <c r="F108" s="662">
        <f>PACKAGING!E9</f>
        <v>450</v>
      </c>
      <c r="G108" s="658"/>
    </row>
    <row r="109" spans="1:8" x14ac:dyDescent="0.25">
      <c r="A109" s="665" t="s">
        <v>1558</v>
      </c>
      <c r="B109" s="769">
        <v>60</v>
      </c>
      <c r="C109" s="779">
        <v>15</v>
      </c>
      <c r="D109" s="779"/>
      <c r="E109" s="668">
        <f>'INSUMOS VARIOS'!B3</f>
        <v>3500</v>
      </c>
      <c r="F109" s="662">
        <f>E109*C109/B109</f>
        <v>875</v>
      </c>
    </row>
    <row r="110" spans="1:8" ht="16.5" thickBot="1" x14ac:dyDescent="0.3">
      <c r="A110" s="670" t="s">
        <v>525</v>
      </c>
      <c r="B110" s="672"/>
      <c r="C110" s="780"/>
      <c r="D110" s="780"/>
      <c r="E110" s="780"/>
      <c r="F110" s="673">
        <f>SUM(F98:F109)</f>
        <v>5111.9816037735854</v>
      </c>
    </row>
    <row r="111" spans="1:8" x14ac:dyDescent="0.25">
      <c r="A111" s="675" t="s">
        <v>544</v>
      </c>
      <c r="B111" s="810"/>
      <c r="C111" s="810"/>
      <c r="D111" s="810"/>
      <c r="E111" s="810"/>
      <c r="F111" s="678">
        <f>F110*2</f>
        <v>10223.963207547171</v>
      </c>
      <c r="G111" s="678">
        <f>F111+F111*25%</f>
        <v>12779.954009433965</v>
      </c>
      <c r="H111" s="682">
        <v>1600</v>
      </c>
    </row>
    <row r="112" spans="1:8" ht="16.5" thickBot="1" x14ac:dyDescent="0.3">
      <c r="A112" s="812" t="s">
        <v>1559</v>
      </c>
      <c r="B112" s="813"/>
      <c r="C112" s="813"/>
      <c r="D112" s="813"/>
      <c r="E112" s="813"/>
      <c r="F112" s="819"/>
      <c r="G112" s="819"/>
      <c r="H112" s="815">
        <f>H111*2</f>
        <v>3200</v>
      </c>
    </row>
    <row r="114" spans="1:8" ht="16.5" thickBot="1" x14ac:dyDescent="0.3">
      <c r="A114" s="1753" t="s">
        <v>576</v>
      </c>
      <c r="B114" s="1754"/>
      <c r="C114" s="1754"/>
      <c r="D114" s="1754"/>
      <c r="E114" s="1754"/>
      <c r="F114" s="1754"/>
    </row>
    <row r="115" spans="1:8" x14ac:dyDescent="0.25">
      <c r="A115" s="821" t="s">
        <v>916</v>
      </c>
      <c r="B115" s="822" t="s">
        <v>1073</v>
      </c>
      <c r="C115" s="823" t="s">
        <v>1089</v>
      </c>
      <c r="D115" s="823" t="s">
        <v>1547</v>
      </c>
      <c r="E115" s="823" t="s">
        <v>1035</v>
      </c>
      <c r="F115" s="824" t="s">
        <v>1549</v>
      </c>
      <c r="G115" s="658"/>
    </row>
    <row r="116" spans="1:8" x14ac:dyDescent="0.25">
      <c r="A116" s="665" t="s">
        <v>2068</v>
      </c>
      <c r="B116" s="769"/>
      <c r="C116" s="779"/>
      <c r="D116" s="779" t="s">
        <v>1649</v>
      </c>
      <c r="E116" s="668">
        <f>'AROS, CADENAS, DIJES, ETC'!C121</f>
        <v>1308</v>
      </c>
      <c r="F116" s="662">
        <f>E116</f>
        <v>1308</v>
      </c>
      <c r="G116" s="658"/>
    </row>
    <row r="117" spans="1:8" x14ac:dyDescent="0.25">
      <c r="A117" s="665" t="s">
        <v>1557</v>
      </c>
      <c r="B117" s="769"/>
      <c r="C117" s="779"/>
      <c r="D117" s="779"/>
      <c r="E117" s="668"/>
      <c r="F117" s="662">
        <f>PACKAGING!E3</f>
        <v>150</v>
      </c>
      <c r="G117" s="658"/>
    </row>
    <row r="118" spans="1:8" x14ac:dyDescent="0.25">
      <c r="A118" s="665" t="s">
        <v>1538</v>
      </c>
      <c r="B118" s="769"/>
      <c r="C118" s="779"/>
      <c r="D118" s="779"/>
      <c r="E118" s="668"/>
      <c r="F118" s="662">
        <f>PACKAGING!E8</f>
        <v>420</v>
      </c>
      <c r="G118" s="658"/>
    </row>
    <row r="119" spans="1:8" ht="16.5" thickBot="1" x14ac:dyDescent="0.3">
      <c r="A119" s="670" t="s">
        <v>525</v>
      </c>
      <c r="B119" s="672"/>
      <c r="C119" s="780"/>
      <c r="D119" s="780"/>
      <c r="E119" s="780"/>
      <c r="F119" s="673">
        <f>SUM(F116:F118)</f>
        <v>1878</v>
      </c>
      <c r="G119" s="809"/>
    </row>
    <row r="120" spans="1:8" ht="16.5" thickBot="1" x14ac:dyDescent="0.3">
      <c r="A120" s="781" t="s">
        <v>1559</v>
      </c>
      <c r="B120" s="825"/>
      <c r="C120" s="825"/>
      <c r="D120" s="825"/>
      <c r="E120" s="825"/>
      <c r="F120" s="787">
        <f>F119*2</f>
        <v>3756</v>
      </c>
      <c r="G120" s="826">
        <f>F120+F120*20%</f>
        <v>4507.2</v>
      </c>
      <c r="H120" s="785">
        <v>4000</v>
      </c>
    </row>
  </sheetData>
  <mergeCells count="18">
    <mergeCell ref="A114:F114"/>
    <mergeCell ref="A2:J2"/>
    <mergeCell ref="A17:E17"/>
    <mergeCell ref="A4:E4"/>
    <mergeCell ref="A34:F34"/>
    <mergeCell ref="A68:E68"/>
    <mergeCell ref="A57:A58"/>
    <mergeCell ref="A48:E48"/>
    <mergeCell ref="A51:A53"/>
    <mergeCell ref="K2:S2"/>
    <mergeCell ref="L16:P16"/>
    <mergeCell ref="A82:F82"/>
    <mergeCell ref="A96:F96"/>
    <mergeCell ref="L29:P29"/>
    <mergeCell ref="L42:P42"/>
    <mergeCell ref="L46:L47"/>
    <mergeCell ref="L54:P54"/>
    <mergeCell ref="L64:P64"/>
  </mergeCells>
  <pageMargins left="0.7" right="0.7" top="0.75" bottom="0.75" header="0.3" footer="0.3"/>
  <ignoredErrors>
    <ignoredError sqref="F110" evalError="1"/>
  </ignoredError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Hoja26"/>
  <dimension ref="A2:V35"/>
  <sheetViews>
    <sheetView zoomScale="70" zoomScaleNormal="70" workbookViewId="0">
      <selection activeCell="O8" sqref="O8"/>
    </sheetView>
  </sheetViews>
  <sheetFormatPr baseColWidth="10" defaultColWidth="11.42578125" defaultRowHeight="15.75" x14ac:dyDescent="0.25"/>
  <cols>
    <col min="1" max="1" width="15.140625" bestFit="1" customWidth="1"/>
    <col min="2" max="2" width="11" customWidth="1"/>
    <col min="3" max="3" width="10.85546875" customWidth="1"/>
    <col min="4" max="4" width="9.42578125" customWidth="1"/>
    <col min="5" max="6" width="11.5703125" bestFit="1" customWidth="1"/>
    <col min="7" max="7" width="13" bestFit="1" customWidth="1"/>
    <col min="10" max="10" width="4.140625" style="767" customWidth="1"/>
    <col min="12" max="12" width="16.85546875" bestFit="1" customWidth="1"/>
    <col min="18" max="18" width="13" bestFit="1" customWidth="1"/>
  </cols>
  <sheetData>
    <row r="2" spans="1:22" ht="18.75" x14ac:dyDescent="0.3">
      <c r="A2" s="1733" t="s">
        <v>551</v>
      </c>
      <c r="B2" s="1733"/>
      <c r="C2" s="1733"/>
      <c r="D2" s="1733"/>
      <c r="E2" s="1733"/>
      <c r="F2" s="1733"/>
      <c r="G2" s="1733"/>
      <c r="H2" s="1733"/>
      <c r="I2" s="1733"/>
      <c r="J2" s="1733"/>
      <c r="K2" s="1733" t="s">
        <v>1945</v>
      </c>
      <c r="L2" s="1733"/>
      <c r="M2" s="1733"/>
      <c r="N2" s="1733"/>
      <c r="O2" s="1733"/>
      <c r="P2" s="1733"/>
      <c r="Q2" s="1733"/>
      <c r="R2" s="1733"/>
      <c r="S2" s="1733"/>
      <c r="T2" s="1733"/>
      <c r="U2" s="1733"/>
      <c r="V2" s="1733"/>
    </row>
    <row r="3" spans="1:22" ht="16.5" thickBot="1" x14ac:dyDescent="0.3"/>
    <row r="4" spans="1:22" x14ac:dyDescent="0.25">
      <c r="A4" s="1602" t="s">
        <v>564</v>
      </c>
      <c r="B4" s="1600"/>
      <c r="C4" s="1600"/>
      <c r="D4" s="1600"/>
      <c r="E4" s="1600"/>
      <c r="F4" s="171"/>
      <c r="G4" s="171"/>
      <c r="L4" s="1585" t="s">
        <v>139</v>
      </c>
      <c r="M4" s="1586"/>
      <c r="N4" s="1586"/>
      <c r="O4" s="1586"/>
      <c r="P4" s="1587"/>
      <c r="Q4" s="1"/>
      <c r="R4" s="1"/>
    </row>
    <row r="5" spans="1:22" x14ac:dyDescent="0.25">
      <c r="A5" s="183" t="s">
        <v>916</v>
      </c>
      <c r="B5" s="97" t="s">
        <v>743</v>
      </c>
      <c r="C5" s="76" t="s">
        <v>1547</v>
      </c>
      <c r="D5" s="108" t="s">
        <v>747</v>
      </c>
      <c r="E5" s="77" t="s">
        <v>1549</v>
      </c>
      <c r="F5" s="1"/>
      <c r="G5" s="1"/>
      <c r="L5" s="183" t="s">
        <v>916</v>
      </c>
      <c r="M5" s="97" t="s">
        <v>743</v>
      </c>
      <c r="N5" s="76" t="s">
        <v>1547</v>
      </c>
      <c r="O5" s="108" t="s">
        <v>747</v>
      </c>
      <c r="P5" s="77" t="s">
        <v>1549</v>
      </c>
      <c r="Q5" s="1"/>
      <c r="R5" s="1"/>
    </row>
    <row r="6" spans="1:22" x14ac:dyDescent="0.25">
      <c r="A6" s="3" t="s">
        <v>2069</v>
      </c>
      <c r="B6" s="98" t="s">
        <v>975</v>
      </c>
      <c r="C6" s="2">
        <v>1</v>
      </c>
      <c r="D6" s="66">
        <f>'AROS, CADENAS, DIJES, ETC'!I18</f>
        <v>217</v>
      </c>
      <c r="E6" s="39">
        <f>D6*C6</f>
        <v>217</v>
      </c>
      <c r="F6" s="1"/>
      <c r="G6" s="1"/>
      <c r="L6" s="3" t="s">
        <v>1101</v>
      </c>
      <c r="M6" s="98"/>
      <c r="N6" s="2">
        <v>1</v>
      </c>
      <c r="O6" s="66">
        <f>'AROS, CADENAS, DIJES, ETC'!I55</f>
        <v>690</v>
      </c>
      <c r="P6" s="39">
        <f t="shared" ref="P6:P14" si="0">O6*N6</f>
        <v>690</v>
      </c>
      <c r="Q6" s="1"/>
      <c r="R6" s="1"/>
    </row>
    <row r="7" spans="1:22" x14ac:dyDescent="0.25">
      <c r="A7" s="191" t="s">
        <v>1555</v>
      </c>
      <c r="B7" s="98" t="s">
        <v>1573</v>
      </c>
      <c r="C7" s="2">
        <v>1</v>
      </c>
      <c r="D7" s="66">
        <f>FORNITURAS!D7</f>
        <v>52</v>
      </c>
      <c r="E7" s="39">
        <f>D7*C7</f>
        <v>52</v>
      </c>
      <c r="F7" s="1"/>
      <c r="G7" s="1"/>
      <c r="L7" s="3" t="s">
        <v>1742</v>
      </c>
      <c r="M7" s="98"/>
      <c r="N7" s="2">
        <v>4</v>
      </c>
      <c r="O7" s="66">
        <f>PERLAS!F21</f>
        <v>173.68421052631578</v>
      </c>
      <c r="P7" s="39">
        <f t="shared" si="0"/>
        <v>694.73684210526312</v>
      </c>
      <c r="Q7" s="1"/>
      <c r="R7" s="1"/>
    </row>
    <row r="8" spans="1:22" x14ac:dyDescent="0.25">
      <c r="A8" s="20" t="s">
        <v>1557</v>
      </c>
      <c r="B8" s="98" t="s">
        <v>1535</v>
      </c>
      <c r="C8" s="2"/>
      <c r="D8" s="6"/>
      <c r="E8" s="39">
        <f>PACKAGING!E4</f>
        <v>80</v>
      </c>
      <c r="F8" s="1"/>
      <c r="G8" s="171"/>
      <c r="L8" s="104" t="s">
        <v>2070</v>
      </c>
      <c r="M8" s="98"/>
      <c r="N8" s="2">
        <v>1</v>
      </c>
      <c r="O8" s="66">
        <f>'INSUMOS VARIOS'!E42</f>
        <v>300</v>
      </c>
      <c r="P8" s="39">
        <f t="shared" si="0"/>
        <v>300</v>
      </c>
      <c r="Q8" s="1"/>
      <c r="R8" s="1"/>
    </row>
    <row r="9" spans="1:22" x14ac:dyDescent="0.25">
      <c r="A9" s="3" t="s">
        <v>1537</v>
      </c>
      <c r="B9" s="98"/>
      <c r="C9" s="2"/>
      <c r="D9" s="6"/>
      <c r="E9" s="39">
        <f>PACKAGING!E7</f>
        <v>170</v>
      </c>
      <c r="F9" s="1"/>
      <c r="G9" s="1"/>
      <c r="L9" s="104" t="s">
        <v>2071</v>
      </c>
      <c r="M9" s="98"/>
      <c r="N9" s="2">
        <v>1</v>
      </c>
      <c r="O9" s="66">
        <f>'INSUMOS VARIOS'!E47</f>
        <v>300</v>
      </c>
      <c r="P9" s="39">
        <f t="shared" si="0"/>
        <v>300</v>
      </c>
      <c r="Q9" s="1"/>
      <c r="R9" s="1"/>
    </row>
    <row r="10" spans="1:22" x14ac:dyDescent="0.25">
      <c r="A10" s="3" t="s">
        <v>1538</v>
      </c>
      <c r="B10" s="98"/>
      <c r="C10" s="2"/>
      <c r="D10" s="6"/>
      <c r="E10" s="39">
        <f>PACKAGING!E8</f>
        <v>420</v>
      </c>
      <c r="F10" s="1"/>
      <c r="G10" s="1"/>
      <c r="L10" s="104" t="s">
        <v>2072</v>
      </c>
      <c r="M10" s="98"/>
      <c r="N10" s="2">
        <v>1</v>
      </c>
      <c r="O10" s="66">
        <f>'INSUMOS VARIOS'!E48</f>
        <v>227</v>
      </c>
      <c r="P10" s="39">
        <f t="shared" si="0"/>
        <v>227</v>
      </c>
      <c r="Q10" s="1"/>
      <c r="R10" s="1"/>
    </row>
    <row r="11" spans="1:22" ht="16.5" thickBot="1" x14ac:dyDescent="0.3">
      <c r="A11" s="79" t="s">
        <v>525</v>
      </c>
      <c r="B11" s="99"/>
      <c r="C11" s="70"/>
      <c r="D11" s="85"/>
      <c r="E11" s="51">
        <f>SUM(E6:E10)</f>
        <v>939</v>
      </c>
      <c r="F11" s="1"/>
      <c r="G11" s="1"/>
      <c r="L11" s="104" t="s">
        <v>1050</v>
      </c>
      <c r="M11" s="98"/>
      <c r="N11" s="2">
        <v>0.06</v>
      </c>
      <c r="O11" s="66">
        <f>FORNITURAS!W6</f>
        <v>541.13207547169816</v>
      </c>
      <c r="P11" s="39">
        <f t="shared" si="0"/>
        <v>32.467924528301886</v>
      </c>
      <c r="Q11" s="1"/>
      <c r="R11" s="1"/>
    </row>
    <row r="12" spans="1:22" x14ac:dyDescent="0.25">
      <c r="A12" s="80" t="s">
        <v>544</v>
      </c>
      <c r="B12" s="100"/>
      <c r="C12" s="71"/>
      <c r="D12" s="71"/>
      <c r="E12" s="72">
        <f>E11*2</f>
        <v>1878</v>
      </c>
      <c r="F12" s="512">
        <f>E12+E12*25%</f>
        <v>2347.5</v>
      </c>
      <c r="G12" s="203">
        <v>1900</v>
      </c>
      <c r="L12" s="1701" t="s">
        <v>1555</v>
      </c>
      <c r="M12" s="98" t="s">
        <v>1556</v>
      </c>
      <c r="N12" s="2">
        <v>4</v>
      </c>
      <c r="O12" s="66">
        <f>FORNITURAS!D4</f>
        <v>48.7</v>
      </c>
      <c r="P12" s="39">
        <f t="shared" si="0"/>
        <v>194.8</v>
      </c>
      <c r="Q12" s="1"/>
      <c r="R12" s="1"/>
    </row>
    <row r="13" spans="1:22" ht="16.5" thickBot="1" x14ac:dyDescent="0.3">
      <c r="A13" s="81" t="s">
        <v>1559</v>
      </c>
      <c r="B13" s="101"/>
      <c r="C13" s="73"/>
      <c r="D13" s="73"/>
      <c r="E13" s="73"/>
      <c r="F13" s="522"/>
      <c r="G13" s="204">
        <f>G12*2</f>
        <v>3800</v>
      </c>
      <c r="L13" s="1702"/>
      <c r="M13" s="98" t="s">
        <v>1573</v>
      </c>
      <c r="N13" s="2">
        <v>1</v>
      </c>
      <c r="O13" s="66">
        <f>FORNITURAS!D7</f>
        <v>52</v>
      </c>
      <c r="P13" s="39">
        <f t="shared" si="0"/>
        <v>52</v>
      </c>
      <c r="Q13" s="1"/>
      <c r="R13" s="1"/>
    </row>
    <row r="14" spans="1:22" ht="16.5" thickBot="1" x14ac:dyDescent="0.3">
      <c r="A14" s="171"/>
      <c r="B14" s="171"/>
      <c r="C14" s="171"/>
      <c r="D14" s="171"/>
      <c r="E14" s="171"/>
      <c r="F14" s="171"/>
      <c r="G14" s="171"/>
      <c r="L14" s="104" t="s">
        <v>1587</v>
      </c>
      <c r="M14" s="98"/>
      <c r="N14" s="2">
        <v>1</v>
      </c>
      <c r="O14" s="66">
        <f>FORNITURAS!D18</f>
        <v>363</v>
      </c>
      <c r="P14" s="39">
        <f t="shared" si="0"/>
        <v>363</v>
      </c>
      <c r="Q14" s="1"/>
      <c r="R14" s="1"/>
    </row>
    <row r="15" spans="1:22" ht="16.5" thickBot="1" x14ac:dyDescent="0.3">
      <c r="A15" s="1565" t="s">
        <v>273</v>
      </c>
      <c r="B15" s="1566"/>
      <c r="C15" s="1566"/>
      <c r="D15" s="1566"/>
      <c r="E15" s="1567"/>
      <c r="L15" s="189" t="s">
        <v>1588</v>
      </c>
      <c r="M15" s="98" t="s">
        <v>1535</v>
      </c>
      <c r="N15" s="2"/>
      <c r="O15" s="6"/>
      <c r="P15" s="39">
        <f>PACKAGING!E4</f>
        <v>80</v>
      </c>
      <c r="Q15" s="171"/>
      <c r="R15" s="171"/>
    </row>
    <row r="16" spans="1:22" x14ac:dyDescent="0.25">
      <c r="A16" s="183" t="s">
        <v>916</v>
      </c>
      <c r="B16" s="97" t="s">
        <v>743</v>
      </c>
      <c r="C16" s="76" t="s">
        <v>1547</v>
      </c>
      <c r="D16" s="108" t="s">
        <v>747</v>
      </c>
      <c r="E16" s="77" t="s">
        <v>1549</v>
      </c>
      <c r="F16" s="1"/>
      <c r="G16" s="1"/>
      <c r="L16" s="3" t="s">
        <v>1537</v>
      </c>
      <c r="M16" s="98"/>
      <c r="N16" s="2"/>
      <c r="O16" s="6"/>
      <c r="P16" s="39">
        <f>PACKAGING!E7</f>
        <v>170</v>
      </c>
      <c r="Q16" s="171"/>
      <c r="R16" s="171"/>
    </row>
    <row r="17" spans="1:18" x14ac:dyDescent="0.25">
      <c r="A17" s="3" t="s">
        <v>908</v>
      </c>
      <c r="B17" s="98" t="s">
        <v>950</v>
      </c>
      <c r="C17" s="2">
        <v>1</v>
      </c>
      <c r="D17" s="66">
        <f>'AROS, CADENAS, DIJES, ETC'!I8</f>
        <v>506</v>
      </c>
      <c r="E17" s="39">
        <f>D17*C17</f>
        <v>506</v>
      </c>
      <c r="F17" s="60"/>
      <c r="G17" s="1"/>
      <c r="L17" s="104" t="s">
        <v>1538</v>
      </c>
      <c r="M17" s="98"/>
      <c r="N17" s="2"/>
      <c r="O17" s="6"/>
      <c r="P17" s="39">
        <f>PACKAGING!E8</f>
        <v>420</v>
      </c>
      <c r="Q17" s="1"/>
      <c r="R17" s="1"/>
    </row>
    <row r="18" spans="1:18" x14ac:dyDescent="0.25">
      <c r="A18" s="104" t="s">
        <v>1555</v>
      </c>
      <c r="B18" s="98" t="s">
        <v>1573</v>
      </c>
      <c r="C18" s="2">
        <v>1</v>
      </c>
      <c r="D18" s="66">
        <f>FORNITURAS!D7</f>
        <v>52</v>
      </c>
      <c r="E18" s="39">
        <f>D18*C18</f>
        <v>52</v>
      </c>
      <c r="F18" s="60"/>
      <c r="G18" s="1"/>
      <c r="L18" s="1701" t="s">
        <v>1618</v>
      </c>
      <c r="M18" s="98">
        <v>60</v>
      </c>
      <c r="N18" s="2">
        <v>15</v>
      </c>
      <c r="O18" s="66">
        <f>'INSUMOS VARIOS'!B3</f>
        <v>3500</v>
      </c>
      <c r="P18" s="39">
        <f>O18*N18/M18</f>
        <v>875</v>
      </c>
      <c r="Q18" s="1"/>
      <c r="R18" s="1"/>
    </row>
    <row r="19" spans="1:18" x14ac:dyDescent="0.25">
      <c r="A19" s="104" t="s">
        <v>1557</v>
      </c>
      <c r="B19" s="98" t="s">
        <v>1535</v>
      </c>
      <c r="C19" s="2"/>
      <c r="D19" s="6"/>
      <c r="E19" s="39">
        <f>PACKAGING!E4</f>
        <v>80</v>
      </c>
      <c r="F19" s="60"/>
      <c r="G19" s="1"/>
      <c r="L19" s="1702"/>
      <c r="M19" s="98">
        <v>60</v>
      </c>
      <c r="N19" s="2">
        <v>5</v>
      </c>
      <c r="O19" s="66">
        <f>O18</f>
        <v>3500</v>
      </c>
      <c r="P19" s="39">
        <f>O19*N19/M19</f>
        <v>291.66666666666669</v>
      </c>
      <c r="Q19" s="1"/>
      <c r="R19" s="1"/>
    </row>
    <row r="20" spans="1:18" ht="16.5" thickBot="1" x14ac:dyDescent="0.3">
      <c r="A20" s="3" t="s">
        <v>1537</v>
      </c>
      <c r="B20" s="98"/>
      <c r="C20" s="2"/>
      <c r="D20" s="6"/>
      <c r="E20" s="39">
        <f>PACKAGING!E7</f>
        <v>170</v>
      </c>
      <c r="F20" s="60"/>
      <c r="G20" s="1"/>
      <c r="L20" s="79" t="s">
        <v>525</v>
      </c>
      <c r="M20" s="99"/>
      <c r="N20" s="70"/>
      <c r="O20" s="85"/>
      <c r="P20" s="51">
        <f>SUM(P6:P19)</f>
        <v>4690.6714333002319</v>
      </c>
      <c r="Q20" s="1"/>
      <c r="R20" s="1"/>
    </row>
    <row r="21" spans="1:18" ht="19.5" thickBot="1" x14ac:dyDescent="0.3">
      <c r="A21" s="3" t="s">
        <v>1538</v>
      </c>
      <c r="B21" s="98"/>
      <c r="C21" s="2"/>
      <c r="D21" s="6"/>
      <c r="E21" s="39">
        <f>PACKAGING!E8</f>
        <v>420</v>
      </c>
      <c r="F21" s="60"/>
      <c r="G21" s="1"/>
      <c r="L21" s="596" t="s">
        <v>1559</v>
      </c>
      <c r="M21" s="597"/>
      <c r="N21" s="598"/>
      <c r="O21" s="598"/>
      <c r="P21" s="599">
        <f>P20*2</f>
        <v>9381.3428666004638</v>
      </c>
      <c r="Q21" s="515">
        <f>P21+P21*50%</f>
        <v>14072.014299900697</v>
      </c>
      <c r="R21" s="531">
        <v>5900</v>
      </c>
    </row>
    <row r="22" spans="1:18" ht="16.5" thickBot="1" x14ac:dyDescent="0.3">
      <c r="A22" s="3" t="s">
        <v>1618</v>
      </c>
      <c r="B22" s="98">
        <v>60</v>
      </c>
      <c r="C22" s="2">
        <v>5</v>
      </c>
      <c r="D22" s="66">
        <f>'INSUMOS VARIOS'!B3</f>
        <v>3500</v>
      </c>
      <c r="E22" s="39">
        <f>D22*C22/B22</f>
        <v>291.66666666666669</v>
      </c>
      <c r="F22" s="60"/>
      <c r="G22" s="1"/>
    </row>
    <row r="23" spans="1:18" ht="16.5" thickBot="1" x14ac:dyDescent="0.3">
      <c r="A23" s="79" t="s">
        <v>525</v>
      </c>
      <c r="B23" s="99"/>
      <c r="C23" s="70"/>
      <c r="D23" s="85"/>
      <c r="E23" s="51">
        <f>SUM(E17:E22)</f>
        <v>1519.6666666666667</v>
      </c>
      <c r="F23" s="60"/>
      <c r="G23" s="1"/>
      <c r="L23" s="1666" t="s">
        <v>212</v>
      </c>
      <c r="M23" s="1667"/>
      <c r="N23" s="1667"/>
      <c r="O23" s="1667"/>
      <c r="P23" s="1668"/>
      <c r="Q23" s="171"/>
      <c r="R23" s="171"/>
    </row>
    <row r="24" spans="1:18" ht="18.75" x14ac:dyDescent="0.25">
      <c r="A24" s="80" t="s">
        <v>544</v>
      </c>
      <c r="B24" s="100"/>
      <c r="C24" s="71"/>
      <c r="D24" s="71"/>
      <c r="E24" s="72">
        <f>E23*2</f>
        <v>3039.3333333333335</v>
      </c>
      <c r="F24" s="512">
        <f>E24+E24*25%</f>
        <v>3799.166666666667</v>
      </c>
      <c r="G24" s="75">
        <v>2500</v>
      </c>
      <c r="L24" s="183" t="s">
        <v>916</v>
      </c>
      <c r="M24" s="97" t="s">
        <v>743</v>
      </c>
      <c r="N24" s="76" t="s">
        <v>1547</v>
      </c>
      <c r="O24" s="108" t="s">
        <v>747</v>
      </c>
      <c r="P24" s="77" t="s">
        <v>1549</v>
      </c>
      <c r="Q24" s="1"/>
      <c r="R24" s="1"/>
    </row>
    <row r="25" spans="1:18" ht="19.5" thickBot="1" x14ac:dyDescent="0.3">
      <c r="A25" s="81" t="s">
        <v>1559</v>
      </c>
      <c r="B25" s="101"/>
      <c r="C25" s="73"/>
      <c r="D25" s="73"/>
      <c r="E25" s="73"/>
      <c r="F25" s="522"/>
      <c r="G25" s="74">
        <f>G24*2</f>
        <v>5000</v>
      </c>
      <c r="L25" s="3" t="s">
        <v>1047</v>
      </c>
      <c r="M25" s="98" t="s">
        <v>959</v>
      </c>
      <c r="N25" s="2">
        <v>1</v>
      </c>
      <c r="O25" s="66">
        <f>'AROS, CADENAS, DIJES, ETC'!I51</f>
        <v>287</v>
      </c>
      <c r="P25" s="39">
        <f>O25*N25</f>
        <v>287</v>
      </c>
      <c r="Q25" s="1"/>
      <c r="R25" s="1"/>
    </row>
    <row r="26" spans="1:18" x14ac:dyDescent="0.25">
      <c r="L26" s="3" t="s">
        <v>2073</v>
      </c>
      <c r="M26" s="98"/>
      <c r="N26" s="2">
        <v>1</v>
      </c>
      <c r="O26" s="66">
        <f>'AROS, CADENAS, DIJES, ETC'!O22</f>
        <v>276</v>
      </c>
      <c r="P26" s="39">
        <f>O26*N26</f>
        <v>276</v>
      </c>
      <c r="Q26" s="1"/>
      <c r="R26" s="1"/>
    </row>
    <row r="27" spans="1:18" x14ac:dyDescent="0.25">
      <c r="L27" s="104" t="s">
        <v>1587</v>
      </c>
      <c r="M27" s="98"/>
      <c r="N27" s="2">
        <v>1</v>
      </c>
      <c r="O27" s="66">
        <f>FORNITURAS!D18</f>
        <v>363</v>
      </c>
      <c r="P27" s="39">
        <f>O27*N27</f>
        <v>363</v>
      </c>
      <c r="Q27" s="1"/>
      <c r="R27" s="1"/>
    </row>
    <row r="28" spans="1:18" x14ac:dyDescent="0.25">
      <c r="L28" s="191" t="s">
        <v>1555</v>
      </c>
      <c r="M28" s="98" t="s">
        <v>1573</v>
      </c>
      <c r="N28" s="2">
        <v>1</v>
      </c>
      <c r="O28" s="66">
        <f>FORNITURAS!D7</f>
        <v>52</v>
      </c>
      <c r="P28" s="39">
        <f>O28*N28</f>
        <v>52</v>
      </c>
      <c r="Q28" s="1"/>
      <c r="R28" s="1"/>
    </row>
    <row r="29" spans="1:18" x14ac:dyDescent="0.25">
      <c r="L29" s="189" t="s">
        <v>1557</v>
      </c>
      <c r="M29" s="98" t="s">
        <v>1535</v>
      </c>
      <c r="N29" s="2"/>
      <c r="O29" s="6"/>
      <c r="P29" s="39">
        <f>PACKAGING!E4</f>
        <v>80</v>
      </c>
      <c r="Q29" s="1"/>
      <c r="R29" s="171"/>
    </row>
    <row r="30" spans="1:18" x14ac:dyDescent="0.25">
      <c r="L30" s="3" t="s">
        <v>1537</v>
      </c>
      <c r="M30" s="98"/>
      <c r="N30" s="2"/>
      <c r="O30" s="6"/>
      <c r="P30" s="39">
        <f>PACKAGING!E7</f>
        <v>170</v>
      </c>
      <c r="Q30" s="1"/>
      <c r="R30" s="1"/>
    </row>
    <row r="31" spans="1:18" x14ac:dyDescent="0.25">
      <c r="L31" s="3" t="s">
        <v>1538</v>
      </c>
      <c r="M31" s="98"/>
      <c r="N31" s="2"/>
      <c r="O31" s="6"/>
      <c r="P31" s="39">
        <f>PACKAGING!E8</f>
        <v>420</v>
      </c>
      <c r="Q31" s="1"/>
      <c r="R31" s="1"/>
    </row>
    <row r="32" spans="1:18" x14ac:dyDescent="0.25">
      <c r="L32" s="3" t="s">
        <v>1618</v>
      </c>
      <c r="M32" s="98">
        <v>60</v>
      </c>
      <c r="N32" s="2">
        <v>5</v>
      </c>
      <c r="O32" s="66">
        <f>'INSUMOS VARIOS'!B3</f>
        <v>3500</v>
      </c>
      <c r="P32" s="39">
        <f>O32*N32/M32</f>
        <v>291.66666666666669</v>
      </c>
      <c r="Q32" s="171"/>
      <c r="R32" s="1"/>
    </row>
    <row r="33" spans="12:18" ht="16.5" thickBot="1" x14ac:dyDescent="0.3">
      <c r="L33" s="79" t="s">
        <v>525</v>
      </c>
      <c r="M33" s="99"/>
      <c r="N33" s="70"/>
      <c r="O33" s="85"/>
      <c r="P33" s="51">
        <f>SUM(P25:P32)</f>
        <v>1939.6666666666667</v>
      </c>
      <c r="Q33" s="171"/>
      <c r="R33" s="1"/>
    </row>
    <row r="34" spans="12:18" x14ac:dyDescent="0.25">
      <c r="L34" s="80" t="s">
        <v>544</v>
      </c>
      <c r="M34" s="100"/>
      <c r="N34" s="71"/>
      <c r="O34" s="71"/>
      <c r="P34" s="267">
        <f>P33*2</f>
        <v>3879.3333333333335</v>
      </c>
      <c r="Q34" s="606">
        <f>P34+P34*40%</f>
        <v>5431.0666666666675</v>
      </c>
      <c r="R34" s="203">
        <v>2500</v>
      </c>
    </row>
    <row r="35" spans="12:18" ht="16.5" thickBot="1" x14ac:dyDescent="0.3">
      <c r="L35" s="81" t="s">
        <v>1559</v>
      </c>
      <c r="M35" s="101"/>
      <c r="N35" s="73"/>
      <c r="O35" s="73"/>
      <c r="P35" s="280"/>
      <c r="Q35" s="607"/>
      <c r="R35" s="204">
        <f>R34*2</f>
        <v>5000</v>
      </c>
    </row>
  </sheetData>
  <mergeCells count="8">
    <mergeCell ref="L23:P23"/>
    <mergeCell ref="A2:J2"/>
    <mergeCell ref="A4:E4"/>
    <mergeCell ref="A15:E15"/>
    <mergeCell ref="K2:V2"/>
    <mergeCell ref="L12:L13"/>
    <mergeCell ref="L18:L19"/>
    <mergeCell ref="L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P237"/>
  <sheetViews>
    <sheetView topLeftCell="A104" zoomScale="64" zoomScaleNormal="64" workbookViewId="0">
      <selection activeCell="N106" sqref="N106"/>
    </sheetView>
  </sheetViews>
  <sheetFormatPr baseColWidth="10" defaultColWidth="10.85546875" defaultRowHeight="20.25" x14ac:dyDescent="0.25"/>
  <cols>
    <col min="1" max="1" width="56.85546875" style="287" customWidth="1"/>
    <col min="2" max="3" width="16.28515625" style="397" hidden="1" customWidth="1"/>
    <col min="4" max="4" width="17.7109375" style="360" bestFit="1" customWidth="1"/>
    <col min="5" max="5" width="12.85546875" style="287" bestFit="1" customWidth="1"/>
    <col min="6" max="6" width="50.85546875" style="287" customWidth="1"/>
    <col min="7" max="7" width="16.28515625" style="287" hidden="1" customWidth="1"/>
    <col min="8" max="8" width="15.85546875" style="287" hidden="1" customWidth="1"/>
    <col min="9" max="9" width="19.140625" style="360" bestFit="1" customWidth="1"/>
    <col min="10" max="10" width="13.42578125" style="287" customWidth="1"/>
    <col min="11" max="11" width="37.140625" style="397" customWidth="1"/>
    <col min="12" max="12" width="16.28515625" style="287" hidden="1" customWidth="1"/>
    <col min="13" max="13" width="15.85546875" style="287" hidden="1" customWidth="1"/>
    <col min="14" max="14" width="17.7109375" style="360" bestFit="1" customWidth="1"/>
    <col min="15" max="16384" width="10.85546875" style="287"/>
  </cols>
  <sheetData>
    <row r="1" spans="1:16" ht="21" thickBot="1" x14ac:dyDescent="0.3">
      <c r="A1" s="283" t="s">
        <v>84</v>
      </c>
      <c r="B1" s="392" t="s">
        <v>543</v>
      </c>
      <c r="C1" s="392" t="s">
        <v>544</v>
      </c>
      <c r="D1" s="829" t="s">
        <v>545</v>
      </c>
      <c r="E1" s="386"/>
      <c r="F1" s="283" t="s">
        <v>84</v>
      </c>
      <c r="G1" s="392" t="s">
        <v>543</v>
      </c>
      <c r="H1" s="392" t="s">
        <v>544</v>
      </c>
      <c r="I1" s="829" t="s">
        <v>545</v>
      </c>
      <c r="J1" s="418"/>
      <c r="K1" s="283" t="s">
        <v>84</v>
      </c>
      <c r="L1" s="392" t="s">
        <v>543</v>
      </c>
      <c r="M1" s="392" t="s">
        <v>544</v>
      </c>
      <c r="N1" s="829" t="s">
        <v>545</v>
      </c>
      <c r="O1" s="418"/>
      <c r="P1" s="418"/>
    </row>
    <row r="2" spans="1:16" ht="18.95" customHeight="1" thickBot="1" x14ac:dyDescent="0.3">
      <c r="A2" s="1516" t="s">
        <v>546</v>
      </c>
      <c r="B2" s="1517"/>
      <c r="C2" s="1517"/>
      <c r="D2" s="1518"/>
      <c r="F2" s="1519" t="s">
        <v>547</v>
      </c>
      <c r="G2" s="1520"/>
      <c r="H2" s="1520"/>
      <c r="I2" s="1521"/>
      <c r="J2" s="418"/>
      <c r="K2" s="1516" t="s">
        <v>204</v>
      </c>
      <c r="L2" s="1517"/>
      <c r="M2" s="1517"/>
      <c r="N2" s="1518"/>
      <c r="O2" s="418"/>
      <c r="P2" s="418"/>
    </row>
    <row r="3" spans="1:16" ht="18.95" customHeight="1" thickBot="1" x14ac:dyDescent="0.3">
      <c r="A3" s="284" t="s">
        <v>548</v>
      </c>
      <c r="B3" s="404"/>
      <c r="C3" s="415"/>
      <c r="D3" s="830">
        <f>AROS!H48</f>
        <v>15000</v>
      </c>
      <c r="F3" s="725" t="s">
        <v>168</v>
      </c>
      <c r="G3" s="726" t="e">
        <f>#REF!</f>
        <v>#REF!</v>
      </c>
      <c r="H3" s="727">
        <f>'SALE COLLARES'!T16</f>
        <v>2700</v>
      </c>
      <c r="I3" s="841">
        <f>'SALE COLLARES'!T17</f>
        <v>5400</v>
      </c>
      <c r="J3" s="418"/>
      <c r="K3" s="416" t="s">
        <v>549</v>
      </c>
      <c r="L3" s="417"/>
      <c r="M3" s="476">
        <f>OSITO!N18</f>
        <v>0</v>
      </c>
      <c r="N3" s="845">
        <f>OSITO!X17</f>
        <v>12000</v>
      </c>
      <c r="O3" s="418"/>
      <c r="P3" s="418"/>
    </row>
    <row r="4" spans="1:16" ht="21" thickBot="1" x14ac:dyDescent="0.3">
      <c r="A4" s="286" t="s">
        <v>277</v>
      </c>
      <c r="B4" s="401"/>
      <c r="C4" s="622"/>
      <c r="D4" s="832">
        <f>AROS!J457</f>
        <v>24000</v>
      </c>
      <c r="F4" s="543" t="s">
        <v>2142</v>
      </c>
      <c r="G4" s="888"/>
      <c r="H4" s="889"/>
      <c r="I4" s="890">
        <f>LAZOS!H40</f>
        <v>18000</v>
      </c>
      <c r="J4" s="418"/>
      <c r="K4" s="1083" t="s">
        <v>3042</v>
      </c>
      <c r="L4" s="1084"/>
      <c r="M4" s="1085"/>
      <c r="N4" s="845">
        <f>OSITO!Q31</f>
        <v>8400</v>
      </c>
      <c r="O4" s="418"/>
      <c r="P4" s="418"/>
    </row>
    <row r="5" spans="1:16" ht="21" thickBot="1" x14ac:dyDescent="0.3">
      <c r="A5" s="285" t="s">
        <v>150</v>
      </c>
      <c r="B5" s="399"/>
      <c r="C5" s="605"/>
      <c r="D5" s="831">
        <f>AROS!H306</f>
        <v>13600</v>
      </c>
      <c r="F5" s="543" t="s">
        <v>2288</v>
      </c>
      <c r="G5" s="888"/>
      <c r="H5" s="889"/>
      <c r="I5" s="890">
        <f>LAZOS!I66</f>
        <v>29000</v>
      </c>
      <c r="J5" s="418"/>
      <c r="K5" s="1516" t="s">
        <v>550</v>
      </c>
      <c r="L5" s="1517"/>
      <c r="M5" s="1517"/>
      <c r="N5" s="1518"/>
      <c r="P5" s="418"/>
    </row>
    <row r="6" spans="1:16" x14ac:dyDescent="0.25">
      <c r="A6" s="285" t="s">
        <v>141</v>
      </c>
      <c r="B6" s="399"/>
      <c r="C6" s="393"/>
      <c r="D6" s="831">
        <f>AROS!I275</f>
        <v>23000</v>
      </c>
      <c r="F6" s="285" t="s">
        <v>364</v>
      </c>
      <c r="G6" s="452"/>
      <c r="H6" s="393">
        <f>LAZOS!G147</f>
        <v>11500</v>
      </c>
      <c r="I6" s="831">
        <f>LAZOS!J13</f>
        <v>24000</v>
      </c>
      <c r="J6" s="418"/>
      <c r="K6" s="284" t="s">
        <v>336</v>
      </c>
      <c r="L6" s="404">
        <f>STRAPS!F32</f>
        <v>3187.3817685238737</v>
      </c>
      <c r="M6" s="415">
        <f>STRAPS!H176</f>
        <v>4500</v>
      </c>
      <c r="N6" s="830">
        <f>STRAPS!H177</f>
        <v>9000</v>
      </c>
      <c r="O6" s="418"/>
      <c r="P6" s="418"/>
    </row>
    <row r="7" spans="1:16" ht="21" thickBot="1" x14ac:dyDescent="0.3">
      <c r="A7" s="286" t="s">
        <v>2209</v>
      </c>
      <c r="B7" s="401"/>
      <c r="C7" s="396"/>
      <c r="D7" s="832">
        <f>AROS!J449</f>
        <v>39000</v>
      </c>
      <c r="F7" s="285" t="s">
        <v>365</v>
      </c>
      <c r="G7" s="452"/>
      <c r="H7" s="393">
        <f>LAZOS!G148</f>
        <v>23000</v>
      </c>
      <c r="I7" s="831">
        <f>LAZOS!J25</f>
        <v>39000</v>
      </c>
      <c r="J7" s="418"/>
      <c r="K7" s="288" t="s">
        <v>372</v>
      </c>
      <c r="L7" s="403"/>
      <c r="M7" s="408"/>
      <c r="N7" s="842">
        <f>STRAPS!I196</f>
        <v>9000</v>
      </c>
      <c r="O7" s="418"/>
      <c r="P7" s="418"/>
    </row>
    <row r="8" spans="1:16" ht="21" thickBot="1" x14ac:dyDescent="0.3">
      <c r="A8" s="286" t="s">
        <v>127</v>
      </c>
      <c r="B8" s="401"/>
      <c r="C8" s="396">
        <f>AROS!H387</f>
        <v>8200</v>
      </c>
      <c r="D8" s="832">
        <f>AROS!H388</f>
        <v>16400</v>
      </c>
      <c r="E8" s="464"/>
      <c r="F8" s="714" t="s">
        <v>363</v>
      </c>
      <c r="G8" s="731"/>
      <c r="H8" s="718">
        <f>LAZOS!G147</f>
        <v>11500</v>
      </c>
      <c r="I8" s="836">
        <f>LAZOS!G148</f>
        <v>23000</v>
      </c>
      <c r="J8" s="418"/>
      <c r="K8" s="1519" t="s">
        <v>552</v>
      </c>
      <c r="L8" s="1520"/>
      <c r="M8" s="1520"/>
      <c r="N8" s="1521"/>
      <c r="O8" s="418"/>
      <c r="P8" s="418"/>
    </row>
    <row r="9" spans="1:16" ht="21" thickBot="1" x14ac:dyDescent="0.3">
      <c r="A9" s="286" t="s">
        <v>137</v>
      </c>
      <c r="B9" s="401"/>
      <c r="C9" s="411"/>
      <c r="D9" s="832">
        <f>AROS!I263</f>
        <v>34000</v>
      </c>
      <c r="F9" s="1516" t="s">
        <v>551</v>
      </c>
      <c r="G9" s="1517"/>
      <c r="H9" s="1517"/>
      <c r="I9" s="1518"/>
      <c r="J9" s="418"/>
      <c r="K9" s="725" t="s">
        <v>554</v>
      </c>
      <c r="L9" s="726">
        <f>'TOBILLERAS Y ANILLOS'!E11</f>
        <v>0</v>
      </c>
      <c r="M9" s="730">
        <f>VARIOS!E17</f>
        <v>1724.35</v>
      </c>
      <c r="N9" s="841">
        <v>3200</v>
      </c>
      <c r="O9" s="418"/>
      <c r="P9" s="418"/>
    </row>
    <row r="10" spans="1:16" ht="21" thickBot="1" x14ac:dyDescent="0.3">
      <c r="A10" s="286" t="s">
        <v>553</v>
      </c>
      <c r="B10" s="401"/>
      <c r="C10" s="396"/>
      <c r="D10" s="832">
        <f>AROS!G111</f>
        <v>13000</v>
      </c>
      <c r="F10" s="284" t="s">
        <v>385</v>
      </c>
      <c r="G10" s="415">
        <f>CADENAS!AD13</f>
        <v>2826.7333333333336</v>
      </c>
      <c r="H10" s="415">
        <f>CADENAS!AF13</f>
        <v>2300</v>
      </c>
      <c r="I10" s="849">
        <f>CADENAS!AF14</f>
        <v>4600</v>
      </c>
      <c r="J10" s="418"/>
      <c r="K10" s="288" t="s">
        <v>556</v>
      </c>
      <c r="L10" s="403" t="e">
        <f>'TOBILLERAS Y ANILLOS'!#REF!</f>
        <v>#REF!</v>
      </c>
      <c r="M10" s="408">
        <f>VARIOS!E25</f>
        <v>4400</v>
      </c>
      <c r="N10" s="842">
        <v>5200</v>
      </c>
      <c r="O10" s="418"/>
      <c r="P10" s="418"/>
    </row>
    <row r="11" spans="1:16" ht="21" thickBot="1" x14ac:dyDescent="0.3">
      <c r="A11" s="286" t="s">
        <v>555</v>
      </c>
      <c r="B11" s="401"/>
      <c r="C11" s="396">
        <f>AROS!G110</f>
        <v>6500</v>
      </c>
      <c r="D11" s="832">
        <f>AROS!G102</f>
        <v>12000</v>
      </c>
      <c r="F11" s="285" t="s">
        <v>386</v>
      </c>
      <c r="G11" s="398">
        <f>CADENAS!AD26</f>
        <v>2305.4</v>
      </c>
      <c r="H11" s="398">
        <f>CADENAS!AF26</f>
        <v>2300</v>
      </c>
      <c r="I11" s="521">
        <f>CADENAS!AF27</f>
        <v>4600</v>
      </c>
      <c r="J11" s="418"/>
      <c r="K11" s="1516" t="s">
        <v>3046</v>
      </c>
      <c r="L11" s="1517"/>
      <c r="M11" s="1517"/>
      <c r="N11" s="1518"/>
      <c r="O11" s="418"/>
      <c r="P11" s="418"/>
    </row>
    <row r="12" spans="1:16" x14ac:dyDescent="0.25">
      <c r="A12" s="285" t="s">
        <v>557</v>
      </c>
      <c r="B12" s="399"/>
      <c r="C12" s="399">
        <f>AROS!G92</f>
        <v>5000</v>
      </c>
      <c r="D12" s="831">
        <f>AROS!G93</f>
        <v>10000</v>
      </c>
      <c r="F12" s="285" t="s">
        <v>277</v>
      </c>
      <c r="G12" s="399">
        <f>CADENAS!E37</f>
        <v>4830.666666666667</v>
      </c>
      <c r="H12" s="398" t="e">
        <f>#REF!</f>
        <v>#REF!</v>
      </c>
      <c r="I12" s="831">
        <f>CADENAS!I38</f>
        <v>22000</v>
      </c>
      <c r="J12" s="418"/>
      <c r="K12" s="285" t="s">
        <v>531</v>
      </c>
      <c r="L12" s="398">
        <f>HOLDERS!T116</f>
        <v>1205.4533333333334</v>
      </c>
      <c r="M12" s="398">
        <f>HOLDERS!U116</f>
        <v>1600</v>
      </c>
      <c r="N12" s="521">
        <v>3200</v>
      </c>
      <c r="O12" s="418"/>
      <c r="P12" s="418"/>
    </row>
    <row r="13" spans="1:16" x14ac:dyDescent="0.25">
      <c r="A13" s="285" t="s">
        <v>185</v>
      </c>
      <c r="B13" s="399"/>
      <c r="C13" s="399"/>
      <c r="D13" s="831">
        <v>7000</v>
      </c>
      <c r="F13" s="285" t="s">
        <v>272</v>
      </c>
      <c r="G13" s="399">
        <f>CADENAS!E13</f>
        <v>2807.3333333333335</v>
      </c>
      <c r="H13" s="398">
        <f>CADENAS!G13</f>
        <v>7000</v>
      </c>
      <c r="I13" s="831">
        <f>CADENAS!G14</f>
        <v>14000</v>
      </c>
      <c r="J13" s="418"/>
      <c r="K13" s="285" t="s">
        <v>532</v>
      </c>
      <c r="L13" s="398">
        <f>HOLDERS!E130</f>
        <v>1187.3422222222221</v>
      </c>
      <c r="M13" s="398">
        <f>HOLDERS!F130</f>
        <v>1600</v>
      </c>
      <c r="N13" s="521">
        <v>3200</v>
      </c>
      <c r="O13" s="418"/>
      <c r="P13" s="418"/>
    </row>
    <row r="14" spans="1:16" x14ac:dyDescent="0.25">
      <c r="A14" s="285" t="s">
        <v>166</v>
      </c>
      <c r="B14" s="399"/>
      <c r="C14" s="398"/>
      <c r="D14" s="831">
        <f>AROS!H400</f>
        <v>10000</v>
      </c>
      <c r="F14" s="286" t="s">
        <v>307</v>
      </c>
      <c r="G14" s="401"/>
      <c r="H14" s="396">
        <f>CADENAS!G58</f>
        <v>9000</v>
      </c>
      <c r="I14" s="832">
        <f>CADENAS!G59</f>
        <v>18000</v>
      </c>
      <c r="J14" s="418"/>
      <c r="K14" s="285" t="s">
        <v>526</v>
      </c>
      <c r="L14" s="398">
        <f>HOLDERS!M116</f>
        <v>901.65333333333331</v>
      </c>
      <c r="M14" s="398">
        <f>HOLDERS!N116</f>
        <v>1300</v>
      </c>
      <c r="N14" s="521">
        <v>2600</v>
      </c>
      <c r="O14" s="418"/>
      <c r="P14" s="418"/>
    </row>
    <row r="15" spans="1:16" ht="21" thickBot="1" x14ac:dyDescent="0.3">
      <c r="A15" s="714" t="s">
        <v>153</v>
      </c>
      <c r="B15" s="715">
        <f>'SALE AROS'!F111</f>
        <v>10223.963207547171</v>
      </c>
      <c r="C15" s="716">
        <f>'SALE AROS'!H111</f>
        <v>1600</v>
      </c>
      <c r="D15" s="833">
        <f>'SALE AROS'!H112</f>
        <v>3200</v>
      </c>
      <c r="F15" s="286" t="s">
        <v>274</v>
      </c>
      <c r="G15" s="401"/>
      <c r="H15" s="396">
        <f>CADENAS!G69</f>
        <v>9000</v>
      </c>
      <c r="I15" s="832">
        <f>CADENAS!G70</f>
        <v>18000</v>
      </c>
      <c r="J15" s="418"/>
      <c r="K15" s="285" t="s">
        <v>528</v>
      </c>
      <c r="L15" s="398">
        <f>HOLDERS!E116</f>
        <v>1036.6755555555555</v>
      </c>
      <c r="M15" s="398">
        <f>HOLDERS!F116</f>
        <v>1500</v>
      </c>
      <c r="N15" s="521">
        <v>3000</v>
      </c>
      <c r="O15" s="418"/>
      <c r="P15" s="418"/>
    </row>
    <row r="16" spans="1:16" ht="21" thickBot="1" x14ac:dyDescent="0.3">
      <c r="A16" s="285" t="s">
        <v>167</v>
      </c>
      <c r="B16" s="399"/>
      <c r="C16" s="398"/>
      <c r="D16" s="834">
        <f>AROS!H413</f>
        <v>20000</v>
      </c>
      <c r="F16" s="286" t="s">
        <v>284</v>
      </c>
      <c r="G16" s="401">
        <f>CADENAS!E47</f>
        <v>2870</v>
      </c>
      <c r="H16" s="410">
        <f>CADENAS!G47</f>
        <v>2433</v>
      </c>
      <c r="I16" s="832">
        <f>CADENAS!I48</f>
        <v>22000</v>
      </c>
      <c r="J16" s="418"/>
      <c r="K16" s="1519" t="s">
        <v>560</v>
      </c>
      <c r="L16" s="1520"/>
      <c r="M16" s="1520"/>
      <c r="N16" s="1521"/>
      <c r="O16" s="418"/>
      <c r="P16" s="418"/>
    </row>
    <row r="17" spans="1:16" ht="21" thickBot="1" x14ac:dyDescent="0.3">
      <c r="A17" s="285" t="s">
        <v>188</v>
      </c>
      <c r="B17" s="452"/>
      <c r="C17" s="398"/>
      <c r="D17" s="832">
        <f>AROS!G137</f>
        <v>16000</v>
      </c>
      <c r="F17" s="285" t="s">
        <v>273</v>
      </c>
      <c r="G17" s="399">
        <f>'SALE CADENAS'!E24</f>
        <v>3039.3333333333335</v>
      </c>
      <c r="H17" s="398">
        <f>'SALE CADENAS'!G24</f>
        <v>2500</v>
      </c>
      <c r="I17" s="831">
        <f>I15</f>
        <v>18000</v>
      </c>
      <c r="J17" s="418"/>
      <c r="K17" s="284" t="s">
        <v>561</v>
      </c>
      <c r="L17" s="404" t="e">
        <f>'TOBILLERAS Y ANILLOS'!#REF!</f>
        <v>#REF!</v>
      </c>
      <c r="M17" s="415" t="e">
        <f>VARIOS!#REF!</f>
        <v>#REF!</v>
      </c>
      <c r="N17" s="830">
        <v>2000</v>
      </c>
      <c r="O17" s="418"/>
      <c r="P17" s="418"/>
    </row>
    <row r="18" spans="1:16" ht="21" thickBot="1" x14ac:dyDescent="0.3">
      <c r="A18" s="285" t="s">
        <v>559</v>
      </c>
      <c r="B18" s="452"/>
      <c r="C18" s="398"/>
      <c r="D18" s="831">
        <f>D17</f>
        <v>16000</v>
      </c>
      <c r="F18" s="285" t="s">
        <v>305</v>
      </c>
      <c r="G18" s="399">
        <f>CADENAS!E25</f>
        <v>9923.4</v>
      </c>
      <c r="H18" s="398">
        <f>CADENAS!G25</f>
        <v>26000</v>
      </c>
      <c r="I18" s="831">
        <f>CADENAS!G26</f>
        <v>0</v>
      </c>
      <c r="J18" s="418"/>
      <c r="K18" s="1516" t="s">
        <v>563</v>
      </c>
      <c r="L18" s="1517"/>
      <c r="M18" s="1517"/>
      <c r="N18" s="1518"/>
      <c r="O18" s="418"/>
      <c r="P18" s="418"/>
    </row>
    <row r="19" spans="1:16" x14ac:dyDescent="0.25">
      <c r="A19" s="285" t="s">
        <v>189</v>
      </c>
      <c r="B19" s="399"/>
      <c r="C19" s="398"/>
      <c r="D19" s="831">
        <f>AROS!G138</f>
        <v>18000</v>
      </c>
      <c r="F19" s="285" t="s">
        <v>285</v>
      </c>
      <c r="G19" s="399"/>
      <c r="H19" s="393">
        <f>CADENAS!G81</f>
        <v>2433</v>
      </c>
      <c r="I19" s="831">
        <f>CADENAS!I82</f>
        <v>0</v>
      </c>
      <c r="J19" s="418"/>
      <c r="K19" s="284" t="s">
        <v>515</v>
      </c>
      <c r="L19" s="404">
        <f>HOLDERS!E54</f>
        <v>52</v>
      </c>
      <c r="M19" s="415">
        <f>HOLDERS!F54</f>
        <v>52</v>
      </c>
      <c r="N19" s="830">
        <v>4500</v>
      </c>
      <c r="O19" s="418"/>
      <c r="P19" s="418"/>
    </row>
    <row r="20" spans="1:16" ht="21" thickBot="1" x14ac:dyDescent="0.3">
      <c r="A20" s="285" t="s">
        <v>562</v>
      </c>
      <c r="B20" s="399"/>
      <c r="C20" s="398"/>
      <c r="D20" s="831">
        <f>D19</f>
        <v>18000</v>
      </c>
      <c r="F20" s="949" t="s">
        <v>564</v>
      </c>
      <c r="G20" s="399">
        <f>'SALE CADENAS'!E12</f>
        <v>1878</v>
      </c>
      <c r="H20" s="398">
        <f>'SALE CADENAS'!G12</f>
        <v>1900</v>
      </c>
      <c r="I20" s="950">
        <f>'SALE CADENAS'!G13</f>
        <v>3800</v>
      </c>
      <c r="J20" s="418"/>
      <c r="K20" s="285" t="s">
        <v>567</v>
      </c>
      <c r="L20" s="399">
        <f>HOLDERS!M54</f>
        <v>10.78</v>
      </c>
      <c r="M20" s="398">
        <f>HOLDERS!N54</f>
        <v>21.56</v>
      </c>
      <c r="N20" s="831">
        <v>5000</v>
      </c>
      <c r="O20" s="418"/>
      <c r="P20" s="418"/>
    </row>
    <row r="21" spans="1:16" ht="21" thickBot="1" x14ac:dyDescent="0.3">
      <c r="A21" s="285" t="s">
        <v>145</v>
      </c>
      <c r="B21" s="399">
        <f>AROS!F223</f>
        <v>7511.995480225989</v>
      </c>
      <c r="C21" s="398">
        <f>AROS!H223</f>
        <v>5500</v>
      </c>
      <c r="D21" s="831">
        <f>AROS!H224</f>
        <v>11000</v>
      </c>
      <c r="F21" s="1516" t="s">
        <v>566</v>
      </c>
      <c r="G21" s="1517"/>
      <c r="H21" s="1517"/>
      <c r="I21" s="1518"/>
      <c r="J21" s="418"/>
      <c r="K21" s="285" t="s">
        <v>568</v>
      </c>
      <c r="L21" s="399">
        <f>HOLDERS!E40</f>
        <v>50</v>
      </c>
      <c r="M21" s="398">
        <f>HOLDERS!F40</f>
        <v>0</v>
      </c>
      <c r="N21" s="831">
        <v>5000</v>
      </c>
      <c r="O21" s="418"/>
      <c r="P21" s="418"/>
    </row>
    <row r="22" spans="1:16" ht="21" thickBot="1" x14ac:dyDescent="0.3">
      <c r="A22" s="285" t="s">
        <v>565</v>
      </c>
      <c r="B22" s="466">
        <f>AROS!E56</f>
        <v>1540</v>
      </c>
      <c r="C22" s="398">
        <f>AROS!G56</f>
        <v>1600</v>
      </c>
      <c r="D22" s="835">
        <v>2500</v>
      </c>
      <c r="F22" s="828" t="s">
        <v>150</v>
      </c>
      <c r="G22" s="827"/>
      <c r="H22" s="827"/>
      <c r="I22" s="850">
        <f>CADENAS!T117</f>
        <v>30000</v>
      </c>
      <c r="J22" s="418"/>
      <c r="K22" s="623" t="s">
        <v>569</v>
      </c>
      <c r="L22" s="624">
        <f>HOLDERS!T128</f>
        <v>0</v>
      </c>
      <c r="M22" s="624">
        <f>HOLDERS!U128</f>
        <v>0</v>
      </c>
      <c r="N22" s="863">
        <v>5500</v>
      </c>
      <c r="O22" s="418"/>
      <c r="P22" s="418"/>
    </row>
    <row r="23" spans="1:16" ht="21" thickBot="1" x14ac:dyDescent="0.3">
      <c r="A23" s="285" t="s">
        <v>129</v>
      </c>
      <c r="B23" s="399">
        <f>AROS!F239</f>
        <v>6613.6340659340658</v>
      </c>
      <c r="C23" s="398">
        <f>AROS!H239</f>
        <v>3800</v>
      </c>
      <c r="D23" s="831">
        <f>AROS!H240</f>
        <v>7600</v>
      </c>
      <c r="F23" s="285" t="s">
        <v>141</v>
      </c>
      <c r="G23" s="399"/>
      <c r="H23" s="393">
        <f>CADENAS!T90</f>
        <v>5100</v>
      </c>
      <c r="I23" s="831">
        <f>CADENAS!T91</f>
        <v>10200</v>
      </c>
      <c r="J23" s="418"/>
      <c r="K23" s="1516" t="s">
        <v>570</v>
      </c>
      <c r="L23" s="1517"/>
      <c r="M23" s="1517"/>
      <c r="N23" s="1518"/>
      <c r="O23" s="418"/>
      <c r="P23" s="418"/>
    </row>
    <row r="24" spans="1:16" x14ac:dyDescent="0.25">
      <c r="A24" s="285" t="s">
        <v>2258</v>
      </c>
      <c r="B24" s="399"/>
      <c r="C24" s="399">
        <f>AROS!G372</f>
        <v>8000</v>
      </c>
      <c r="D24" s="831">
        <f>AROS!G373</f>
        <v>16000</v>
      </c>
      <c r="F24" s="285" t="s">
        <v>317</v>
      </c>
      <c r="G24" s="399"/>
      <c r="H24" s="393"/>
      <c r="I24" s="831">
        <f>CADENAS!T131</f>
        <v>22000</v>
      </c>
      <c r="J24" s="418"/>
      <c r="K24" s="284" t="s">
        <v>571</v>
      </c>
      <c r="L24" s="404">
        <f>HOLDERS!E59</f>
        <v>0</v>
      </c>
      <c r="M24" s="415">
        <f>HOLDERS!F59</f>
        <v>80</v>
      </c>
      <c r="N24" s="830">
        <v>16800</v>
      </c>
      <c r="O24" s="418"/>
      <c r="P24" s="418"/>
    </row>
    <row r="25" spans="1:16" x14ac:dyDescent="0.25">
      <c r="A25" s="285" t="s">
        <v>414</v>
      </c>
      <c r="B25" s="399"/>
      <c r="C25" s="395"/>
      <c r="D25" s="831">
        <f>AROS!I318</f>
        <v>36000</v>
      </c>
      <c r="F25" s="285" t="s">
        <v>145</v>
      </c>
      <c r="G25" s="398">
        <f>CADENAS!R17</f>
        <v>10612.8</v>
      </c>
      <c r="H25" s="395"/>
      <c r="I25" s="521">
        <f>CADENAS!T17</f>
        <v>16000</v>
      </c>
      <c r="J25" s="418"/>
      <c r="K25" s="418"/>
      <c r="L25" s="418"/>
      <c r="M25" s="418"/>
      <c r="N25" s="862"/>
      <c r="O25" s="418"/>
      <c r="P25" s="418"/>
    </row>
    <row r="26" spans="1:16" x14ac:dyDescent="0.25">
      <c r="A26" s="285" t="s">
        <v>154</v>
      </c>
      <c r="B26" s="399">
        <f>AROS!F251</f>
        <v>23949.127181873006</v>
      </c>
      <c r="C26" s="398">
        <f>AROS!H251</f>
        <v>42000</v>
      </c>
      <c r="D26" s="831">
        <f>AROS!H252</f>
        <v>25200</v>
      </c>
      <c r="F26" s="949" t="s">
        <v>212</v>
      </c>
      <c r="G26" s="953"/>
      <c r="H26" s="953">
        <f>'SALE CADENAS'!R34</f>
        <v>2500</v>
      </c>
      <c r="I26" s="950">
        <f>'SALE CADENAS'!R35</f>
        <v>5000</v>
      </c>
      <c r="J26" s="418"/>
      <c r="K26" s="418"/>
      <c r="L26" s="418"/>
      <c r="M26" s="418"/>
      <c r="N26" s="862"/>
      <c r="O26" s="418"/>
      <c r="P26" s="418"/>
    </row>
    <row r="27" spans="1:16" x14ac:dyDescent="0.25">
      <c r="A27" s="714" t="s">
        <v>168</v>
      </c>
      <c r="B27" s="715" t="e">
        <f>#REF!</f>
        <v>#REF!</v>
      </c>
      <c r="C27" s="717">
        <f>'SALE AROS'!G31</f>
        <v>2450</v>
      </c>
      <c r="D27" s="836">
        <f>'SALE AROS'!G32</f>
        <v>4900</v>
      </c>
      <c r="F27" s="534" t="s">
        <v>228</v>
      </c>
      <c r="G27" s="400">
        <f>'COLLAR INICIAL'!E16</f>
        <v>11974.964285714286</v>
      </c>
      <c r="H27" s="398">
        <f>'COLLAR INICIAL'!G16</f>
        <v>28000</v>
      </c>
      <c r="I27" s="851">
        <f>'COLLAR INICIAL'!G17</f>
        <v>0</v>
      </c>
      <c r="J27" s="418"/>
      <c r="K27" s="418"/>
      <c r="L27" s="418"/>
      <c r="M27" s="418"/>
      <c r="N27" s="862"/>
      <c r="O27" s="418"/>
      <c r="P27" s="418"/>
    </row>
    <row r="28" spans="1:16" x14ac:dyDescent="0.25">
      <c r="A28" s="285" t="s">
        <v>136</v>
      </c>
      <c r="B28" s="399"/>
      <c r="C28" s="605"/>
      <c r="D28" s="831">
        <f>AROS!I287</f>
        <v>30000</v>
      </c>
      <c r="F28" s="413" t="s">
        <v>318</v>
      </c>
      <c r="G28" s="400"/>
      <c r="H28" s="414">
        <f>CADENAS!T45</f>
        <v>11000</v>
      </c>
      <c r="I28" s="851">
        <f>CADENAS!T46</f>
        <v>22000</v>
      </c>
      <c r="J28" s="418"/>
      <c r="K28" s="418"/>
      <c r="L28" s="418"/>
      <c r="M28" s="418"/>
      <c r="N28" s="862"/>
      <c r="O28" s="418"/>
      <c r="P28" s="418"/>
    </row>
    <row r="29" spans="1:16" x14ac:dyDescent="0.25">
      <c r="A29" s="714" t="s">
        <v>144</v>
      </c>
      <c r="B29" s="715"/>
      <c r="C29" s="715">
        <f>'SALE AROS'!H45</f>
        <v>1500</v>
      </c>
      <c r="D29" s="836">
        <f>'SALE AROS'!H46</f>
        <v>3000</v>
      </c>
      <c r="F29" s="413" t="s">
        <v>304</v>
      </c>
      <c r="G29" s="400">
        <f>CADENAS!R102</f>
        <v>4114</v>
      </c>
      <c r="H29" s="414"/>
      <c r="I29" s="851">
        <f>CADENAS!T102</f>
        <v>6200</v>
      </c>
      <c r="J29" s="418"/>
      <c r="K29" s="418"/>
      <c r="L29" s="418"/>
      <c r="M29" s="418"/>
      <c r="N29" s="862"/>
      <c r="O29" s="418"/>
      <c r="P29" s="418"/>
    </row>
    <row r="30" spans="1:16" x14ac:dyDescent="0.25">
      <c r="A30" s="285" t="s">
        <v>99</v>
      </c>
      <c r="B30" s="399" t="e">
        <f>#REF!</f>
        <v>#REF!</v>
      </c>
      <c r="C30" s="393"/>
      <c r="D30" s="831">
        <f>AROS!G155</f>
        <v>6800</v>
      </c>
      <c r="F30" s="949" t="s">
        <v>139</v>
      </c>
      <c r="G30" s="399"/>
      <c r="H30" s="393"/>
      <c r="I30" s="950">
        <f>'SALE CADENAS'!R21</f>
        <v>5900</v>
      </c>
      <c r="J30" s="418"/>
      <c r="K30" s="418"/>
      <c r="L30" s="418"/>
      <c r="M30" s="418"/>
      <c r="N30" s="862"/>
      <c r="O30" s="418"/>
      <c r="P30" s="418"/>
    </row>
    <row r="31" spans="1:16" x14ac:dyDescent="0.25">
      <c r="A31" s="285" t="s">
        <v>572</v>
      </c>
      <c r="B31" s="399">
        <f>AROS!C83</f>
        <v>3740</v>
      </c>
      <c r="C31" s="398">
        <f>AROS!L113</f>
        <v>0</v>
      </c>
      <c r="D31" s="831">
        <f>AROS!E84</f>
        <v>14400</v>
      </c>
      <c r="F31" s="458" t="s">
        <v>1966</v>
      </c>
      <c r="G31" s="399"/>
      <c r="H31" s="611"/>
      <c r="I31" s="963">
        <f>CADENAS!T145</f>
        <v>20000</v>
      </c>
      <c r="J31" s="418"/>
      <c r="K31" s="418"/>
      <c r="L31" s="418"/>
      <c r="M31" s="418"/>
      <c r="N31" s="862"/>
      <c r="O31" s="418"/>
      <c r="P31" s="418"/>
    </row>
    <row r="32" spans="1:16" x14ac:dyDescent="0.25">
      <c r="A32" s="285" t="s">
        <v>3036</v>
      </c>
      <c r="B32" s="399"/>
      <c r="C32" s="398"/>
      <c r="D32" s="831">
        <v>3500</v>
      </c>
      <c r="F32" s="285" t="s">
        <v>138</v>
      </c>
      <c r="G32" s="399" t="str">
        <f>'SALE COLLARES'!A53</f>
        <v>XMAYOR</v>
      </c>
      <c r="H32" s="611">
        <f>CADENAS!T76</f>
        <v>18000</v>
      </c>
      <c r="I32" s="831">
        <f>CADENAS!T77</f>
        <v>0</v>
      </c>
      <c r="J32" s="418"/>
      <c r="K32" s="418"/>
      <c r="L32" s="418"/>
      <c r="M32" s="418"/>
      <c r="N32" s="862"/>
      <c r="O32" s="418"/>
      <c r="P32" s="418"/>
    </row>
    <row r="33" spans="1:16" x14ac:dyDescent="0.25">
      <c r="A33" s="285" t="s">
        <v>573</v>
      </c>
      <c r="B33" s="399"/>
      <c r="C33" s="399">
        <f>AROS!E74</f>
        <v>5200</v>
      </c>
      <c r="D33" s="831">
        <f>AROS!E75</f>
        <v>10400</v>
      </c>
      <c r="F33" s="285" t="s">
        <v>2291</v>
      </c>
      <c r="G33" s="399"/>
      <c r="H33" s="611"/>
      <c r="I33" s="831">
        <f>CADENAS!T187</f>
        <v>22000</v>
      </c>
      <c r="J33" s="418"/>
      <c r="K33" s="418"/>
      <c r="L33" s="418"/>
      <c r="M33" s="418"/>
      <c r="N33" s="862"/>
      <c r="O33" s="418"/>
      <c r="P33" s="418"/>
    </row>
    <row r="34" spans="1:16" x14ac:dyDescent="0.25">
      <c r="A34" s="286" t="s">
        <v>2210</v>
      </c>
      <c r="B34" s="401"/>
      <c r="C34" s="621"/>
      <c r="D34" s="832">
        <f>AROS!J433</f>
        <v>29000</v>
      </c>
      <c r="F34" s="285" t="s">
        <v>294</v>
      </c>
      <c r="G34" s="399"/>
      <c r="H34" s="611"/>
      <c r="I34" s="831">
        <f>CADENAS!T159</f>
        <v>17000</v>
      </c>
      <c r="J34" s="418"/>
      <c r="K34" s="418"/>
      <c r="L34" s="418"/>
      <c r="M34" s="418"/>
      <c r="N34" s="862"/>
      <c r="O34" s="418"/>
      <c r="P34" s="418"/>
    </row>
    <row r="35" spans="1:16" x14ac:dyDescent="0.25">
      <c r="A35" s="719" t="s">
        <v>139</v>
      </c>
      <c r="B35" s="720"/>
      <c r="C35" s="721">
        <f>'SALE AROS'!G79</f>
        <v>1900</v>
      </c>
      <c r="D35" s="837">
        <f>'SALE AROS'!G80</f>
        <v>3800</v>
      </c>
      <c r="F35" s="285" t="s">
        <v>574</v>
      </c>
      <c r="G35" s="399">
        <f>CADENAS!R30</f>
        <v>6431.4</v>
      </c>
      <c r="H35" s="398">
        <f>CADENAS!T30</f>
        <v>7200</v>
      </c>
      <c r="I35" s="831">
        <f>CADENAS!T31</f>
        <v>7200</v>
      </c>
      <c r="J35" s="418"/>
      <c r="K35" s="418"/>
      <c r="L35" s="418"/>
      <c r="M35" s="418"/>
      <c r="N35" s="862"/>
      <c r="O35" s="418"/>
      <c r="P35" s="418"/>
    </row>
    <row r="36" spans="1:16" ht="19.5" customHeight="1" x14ac:dyDescent="0.25">
      <c r="A36" s="458" t="s">
        <v>162</v>
      </c>
      <c r="B36" s="459" t="e">
        <f>#REF!</f>
        <v>#REF!</v>
      </c>
      <c r="C36" s="460" t="e">
        <f>AROS!#REF!</f>
        <v>#REF!</v>
      </c>
      <c r="D36" s="838">
        <f>AROS!H345</f>
        <v>17000</v>
      </c>
      <c r="F36" s="286" t="s">
        <v>316</v>
      </c>
      <c r="G36" s="401"/>
      <c r="H36" s="396"/>
      <c r="I36" s="832">
        <f>CADENAS!T58</f>
        <v>22000</v>
      </c>
      <c r="J36" s="418"/>
      <c r="K36" s="418"/>
      <c r="L36" s="418"/>
      <c r="M36" s="418"/>
      <c r="N36" s="862"/>
      <c r="O36" s="418"/>
      <c r="P36" s="418"/>
    </row>
    <row r="37" spans="1:16" ht="19.5" customHeight="1" thickBot="1" x14ac:dyDescent="0.3">
      <c r="A37" s="285" t="s">
        <v>97</v>
      </c>
      <c r="B37" s="399"/>
      <c r="C37" s="399"/>
      <c r="D37" s="831">
        <f>AROS!G174</f>
        <v>12000</v>
      </c>
      <c r="F37" s="951" t="s">
        <v>313</v>
      </c>
      <c r="G37" s="452"/>
      <c r="H37" s="452"/>
      <c r="I37" s="952">
        <f>CADENAS!T173</f>
        <v>20000</v>
      </c>
      <c r="J37" s="418"/>
      <c r="K37" s="418"/>
      <c r="L37" s="418"/>
      <c r="O37" s="418"/>
      <c r="P37" s="418"/>
    </row>
    <row r="38" spans="1:16" ht="21" thickBot="1" x14ac:dyDescent="0.3">
      <c r="A38" s="285" t="s">
        <v>257</v>
      </c>
      <c r="B38" s="399"/>
      <c r="C38" s="399"/>
      <c r="D38" s="831">
        <f>D37</f>
        <v>12000</v>
      </c>
      <c r="F38" s="1519" t="s">
        <v>575</v>
      </c>
      <c r="G38" s="1520"/>
      <c r="H38" s="1520"/>
      <c r="I38" s="1521"/>
      <c r="J38" s="418"/>
      <c r="K38" s="418"/>
      <c r="L38" s="418"/>
      <c r="O38" s="418"/>
      <c r="P38" s="418"/>
    </row>
    <row r="39" spans="1:16" x14ac:dyDescent="0.25">
      <c r="A39" s="285" t="s">
        <v>138</v>
      </c>
      <c r="B39" s="399"/>
      <c r="C39" s="393">
        <f>AROS!G332</f>
        <v>9000</v>
      </c>
      <c r="D39" s="831">
        <f>AROS!G333</f>
        <v>18000</v>
      </c>
      <c r="F39" s="284" t="s">
        <v>2271</v>
      </c>
      <c r="G39" s="404"/>
      <c r="H39" s="394">
        <f>COLLARES!U102</f>
        <v>2633</v>
      </c>
      <c r="I39" s="830">
        <f>COLLARES!W103</f>
        <v>0</v>
      </c>
      <c r="J39" s="418"/>
      <c r="K39" s="418"/>
      <c r="L39" s="418"/>
      <c r="O39" s="418"/>
      <c r="P39" s="418"/>
    </row>
    <row r="40" spans="1:16" x14ac:dyDescent="0.25">
      <c r="A40" s="285" t="s">
        <v>134</v>
      </c>
      <c r="B40" s="398">
        <f>AROS!E209</f>
        <v>9978.5333333333328</v>
      </c>
      <c r="C40" s="395">
        <f>AROS!G209</f>
        <v>12000</v>
      </c>
      <c r="D40" s="521">
        <f>AROS!G210</f>
        <v>24000</v>
      </c>
      <c r="F40" s="286" t="s">
        <v>373</v>
      </c>
      <c r="G40" s="401"/>
      <c r="H40" s="396"/>
      <c r="I40" s="832">
        <f>COLLARES!I264</f>
        <v>8800</v>
      </c>
      <c r="J40" s="418"/>
      <c r="K40" s="418"/>
      <c r="L40" s="418"/>
      <c r="O40" s="418"/>
      <c r="P40" s="418"/>
    </row>
    <row r="41" spans="1:16" x14ac:dyDescent="0.25">
      <c r="A41" s="714" t="s">
        <v>160</v>
      </c>
      <c r="B41" s="715" t="e">
        <f>#REF!</f>
        <v>#REF!</v>
      </c>
      <c r="C41" s="715">
        <f>'SALE AROS'!G14</f>
        <v>1400</v>
      </c>
      <c r="D41" s="836">
        <f>'SALE AROS'!G15</f>
        <v>2800</v>
      </c>
      <c r="F41" s="719" t="s">
        <v>381</v>
      </c>
      <c r="G41" s="732"/>
      <c r="H41" s="733">
        <f>'SALE COLLARES'!I203</f>
        <v>2350</v>
      </c>
      <c r="I41" s="852">
        <f>'SALE COLLARES'!I204</f>
        <v>4700</v>
      </c>
      <c r="J41" s="418"/>
      <c r="K41" s="418"/>
      <c r="L41" s="418"/>
      <c r="O41" s="418"/>
      <c r="P41" s="418"/>
    </row>
    <row r="42" spans="1:16" x14ac:dyDescent="0.25">
      <c r="A42" s="458" t="s">
        <v>2301</v>
      </c>
      <c r="B42" s="459"/>
      <c r="C42" s="459"/>
      <c r="D42" s="838">
        <f>AROS!H163</f>
        <v>12000</v>
      </c>
      <c r="F42" s="286" t="s">
        <v>369</v>
      </c>
      <c r="G42" s="401"/>
      <c r="H42" s="396">
        <f>COLLARES!H89</f>
        <v>4400</v>
      </c>
      <c r="I42" s="832">
        <f>COLLARES!H90</f>
        <v>8800</v>
      </c>
      <c r="J42" s="418"/>
      <c r="K42" s="418"/>
      <c r="L42" s="418"/>
      <c r="M42" s="418"/>
      <c r="N42" s="862"/>
      <c r="O42" s="418"/>
      <c r="P42" s="418"/>
    </row>
    <row r="43" spans="1:16" x14ac:dyDescent="0.25">
      <c r="A43" s="543" t="s">
        <v>164</v>
      </c>
      <c r="B43" s="544"/>
      <c r="C43" s="545">
        <f>AROS!G359</f>
        <v>5500</v>
      </c>
      <c r="D43" s="839">
        <f>AROS!G360</f>
        <v>11000</v>
      </c>
      <c r="F43" s="719" t="s">
        <v>347</v>
      </c>
      <c r="G43" s="732"/>
      <c r="H43" s="733">
        <f>'SALE COLLARES'!I161</f>
        <v>2350</v>
      </c>
      <c r="I43" s="852">
        <f>'SALE COLLARES'!I162</f>
        <v>4700</v>
      </c>
      <c r="J43" s="418"/>
      <c r="K43" s="418"/>
      <c r="L43" s="418"/>
      <c r="M43" s="418"/>
      <c r="N43" s="862"/>
      <c r="O43" s="418"/>
      <c r="P43" s="418"/>
    </row>
    <row r="44" spans="1:16" ht="18.95" customHeight="1" x14ac:dyDescent="0.25">
      <c r="A44" s="285" t="s">
        <v>133</v>
      </c>
      <c r="B44" s="399">
        <f>AROS!F196</f>
        <v>11078.45197740113</v>
      </c>
      <c r="C44" s="398">
        <f>AROS!H196</f>
        <v>10000</v>
      </c>
      <c r="D44" s="831">
        <f>AROS!H197</f>
        <v>20000</v>
      </c>
      <c r="F44" s="543" t="s">
        <v>374</v>
      </c>
      <c r="G44" s="544"/>
      <c r="H44" s="695"/>
      <c r="I44" s="839">
        <f>COLLARES!I306</f>
        <v>17800</v>
      </c>
      <c r="J44" s="418"/>
      <c r="K44" s="418"/>
      <c r="L44" s="418"/>
      <c r="M44" s="418"/>
      <c r="N44" s="862"/>
      <c r="O44" s="418"/>
      <c r="P44" s="418"/>
    </row>
    <row r="45" spans="1:16" x14ac:dyDescent="0.25">
      <c r="A45" s="285" t="s">
        <v>2212</v>
      </c>
      <c r="B45" s="399"/>
      <c r="C45" s="398"/>
      <c r="D45" s="831">
        <f>AROS!J441</f>
        <v>31000</v>
      </c>
      <c r="F45" s="543" t="s">
        <v>127</v>
      </c>
      <c r="G45" s="544">
        <f>COLLARES!F71</f>
        <v>10739.630769230769</v>
      </c>
      <c r="H45" s="544">
        <f>COLLARES!H71</f>
        <v>11600</v>
      </c>
      <c r="I45" s="839">
        <f>COLLARES!H72</f>
        <v>23200</v>
      </c>
      <c r="J45" s="418"/>
      <c r="K45" s="418"/>
      <c r="L45" s="418"/>
      <c r="M45" s="418"/>
      <c r="N45" s="862"/>
      <c r="O45" s="418"/>
      <c r="P45" s="418"/>
    </row>
    <row r="46" spans="1:16" x14ac:dyDescent="0.25">
      <c r="A46" s="285" t="s">
        <v>576</v>
      </c>
      <c r="B46" s="282"/>
      <c r="C46" s="398"/>
      <c r="D46" s="831">
        <f>'SALE AROS'!H120</f>
        <v>4000</v>
      </c>
      <c r="F46" s="719" t="s">
        <v>336</v>
      </c>
      <c r="G46" s="732"/>
      <c r="H46" s="733">
        <f>'SALE COLLARES'!H266</f>
        <v>3000</v>
      </c>
      <c r="I46" s="852">
        <f>'SALE COLLARES'!H267</f>
        <v>6000</v>
      </c>
      <c r="J46" s="418"/>
      <c r="K46" s="418"/>
      <c r="L46" s="418"/>
      <c r="M46" s="418"/>
      <c r="N46" s="862"/>
      <c r="O46" s="418"/>
      <c r="P46" s="418"/>
    </row>
    <row r="47" spans="1:16" x14ac:dyDescent="0.25">
      <c r="A47" s="285" t="s">
        <v>103</v>
      </c>
      <c r="B47" s="399">
        <f>AROS!C65</f>
        <v>1566</v>
      </c>
      <c r="C47" s="398">
        <f>AROS!E65</f>
        <v>1500</v>
      </c>
      <c r="D47" s="831">
        <f>AROS!E66</f>
        <v>3000</v>
      </c>
      <c r="F47" s="1086" t="s">
        <v>344</v>
      </c>
      <c r="G47" s="1087"/>
      <c r="H47" s="1088"/>
      <c r="I47" s="1089">
        <f>COLLARES!G322</f>
        <v>26000</v>
      </c>
      <c r="J47" s="418"/>
      <c r="K47" s="418"/>
      <c r="L47" s="418"/>
      <c r="M47" s="418"/>
      <c r="N47" s="862"/>
      <c r="O47" s="418"/>
      <c r="P47" s="418"/>
    </row>
    <row r="48" spans="1:16" x14ac:dyDescent="0.25">
      <c r="A48" s="285" t="s">
        <v>264</v>
      </c>
      <c r="B48" s="399" t="e">
        <f>AROS!#REF!</f>
        <v>#REF!</v>
      </c>
      <c r="C48" s="398" t="e">
        <f>AROS!#REF!</f>
        <v>#REF!</v>
      </c>
      <c r="D48" s="831">
        <f>AROS!H128</f>
        <v>17000</v>
      </c>
      <c r="F48" s="543" t="s">
        <v>166</v>
      </c>
      <c r="G48" s="544"/>
      <c r="H48" s="695"/>
      <c r="I48" s="839">
        <f>COLLARES!G209</f>
        <v>18000</v>
      </c>
      <c r="J48" s="418"/>
      <c r="K48" s="287"/>
      <c r="M48" s="418"/>
      <c r="N48" s="862"/>
    </row>
    <row r="49" spans="1:16" x14ac:dyDescent="0.25">
      <c r="A49" s="285" t="s">
        <v>156</v>
      </c>
      <c r="B49" s="399"/>
      <c r="C49" s="398"/>
      <c r="D49" s="831">
        <f>AROS!H119</f>
        <v>20000</v>
      </c>
      <c r="F49" s="458" t="s">
        <v>288</v>
      </c>
      <c r="G49" s="459"/>
      <c r="H49" s="459"/>
      <c r="I49" s="838">
        <f>COLLARES!V163</f>
        <v>0</v>
      </c>
      <c r="J49" s="418"/>
      <c r="K49" s="418"/>
      <c r="L49" s="418"/>
      <c r="M49" s="418"/>
      <c r="N49" s="862"/>
    </row>
    <row r="50" spans="1:16" x14ac:dyDescent="0.25">
      <c r="A50" s="285" t="s">
        <v>157</v>
      </c>
      <c r="B50" s="399"/>
      <c r="C50" s="398"/>
      <c r="D50" s="831">
        <f>D49</f>
        <v>20000</v>
      </c>
      <c r="F50" s="719" t="s">
        <v>153</v>
      </c>
      <c r="G50" s="732"/>
      <c r="H50" s="733">
        <f>COLLARES!G538</f>
        <v>10000</v>
      </c>
      <c r="I50" s="852">
        <f>COLLARES!G539</f>
        <v>20000</v>
      </c>
      <c r="J50" s="418"/>
      <c r="K50" s="418"/>
      <c r="L50" s="418"/>
      <c r="M50" s="418"/>
      <c r="N50" s="862"/>
    </row>
    <row r="51" spans="1:16" x14ac:dyDescent="0.25">
      <c r="A51" s="285" t="s">
        <v>158</v>
      </c>
      <c r="B51" s="399"/>
      <c r="C51" s="398"/>
      <c r="D51" s="831">
        <f>D50</f>
        <v>20000</v>
      </c>
      <c r="F51" s="719" t="s">
        <v>370</v>
      </c>
      <c r="G51" s="732">
        <f>'SALE COLLARES'!F132</f>
        <v>14569.570534178585</v>
      </c>
      <c r="H51" s="732">
        <f>'SALE COLLARES'!H132</f>
        <v>6300</v>
      </c>
      <c r="I51" s="852">
        <f>'SALE COLLARES'!H133</f>
        <v>12600</v>
      </c>
      <c r="J51" s="418"/>
      <c r="K51" s="418"/>
      <c r="L51" s="418"/>
      <c r="M51" s="418"/>
      <c r="N51" s="862"/>
    </row>
    <row r="52" spans="1:16" x14ac:dyDescent="0.25">
      <c r="A52" s="285" t="s">
        <v>101</v>
      </c>
      <c r="B52" s="399"/>
      <c r="C52" s="398">
        <f>AROS!E10</f>
        <v>10132</v>
      </c>
      <c r="D52" s="831">
        <f>AROS!F11</f>
        <v>0</v>
      </c>
      <c r="F52" s="286" t="s">
        <v>167</v>
      </c>
      <c r="G52" s="410"/>
      <c r="H52" s="410"/>
      <c r="I52" s="520">
        <f>COLLARES!H282</f>
        <v>23000</v>
      </c>
      <c r="J52" s="418"/>
      <c r="K52" s="418"/>
      <c r="L52" s="418"/>
      <c r="M52" s="418"/>
      <c r="N52" s="862"/>
    </row>
    <row r="53" spans="1:16" x14ac:dyDescent="0.25">
      <c r="A53" s="285" t="s">
        <v>577</v>
      </c>
      <c r="B53" s="399"/>
      <c r="C53" s="398"/>
      <c r="D53" s="831">
        <f>AROS!G30</f>
        <v>20000</v>
      </c>
      <c r="F53" s="458" t="s">
        <v>372</v>
      </c>
      <c r="G53" s="459"/>
      <c r="H53" s="459"/>
      <c r="I53" s="838">
        <f>COLLARES!U84</f>
        <v>34000</v>
      </c>
      <c r="J53" s="418"/>
      <c r="K53" s="418"/>
      <c r="L53" s="418"/>
      <c r="M53" s="418"/>
      <c r="N53" s="862"/>
      <c r="O53" s="418"/>
      <c r="P53" s="418"/>
    </row>
    <row r="54" spans="1:16" x14ac:dyDescent="0.25">
      <c r="A54" s="285" t="s">
        <v>89</v>
      </c>
      <c r="B54" s="399">
        <f>AROS!D39</f>
        <v>2366</v>
      </c>
      <c r="C54" s="398">
        <f>AROS!F39</f>
        <v>3800</v>
      </c>
      <c r="D54" s="831">
        <f>AROS!F40</f>
        <v>7600</v>
      </c>
      <c r="F54" s="458" t="s">
        <v>360</v>
      </c>
      <c r="G54" s="459" t="e">
        <f>#REF!</f>
        <v>#REF!</v>
      </c>
      <c r="H54" s="459"/>
      <c r="I54" s="838">
        <f>COLLARES!I38</f>
        <v>30000</v>
      </c>
      <c r="J54" s="418"/>
      <c r="K54" s="418"/>
      <c r="L54" s="418"/>
      <c r="M54" s="418"/>
      <c r="N54" s="862"/>
      <c r="O54" s="418"/>
      <c r="P54" s="418"/>
    </row>
    <row r="55" spans="1:16" ht="18.95" customHeight="1" x14ac:dyDescent="0.25">
      <c r="A55" s="285" t="s">
        <v>283</v>
      </c>
      <c r="B55" s="399">
        <f>AROS!E184</f>
        <v>4270.666666666667</v>
      </c>
      <c r="C55" s="398">
        <f>AROS!G184</f>
        <v>8500</v>
      </c>
      <c r="D55" s="831">
        <f>AROS!G185</f>
        <v>17000</v>
      </c>
      <c r="F55" s="458" t="s">
        <v>2289</v>
      </c>
      <c r="G55" s="459"/>
      <c r="H55" s="459"/>
      <c r="I55" s="838">
        <f>COLLARES!G322</f>
        <v>26000</v>
      </c>
      <c r="J55" s="418"/>
      <c r="K55" s="418"/>
      <c r="L55" s="418"/>
      <c r="M55" s="418"/>
      <c r="N55" s="862"/>
      <c r="O55" s="418"/>
      <c r="P55" s="418"/>
    </row>
    <row r="56" spans="1:16" x14ac:dyDescent="0.25">
      <c r="A56" s="285" t="s">
        <v>2281</v>
      </c>
      <c r="B56" s="399"/>
      <c r="C56" s="605"/>
      <c r="D56" s="831">
        <f>AROS!J465</f>
        <v>36000</v>
      </c>
      <c r="F56" s="714" t="s">
        <v>578</v>
      </c>
      <c r="G56" s="715">
        <f>'SALE COLLARES'!F33</f>
        <v>10363.865445665446</v>
      </c>
      <c r="H56" s="716">
        <f>'SALE COLLARES'!H33</f>
        <v>2100</v>
      </c>
      <c r="I56" s="836">
        <f>'SALE COLLARES'!H34</f>
        <v>4200</v>
      </c>
      <c r="J56" s="418"/>
      <c r="K56" s="418"/>
      <c r="L56" s="418"/>
      <c r="M56" s="418"/>
      <c r="N56" s="862"/>
      <c r="O56" s="418"/>
      <c r="P56" s="418"/>
    </row>
    <row r="57" spans="1:16" ht="19.5" customHeight="1" x14ac:dyDescent="0.25">
      <c r="A57" s="714" t="s">
        <v>142</v>
      </c>
      <c r="B57" s="715"/>
      <c r="C57" s="718">
        <f>'SALE AROS'!H93</f>
        <v>2100</v>
      </c>
      <c r="D57" s="836">
        <f>'SALE AROS'!H94</f>
        <v>4200</v>
      </c>
      <c r="F57" s="286" t="s">
        <v>322</v>
      </c>
      <c r="G57" s="401"/>
      <c r="H57" s="411"/>
      <c r="I57" s="832">
        <f>COLLARES!W56</f>
        <v>82000</v>
      </c>
      <c r="J57" s="418"/>
      <c r="K57" s="418"/>
      <c r="L57" s="418"/>
      <c r="M57" s="418"/>
      <c r="N57" s="862"/>
      <c r="O57" s="418"/>
      <c r="P57" s="418"/>
    </row>
    <row r="58" spans="1:16" ht="19.5" customHeight="1" thickBot="1" x14ac:dyDescent="0.3">
      <c r="A58" s="722" t="s">
        <v>140</v>
      </c>
      <c r="B58" s="723"/>
      <c r="C58" s="724">
        <f>'SALE AROS'!G65</f>
        <v>1700</v>
      </c>
      <c r="D58" s="840">
        <f>'SALE AROS'!G66</f>
        <v>3400</v>
      </c>
      <c r="F58" s="285" t="s">
        <v>579</v>
      </c>
      <c r="G58" s="399"/>
      <c r="H58" s="398"/>
      <c r="I58" s="831">
        <f>COLLARES!W122</f>
        <v>24000</v>
      </c>
      <c r="J58" s="418"/>
      <c r="K58" s="418"/>
      <c r="L58" s="418"/>
      <c r="M58" s="418"/>
      <c r="N58" s="862"/>
      <c r="O58" s="418"/>
      <c r="P58" s="418"/>
    </row>
    <row r="59" spans="1:16" ht="19.5" customHeight="1" thickBot="1" x14ac:dyDescent="0.3">
      <c r="A59" s="1528" t="s">
        <v>581</v>
      </c>
      <c r="B59" s="1529"/>
      <c r="C59" s="1529"/>
      <c r="D59" s="1530"/>
      <c r="F59" s="285" t="s">
        <v>3084</v>
      </c>
      <c r="G59" s="399"/>
      <c r="H59" s="605"/>
      <c r="I59" s="831">
        <f>COLLARES!I330</f>
        <v>48000</v>
      </c>
      <c r="J59" s="418"/>
      <c r="K59" s="418"/>
      <c r="L59" s="418"/>
      <c r="M59" s="418"/>
      <c r="N59" s="862"/>
      <c r="O59" s="418"/>
      <c r="P59" s="418"/>
    </row>
    <row r="60" spans="1:16" ht="19.5" customHeight="1" x14ac:dyDescent="0.25">
      <c r="A60" s="725" t="s">
        <v>250</v>
      </c>
      <c r="B60" s="726" t="e">
        <f>#REF!</f>
        <v>#REF!</v>
      </c>
      <c r="C60" s="727">
        <f>AROS!T272</f>
        <v>4600</v>
      </c>
      <c r="D60" s="841">
        <v>2200</v>
      </c>
      <c r="F60" s="458" t="s">
        <v>362</v>
      </c>
      <c r="G60" s="459">
        <f>COLLARES!F70</f>
        <v>5369.8153846153846</v>
      </c>
      <c r="H60" s="460"/>
      <c r="I60" s="838">
        <f>COLLARES!H130</f>
        <v>20000</v>
      </c>
      <c r="J60" s="418"/>
      <c r="K60" s="418"/>
      <c r="L60" s="418"/>
      <c r="M60" s="418"/>
      <c r="N60" s="862"/>
      <c r="O60" s="418"/>
      <c r="P60" s="418"/>
    </row>
    <row r="61" spans="1:16" x14ac:dyDescent="0.25">
      <c r="A61" s="719" t="s">
        <v>212</v>
      </c>
      <c r="B61" s="720" t="e">
        <f>#REF!</f>
        <v>#REF!</v>
      </c>
      <c r="C61" s="721">
        <f>'SALE AROS'!R51</f>
        <v>1240</v>
      </c>
      <c r="D61" s="837">
        <v>3200</v>
      </c>
      <c r="F61" s="734" t="s">
        <v>580</v>
      </c>
      <c r="G61" s="735">
        <f>'COLLAR INICIAL'!E27</f>
        <v>1458.3333333333333</v>
      </c>
      <c r="H61" s="736">
        <f>'COLLAR INICIAL'!H48</f>
        <v>5000</v>
      </c>
      <c r="I61" s="853">
        <f>'COLLAR INICIAL'!H49</f>
        <v>10000</v>
      </c>
      <c r="J61" s="418"/>
      <c r="K61" s="418"/>
      <c r="L61" s="418"/>
      <c r="M61" s="418"/>
      <c r="N61" s="862"/>
      <c r="O61" s="418"/>
      <c r="P61" s="418"/>
    </row>
    <row r="62" spans="1:16" x14ac:dyDescent="0.25">
      <c r="A62" s="719" t="s">
        <v>206</v>
      </c>
      <c r="B62" s="720"/>
      <c r="C62" s="721">
        <f>'SALE AROS'!R39</f>
        <v>1440</v>
      </c>
      <c r="D62" s="837">
        <v>2800</v>
      </c>
      <c r="F62" s="714" t="s">
        <v>144</v>
      </c>
      <c r="G62" s="715"/>
      <c r="H62" s="737">
        <f>'SALE COLLARES'!I238</f>
        <v>3350</v>
      </c>
      <c r="I62" s="854">
        <f>'SALE COLLARES'!I239</f>
        <v>6700</v>
      </c>
      <c r="J62" s="418"/>
      <c r="K62" s="418"/>
      <c r="L62" s="418"/>
      <c r="M62" s="418"/>
      <c r="N62" s="862"/>
      <c r="O62" s="418"/>
      <c r="P62" s="418"/>
    </row>
    <row r="63" spans="1:16" x14ac:dyDescent="0.25">
      <c r="A63" s="286" t="s">
        <v>582</v>
      </c>
      <c r="B63" s="410" t="e">
        <f>#REF!</f>
        <v>#REF!</v>
      </c>
      <c r="C63" s="411" t="e">
        <f>#REF!</f>
        <v>#REF!</v>
      </c>
      <c r="D63" s="520">
        <v>4000</v>
      </c>
      <c r="F63" s="714" t="s">
        <v>380</v>
      </c>
      <c r="G63" s="716"/>
      <c r="H63" s="716">
        <f>'SALE COLLARES'!I181</f>
        <v>2350</v>
      </c>
      <c r="I63" s="855">
        <f>'SALE COLLARES'!I182</f>
        <v>4700</v>
      </c>
      <c r="J63" s="418"/>
      <c r="K63" s="418"/>
      <c r="L63" s="418"/>
      <c r="M63" s="418"/>
      <c r="N63" s="862"/>
      <c r="O63" s="418"/>
      <c r="P63" s="418"/>
    </row>
    <row r="64" spans="1:16" x14ac:dyDescent="0.25">
      <c r="A64" s="468" t="s">
        <v>583</v>
      </c>
      <c r="B64" s="629">
        <f>AROS!R40</f>
        <v>4411.333333333333</v>
      </c>
      <c r="C64" s="628">
        <f>AROS!T40</f>
        <v>16000</v>
      </c>
      <c r="D64" s="520">
        <f>AROS!T41</f>
        <v>0</v>
      </c>
      <c r="F64" s="714" t="s">
        <v>359</v>
      </c>
      <c r="G64" s="716"/>
      <c r="H64" s="716">
        <f>COLLARES!H421</f>
        <v>10000</v>
      </c>
      <c r="I64" s="855">
        <f>COLLARES!H422</f>
        <v>20000</v>
      </c>
      <c r="J64" s="418"/>
      <c r="K64" s="418"/>
      <c r="L64" s="418"/>
      <c r="M64" s="418"/>
      <c r="N64" s="862"/>
      <c r="O64" s="418"/>
      <c r="P64" s="418"/>
    </row>
    <row r="65" spans="1:16" x14ac:dyDescent="0.25">
      <c r="A65" s="468" t="s">
        <v>215</v>
      </c>
      <c r="B65" s="629"/>
      <c r="C65" s="628"/>
      <c r="D65" s="520">
        <f>D90</f>
        <v>18000</v>
      </c>
      <c r="F65" s="458" t="s">
        <v>221</v>
      </c>
      <c r="G65" s="459">
        <f>COLLARES!T142</f>
        <v>10682.337345359045</v>
      </c>
      <c r="H65" s="459"/>
      <c r="I65" s="856">
        <f>COLLARES!V143</f>
        <v>0</v>
      </c>
      <c r="J65" s="418"/>
      <c r="K65" s="418"/>
      <c r="L65" s="418"/>
      <c r="M65" s="418"/>
      <c r="N65" s="862"/>
      <c r="O65" s="418"/>
      <c r="P65" s="418"/>
    </row>
    <row r="66" spans="1:16" x14ac:dyDescent="0.25">
      <c r="A66" s="468" t="s">
        <v>221</v>
      </c>
      <c r="B66" s="628">
        <f>AROS!R15</f>
        <v>2892.9333333333334</v>
      </c>
      <c r="C66" s="628">
        <f>AROS!T15</f>
        <v>840</v>
      </c>
      <c r="D66" s="520">
        <v>2000</v>
      </c>
      <c r="F66" s="714" t="s">
        <v>216</v>
      </c>
      <c r="G66" s="716"/>
      <c r="H66" s="716"/>
      <c r="I66" s="729">
        <f>'SALE COLLARES'!I224</f>
        <v>4700</v>
      </c>
      <c r="J66" s="418"/>
      <c r="K66" s="418"/>
      <c r="L66" s="418"/>
      <c r="M66" s="418"/>
      <c r="N66" s="862"/>
      <c r="O66" s="418"/>
      <c r="P66" s="418"/>
    </row>
    <row r="67" spans="1:16" x14ac:dyDescent="0.25">
      <c r="A67" s="728" t="s">
        <v>139</v>
      </c>
      <c r="B67" s="715" t="e">
        <f>#REF!</f>
        <v>#REF!</v>
      </c>
      <c r="C67" s="718">
        <f>'SALE AROS'!R26</f>
        <v>1240</v>
      </c>
      <c r="D67" s="836">
        <v>2500</v>
      </c>
      <c r="F67" s="714" t="s">
        <v>371</v>
      </c>
      <c r="G67" s="716">
        <f>'SALE COLLARES'!F107</f>
        <v>10807.385700456993</v>
      </c>
      <c r="H67" s="716">
        <f>'SALE COLLARES'!H107</f>
        <v>3400</v>
      </c>
      <c r="I67" s="729">
        <f>'SALE COLLARES'!H108</f>
        <v>6800</v>
      </c>
      <c r="J67" s="418"/>
      <c r="K67" s="418"/>
      <c r="L67" s="418"/>
      <c r="M67" s="418"/>
      <c r="N67" s="862"/>
      <c r="O67" s="418"/>
      <c r="P67" s="418"/>
    </row>
    <row r="68" spans="1:16" ht="19.5" customHeight="1" x14ac:dyDescent="0.25">
      <c r="A68" s="285" t="s">
        <v>584</v>
      </c>
      <c r="B68" s="469">
        <f>AROS!R87</f>
        <v>4338.5200000000004</v>
      </c>
      <c r="C68" s="469"/>
      <c r="D68" s="521">
        <f>D90</f>
        <v>18000</v>
      </c>
      <c r="F68" s="285" t="s">
        <v>290</v>
      </c>
      <c r="G68" s="399"/>
      <c r="H68" s="398"/>
      <c r="I68" s="831">
        <f>COLLARES!V33</f>
        <v>78000</v>
      </c>
      <c r="J68" s="418"/>
      <c r="K68" s="418"/>
      <c r="L68" s="418"/>
      <c r="M68" s="418"/>
      <c r="N68" s="862"/>
      <c r="O68" s="418"/>
      <c r="P68" s="418"/>
    </row>
    <row r="69" spans="1:16" x14ac:dyDescent="0.25">
      <c r="A69" s="285" t="s">
        <v>252</v>
      </c>
      <c r="B69" s="399"/>
      <c r="C69" s="393">
        <f>AROS!T114</f>
        <v>3900</v>
      </c>
      <c r="D69" s="831">
        <f>AROS!T115</f>
        <v>7800</v>
      </c>
      <c r="F69" s="285" t="s">
        <v>361</v>
      </c>
      <c r="G69" s="399"/>
      <c r="H69" s="395"/>
      <c r="I69" s="831">
        <f>COLLARES!I38</f>
        <v>30000</v>
      </c>
      <c r="J69" s="418"/>
      <c r="K69" s="418"/>
      <c r="L69" s="418"/>
      <c r="M69" s="418"/>
      <c r="N69" s="862"/>
      <c r="O69" s="418"/>
      <c r="P69" s="418"/>
    </row>
    <row r="70" spans="1:16" x14ac:dyDescent="0.25">
      <c r="A70" s="714" t="s">
        <v>586</v>
      </c>
      <c r="B70" s="716">
        <f>'SALE AROS'!P61</f>
        <v>4740</v>
      </c>
      <c r="C70" s="716">
        <f>'SALE AROS'!R61</f>
        <v>1250</v>
      </c>
      <c r="D70" s="729">
        <v>2500</v>
      </c>
      <c r="F70" s="285" t="s">
        <v>343</v>
      </c>
      <c r="G70" s="398">
        <f>COLLARES!F20</f>
        <v>9919.4380952380943</v>
      </c>
      <c r="H70" s="398">
        <f>COLLARES!H20</f>
        <v>3300</v>
      </c>
      <c r="I70" s="521">
        <f>COLLARES!H21</f>
        <v>6600</v>
      </c>
      <c r="J70" s="418"/>
      <c r="K70" s="418"/>
      <c r="L70" s="418"/>
      <c r="M70" s="418"/>
      <c r="N70" s="862"/>
      <c r="O70" s="418"/>
      <c r="P70" s="418"/>
    </row>
    <row r="71" spans="1:16" x14ac:dyDescent="0.25">
      <c r="A71" s="285" t="s">
        <v>253</v>
      </c>
      <c r="B71" s="398">
        <f>AROS!R30</f>
        <v>3983.6942857142858</v>
      </c>
      <c r="C71" s="398">
        <f>AROS!T30</f>
        <v>5500</v>
      </c>
      <c r="D71" s="521">
        <f>AROS!T31</f>
        <v>11000</v>
      </c>
      <c r="F71" s="714" t="s">
        <v>160</v>
      </c>
      <c r="G71" s="715" t="e">
        <f>#REF!</f>
        <v>#REF!</v>
      </c>
      <c r="H71" s="715">
        <f>'SALE COLLARES'!H88</f>
        <v>2850</v>
      </c>
      <c r="I71" s="836">
        <f>'SALE COLLARES'!H89</f>
        <v>5700</v>
      </c>
      <c r="J71" s="418"/>
      <c r="K71" s="418"/>
      <c r="L71" s="418"/>
      <c r="M71" s="418"/>
      <c r="N71" s="862"/>
      <c r="O71" s="418"/>
      <c r="P71" s="418"/>
    </row>
    <row r="72" spans="1:16" ht="21" thickBot="1" x14ac:dyDescent="0.3">
      <c r="A72" s="714" t="s">
        <v>225</v>
      </c>
      <c r="B72" s="716">
        <f>AROS!R31</f>
        <v>0</v>
      </c>
      <c r="C72" s="729">
        <f>'SALE AROS'!R74</f>
        <v>1440</v>
      </c>
      <c r="D72" s="729">
        <v>2800</v>
      </c>
      <c r="F72" s="285" t="s">
        <v>585</v>
      </c>
      <c r="G72" s="399"/>
      <c r="H72" s="399"/>
      <c r="I72" s="831">
        <f>COLLARES!H54</f>
        <v>23000</v>
      </c>
      <c r="J72" s="418"/>
      <c r="K72" s="418"/>
      <c r="L72" s="418"/>
      <c r="M72" s="418"/>
      <c r="N72" s="862"/>
      <c r="O72" s="418"/>
      <c r="P72" s="418"/>
    </row>
    <row r="73" spans="1:16" ht="21" thickBot="1" x14ac:dyDescent="0.3">
      <c r="A73" s="1522" t="s">
        <v>588</v>
      </c>
      <c r="B73" s="1523"/>
      <c r="C73" s="1523"/>
      <c r="D73" s="1524"/>
      <c r="F73" s="285" t="s">
        <v>320</v>
      </c>
      <c r="G73" s="399" t="e">
        <f>#REF!</f>
        <v>#REF!</v>
      </c>
      <c r="H73" s="398"/>
      <c r="I73" s="831">
        <f>COLLARES!W19</f>
        <v>0</v>
      </c>
      <c r="J73" s="418"/>
      <c r="K73" s="418"/>
      <c r="L73" s="418"/>
      <c r="M73" s="418"/>
      <c r="N73" s="862"/>
      <c r="O73" s="418"/>
      <c r="P73" s="418"/>
    </row>
    <row r="74" spans="1:16" x14ac:dyDescent="0.25">
      <c r="A74" s="284" t="s">
        <v>590</v>
      </c>
      <c r="B74" s="404" t="s">
        <v>591</v>
      </c>
      <c r="C74" s="415"/>
      <c r="D74" s="830">
        <f>AROS!T68</f>
        <v>8600</v>
      </c>
      <c r="F74" s="714" t="s">
        <v>384</v>
      </c>
      <c r="G74" s="715"/>
      <c r="H74" s="718">
        <f>'SALE COLLARES'!G355</f>
        <v>2250</v>
      </c>
      <c r="I74" s="836">
        <f>'SALE COLLARES'!G356</f>
        <v>4500</v>
      </c>
      <c r="J74" s="418"/>
      <c r="K74" s="418"/>
      <c r="L74" s="418"/>
      <c r="M74" s="418"/>
      <c r="N74" s="862"/>
      <c r="O74" s="418"/>
      <c r="P74" s="418"/>
    </row>
    <row r="75" spans="1:16" x14ac:dyDescent="0.25">
      <c r="A75" s="286" t="s">
        <v>266</v>
      </c>
      <c r="B75" s="401"/>
      <c r="C75" s="410"/>
      <c r="D75" s="832">
        <f>AROS!T239</f>
        <v>11000</v>
      </c>
      <c r="F75" s="285" t="s">
        <v>2297</v>
      </c>
      <c r="G75" s="715"/>
      <c r="H75" s="718"/>
      <c r="I75" s="831">
        <f>COLLARES!I226</f>
        <v>11600</v>
      </c>
      <c r="J75" s="418"/>
      <c r="K75" s="418"/>
      <c r="L75" s="418"/>
      <c r="M75" s="418"/>
      <c r="N75" s="862"/>
      <c r="O75" s="418"/>
      <c r="P75" s="418"/>
    </row>
    <row r="76" spans="1:16" x14ac:dyDescent="0.25">
      <c r="A76" s="286" t="s">
        <v>217</v>
      </c>
      <c r="B76" s="401"/>
      <c r="C76" s="410"/>
      <c r="D76" s="832">
        <f>AROS!T161</f>
        <v>16000</v>
      </c>
      <c r="F76" s="458" t="s">
        <v>587</v>
      </c>
      <c r="G76" s="459"/>
      <c r="H76" s="460"/>
      <c r="I76" s="838">
        <f>COLLARES!H172</f>
        <v>16000</v>
      </c>
      <c r="J76" s="418"/>
      <c r="K76" s="418"/>
      <c r="L76" s="418"/>
      <c r="M76" s="418"/>
      <c r="N76" s="862"/>
      <c r="O76" s="418"/>
      <c r="P76" s="418"/>
    </row>
    <row r="77" spans="1:16" x14ac:dyDescent="0.25">
      <c r="A77" s="285" t="s">
        <v>205</v>
      </c>
      <c r="B77" s="399" t="e">
        <f>#REF!</f>
        <v>#REF!</v>
      </c>
      <c r="C77" s="398"/>
      <c r="D77" s="832">
        <f>AROS!T68</f>
        <v>8600</v>
      </c>
      <c r="F77" s="285" t="s">
        <v>589</v>
      </c>
      <c r="G77" s="398"/>
      <c r="H77" s="395"/>
      <c r="I77" s="521">
        <f>COLLARES!H192</f>
        <v>8800</v>
      </c>
      <c r="J77" s="418"/>
      <c r="K77" s="418"/>
      <c r="L77" s="418"/>
      <c r="M77" s="418"/>
      <c r="N77" s="862"/>
      <c r="O77" s="418"/>
      <c r="P77" s="418"/>
    </row>
    <row r="78" spans="1:16" x14ac:dyDescent="0.25">
      <c r="A78" s="285" t="s">
        <v>3016</v>
      </c>
      <c r="B78" s="399"/>
      <c r="C78" s="398"/>
      <c r="D78" s="832">
        <f>AROS!T230</f>
        <v>8600</v>
      </c>
      <c r="F78" s="285" t="s">
        <v>375</v>
      </c>
      <c r="G78" s="399"/>
      <c r="H78" s="393"/>
      <c r="I78" s="831">
        <f>COLLARES!I226</f>
        <v>11600</v>
      </c>
      <c r="J78" s="418"/>
      <c r="K78" s="418"/>
      <c r="L78" s="418"/>
      <c r="M78" s="418"/>
      <c r="N78" s="862"/>
      <c r="O78" s="418"/>
      <c r="P78" s="418"/>
    </row>
    <row r="79" spans="1:16" x14ac:dyDescent="0.25">
      <c r="A79" s="285" t="s">
        <v>218</v>
      </c>
      <c r="B79" s="399"/>
      <c r="C79" s="398"/>
      <c r="D79" s="832">
        <f>AROS!T144</f>
        <v>16000</v>
      </c>
      <c r="F79" s="714" t="s">
        <v>592</v>
      </c>
      <c r="G79" s="716"/>
      <c r="H79" s="738">
        <f>COLLARES!H673</f>
        <v>7500</v>
      </c>
      <c r="I79" s="729">
        <f>COLLARES!H674</f>
        <v>15000</v>
      </c>
      <c r="J79" s="418"/>
      <c r="K79" s="418"/>
      <c r="L79" s="418"/>
      <c r="M79" s="418"/>
      <c r="N79" s="862"/>
      <c r="O79" s="418"/>
      <c r="P79" s="418"/>
    </row>
    <row r="80" spans="1:16" x14ac:dyDescent="0.25">
      <c r="A80" s="285" t="s">
        <v>594</v>
      </c>
      <c r="B80" s="399"/>
      <c r="C80" s="398"/>
      <c r="D80" s="832" t="e">
        <f>AROS!#REF!</f>
        <v>#REF!</v>
      </c>
      <c r="F80" s="714" t="s">
        <v>593</v>
      </c>
      <c r="G80" s="716"/>
      <c r="H80" s="738">
        <f>H79</f>
        <v>7500</v>
      </c>
      <c r="I80" s="729">
        <f>I79</f>
        <v>15000</v>
      </c>
      <c r="J80" s="418"/>
      <c r="K80" s="418"/>
      <c r="L80" s="418"/>
      <c r="M80" s="418"/>
      <c r="N80" s="862"/>
      <c r="O80" s="418"/>
      <c r="P80" s="418"/>
    </row>
    <row r="81" spans="1:16" x14ac:dyDescent="0.25">
      <c r="A81" s="285" t="s">
        <v>596</v>
      </c>
      <c r="B81" s="399"/>
      <c r="C81" s="398"/>
      <c r="D81" s="832" t="e">
        <f>AROS!#REF!</f>
        <v>#REF!</v>
      </c>
      <c r="F81" s="285" t="s">
        <v>126</v>
      </c>
      <c r="G81" s="398"/>
      <c r="H81" s="395">
        <f>H82</f>
        <v>3000</v>
      </c>
      <c r="I81" s="521">
        <f>I42</f>
        <v>8800</v>
      </c>
      <c r="J81" s="418"/>
      <c r="K81" s="418"/>
      <c r="L81" s="418"/>
      <c r="M81" s="418"/>
      <c r="N81" s="862"/>
      <c r="O81" s="418"/>
      <c r="P81" s="418"/>
    </row>
    <row r="82" spans="1:16" ht="21" thickBot="1" x14ac:dyDescent="0.3">
      <c r="A82" s="285" t="s">
        <v>2274</v>
      </c>
      <c r="B82" s="399"/>
      <c r="C82" s="605"/>
      <c r="D82" s="832">
        <f>AROS!T194</f>
        <v>8600</v>
      </c>
      <c r="F82" s="722" t="s">
        <v>140</v>
      </c>
      <c r="G82" s="739"/>
      <c r="H82" s="740">
        <f>'SALE COLLARES'!H294</f>
        <v>3000</v>
      </c>
      <c r="I82" s="857">
        <f>'SALE COLLARES'!H295</f>
        <v>6000</v>
      </c>
      <c r="J82" s="418"/>
      <c r="K82" s="418"/>
      <c r="L82" s="418"/>
      <c r="M82" s="418"/>
      <c r="N82" s="862"/>
      <c r="O82" s="418"/>
      <c r="P82" s="418"/>
    </row>
    <row r="83" spans="1:16" ht="21" thickBot="1" x14ac:dyDescent="0.3">
      <c r="A83" s="285" t="s">
        <v>213</v>
      </c>
      <c r="B83" s="399"/>
      <c r="C83" s="393">
        <f>AROS!T122</f>
        <v>0</v>
      </c>
      <c r="D83" s="832">
        <f>AROS!T125</f>
        <v>5000</v>
      </c>
      <c r="F83" s="1516" t="s">
        <v>595</v>
      </c>
      <c r="G83" s="1517"/>
      <c r="H83" s="1517"/>
      <c r="I83" s="1518"/>
      <c r="J83" s="418"/>
      <c r="K83" s="418"/>
      <c r="L83" s="418"/>
      <c r="M83" s="418"/>
      <c r="N83" s="862"/>
      <c r="O83" s="418"/>
      <c r="P83" s="418"/>
    </row>
    <row r="84" spans="1:16" x14ac:dyDescent="0.25">
      <c r="A84" s="285" t="s">
        <v>201</v>
      </c>
      <c r="B84" s="399">
        <f>AROS!R96</f>
        <v>4474</v>
      </c>
      <c r="C84" s="398"/>
      <c r="D84" s="832">
        <f>AROS!T96</f>
        <v>8600</v>
      </c>
      <c r="F84" s="284" t="s">
        <v>373</v>
      </c>
      <c r="G84" s="546">
        <f>PULSERAS!E88</f>
        <v>1242.4733333333334</v>
      </c>
      <c r="H84" s="547">
        <f>PULSERAS!G88</f>
        <v>0</v>
      </c>
      <c r="I84" s="858">
        <f>PULSERAS!H141</f>
        <v>8000</v>
      </c>
      <c r="J84" s="418"/>
      <c r="K84" s="418"/>
      <c r="L84" s="418"/>
      <c r="M84" s="418"/>
      <c r="N84" s="862"/>
      <c r="O84" s="418"/>
      <c r="P84" s="418"/>
    </row>
    <row r="85" spans="1:16" x14ac:dyDescent="0.25">
      <c r="A85" s="285" t="s">
        <v>3010</v>
      </c>
      <c r="B85" s="399"/>
      <c r="C85" s="398"/>
      <c r="D85" s="832">
        <f>AROS!T204</f>
        <v>8600</v>
      </c>
      <c r="F85" s="286" t="s">
        <v>597</v>
      </c>
      <c r="G85" s="696">
        <f>PULSERAS!E89</f>
        <v>2484.9466666666667</v>
      </c>
      <c r="H85" s="697">
        <f>PULSERAS!G89</f>
        <v>2900</v>
      </c>
      <c r="I85" s="859">
        <f>PULSERAS!G90</f>
        <v>5800</v>
      </c>
      <c r="J85" s="418"/>
      <c r="K85" s="418"/>
      <c r="L85" s="418"/>
      <c r="M85" s="418"/>
      <c r="N85" s="862"/>
      <c r="O85" s="418"/>
      <c r="P85" s="418"/>
    </row>
    <row r="86" spans="1:16" x14ac:dyDescent="0.25">
      <c r="A86" s="285" t="s">
        <v>216</v>
      </c>
      <c r="B86" s="399"/>
      <c r="C86" s="398"/>
      <c r="D86" s="832">
        <f>AROS!T136</f>
        <v>7200</v>
      </c>
      <c r="F86" s="285" t="s">
        <v>277</v>
      </c>
      <c r="G86" s="399">
        <f>PULSERAS!N9</f>
        <v>3752.666666666667</v>
      </c>
      <c r="H86" s="398">
        <f>PULSERAS!P9</f>
        <v>7000</v>
      </c>
      <c r="I86" s="831">
        <f>PULSERAS!P10</f>
        <v>14000</v>
      </c>
      <c r="J86" s="418"/>
      <c r="K86" s="418"/>
      <c r="L86" s="418"/>
      <c r="M86" s="418"/>
      <c r="N86" s="862"/>
      <c r="O86" s="418"/>
      <c r="P86" s="418"/>
    </row>
    <row r="87" spans="1:16" x14ac:dyDescent="0.25">
      <c r="A87" s="285" t="s">
        <v>598</v>
      </c>
      <c r="B87" s="399"/>
      <c r="C87" s="398"/>
      <c r="D87" s="832">
        <f>AROS!T105</f>
        <v>8600</v>
      </c>
      <c r="F87" s="714" t="s">
        <v>347</v>
      </c>
      <c r="G87" s="715"/>
      <c r="H87" s="718">
        <f>'SALE PULSERAS'!H39</f>
        <v>1100</v>
      </c>
      <c r="I87" s="836">
        <f>'SALE PULSERAS'!H40</f>
        <v>2200</v>
      </c>
      <c r="J87" s="418"/>
      <c r="K87" s="418"/>
      <c r="L87" s="418"/>
      <c r="M87" s="418"/>
      <c r="N87" s="862"/>
      <c r="O87" s="418"/>
      <c r="P87" s="418"/>
    </row>
    <row r="88" spans="1:16" ht="19.5" customHeight="1" x14ac:dyDescent="0.25">
      <c r="A88" s="285" t="s">
        <v>3045</v>
      </c>
      <c r="B88" s="399"/>
      <c r="C88" s="398"/>
      <c r="D88" s="832">
        <f>AROS!T185</f>
        <v>7200</v>
      </c>
      <c r="F88" s="714" t="s">
        <v>336</v>
      </c>
      <c r="G88" s="715"/>
      <c r="H88" s="718">
        <f>'SALE PULSERAS'!H137</f>
        <v>1450</v>
      </c>
      <c r="I88" s="836">
        <f>'SALE PULSERAS'!H138</f>
        <v>2900</v>
      </c>
      <c r="J88" s="418"/>
      <c r="K88" s="418"/>
      <c r="L88" s="418"/>
      <c r="M88" s="418"/>
      <c r="N88" s="862"/>
      <c r="O88" s="418"/>
      <c r="P88" s="418"/>
    </row>
    <row r="89" spans="1:16" x14ac:dyDescent="0.25">
      <c r="A89" s="285" t="s">
        <v>2260</v>
      </c>
      <c r="B89" s="399"/>
      <c r="C89" s="398"/>
      <c r="D89" s="832">
        <f>AROS!T177</f>
        <v>7200</v>
      </c>
      <c r="F89" s="458" t="s">
        <v>344</v>
      </c>
      <c r="G89" s="1077"/>
      <c r="H89" s="1078"/>
      <c r="I89" s="963">
        <f>PULSERAS!H352</f>
        <v>16000</v>
      </c>
      <c r="J89" s="418"/>
      <c r="K89" s="418"/>
      <c r="L89" s="418"/>
      <c r="M89" s="418"/>
      <c r="N89" s="862"/>
      <c r="O89" s="418"/>
      <c r="P89" s="418"/>
    </row>
    <row r="90" spans="1:16" x14ac:dyDescent="0.25">
      <c r="A90" s="285" t="s">
        <v>3015</v>
      </c>
      <c r="B90" s="399">
        <f>AROS!R59</f>
        <v>9624</v>
      </c>
      <c r="C90" s="398"/>
      <c r="D90" s="832">
        <f>AROS!T59</f>
        <v>18000</v>
      </c>
      <c r="E90" s="332"/>
      <c r="F90" s="458" t="s">
        <v>3083</v>
      </c>
      <c r="G90" s="1077"/>
      <c r="H90" s="1078"/>
      <c r="I90" s="963">
        <f>PULSERAS!I340</f>
        <v>52000</v>
      </c>
      <c r="J90" s="418"/>
      <c r="K90" s="418"/>
      <c r="L90" s="418"/>
      <c r="M90" s="418"/>
      <c r="N90" s="862"/>
      <c r="O90" s="418"/>
      <c r="P90" s="418"/>
    </row>
    <row r="91" spans="1:16" x14ac:dyDescent="0.25">
      <c r="A91" s="285" t="s">
        <v>151</v>
      </c>
      <c r="B91" s="399"/>
      <c r="C91" s="398"/>
      <c r="D91" s="832">
        <f>AROS!T212</f>
        <v>14000</v>
      </c>
      <c r="F91" s="285" t="s">
        <v>398</v>
      </c>
      <c r="G91" s="399">
        <f>PULSERAS!C7</f>
        <v>1662</v>
      </c>
      <c r="H91" s="398">
        <f>PULSERAS!E7</f>
        <v>1600</v>
      </c>
      <c r="I91" s="831">
        <f>PULSERAS!E8</f>
        <v>3200</v>
      </c>
      <c r="J91" s="418"/>
      <c r="K91" s="418"/>
      <c r="L91" s="418"/>
      <c r="M91" s="418"/>
      <c r="N91" s="862"/>
      <c r="O91" s="418"/>
      <c r="P91" s="418"/>
    </row>
    <row r="92" spans="1:16" x14ac:dyDescent="0.25">
      <c r="A92" s="285" t="s">
        <v>599</v>
      </c>
      <c r="B92" s="399">
        <f>AROS!R77</f>
        <v>7970</v>
      </c>
      <c r="C92" s="398"/>
      <c r="D92" s="832">
        <f>AROS!T77</f>
        <v>16000</v>
      </c>
      <c r="F92" s="286" t="s">
        <v>166</v>
      </c>
      <c r="G92" s="401"/>
      <c r="H92" s="410"/>
      <c r="I92" s="832">
        <f>PULSERAS!I126</f>
        <v>15000</v>
      </c>
      <c r="J92" s="418"/>
      <c r="K92" s="418"/>
      <c r="L92" s="418"/>
      <c r="M92" s="418"/>
      <c r="N92" s="862"/>
      <c r="O92" s="418"/>
      <c r="P92" s="418"/>
    </row>
    <row r="93" spans="1:16" ht="21" thickBot="1" x14ac:dyDescent="0.3">
      <c r="A93" s="288" t="s">
        <v>574</v>
      </c>
      <c r="B93" s="403"/>
      <c r="C93" s="408"/>
      <c r="D93" s="842">
        <f>AROS!T50</f>
        <v>28000</v>
      </c>
      <c r="F93" s="719" t="s">
        <v>370</v>
      </c>
      <c r="G93" s="720">
        <f>'SALE PULSERAS'!F58</f>
        <v>0</v>
      </c>
      <c r="H93" s="720">
        <f>'SALE PULSERAS'!H103</f>
        <v>1700</v>
      </c>
      <c r="I93" s="837">
        <f>'SALE PULSERAS'!H104</f>
        <v>3400</v>
      </c>
      <c r="J93" s="418"/>
      <c r="K93" s="418"/>
      <c r="L93" s="418"/>
      <c r="M93" s="418"/>
      <c r="N93" s="862"/>
      <c r="O93" s="418"/>
      <c r="P93" s="418"/>
    </row>
    <row r="94" spans="1:16" ht="21" thickBot="1" x14ac:dyDescent="0.3">
      <c r="A94" s="1525" t="s">
        <v>600</v>
      </c>
      <c r="B94" s="1526"/>
      <c r="C94" s="1526"/>
      <c r="D94" s="1527"/>
      <c r="F94" s="286" t="s">
        <v>167</v>
      </c>
      <c r="G94" s="401"/>
      <c r="H94" s="401"/>
      <c r="I94" s="832">
        <f>PULSERAS!H152</f>
        <v>12000</v>
      </c>
      <c r="J94" s="418"/>
      <c r="K94" s="418"/>
      <c r="L94" s="418"/>
      <c r="M94" s="418"/>
      <c r="N94" s="862"/>
      <c r="O94" s="418"/>
      <c r="P94" s="418"/>
    </row>
    <row r="95" spans="1:16" x14ac:dyDescent="0.25">
      <c r="A95" s="284" t="s">
        <v>2261</v>
      </c>
      <c r="B95" s="404">
        <f>AROS!AB13</f>
        <v>2828.5</v>
      </c>
      <c r="C95" s="404">
        <f>AROS!AD13</f>
        <v>0</v>
      </c>
      <c r="D95" s="830">
        <f>AROS!AD62</f>
        <v>17000</v>
      </c>
      <c r="F95" s="286" t="s">
        <v>458</v>
      </c>
      <c r="G95" s="401"/>
      <c r="H95" s="401"/>
      <c r="I95" s="832">
        <f>PULSERAS!G187</f>
        <v>5800</v>
      </c>
      <c r="J95" s="418"/>
      <c r="K95" s="418"/>
      <c r="L95" s="418"/>
      <c r="M95" s="418"/>
      <c r="N95" s="862"/>
      <c r="O95" s="418"/>
      <c r="P95" s="418"/>
    </row>
    <row r="96" spans="1:16" x14ac:dyDescent="0.25">
      <c r="A96" s="286" t="s">
        <v>270</v>
      </c>
      <c r="B96" s="401">
        <f>AROS!AB14</f>
        <v>5657</v>
      </c>
      <c r="C96" s="401">
        <f>AROS!AD14</f>
        <v>3900</v>
      </c>
      <c r="D96" s="832">
        <f>D95</f>
        <v>17000</v>
      </c>
      <c r="F96" s="458" t="s">
        <v>360</v>
      </c>
      <c r="G96" s="459" t="e">
        <f>#REF!</f>
        <v>#REF!</v>
      </c>
      <c r="H96" s="459"/>
      <c r="I96" s="838">
        <f>PULSERAS!I108</f>
        <v>23600</v>
      </c>
      <c r="J96" s="418"/>
      <c r="K96" s="418"/>
      <c r="L96" s="418"/>
      <c r="M96" s="418"/>
      <c r="N96" s="862"/>
      <c r="O96" s="418"/>
      <c r="P96" s="418"/>
    </row>
    <row r="97" spans="1:16" x14ac:dyDescent="0.25">
      <c r="A97" s="285" t="s">
        <v>268</v>
      </c>
      <c r="B97" s="399">
        <f>AROS!AB39</f>
        <v>4420</v>
      </c>
      <c r="C97" s="399">
        <f>AROS!AD39</f>
        <v>3900</v>
      </c>
      <c r="D97" s="831">
        <f>D96</f>
        <v>17000</v>
      </c>
      <c r="F97" s="458" t="s">
        <v>2289</v>
      </c>
      <c r="G97" s="459"/>
      <c r="H97" s="459"/>
      <c r="I97" s="838">
        <f>PULSERAS!H352</f>
        <v>16000</v>
      </c>
      <c r="J97" s="418"/>
      <c r="K97" s="418"/>
      <c r="L97" s="418"/>
      <c r="M97" s="418"/>
      <c r="N97" s="862"/>
      <c r="O97" s="418"/>
      <c r="P97" s="418"/>
    </row>
    <row r="98" spans="1:16" ht="21" thickBot="1" x14ac:dyDescent="0.25">
      <c r="A98" s="288" t="s">
        <v>269</v>
      </c>
      <c r="B98" s="403">
        <f>AROS!AB25</f>
        <v>8142</v>
      </c>
      <c r="C98" s="403">
        <f>AROS!AD25</f>
        <v>6500</v>
      </c>
      <c r="D98" s="842">
        <f>D97</f>
        <v>17000</v>
      </c>
      <c r="E98" s="461"/>
      <c r="F98" s="446" t="s">
        <v>421</v>
      </c>
      <c r="G98" s="536">
        <f>PULSERAS!F77</f>
        <v>4668.7484952380955</v>
      </c>
      <c r="H98" s="537">
        <f>PULSERAS!H77</f>
        <v>12000</v>
      </c>
      <c r="I98" s="860">
        <f>PULSERAS!H78</f>
        <v>0</v>
      </c>
      <c r="J98" s="418"/>
      <c r="K98" s="418"/>
      <c r="L98" s="418"/>
      <c r="M98" s="418"/>
      <c r="N98" s="862"/>
      <c r="O98" s="418"/>
      <c r="P98" s="418"/>
    </row>
    <row r="99" spans="1:16" ht="21" thickBot="1" x14ac:dyDescent="0.3">
      <c r="A99" s="1528" t="s">
        <v>602</v>
      </c>
      <c r="B99" s="1529"/>
      <c r="C99" s="1529"/>
      <c r="D99" s="1530"/>
      <c r="F99" s="714" t="s">
        <v>578</v>
      </c>
      <c r="G99" s="741"/>
      <c r="H99" s="742">
        <f>PULSERAS!G209</f>
        <v>7500</v>
      </c>
      <c r="I99" s="729">
        <f>'SALE PULSERAS'!H23</f>
        <v>2500</v>
      </c>
      <c r="J99" s="418"/>
      <c r="K99" s="418"/>
      <c r="L99" s="418"/>
      <c r="M99" s="418"/>
      <c r="N99" s="862"/>
      <c r="O99" s="418"/>
      <c r="P99" s="418"/>
    </row>
    <row r="100" spans="1:16" x14ac:dyDescent="0.25">
      <c r="A100" s="285" t="s">
        <v>262</v>
      </c>
      <c r="B100" s="405"/>
      <c r="C100" s="398"/>
      <c r="D100" s="521">
        <f>AROS!AN18</f>
        <v>10400</v>
      </c>
      <c r="F100" s="285" t="s">
        <v>601</v>
      </c>
      <c r="G100" s="409"/>
      <c r="H100" s="412">
        <f>PULSERAS!H32</f>
        <v>5000</v>
      </c>
      <c r="I100" s="521">
        <f>PULSERAS!H33</f>
        <v>10000</v>
      </c>
      <c r="J100" s="418"/>
      <c r="K100" s="418"/>
      <c r="L100" s="418"/>
      <c r="M100" s="418"/>
      <c r="N100" s="862"/>
      <c r="O100" s="418"/>
      <c r="P100" s="418"/>
    </row>
    <row r="101" spans="1:16" x14ac:dyDescent="0.25">
      <c r="A101" s="391" t="s">
        <v>265</v>
      </c>
      <c r="B101" s="406"/>
      <c r="C101" s="402"/>
      <c r="D101" s="843">
        <f>D100</f>
        <v>10400</v>
      </c>
      <c r="F101" s="285" t="s">
        <v>417</v>
      </c>
      <c r="G101" s="452">
        <f>PULSERAS!F64</f>
        <v>4514.7490183150185</v>
      </c>
      <c r="H101" s="398">
        <f>PULSERAS!H64</f>
        <v>8400</v>
      </c>
      <c r="I101" s="831">
        <f>PULSERAS!H65</f>
        <v>0</v>
      </c>
      <c r="J101" s="418"/>
      <c r="K101" s="457"/>
      <c r="L101" s="457"/>
      <c r="M101" s="457"/>
      <c r="N101" s="864"/>
      <c r="O101" s="418"/>
      <c r="P101" s="418"/>
    </row>
    <row r="102" spans="1:16" x14ac:dyDescent="0.25">
      <c r="A102" s="391" t="s">
        <v>603</v>
      </c>
      <c r="B102" s="406"/>
      <c r="C102" s="402"/>
      <c r="D102" s="843">
        <f>AROS!AN42</f>
        <v>11400</v>
      </c>
      <c r="F102" s="285" t="s">
        <v>2272</v>
      </c>
      <c r="G102" s="398"/>
      <c r="H102" s="398"/>
      <c r="I102" s="521">
        <f>PULSERAS!G267</f>
        <v>17000</v>
      </c>
      <c r="J102" s="418"/>
      <c r="K102" s="418"/>
      <c r="L102" s="418"/>
      <c r="M102" s="418"/>
      <c r="N102" s="862"/>
      <c r="O102" s="418"/>
      <c r="P102" s="418"/>
    </row>
    <row r="103" spans="1:16" x14ac:dyDescent="0.25">
      <c r="A103" s="391" t="s">
        <v>264</v>
      </c>
      <c r="B103" s="406"/>
      <c r="C103" s="402"/>
      <c r="D103" s="843">
        <f>D102</f>
        <v>11400</v>
      </c>
      <c r="F103" s="285" t="s">
        <v>201</v>
      </c>
      <c r="G103" s="398"/>
      <c r="H103" s="398"/>
      <c r="I103" s="521">
        <f>PULSERAS!G332</f>
        <v>11000</v>
      </c>
      <c r="J103" s="418"/>
      <c r="K103" s="418"/>
      <c r="L103" s="418"/>
      <c r="M103" s="418"/>
      <c r="N103" s="862"/>
      <c r="O103" s="418"/>
      <c r="P103" s="418"/>
    </row>
    <row r="104" spans="1:16" ht="21" thickBot="1" x14ac:dyDescent="0.3">
      <c r="A104" s="288" t="s">
        <v>263</v>
      </c>
      <c r="B104" s="407"/>
      <c r="C104" s="408"/>
      <c r="D104" s="844">
        <f>AROS!AN18</f>
        <v>10400</v>
      </c>
      <c r="F104" s="285" t="s">
        <v>416</v>
      </c>
      <c r="G104" s="399">
        <f>PULSERAS!F48</f>
        <v>5700.9847619047632</v>
      </c>
      <c r="H104" s="398">
        <f>PULSERAS!H48</f>
        <v>1300</v>
      </c>
      <c r="I104" s="831">
        <f>PULSERAS!H49</f>
        <v>2600</v>
      </c>
      <c r="J104" s="418"/>
      <c r="K104" s="418"/>
      <c r="L104" s="418"/>
      <c r="M104" s="418"/>
      <c r="N104" s="862"/>
      <c r="O104" s="418"/>
      <c r="P104" s="418"/>
    </row>
    <row r="105" spans="1:16" ht="21" thickBot="1" x14ac:dyDescent="0.3">
      <c r="A105" s="1519" t="s">
        <v>604</v>
      </c>
      <c r="B105" s="1520"/>
      <c r="C105" s="1520"/>
      <c r="D105" s="1521"/>
      <c r="F105" s="285" t="s">
        <v>362</v>
      </c>
      <c r="G105" s="399"/>
      <c r="H105" s="398"/>
      <c r="I105" s="831">
        <f>PULSERAS!I285</f>
        <v>15000</v>
      </c>
      <c r="J105" s="418"/>
      <c r="K105" s="418"/>
      <c r="L105" s="418"/>
      <c r="M105" s="418"/>
      <c r="N105" s="862"/>
      <c r="O105" s="418"/>
      <c r="P105" s="418"/>
    </row>
    <row r="106" spans="1:16" ht="21" thickBot="1" x14ac:dyDescent="0.3">
      <c r="A106" s="535" t="s">
        <v>228</v>
      </c>
      <c r="B106" s="417">
        <f>'COLLAR INICIAL'!E29</f>
        <v>6954.1749999999993</v>
      </c>
      <c r="C106" s="476">
        <f>'COLLAR INICIAL'!G29</f>
        <v>18000</v>
      </c>
      <c r="D106" s="845">
        <f>'COLLAR INICIAL'!G30</f>
        <v>0</v>
      </c>
      <c r="F106" s="949" t="s">
        <v>436</v>
      </c>
      <c r="G106" s="953">
        <f>'SALE PULSERAS'!F11</f>
        <v>4508.1419999999998</v>
      </c>
      <c r="H106" s="954">
        <f>'SALE PULSERAS'!H11</f>
        <v>1650</v>
      </c>
      <c r="I106" s="950">
        <f>'SALE PULSERAS'!H12</f>
        <v>3300</v>
      </c>
      <c r="J106" s="418"/>
      <c r="K106" s="418"/>
      <c r="L106" s="418"/>
      <c r="M106" s="418"/>
      <c r="N106" s="862"/>
      <c r="O106" s="418"/>
      <c r="P106" s="418"/>
    </row>
    <row r="107" spans="1:16" ht="19.5" customHeight="1" thickBot="1" x14ac:dyDescent="0.3">
      <c r="A107" s="1522" t="s">
        <v>605</v>
      </c>
      <c r="B107" s="1523"/>
      <c r="C107" s="1523"/>
      <c r="D107" s="1524"/>
      <c r="F107" s="714" t="s">
        <v>144</v>
      </c>
      <c r="G107" s="715"/>
      <c r="H107" s="718">
        <f>'SALE PULSERAS'!H148</f>
        <v>1650</v>
      </c>
      <c r="I107" s="836">
        <f>'SALE PULSERAS'!H149</f>
        <v>3300</v>
      </c>
      <c r="J107" s="418"/>
      <c r="K107" s="418"/>
      <c r="L107" s="418"/>
      <c r="M107" s="418"/>
      <c r="N107" s="862"/>
      <c r="O107" s="418"/>
      <c r="P107" s="418"/>
    </row>
    <row r="108" spans="1:16" ht="19.5" customHeight="1" x14ac:dyDescent="0.25">
      <c r="A108" s="284" t="s">
        <v>262</v>
      </c>
      <c r="B108" s="404"/>
      <c r="C108" s="415"/>
      <c r="D108" s="830">
        <f>'TOBILLERAS Y ANILLOS'!O68</f>
        <v>26000</v>
      </c>
      <c r="F108" s="285" t="s">
        <v>435</v>
      </c>
      <c r="G108" s="399"/>
      <c r="H108" s="398"/>
      <c r="I108" s="831">
        <f>PULSERAS!H247</f>
        <v>11000</v>
      </c>
      <c r="J108" s="418"/>
      <c r="K108" s="418"/>
      <c r="L108" s="418"/>
      <c r="M108" s="418"/>
      <c r="N108" s="862"/>
      <c r="O108" s="418"/>
      <c r="P108" s="418"/>
    </row>
    <row r="109" spans="1:16" x14ac:dyDescent="0.25">
      <c r="A109" s="286" t="s">
        <v>475</v>
      </c>
      <c r="B109" s="401"/>
      <c r="C109" s="410"/>
      <c r="D109" s="832">
        <f>'TOBILLERAS Y ANILLOS'!O24</f>
        <v>13000</v>
      </c>
      <c r="F109" s="285" t="s">
        <v>449</v>
      </c>
      <c r="G109" s="399"/>
      <c r="H109" s="398"/>
      <c r="I109" s="831">
        <f>PULSERAS!H297</f>
        <v>6200</v>
      </c>
      <c r="J109" s="418"/>
      <c r="K109" s="418"/>
      <c r="L109" s="418"/>
      <c r="M109" s="418"/>
      <c r="N109" s="862"/>
      <c r="O109" s="418"/>
      <c r="P109" s="418"/>
    </row>
    <row r="110" spans="1:16" x14ac:dyDescent="0.25">
      <c r="A110" s="285" t="s">
        <v>474</v>
      </c>
      <c r="B110" s="399"/>
      <c r="C110" s="605"/>
      <c r="D110" s="831">
        <f>'TOBILLERAS Y ANILLOS'!O44</f>
        <v>7200</v>
      </c>
      <c r="F110" s="286" t="s">
        <v>450</v>
      </c>
      <c r="G110" s="621"/>
      <c r="H110" s="622"/>
      <c r="I110" s="832">
        <f>PULSERAS!H322</f>
        <v>6400</v>
      </c>
      <c r="J110" s="418"/>
      <c r="K110" s="418"/>
      <c r="L110" s="418"/>
      <c r="M110" s="418"/>
      <c r="N110" s="862"/>
      <c r="O110" s="418"/>
      <c r="P110" s="418"/>
    </row>
    <row r="111" spans="1:16" x14ac:dyDescent="0.25">
      <c r="A111" s="285" t="s">
        <v>320</v>
      </c>
      <c r="B111" s="399" t="e">
        <f>#REF!</f>
        <v>#REF!</v>
      </c>
      <c r="C111" s="393">
        <f>'TOBILLERAS Y ANILLOS'!Q35</f>
        <v>7000</v>
      </c>
      <c r="D111" s="831">
        <f>'TOBILLERAS Y ANILLOS'!Q36</f>
        <v>14000</v>
      </c>
      <c r="E111" s="332"/>
      <c r="F111" s="286" t="s">
        <v>2295</v>
      </c>
      <c r="G111" s="621"/>
      <c r="H111" s="622"/>
      <c r="I111" s="832">
        <f>PULSERAS!G201</f>
        <v>5800</v>
      </c>
      <c r="J111" s="418"/>
      <c r="K111" s="418"/>
      <c r="L111" s="418"/>
      <c r="M111" s="418"/>
      <c r="N111" s="862"/>
      <c r="O111" s="418"/>
      <c r="P111" s="418"/>
    </row>
    <row r="112" spans="1:16" s="332" customFormat="1" x14ac:dyDescent="0.25">
      <c r="A112" s="285" t="s">
        <v>264</v>
      </c>
      <c r="B112" s="399"/>
      <c r="C112" s="611"/>
      <c r="D112" s="831">
        <f>'TOBILLERAS Y ANILLOS'!O60</f>
        <v>6200</v>
      </c>
      <c r="E112" s="287"/>
      <c r="F112" s="719" t="s">
        <v>371</v>
      </c>
      <c r="G112" s="721">
        <f>'SALE PULSERAS'!F57</f>
        <v>6633.6542986425338</v>
      </c>
      <c r="H112" s="721">
        <f>'SALE PULSERAS'!H57</f>
        <v>1850</v>
      </c>
      <c r="I112" s="837">
        <f>'SALE PULSERAS'!H58</f>
        <v>3700</v>
      </c>
      <c r="J112" s="418"/>
      <c r="K112" s="418"/>
      <c r="L112" s="418"/>
      <c r="M112" s="418"/>
      <c r="N112" s="862"/>
      <c r="O112" s="457"/>
      <c r="P112" s="457"/>
    </row>
    <row r="113" spans="1:16" x14ac:dyDescent="0.25">
      <c r="A113" s="285" t="s">
        <v>283</v>
      </c>
      <c r="B113" s="399"/>
      <c r="C113" s="398"/>
      <c r="D113" s="831">
        <f>'TOBILLERAS Y ANILLOS'!O16</f>
        <v>20000</v>
      </c>
      <c r="F113" s="458" t="s">
        <v>290</v>
      </c>
      <c r="G113" s="459">
        <f>PULSERAS!E222</f>
        <v>36221.104761904753</v>
      </c>
      <c r="H113" s="460">
        <f>PULSERAS!G222</f>
        <v>2433</v>
      </c>
      <c r="I113" s="838">
        <f>PULSERAS!I223</f>
        <v>0</v>
      </c>
      <c r="J113" s="418"/>
      <c r="K113" s="457"/>
      <c r="L113" s="457"/>
      <c r="M113" s="457"/>
      <c r="N113" s="864"/>
      <c r="O113" s="418"/>
      <c r="P113" s="418"/>
    </row>
    <row r="114" spans="1:16" x14ac:dyDescent="0.25">
      <c r="A114" s="391" t="s">
        <v>316</v>
      </c>
      <c r="B114" s="636"/>
      <c r="C114" s="402"/>
      <c r="D114" s="846">
        <f>'TOBILLERAS Y ANILLOS'!O52</f>
        <v>14000</v>
      </c>
      <c r="F114" s="714" t="s">
        <v>160</v>
      </c>
      <c r="G114" s="715" t="e">
        <f>#REF!</f>
        <v>#REF!</v>
      </c>
      <c r="H114" s="715">
        <f>'SALE PULSERAS'!H162</f>
        <v>1650</v>
      </c>
      <c r="I114" s="836">
        <f>'SALE PULSERAS'!H163</f>
        <v>3300</v>
      </c>
      <c r="J114" s="418"/>
      <c r="K114" s="457"/>
      <c r="L114" s="457"/>
      <c r="M114" s="457"/>
      <c r="N114" s="864"/>
      <c r="O114" s="418"/>
      <c r="P114" s="418"/>
    </row>
    <row r="115" spans="1:16" x14ac:dyDescent="0.25">
      <c r="A115" s="285" t="s">
        <v>313</v>
      </c>
      <c r="B115" s="399">
        <f>'TOBILLERAS Y ANILLOS'!M6</f>
        <v>3588</v>
      </c>
      <c r="C115" s="398"/>
      <c r="D115" s="831">
        <f>'TOBILLERAS Y ANILLOS'!O7</f>
        <v>14000</v>
      </c>
      <c r="F115" s="285" t="s">
        <v>200</v>
      </c>
      <c r="G115" s="398">
        <f>PULSERAS!E20</f>
        <v>2239.5623030303032</v>
      </c>
      <c r="H115" s="398">
        <f>PULSERAS!G20</f>
        <v>3500</v>
      </c>
      <c r="I115" s="521">
        <f>PULSERAS!G21</f>
        <v>7000</v>
      </c>
      <c r="J115" s="418"/>
      <c r="K115" s="457"/>
      <c r="L115" s="457"/>
      <c r="M115" s="457"/>
      <c r="N115" s="864"/>
      <c r="O115" s="418"/>
      <c r="P115" s="418"/>
    </row>
    <row r="116" spans="1:16" ht="21" thickBot="1" x14ac:dyDescent="0.3">
      <c r="A116" s="588" t="s">
        <v>476</v>
      </c>
      <c r="B116" s="589">
        <f>'TOBILLERAS Y ANILLOS'!M7</f>
        <v>7176</v>
      </c>
      <c r="C116" s="713"/>
      <c r="D116" s="847">
        <v>2500</v>
      </c>
      <c r="F116" s="285" t="s">
        <v>348</v>
      </c>
      <c r="G116" s="399">
        <f>PULSERAS!F235</f>
        <v>4112.4222857142859</v>
      </c>
      <c r="H116" s="398">
        <f>PULSERAS!H235</f>
        <v>6500</v>
      </c>
      <c r="I116" s="831">
        <f>PULSERAS!H236</f>
        <v>13000</v>
      </c>
      <c r="J116" s="418"/>
      <c r="K116" s="418"/>
      <c r="L116" s="418"/>
      <c r="M116" s="418"/>
      <c r="N116" s="862"/>
      <c r="O116" s="418"/>
      <c r="P116" s="418"/>
    </row>
    <row r="117" spans="1:16" x14ac:dyDescent="0.25">
      <c r="F117" s="285" t="s">
        <v>285</v>
      </c>
      <c r="G117" s="399">
        <f>'PULSERAS FW21'!E46</f>
        <v>3468.2666666666664</v>
      </c>
      <c r="H117" s="398">
        <f>'PULSERAS FW21'!G46</f>
        <v>1440</v>
      </c>
      <c r="I117" s="831">
        <f>PULSERAS!G309</f>
        <v>14000</v>
      </c>
      <c r="J117" s="965"/>
      <c r="K117" s="457"/>
      <c r="L117" s="457"/>
      <c r="M117" s="457"/>
      <c r="N117" s="864"/>
      <c r="O117" s="418"/>
      <c r="P117" s="418"/>
    </row>
    <row r="118" spans="1:16" x14ac:dyDescent="0.25">
      <c r="F118" s="285" t="s">
        <v>320</v>
      </c>
      <c r="G118" s="399">
        <f>PULSERAS!N21</f>
        <v>15992.02294117647</v>
      </c>
      <c r="H118" s="398" t="e">
        <f>PULSERAS!#REF!</f>
        <v>#REF!</v>
      </c>
      <c r="I118" s="831">
        <f>PULSERAS!P22</f>
        <v>0</v>
      </c>
      <c r="J118" s="418"/>
      <c r="K118" s="418"/>
      <c r="L118" s="418"/>
      <c r="M118" s="418"/>
      <c r="N118" s="862"/>
      <c r="O118" s="418"/>
      <c r="P118" s="418"/>
    </row>
    <row r="119" spans="1:16" x14ac:dyDescent="0.25">
      <c r="F119" s="714" t="s">
        <v>384</v>
      </c>
      <c r="G119" s="741"/>
      <c r="H119" s="738">
        <f>'SALE PULSERAS'!G119</f>
        <v>1450</v>
      </c>
      <c r="I119" s="729">
        <f>'SALE PULSERAS'!G120</f>
        <v>2900</v>
      </c>
      <c r="J119" s="418"/>
      <c r="K119" s="418"/>
      <c r="L119" s="418"/>
      <c r="M119" s="418"/>
      <c r="N119" s="862"/>
      <c r="O119" s="418"/>
      <c r="P119" s="418"/>
    </row>
    <row r="120" spans="1:16" x14ac:dyDescent="0.25">
      <c r="F120" s="285" t="s">
        <v>462</v>
      </c>
      <c r="G120" s="399"/>
      <c r="H120" s="590"/>
      <c r="I120" s="861">
        <f>PULSERAS!G257</f>
        <v>5800</v>
      </c>
      <c r="J120" s="1081"/>
      <c r="K120" s="457"/>
      <c r="L120" s="457"/>
      <c r="M120" s="457"/>
      <c r="N120" s="864"/>
      <c r="O120" s="418"/>
      <c r="P120" s="418"/>
    </row>
    <row r="121" spans="1:16" x14ac:dyDescent="0.25">
      <c r="F121" s="285" t="s">
        <v>156</v>
      </c>
      <c r="G121" s="399" t="e">
        <f>#REF!</f>
        <v>#REF!</v>
      </c>
      <c r="H121" s="393">
        <f>PULSERAS!G209</f>
        <v>7500</v>
      </c>
      <c r="I121" s="846">
        <f>PULSERAS!H163</f>
        <v>9600</v>
      </c>
      <c r="J121" s="418"/>
      <c r="K121" s="418"/>
      <c r="L121" s="418"/>
      <c r="M121" s="418"/>
      <c r="N121" s="862"/>
      <c r="O121" s="418"/>
      <c r="P121" s="418"/>
    </row>
    <row r="122" spans="1:16" ht="21" thickBot="1" x14ac:dyDescent="0.3">
      <c r="B122" s="287"/>
      <c r="C122" s="287"/>
      <c r="F122" s="391" t="s">
        <v>2273</v>
      </c>
      <c r="G122" s="743"/>
      <c r="H122" s="964">
        <f>'SALE PULSERAS'!H103</f>
        <v>1700</v>
      </c>
      <c r="I122" s="1080">
        <f>PULSERAS!G210</f>
        <v>15000</v>
      </c>
      <c r="J122" s="1081"/>
      <c r="K122" s="418"/>
      <c r="L122" s="418"/>
      <c r="M122" s="418"/>
      <c r="N122" s="862"/>
      <c r="O122" s="418"/>
      <c r="P122" s="418"/>
    </row>
    <row r="123" spans="1:16" ht="21" thickBot="1" x14ac:dyDescent="0.3">
      <c r="E123" s="332"/>
      <c r="F123" s="722" t="s">
        <v>140</v>
      </c>
      <c r="I123" s="1079">
        <f>'SALE PULSERAS'!H104</f>
        <v>3400</v>
      </c>
      <c r="J123" s="418"/>
      <c r="K123" s="418"/>
      <c r="L123" s="418"/>
      <c r="M123" s="418"/>
      <c r="N123" s="862"/>
      <c r="O123" s="418"/>
      <c r="P123" s="418"/>
    </row>
    <row r="124" spans="1:16" s="332" customFormat="1" x14ac:dyDescent="0.25">
      <c r="A124" s="287"/>
      <c r="B124" s="397"/>
      <c r="C124" s="397"/>
      <c r="D124" s="360"/>
      <c r="F124" s="287"/>
      <c r="G124" s="287"/>
      <c r="H124" s="287"/>
      <c r="I124" s="360"/>
      <c r="J124" s="418"/>
      <c r="K124" s="418"/>
      <c r="L124" s="418"/>
      <c r="M124" s="418"/>
      <c r="N124" s="862"/>
      <c r="O124" s="457"/>
      <c r="P124" s="457"/>
    </row>
    <row r="125" spans="1:16" s="332" customFormat="1" x14ac:dyDescent="0.25">
      <c r="A125" s="287"/>
      <c r="B125" s="397"/>
      <c r="C125" s="397"/>
      <c r="D125" s="360"/>
      <c r="F125" s="287"/>
      <c r="G125" s="287"/>
      <c r="H125" s="287"/>
      <c r="I125" s="360"/>
      <c r="J125" s="418"/>
      <c r="K125" s="418"/>
      <c r="L125" s="418"/>
      <c r="M125" s="418"/>
      <c r="N125" s="862"/>
      <c r="O125" s="457"/>
      <c r="P125" s="457"/>
    </row>
    <row r="126" spans="1:16" s="332" customFormat="1" x14ac:dyDescent="0.25">
      <c r="A126" s="287"/>
      <c r="B126" s="397"/>
      <c r="C126" s="397"/>
      <c r="D126" s="360"/>
      <c r="E126" s="287"/>
      <c r="F126" s="287"/>
      <c r="G126" s="287"/>
      <c r="H126" s="287"/>
      <c r="I126" s="360"/>
      <c r="J126" s="418"/>
      <c r="K126" s="418"/>
      <c r="L126" s="418"/>
      <c r="M126" s="418"/>
      <c r="N126" s="862"/>
      <c r="O126" s="457"/>
      <c r="P126" s="457"/>
    </row>
    <row r="127" spans="1:16" x14ac:dyDescent="0.25">
      <c r="E127" s="332"/>
      <c r="J127" s="418"/>
      <c r="K127" s="418"/>
      <c r="L127" s="418"/>
      <c r="M127" s="418"/>
      <c r="N127" s="862"/>
      <c r="O127" s="418"/>
      <c r="P127" s="418"/>
    </row>
    <row r="128" spans="1:16" s="332" customFormat="1" ht="19.5" customHeight="1" x14ac:dyDescent="0.25">
      <c r="A128" s="287"/>
      <c r="B128" s="287"/>
      <c r="C128" s="287"/>
      <c r="D128" s="360"/>
      <c r="E128" s="287"/>
      <c r="F128" s="287"/>
      <c r="I128" s="848"/>
      <c r="J128" s="418"/>
      <c r="K128" s="418"/>
      <c r="L128" s="418"/>
      <c r="M128" s="418"/>
      <c r="N128" s="862"/>
      <c r="O128" s="457"/>
      <c r="P128" s="457"/>
    </row>
    <row r="129" spans="1:16" x14ac:dyDescent="0.25">
      <c r="F129" s="332"/>
      <c r="J129" s="457"/>
      <c r="K129" s="418"/>
      <c r="L129" s="418"/>
      <c r="M129" s="418"/>
      <c r="N129" s="862"/>
      <c r="O129" s="418"/>
      <c r="P129" s="418"/>
    </row>
    <row r="130" spans="1:16" x14ac:dyDescent="0.25">
      <c r="B130" s="287"/>
      <c r="C130" s="287"/>
      <c r="E130" s="332"/>
      <c r="J130" s="457"/>
      <c r="K130" s="418"/>
      <c r="L130" s="418"/>
      <c r="M130" s="418"/>
      <c r="N130" s="862"/>
      <c r="O130" s="418"/>
      <c r="P130" s="418"/>
    </row>
    <row r="131" spans="1:16" s="332" customFormat="1" x14ac:dyDescent="0.25">
      <c r="A131" s="287"/>
      <c r="B131" s="397"/>
      <c r="C131" s="397"/>
      <c r="D131" s="360"/>
      <c r="E131" s="287"/>
      <c r="F131" s="287"/>
      <c r="G131" s="287"/>
      <c r="H131" s="287"/>
      <c r="I131" s="360"/>
      <c r="J131" s="457"/>
      <c r="K131" s="418"/>
      <c r="L131" s="418"/>
      <c r="M131" s="418"/>
      <c r="N131" s="862"/>
      <c r="O131" s="457"/>
      <c r="P131" s="457"/>
    </row>
    <row r="132" spans="1:16" x14ac:dyDescent="0.25">
      <c r="J132" s="418"/>
      <c r="K132" s="418"/>
      <c r="L132" s="418"/>
      <c r="M132" s="418"/>
      <c r="N132" s="862"/>
      <c r="O132" s="418"/>
      <c r="P132" s="418"/>
    </row>
    <row r="133" spans="1:16" x14ac:dyDescent="0.25">
      <c r="J133" s="457"/>
      <c r="K133" s="418"/>
      <c r="L133" s="418"/>
      <c r="M133" s="418"/>
      <c r="N133" s="862"/>
      <c r="O133" s="418"/>
      <c r="P133" s="418"/>
    </row>
    <row r="134" spans="1:16" x14ac:dyDescent="0.25">
      <c r="A134" s="332"/>
      <c r="B134" s="332"/>
      <c r="C134" s="332"/>
      <c r="D134" s="848"/>
      <c r="J134" s="418"/>
      <c r="K134" s="418"/>
      <c r="L134" s="418"/>
      <c r="M134" s="418"/>
      <c r="N134" s="862"/>
      <c r="O134" s="418"/>
      <c r="P134" s="418"/>
    </row>
    <row r="135" spans="1:16" x14ac:dyDescent="0.25">
      <c r="J135" s="418"/>
      <c r="K135" s="418"/>
      <c r="L135" s="418"/>
      <c r="M135" s="418"/>
      <c r="N135" s="862"/>
      <c r="O135" s="418"/>
      <c r="P135" s="418"/>
    </row>
    <row r="136" spans="1:16" x14ac:dyDescent="0.25">
      <c r="J136" s="457"/>
      <c r="K136" s="418"/>
      <c r="L136" s="418"/>
      <c r="M136" s="418"/>
      <c r="N136" s="862"/>
      <c r="O136" s="418"/>
      <c r="P136" s="418"/>
    </row>
    <row r="137" spans="1:16" x14ac:dyDescent="0.25">
      <c r="J137" s="418"/>
      <c r="K137" s="418"/>
      <c r="L137" s="418"/>
      <c r="M137" s="418"/>
      <c r="N137" s="862"/>
      <c r="O137" s="418"/>
      <c r="P137" s="418"/>
    </row>
    <row r="138" spans="1:16" x14ac:dyDescent="0.25">
      <c r="J138" s="418"/>
      <c r="K138" s="418"/>
      <c r="L138" s="418"/>
      <c r="M138" s="418"/>
      <c r="N138" s="862"/>
      <c r="O138" s="418"/>
      <c r="P138" s="418"/>
    </row>
    <row r="139" spans="1:16" x14ac:dyDescent="0.25">
      <c r="J139" s="418"/>
      <c r="K139" s="418"/>
      <c r="L139" s="418"/>
      <c r="M139" s="418"/>
      <c r="N139" s="862"/>
      <c r="O139" s="418"/>
      <c r="P139" s="418"/>
    </row>
    <row r="140" spans="1:16" x14ac:dyDescent="0.25">
      <c r="G140" s="332"/>
      <c r="H140" s="332"/>
      <c r="I140" s="848"/>
      <c r="J140" s="418"/>
      <c r="K140" s="418"/>
      <c r="L140" s="418"/>
      <c r="M140" s="418"/>
      <c r="N140" s="862"/>
      <c r="O140" s="418"/>
      <c r="P140" s="418"/>
    </row>
    <row r="141" spans="1:16" x14ac:dyDescent="0.25">
      <c r="F141" s="332"/>
      <c r="G141" s="332"/>
      <c r="H141" s="332"/>
      <c r="I141" s="848"/>
      <c r="J141" s="418"/>
      <c r="K141" s="418"/>
      <c r="L141" s="418"/>
      <c r="M141" s="418"/>
      <c r="N141" s="862"/>
      <c r="O141" s="418"/>
      <c r="P141" s="418"/>
    </row>
    <row r="142" spans="1:16" x14ac:dyDescent="0.25">
      <c r="B142" s="287"/>
      <c r="C142" s="287"/>
      <c r="F142" s="332"/>
      <c r="G142" s="332"/>
      <c r="H142" s="332"/>
      <c r="I142" s="848"/>
      <c r="J142" s="418"/>
      <c r="K142" s="418"/>
      <c r="L142" s="418"/>
      <c r="M142" s="418"/>
      <c r="N142" s="862"/>
      <c r="O142" s="418"/>
      <c r="P142" s="418"/>
    </row>
    <row r="143" spans="1:16" x14ac:dyDescent="0.25">
      <c r="F143" s="332"/>
      <c r="J143" s="418"/>
      <c r="K143" s="418"/>
      <c r="L143" s="418"/>
      <c r="M143" s="418"/>
      <c r="N143" s="862"/>
      <c r="O143" s="418"/>
      <c r="P143" s="418"/>
    </row>
    <row r="144" spans="1:16" x14ac:dyDescent="0.25">
      <c r="G144" s="332"/>
      <c r="H144" s="332"/>
      <c r="I144" s="848"/>
      <c r="J144" s="418"/>
      <c r="K144" s="418"/>
      <c r="L144" s="418"/>
      <c r="M144" s="418"/>
      <c r="N144" s="862"/>
      <c r="O144" s="418"/>
      <c r="P144" s="418"/>
    </row>
    <row r="145" spans="1:16" x14ac:dyDescent="0.25">
      <c r="F145" s="332"/>
      <c r="J145" s="418"/>
      <c r="K145" s="418"/>
      <c r="L145" s="418"/>
      <c r="M145" s="418"/>
      <c r="N145" s="862"/>
      <c r="O145" s="418"/>
      <c r="P145" s="418"/>
    </row>
    <row r="146" spans="1:16" x14ac:dyDescent="0.25">
      <c r="A146" s="332"/>
      <c r="B146" s="332"/>
      <c r="C146" s="332"/>
      <c r="D146" s="848"/>
      <c r="J146" s="418"/>
      <c r="K146" s="418"/>
      <c r="L146" s="418"/>
      <c r="M146" s="418"/>
      <c r="N146" s="862"/>
      <c r="O146" s="418"/>
      <c r="P146" s="418"/>
    </row>
    <row r="147" spans="1:16" x14ac:dyDescent="0.25">
      <c r="A147" s="332"/>
      <c r="B147" s="332"/>
      <c r="C147" s="332"/>
      <c r="D147" s="848"/>
      <c r="G147" s="332"/>
      <c r="H147" s="332"/>
      <c r="I147" s="848"/>
      <c r="J147" s="418"/>
      <c r="K147" s="418"/>
      <c r="L147" s="418"/>
      <c r="M147" s="418"/>
      <c r="N147" s="862"/>
      <c r="O147" s="418"/>
      <c r="P147" s="418"/>
    </row>
    <row r="148" spans="1:16" x14ac:dyDescent="0.25">
      <c r="A148" s="332"/>
      <c r="B148" s="332"/>
      <c r="C148" s="332"/>
      <c r="D148" s="848"/>
      <c r="F148" s="332"/>
      <c r="J148" s="418"/>
      <c r="K148" s="418"/>
      <c r="L148" s="418"/>
      <c r="M148" s="418"/>
      <c r="N148" s="862"/>
      <c r="O148" s="418"/>
      <c r="P148" s="418"/>
    </row>
    <row r="149" spans="1:16" x14ac:dyDescent="0.25">
      <c r="J149" s="418"/>
      <c r="K149" s="418"/>
      <c r="L149" s="418"/>
      <c r="M149" s="418"/>
      <c r="N149" s="862"/>
      <c r="O149" s="418"/>
      <c r="P149" s="418"/>
    </row>
    <row r="150" spans="1:16" x14ac:dyDescent="0.25">
      <c r="A150" s="332"/>
      <c r="B150" s="332"/>
      <c r="C150" s="332"/>
      <c r="D150" s="848"/>
      <c r="J150" s="418"/>
      <c r="K150" s="418"/>
      <c r="L150" s="418"/>
      <c r="M150" s="418"/>
      <c r="N150" s="862"/>
      <c r="O150" s="418"/>
      <c r="P150" s="418"/>
    </row>
    <row r="151" spans="1:16" x14ac:dyDescent="0.25">
      <c r="J151" s="418"/>
      <c r="K151" s="418"/>
      <c r="L151" s="418"/>
      <c r="M151" s="418"/>
      <c r="N151" s="862"/>
      <c r="O151" s="418"/>
      <c r="P151" s="418"/>
    </row>
    <row r="152" spans="1:16" x14ac:dyDescent="0.25">
      <c r="J152" s="418"/>
      <c r="K152" s="418"/>
      <c r="L152" s="418"/>
      <c r="M152" s="418"/>
      <c r="N152" s="862"/>
      <c r="O152" s="418"/>
      <c r="P152" s="418"/>
    </row>
    <row r="153" spans="1:16" x14ac:dyDescent="0.25">
      <c r="A153" s="332"/>
      <c r="B153" s="332"/>
      <c r="C153" s="332"/>
      <c r="D153" s="848"/>
      <c r="J153" s="418"/>
      <c r="K153" s="418"/>
      <c r="L153" s="418"/>
      <c r="M153" s="418"/>
      <c r="N153" s="862"/>
      <c r="O153" s="418"/>
      <c r="P153" s="418"/>
    </row>
    <row r="154" spans="1:16" x14ac:dyDescent="0.25">
      <c r="J154" s="418"/>
      <c r="K154" s="418"/>
      <c r="L154" s="418"/>
      <c r="M154" s="418"/>
      <c r="N154" s="862"/>
      <c r="O154" s="418"/>
      <c r="P154" s="418"/>
    </row>
    <row r="155" spans="1:16" x14ac:dyDescent="0.25">
      <c r="J155" s="418"/>
      <c r="K155" s="418"/>
      <c r="L155" s="418"/>
      <c r="M155" s="418"/>
      <c r="N155" s="862"/>
      <c r="O155" s="418"/>
      <c r="P155" s="418"/>
    </row>
    <row r="156" spans="1:16" x14ac:dyDescent="0.25">
      <c r="B156" s="287"/>
      <c r="C156" s="287"/>
      <c r="J156" s="418"/>
      <c r="K156" s="418"/>
      <c r="L156" s="418"/>
      <c r="M156" s="418"/>
      <c r="N156" s="862"/>
      <c r="O156" s="418"/>
      <c r="P156" s="418"/>
    </row>
    <row r="157" spans="1:16" x14ac:dyDescent="0.25">
      <c r="J157" s="418"/>
      <c r="K157" s="418"/>
      <c r="L157" s="418"/>
      <c r="M157" s="418"/>
      <c r="N157" s="862"/>
      <c r="O157" s="418"/>
      <c r="P157" s="418"/>
    </row>
    <row r="158" spans="1:16" x14ac:dyDescent="0.25">
      <c r="J158" s="418"/>
      <c r="K158" s="418"/>
      <c r="L158" s="418"/>
      <c r="M158" s="418"/>
      <c r="N158" s="862"/>
      <c r="O158" s="418"/>
      <c r="P158" s="418"/>
    </row>
    <row r="159" spans="1:16" x14ac:dyDescent="0.25">
      <c r="G159" s="418"/>
      <c r="H159" s="418"/>
      <c r="I159" s="862"/>
      <c r="J159" s="418"/>
      <c r="K159" s="418"/>
      <c r="L159" s="418"/>
      <c r="M159" s="418"/>
      <c r="N159" s="862"/>
      <c r="O159" s="418"/>
      <c r="P159" s="418"/>
    </row>
    <row r="160" spans="1:16" x14ac:dyDescent="0.25">
      <c r="F160" s="418"/>
      <c r="G160" s="418"/>
      <c r="H160" s="418"/>
      <c r="I160" s="862"/>
      <c r="J160" s="418"/>
      <c r="O160" s="418"/>
      <c r="P160" s="418"/>
    </row>
    <row r="161" spans="2:16" x14ac:dyDescent="0.25">
      <c r="F161" s="418"/>
      <c r="G161" s="418"/>
      <c r="H161" s="418"/>
      <c r="I161" s="862"/>
      <c r="J161" s="418"/>
      <c r="O161" s="418"/>
      <c r="P161" s="418"/>
    </row>
    <row r="162" spans="2:16" x14ac:dyDescent="0.25">
      <c r="B162" s="287"/>
      <c r="C162" s="287"/>
      <c r="F162" s="418"/>
      <c r="G162" s="418"/>
      <c r="H162" s="418"/>
      <c r="I162" s="862"/>
      <c r="J162" s="418"/>
      <c r="O162" s="418"/>
      <c r="P162" s="418"/>
    </row>
    <row r="163" spans="2:16" x14ac:dyDescent="0.25">
      <c r="B163" s="287"/>
      <c r="C163" s="287"/>
      <c r="F163" s="418"/>
      <c r="G163" s="418"/>
      <c r="H163" s="418"/>
      <c r="I163" s="862"/>
      <c r="J163" s="418"/>
      <c r="O163" s="418"/>
      <c r="P163" s="418"/>
    </row>
    <row r="164" spans="2:16" x14ac:dyDescent="0.25">
      <c r="F164" s="418"/>
      <c r="G164" s="418"/>
      <c r="H164" s="418"/>
      <c r="I164" s="862"/>
      <c r="J164" s="418"/>
      <c r="O164" s="418"/>
      <c r="P164" s="418"/>
    </row>
    <row r="165" spans="2:16" x14ac:dyDescent="0.25">
      <c r="F165" s="418"/>
      <c r="G165" s="418"/>
      <c r="H165" s="418"/>
      <c r="I165" s="862"/>
      <c r="J165" s="418"/>
      <c r="O165" s="418"/>
      <c r="P165" s="418"/>
    </row>
    <row r="166" spans="2:16" x14ac:dyDescent="0.25">
      <c r="B166" s="287"/>
      <c r="C166" s="287"/>
      <c r="F166" s="418"/>
      <c r="G166" s="418"/>
      <c r="H166" s="418"/>
      <c r="I166" s="862"/>
      <c r="J166" s="418"/>
      <c r="O166" s="418"/>
      <c r="P166" s="418"/>
    </row>
    <row r="167" spans="2:16" x14ac:dyDescent="0.25">
      <c r="B167" s="287"/>
      <c r="C167" s="287"/>
      <c r="E167" s="303"/>
      <c r="F167" s="418"/>
      <c r="G167" s="418"/>
      <c r="H167" s="418"/>
      <c r="I167" s="862"/>
      <c r="J167" s="418"/>
      <c r="O167" s="418"/>
      <c r="P167" s="418"/>
    </row>
    <row r="168" spans="2:16" x14ac:dyDescent="0.25">
      <c r="E168" s="303"/>
      <c r="F168" s="418"/>
      <c r="G168" s="418"/>
      <c r="H168" s="418"/>
      <c r="I168" s="862"/>
      <c r="J168" s="418"/>
      <c r="O168" s="418"/>
      <c r="P168" s="418"/>
    </row>
    <row r="169" spans="2:16" x14ac:dyDescent="0.25">
      <c r="F169" s="418"/>
      <c r="G169" s="418"/>
      <c r="H169" s="418"/>
      <c r="I169" s="862"/>
      <c r="J169" s="418"/>
      <c r="O169" s="418"/>
      <c r="P169" s="418"/>
    </row>
    <row r="170" spans="2:16" x14ac:dyDescent="0.25">
      <c r="F170" s="418"/>
      <c r="G170" s="418"/>
      <c r="H170" s="418"/>
      <c r="I170" s="862"/>
      <c r="J170" s="418"/>
      <c r="O170" s="418"/>
      <c r="P170" s="418"/>
    </row>
    <row r="171" spans="2:16" x14ac:dyDescent="0.25">
      <c r="F171" s="418"/>
      <c r="G171" s="418"/>
      <c r="H171" s="418"/>
      <c r="I171" s="862"/>
      <c r="J171" s="418"/>
    </row>
    <row r="172" spans="2:16" x14ac:dyDescent="0.25">
      <c r="B172" s="287"/>
      <c r="C172" s="287"/>
      <c r="F172" s="418"/>
      <c r="G172" s="418"/>
      <c r="H172" s="418"/>
      <c r="I172" s="862"/>
      <c r="J172" s="418"/>
    </row>
    <row r="173" spans="2:16" x14ac:dyDescent="0.25">
      <c r="B173" s="287"/>
      <c r="C173" s="287"/>
      <c r="F173" s="418"/>
      <c r="G173" s="418"/>
      <c r="H173" s="418"/>
      <c r="I173" s="862"/>
      <c r="J173" s="418"/>
    </row>
    <row r="174" spans="2:16" x14ac:dyDescent="0.25">
      <c r="B174" s="287"/>
      <c r="C174" s="287"/>
      <c r="F174" s="418"/>
      <c r="G174" s="418"/>
      <c r="H174" s="418"/>
      <c r="I174" s="862"/>
      <c r="J174" s="418"/>
    </row>
    <row r="175" spans="2:16" x14ac:dyDescent="0.25">
      <c r="F175" s="418"/>
      <c r="G175" s="418"/>
      <c r="H175" s="418"/>
      <c r="I175" s="862"/>
      <c r="J175" s="418"/>
    </row>
    <row r="176" spans="2:16" x14ac:dyDescent="0.25">
      <c r="F176" s="418"/>
      <c r="G176" s="418"/>
      <c r="H176" s="418"/>
      <c r="I176" s="862"/>
    </row>
    <row r="177" spans="2:9" x14ac:dyDescent="0.25">
      <c r="F177" s="418"/>
      <c r="G177" s="418"/>
      <c r="H177" s="418"/>
      <c r="I177" s="862"/>
    </row>
    <row r="178" spans="2:9" x14ac:dyDescent="0.25">
      <c r="B178" s="287"/>
      <c r="C178" s="287"/>
      <c r="F178" s="418"/>
      <c r="G178" s="418"/>
      <c r="H178" s="418"/>
      <c r="I178" s="862"/>
    </row>
    <row r="179" spans="2:9" x14ac:dyDescent="0.25">
      <c r="F179" s="418"/>
      <c r="G179" s="418"/>
      <c r="H179" s="418"/>
      <c r="I179" s="862"/>
    </row>
    <row r="180" spans="2:9" x14ac:dyDescent="0.25">
      <c r="B180" s="287"/>
      <c r="C180" s="287"/>
      <c r="F180" s="418"/>
      <c r="G180" s="418"/>
      <c r="H180" s="418"/>
      <c r="I180" s="862"/>
    </row>
    <row r="181" spans="2:9" x14ac:dyDescent="0.25">
      <c r="F181" s="418"/>
    </row>
    <row r="183" spans="2:9" x14ac:dyDescent="0.25">
      <c r="B183" s="287"/>
      <c r="C183" s="287"/>
    </row>
    <row r="185" spans="2:9" x14ac:dyDescent="0.25">
      <c r="B185" s="287"/>
      <c r="C185" s="287"/>
    </row>
    <row r="188" spans="2:9" x14ac:dyDescent="0.25">
      <c r="B188" s="287"/>
      <c r="C188" s="287"/>
    </row>
    <row r="191" spans="2:9" x14ac:dyDescent="0.25">
      <c r="B191" s="287"/>
      <c r="C191" s="287"/>
    </row>
    <row r="202" spans="2:3" x14ac:dyDescent="0.25">
      <c r="B202" s="287"/>
      <c r="C202" s="287"/>
    </row>
    <row r="208" spans="2:3" x14ac:dyDescent="0.25">
      <c r="B208" s="287"/>
      <c r="C208" s="287"/>
    </row>
    <row r="209" spans="2:5" x14ac:dyDescent="0.25">
      <c r="B209" s="287"/>
      <c r="C209" s="287"/>
    </row>
    <row r="210" spans="2:5" x14ac:dyDescent="0.25">
      <c r="B210" s="287"/>
      <c r="C210" s="287"/>
    </row>
    <row r="212" spans="2:5" x14ac:dyDescent="0.25">
      <c r="B212" s="287"/>
      <c r="C212" s="287"/>
    </row>
    <row r="214" spans="2:5" x14ac:dyDescent="0.25">
      <c r="B214" s="287"/>
      <c r="C214" s="287"/>
    </row>
    <row r="215" spans="2:5" x14ac:dyDescent="0.25">
      <c r="B215" s="287"/>
      <c r="C215" s="287"/>
    </row>
    <row r="216" spans="2:5" x14ac:dyDescent="0.25">
      <c r="B216" s="287"/>
      <c r="C216" s="287"/>
    </row>
    <row r="217" spans="2:5" x14ac:dyDescent="0.25">
      <c r="B217" s="287"/>
      <c r="C217" s="287"/>
    </row>
    <row r="219" spans="2:5" x14ac:dyDescent="0.25">
      <c r="E219" s="464">
        <f>N12-N12*10%</f>
        <v>2880</v>
      </c>
    </row>
    <row r="220" spans="2:5" x14ac:dyDescent="0.25">
      <c r="E220" s="464">
        <f>N13-N13*10%</f>
        <v>2880</v>
      </c>
    </row>
    <row r="221" spans="2:5" x14ac:dyDescent="0.25">
      <c r="E221" s="464">
        <f>N14-N14*10%</f>
        <v>2340</v>
      </c>
    </row>
    <row r="222" spans="2:5" x14ac:dyDescent="0.25">
      <c r="E222" s="464">
        <f>N15-N15*10%</f>
        <v>2700</v>
      </c>
    </row>
    <row r="237" spans="2:3" x14ac:dyDescent="0.25">
      <c r="B237" s="287"/>
      <c r="C237" s="287"/>
    </row>
  </sheetData>
  <sortState xmlns:xlrd2="http://schemas.microsoft.com/office/spreadsheetml/2017/richdata2" ref="A3:D58">
    <sortCondition ref="A2:A58"/>
  </sortState>
  <mergeCells count="19">
    <mergeCell ref="A99:D99"/>
    <mergeCell ref="F21:I21"/>
    <mergeCell ref="A59:D59"/>
    <mergeCell ref="K18:N18"/>
    <mergeCell ref="F83:I83"/>
    <mergeCell ref="F38:I38"/>
    <mergeCell ref="A107:D107"/>
    <mergeCell ref="A2:D2"/>
    <mergeCell ref="F9:I9"/>
    <mergeCell ref="F2:I2"/>
    <mergeCell ref="K23:N23"/>
    <mergeCell ref="K5:N5"/>
    <mergeCell ref="A105:D105"/>
    <mergeCell ref="K2:N2"/>
    <mergeCell ref="A94:D94"/>
    <mergeCell ref="K8:N8"/>
    <mergeCell ref="K16:N16"/>
    <mergeCell ref="K11:N11"/>
    <mergeCell ref="A73:D73"/>
  </mergeCells>
  <pageMargins left="0.25" right="0.25" top="0.75" bottom="0.75" header="0.3" footer="0.3"/>
  <pageSetup paperSize="5" orientation="portrait" r:id="rId1"/>
  <ignoredErrors>
    <ignoredError sqref="D90 D102 D19" formula="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Hoja27"/>
  <dimension ref="A2:V356"/>
  <sheetViews>
    <sheetView topLeftCell="A39" zoomScale="70" zoomScaleNormal="70" workbookViewId="0">
      <selection activeCell="I16" sqref="I16"/>
    </sheetView>
  </sheetViews>
  <sheetFormatPr baseColWidth="10" defaultColWidth="11.42578125" defaultRowHeight="15.75" x14ac:dyDescent="0.25"/>
  <cols>
    <col min="1" max="1" width="19.140625" bestFit="1" customWidth="1"/>
    <col min="5" max="5" width="11.5703125" bestFit="1" customWidth="1"/>
    <col min="7" max="7" width="13" bestFit="1" customWidth="1"/>
    <col min="8" max="8" width="14.42578125" bestFit="1" customWidth="1"/>
    <col min="9" max="9" width="12" bestFit="1" customWidth="1"/>
    <col min="11" max="11" width="4.140625" style="767" customWidth="1"/>
    <col min="13" max="13" width="15.140625" bestFit="1" customWidth="1"/>
  </cols>
  <sheetData>
    <row r="2" spans="1:22" ht="18" x14ac:dyDescent="0.25">
      <c r="A2" s="1759"/>
      <c r="B2" s="1759"/>
      <c r="C2" s="1759"/>
      <c r="D2" s="1759"/>
      <c r="E2" s="1759"/>
      <c r="F2" s="1759"/>
      <c r="G2" s="1759"/>
      <c r="H2" s="1759"/>
      <c r="I2" s="1759"/>
      <c r="J2" s="1759"/>
      <c r="K2" s="766"/>
      <c r="L2" s="1759" t="s">
        <v>547</v>
      </c>
      <c r="M2" s="1759"/>
      <c r="N2" s="1759"/>
      <c r="O2" s="1759"/>
      <c r="P2" s="1759"/>
      <c r="Q2" s="1759"/>
      <c r="R2" s="1759"/>
      <c r="S2" s="1759"/>
      <c r="T2" s="1759"/>
      <c r="U2" s="1759"/>
      <c r="V2" s="1759"/>
    </row>
    <row r="3" spans="1:22" ht="16.5" thickBot="1" x14ac:dyDescent="0.3"/>
    <row r="4" spans="1:22" ht="16.5" thickBot="1" x14ac:dyDescent="0.3">
      <c r="M4" s="1565" t="s">
        <v>2075</v>
      </c>
      <c r="N4" s="1566"/>
      <c r="O4" s="1566"/>
      <c r="P4" s="1566"/>
      <c r="Q4" s="1566"/>
      <c r="R4" s="1567"/>
      <c r="S4" s="171"/>
      <c r="T4" s="171"/>
    </row>
    <row r="5" spans="1:22" x14ac:dyDescent="0.25">
      <c r="M5" s="183" t="s">
        <v>916</v>
      </c>
      <c r="N5" s="97" t="s">
        <v>743</v>
      </c>
      <c r="O5" s="97" t="s">
        <v>1089</v>
      </c>
      <c r="P5" s="97" t="s">
        <v>1566</v>
      </c>
      <c r="Q5" s="76" t="s">
        <v>1035</v>
      </c>
      <c r="R5" s="77" t="s">
        <v>1549</v>
      </c>
      <c r="S5" s="1"/>
      <c r="T5" s="171"/>
    </row>
    <row r="6" spans="1:22" x14ac:dyDescent="0.25">
      <c r="M6" s="185" t="s">
        <v>1234</v>
      </c>
      <c r="N6" s="98"/>
      <c r="O6" s="98">
        <v>1.3</v>
      </c>
      <c r="P6" s="98"/>
      <c r="Q6" s="102">
        <f>'HILOS-CORDONES-TANZA-CUERO'!E35</f>
        <v>329</v>
      </c>
      <c r="R6" s="39">
        <f>Q6*O6</f>
        <v>427.7</v>
      </c>
      <c r="S6" s="1"/>
      <c r="T6" s="171"/>
    </row>
    <row r="7" spans="1:22" x14ac:dyDescent="0.25">
      <c r="M7" s="184" t="s">
        <v>2077</v>
      </c>
      <c r="N7" s="98"/>
      <c r="O7" s="98"/>
      <c r="P7" s="98">
        <v>1</v>
      </c>
      <c r="Q7" s="102">
        <v>100</v>
      </c>
      <c r="R7" s="374">
        <f>Q7*P7</f>
        <v>100</v>
      </c>
      <c r="S7" s="1"/>
      <c r="T7" s="171"/>
    </row>
    <row r="8" spans="1:22" x14ac:dyDescent="0.25">
      <c r="M8" s="184" t="s">
        <v>1020</v>
      </c>
      <c r="N8" s="98"/>
      <c r="O8" s="98"/>
      <c r="P8" s="98">
        <v>1</v>
      </c>
      <c r="Q8" s="102">
        <f>FORNITURAS!D30</f>
        <v>255</v>
      </c>
      <c r="R8" s="39">
        <f>P8*Q8</f>
        <v>255</v>
      </c>
      <c r="S8" s="1"/>
      <c r="T8" s="171"/>
    </row>
    <row r="9" spans="1:22" x14ac:dyDescent="0.25">
      <c r="M9" s="184" t="s">
        <v>2010</v>
      </c>
      <c r="N9" s="98"/>
      <c r="O9" s="98"/>
      <c r="P9" s="98">
        <v>2</v>
      </c>
      <c r="Q9" s="102">
        <f>FORNITURAS!D32</f>
        <v>422</v>
      </c>
      <c r="R9" s="39">
        <f>P9*Q9</f>
        <v>844</v>
      </c>
      <c r="S9" s="1"/>
      <c r="T9" s="171"/>
    </row>
    <row r="10" spans="1:22" x14ac:dyDescent="0.25">
      <c r="M10" s="3" t="s">
        <v>1555</v>
      </c>
      <c r="N10" s="98" t="s">
        <v>1933</v>
      </c>
      <c r="O10" s="98"/>
      <c r="P10" s="98">
        <v>1</v>
      </c>
      <c r="Q10" s="102">
        <f>FORNITURAS!D5</f>
        <v>46.8</v>
      </c>
      <c r="R10" s="39">
        <f>Q10*P10</f>
        <v>46.8</v>
      </c>
      <c r="S10" s="1"/>
      <c r="T10" s="171"/>
    </row>
    <row r="11" spans="1:22" x14ac:dyDescent="0.25">
      <c r="M11" s="104" t="s">
        <v>1746</v>
      </c>
      <c r="N11" s="98"/>
      <c r="O11" s="98"/>
      <c r="P11" s="98"/>
      <c r="Q11" s="102"/>
      <c r="R11" s="39">
        <v>10</v>
      </c>
      <c r="S11" s="1"/>
      <c r="T11" s="171"/>
    </row>
    <row r="12" spans="1:22" x14ac:dyDescent="0.25">
      <c r="M12" s="104" t="s">
        <v>1557</v>
      </c>
      <c r="N12" s="98"/>
      <c r="O12" s="98"/>
      <c r="P12" s="98"/>
      <c r="Q12" s="102"/>
      <c r="R12" s="39">
        <f>PACKAGING!E4</f>
        <v>80</v>
      </c>
      <c r="S12" s="1"/>
      <c r="T12" s="171"/>
    </row>
    <row r="13" spans="1:22" x14ac:dyDescent="0.25">
      <c r="M13" s="104" t="s">
        <v>1670</v>
      </c>
      <c r="N13" s="98"/>
      <c r="O13" s="98"/>
      <c r="P13" s="98"/>
      <c r="Q13" s="2"/>
      <c r="R13" s="523">
        <f>PACKAGING!E9</f>
        <v>450</v>
      </c>
      <c r="S13" s="1"/>
      <c r="T13" s="171"/>
    </row>
    <row r="14" spans="1:22" x14ac:dyDescent="0.25">
      <c r="M14" s="184" t="s">
        <v>1618</v>
      </c>
      <c r="N14" s="98" t="s">
        <v>2030</v>
      </c>
      <c r="O14" s="98">
        <v>60</v>
      </c>
      <c r="P14" s="98">
        <v>40</v>
      </c>
      <c r="Q14" s="66">
        <f>'INSUMOS VARIOS'!B3</f>
        <v>3500</v>
      </c>
      <c r="R14" s="524">
        <f>Q14*P14/O14</f>
        <v>2333.3333333333335</v>
      </c>
      <c r="S14" s="1"/>
      <c r="T14" s="171"/>
    </row>
    <row r="15" spans="1:22" ht="16.5" thickBot="1" x14ac:dyDescent="0.3">
      <c r="M15" s="79" t="s">
        <v>525</v>
      </c>
      <c r="N15" s="99"/>
      <c r="O15" s="99"/>
      <c r="P15" s="99"/>
      <c r="Q15" s="70"/>
      <c r="R15" s="51">
        <f>SUM(R6:R14)</f>
        <v>4546.8333333333339</v>
      </c>
      <c r="S15" s="1"/>
      <c r="T15" s="171"/>
    </row>
    <row r="16" spans="1:22" x14ac:dyDescent="0.25">
      <c r="A16" s="1576" t="s">
        <v>2078</v>
      </c>
      <c r="B16" s="1577"/>
      <c r="C16" s="1577"/>
      <c r="D16" s="1577"/>
      <c r="E16" s="1577"/>
      <c r="F16" s="1577"/>
      <c r="G16" s="171"/>
      <c r="H16" s="171"/>
      <c r="M16" s="80" t="s">
        <v>544</v>
      </c>
      <c r="N16" s="100"/>
      <c r="O16" s="100"/>
      <c r="P16" s="100"/>
      <c r="Q16" s="71"/>
      <c r="R16" s="267">
        <f>R15*2</f>
        <v>9093.6666666666679</v>
      </c>
      <c r="S16" s="512">
        <f>R16+R16*25%</f>
        <v>11367.083333333336</v>
      </c>
      <c r="T16" s="268">
        <v>2700</v>
      </c>
    </row>
    <row r="17" spans="1:20" ht="16.5" thickBot="1" x14ac:dyDescent="0.3">
      <c r="A17" s="183" t="s">
        <v>916</v>
      </c>
      <c r="B17" s="97" t="s">
        <v>743</v>
      </c>
      <c r="C17" s="97" t="s">
        <v>1089</v>
      </c>
      <c r="D17" s="97" t="s">
        <v>1547</v>
      </c>
      <c r="E17" s="76" t="s">
        <v>1035</v>
      </c>
      <c r="F17" s="77" t="s">
        <v>1549</v>
      </c>
      <c r="G17" s="1"/>
      <c r="H17" s="171"/>
      <c r="M17" s="81" t="s">
        <v>1559</v>
      </c>
      <c r="N17" s="101"/>
      <c r="O17" s="101"/>
      <c r="P17" s="101"/>
      <c r="Q17" s="73"/>
      <c r="R17" s="280"/>
      <c r="S17" s="522"/>
      <c r="T17" s="526">
        <f>T16*2</f>
        <v>5400</v>
      </c>
    </row>
    <row r="18" spans="1:20" x14ac:dyDescent="0.25">
      <c r="A18" s="184" t="s">
        <v>1842</v>
      </c>
      <c r="B18" s="98"/>
      <c r="C18" s="98"/>
      <c r="D18" s="98">
        <v>16</v>
      </c>
      <c r="E18" s="102">
        <f>VIDRIOS!E12</f>
        <v>79.444444444444443</v>
      </c>
      <c r="F18" s="39">
        <f>E18*D18</f>
        <v>1271.1111111111111</v>
      </c>
      <c r="G18" s="1"/>
      <c r="H18" s="171"/>
    </row>
    <row r="19" spans="1:20" x14ac:dyDescent="0.25">
      <c r="A19" s="184" t="s">
        <v>1552</v>
      </c>
      <c r="B19" s="98">
        <v>0.39</v>
      </c>
      <c r="C19" s="98">
        <v>8</v>
      </c>
      <c r="D19" s="98">
        <v>1.7999999999999999E-2</v>
      </c>
      <c r="E19" s="102">
        <f>'PALAIS DU BIJOU'!N4</f>
        <v>170</v>
      </c>
      <c r="F19" s="39">
        <f>E19*D19*C19/B19</f>
        <v>62.769230769230759</v>
      </c>
      <c r="G19" s="1"/>
      <c r="H19" s="171"/>
    </row>
    <row r="20" spans="1:20" x14ac:dyDescent="0.25">
      <c r="A20" s="1613" t="s">
        <v>1608</v>
      </c>
      <c r="B20" s="98"/>
      <c r="C20" s="98">
        <v>0.05</v>
      </c>
      <c r="D20" s="98">
        <v>2</v>
      </c>
      <c r="E20" s="102">
        <f>'AROS, CADENAS, DIJES, ETC'!I38</f>
        <v>3630</v>
      </c>
      <c r="F20" s="39">
        <f>E20*C20*D20</f>
        <v>363</v>
      </c>
      <c r="G20" s="1"/>
      <c r="H20" s="171"/>
    </row>
    <row r="21" spans="1:20" x14ac:dyDescent="0.25">
      <c r="A21" s="1615"/>
      <c r="B21" s="98"/>
      <c r="C21" s="98">
        <v>0.1</v>
      </c>
      <c r="D21" s="98">
        <v>1</v>
      </c>
      <c r="E21" s="102">
        <f>E20</f>
        <v>3630</v>
      </c>
      <c r="F21" s="39">
        <f>E21*C21*D21</f>
        <v>363</v>
      </c>
      <c r="G21" s="1"/>
      <c r="H21" s="171"/>
    </row>
    <row r="22" spans="1:20" x14ac:dyDescent="0.25">
      <c r="A22" s="331" t="s">
        <v>1872</v>
      </c>
      <c r="B22" s="98"/>
      <c r="C22" s="98"/>
      <c r="D22" s="98">
        <v>0.33</v>
      </c>
      <c r="E22" s="102">
        <f>'HILOS-CORDONES-TANZA-CUERO'!L9</f>
        <v>30</v>
      </c>
      <c r="F22" s="39">
        <f t="shared" ref="F22:F27" si="0">E22*D22</f>
        <v>9.9</v>
      </c>
      <c r="G22" s="1"/>
      <c r="H22" s="171"/>
    </row>
    <row r="23" spans="1:20" x14ac:dyDescent="0.25">
      <c r="A23" s="184" t="s">
        <v>1012</v>
      </c>
      <c r="B23" s="98" t="s">
        <v>777</v>
      </c>
      <c r="C23" s="98"/>
      <c r="D23" s="98">
        <v>2</v>
      </c>
      <c r="E23" s="102">
        <f>FORNITURAS!D17</f>
        <v>45.05</v>
      </c>
      <c r="F23" s="39">
        <f t="shared" si="0"/>
        <v>90.1</v>
      </c>
      <c r="G23" s="1"/>
      <c r="H23" s="171"/>
    </row>
    <row r="24" spans="1:20" x14ac:dyDescent="0.25">
      <c r="A24" s="184" t="s">
        <v>1697</v>
      </c>
      <c r="B24" s="98"/>
      <c r="C24" s="98"/>
      <c r="D24" s="98">
        <v>2</v>
      </c>
      <c r="E24" s="102">
        <f>FORNITURAS!D26</f>
        <v>297.14285714285717</v>
      </c>
      <c r="F24" s="39">
        <f t="shared" si="0"/>
        <v>594.28571428571433</v>
      </c>
      <c r="G24" s="1"/>
      <c r="H24" s="171"/>
    </row>
    <row r="25" spans="1:20" x14ac:dyDescent="0.25">
      <c r="A25" s="184" t="s">
        <v>1587</v>
      </c>
      <c r="B25" s="98"/>
      <c r="C25" s="98"/>
      <c r="D25" s="98">
        <v>1</v>
      </c>
      <c r="E25" s="102">
        <f>FORNITURAS!D18</f>
        <v>363</v>
      </c>
      <c r="F25" s="39">
        <f t="shared" si="0"/>
        <v>363</v>
      </c>
      <c r="G25" s="1"/>
      <c r="H25" s="171"/>
    </row>
    <row r="26" spans="1:20" x14ac:dyDescent="0.25">
      <c r="A26" s="1701" t="s">
        <v>1572</v>
      </c>
      <c r="B26" s="98" t="s">
        <v>1556</v>
      </c>
      <c r="C26" s="98"/>
      <c r="D26" s="98">
        <v>3</v>
      </c>
      <c r="E26" s="102">
        <f>FORNITURAS!D4</f>
        <v>48.7</v>
      </c>
      <c r="F26" s="39">
        <f t="shared" si="0"/>
        <v>146.10000000000002</v>
      </c>
      <c r="G26" s="1"/>
      <c r="H26" s="171"/>
    </row>
    <row r="27" spans="1:20" x14ac:dyDescent="0.25">
      <c r="A27" s="1702"/>
      <c r="B27" s="2" t="s">
        <v>1573</v>
      </c>
      <c r="C27" s="98"/>
      <c r="D27" s="98">
        <v>1</v>
      </c>
      <c r="E27" s="102">
        <f>FORNITURAS!D7</f>
        <v>52</v>
      </c>
      <c r="F27" s="39">
        <f t="shared" si="0"/>
        <v>52</v>
      </c>
      <c r="G27" s="1"/>
      <c r="H27" s="171"/>
    </row>
    <row r="28" spans="1:20" x14ac:dyDescent="0.25">
      <c r="A28" s="191" t="s">
        <v>1557</v>
      </c>
      <c r="B28" s="98" t="s">
        <v>1535</v>
      </c>
      <c r="C28" s="98"/>
      <c r="D28" s="98"/>
      <c r="E28" s="2"/>
      <c r="F28" s="39">
        <f>PACKAGING!E4</f>
        <v>80</v>
      </c>
      <c r="G28" s="1"/>
      <c r="H28" s="171"/>
    </row>
    <row r="29" spans="1:20" x14ac:dyDescent="0.25">
      <c r="A29" s="104" t="s">
        <v>1537</v>
      </c>
      <c r="B29" s="98"/>
      <c r="C29" s="98"/>
      <c r="D29" s="98"/>
      <c r="E29" s="2"/>
      <c r="F29" s="39">
        <f>PACKAGING!E7</f>
        <v>170</v>
      </c>
      <c r="G29" s="1"/>
      <c r="H29" s="171"/>
    </row>
    <row r="30" spans="1:20" x14ac:dyDescent="0.25">
      <c r="A30" s="104" t="s">
        <v>1979</v>
      </c>
      <c r="B30" s="98"/>
      <c r="C30" s="98"/>
      <c r="D30" s="98"/>
      <c r="E30" s="2"/>
      <c r="F30" s="39">
        <f>PACKAGING!E9</f>
        <v>450</v>
      </c>
      <c r="G30" s="1"/>
      <c r="H30" s="171"/>
      <c r="M30" s="1"/>
      <c r="N30" s="1"/>
      <c r="O30" s="1"/>
      <c r="P30" s="1"/>
      <c r="Q30" s="1"/>
      <c r="R30" s="1"/>
      <c r="S30" s="1"/>
    </row>
    <row r="31" spans="1:20" x14ac:dyDescent="0.25">
      <c r="A31" s="104" t="s">
        <v>1558</v>
      </c>
      <c r="B31" s="98">
        <v>60</v>
      </c>
      <c r="C31" s="98"/>
      <c r="D31" s="98">
        <v>20</v>
      </c>
      <c r="E31" s="102">
        <f>'INSUMOS VARIOS'!B3</f>
        <v>3500</v>
      </c>
      <c r="F31" s="39">
        <f>E31*D31/B31</f>
        <v>1166.6666666666667</v>
      </c>
      <c r="G31" s="171"/>
      <c r="H31" s="171"/>
    </row>
    <row r="32" spans="1:20" ht="16.5" thickBot="1" x14ac:dyDescent="0.3">
      <c r="A32" s="79" t="s">
        <v>525</v>
      </c>
      <c r="B32" s="99"/>
      <c r="C32" s="99"/>
      <c r="D32" s="99"/>
      <c r="E32" s="70"/>
      <c r="F32" s="51">
        <f>SUM(F18:F31)</f>
        <v>5181.9327228327229</v>
      </c>
      <c r="G32" s="1"/>
      <c r="H32" s="171"/>
    </row>
    <row r="33" spans="1:8" x14ac:dyDescent="0.25">
      <c r="A33" s="80" t="s">
        <v>544</v>
      </c>
      <c r="B33" s="100"/>
      <c r="C33" s="100"/>
      <c r="D33" s="100"/>
      <c r="E33" s="71"/>
      <c r="F33" s="221">
        <f>F32*2</f>
        <v>10363.865445665446</v>
      </c>
      <c r="G33" s="512">
        <f>F33+F33*15%</f>
        <v>11918.445262515263</v>
      </c>
      <c r="H33" s="268">
        <v>2100</v>
      </c>
    </row>
    <row r="34" spans="1:8" ht="16.5" thickBot="1" x14ac:dyDescent="0.3">
      <c r="A34" s="81" t="s">
        <v>1559</v>
      </c>
      <c r="B34" s="101"/>
      <c r="C34" s="101"/>
      <c r="D34" s="101"/>
      <c r="E34" s="73"/>
      <c r="F34" s="222"/>
      <c r="G34" s="522"/>
      <c r="H34" s="526">
        <f>H33*2</f>
        <v>4200</v>
      </c>
    </row>
    <row r="36" spans="1:8" x14ac:dyDescent="0.25">
      <c r="A36" s="1576" t="s">
        <v>646</v>
      </c>
      <c r="B36" s="1577"/>
      <c r="C36" s="1577"/>
      <c r="D36" s="1577"/>
      <c r="E36" s="1577"/>
      <c r="F36" s="1577"/>
      <c r="G36" s="171"/>
      <c r="H36" s="171"/>
    </row>
    <row r="37" spans="1:8" x14ac:dyDescent="0.25">
      <c r="A37" s="183" t="s">
        <v>916</v>
      </c>
      <c r="B37" s="97" t="s">
        <v>743</v>
      </c>
      <c r="C37" s="97" t="s">
        <v>1089</v>
      </c>
      <c r="D37" s="97" t="s">
        <v>1547</v>
      </c>
      <c r="E37" s="76" t="s">
        <v>1035</v>
      </c>
      <c r="F37" s="77" t="s">
        <v>1549</v>
      </c>
      <c r="G37" s="1"/>
      <c r="H37" s="1"/>
    </row>
    <row r="38" spans="1:8" x14ac:dyDescent="0.25">
      <c r="A38" s="184" t="s">
        <v>1842</v>
      </c>
      <c r="B38" s="98"/>
      <c r="C38" s="98"/>
      <c r="D38" s="98">
        <v>16</v>
      </c>
      <c r="E38" s="102">
        <f>'SALE COLLARES'!E18</f>
        <v>79.444444444444443</v>
      </c>
      <c r="F38" s="39">
        <f>E38*D38</f>
        <v>1271.1111111111111</v>
      </c>
      <c r="G38" s="1"/>
      <c r="H38" s="1"/>
    </row>
    <row r="39" spans="1:8" x14ac:dyDescent="0.25">
      <c r="A39" s="184" t="s">
        <v>1552</v>
      </c>
      <c r="B39" s="98">
        <v>0.39</v>
      </c>
      <c r="C39" s="98">
        <v>7</v>
      </c>
      <c r="D39" s="98">
        <v>1.7999999999999999E-2</v>
      </c>
      <c r="E39" s="102">
        <f>E19</f>
        <v>170</v>
      </c>
      <c r="F39" s="39">
        <f>E39*D39*C39/B39</f>
        <v>54.92307692307692</v>
      </c>
      <c r="G39" s="1"/>
      <c r="H39" s="1"/>
    </row>
    <row r="40" spans="1:8" x14ac:dyDescent="0.25">
      <c r="A40" s="1613" t="s">
        <v>1608</v>
      </c>
      <c r="B40" s="98"/>
      <c r="C40" s="98">
        <v>0.04</v>
      </c>
      <c r="D40" s="98">
        <v>2</v>
      </c>
      <c r="E40" s="102">
        <f>'SALE COLLARES'!E20</f>
        <v>3630</v>
      </c>
      <c r="F40" s="39">
        <f>E40*C40*D40</f>
        <v>290.40000000000003</v>
      </c>
      <c r="G40" s="1"/>
      <c r="H40" s="1"/>
    </row>
    <row r="41" spans="1:8" x14ac:dyDescent="0.25">
      <c r="A41" s="1615"/>
      <c r="B41" s="98"/>
      <c r="C41" s="98">
        <v>0.1</v>
      </c>
      <c r="D41" s="98">
        <v>1</v>
      </c>
      <c r="E41" s="102">
        <f>'SALE COLLARES'!E21</f>
        <v>3630</v>
      </c>
      <c r="F41" s="39">
        <f>E41*C41*D41</f>
        <v>363</v>
      </c>
      <c r="G41" s="1"/>
      <c r="H41" s="1"/>
    </row>
    <row r="42" spans="1:8" x14ac:dyDescent="0.25">
      <c r="A42" s="331" t="s">
        <v>1872</v>
      </c>
      <c r="B42" s="98"/>
      <c r="C42" s="98"/>
      <c r="D42" s="98">
        <v>0.33</v>
      </c>
      <c r="E42" s="102">
        <f>'SALE COLLARES'!E22</f>
        <v>30</v>
      </c>
      <c r="F42" s="39">
        <f t="shared" ref="F42:F47" si="1">E42*D42</f>
        <v>9.9</v>
      </c>
      <c r="G42" s="1"/>
      <c r="H42" s="1"/>
    </row>
    <row r="43" spans="1:8" x14ac:dyDescent="0.25">
      <c r="A43" s="184" t="s">
        <v>1012</v>
      </c>
      <c r="B43" s="98" t="s">
        <v>777</v>
      </c>
      <c r="C43" s="98"/>
      <c r="D43" s="98">
        <v>2</v>
      </c>
      <c r="E43" s="102">
        <f>'SALE COLLARES'!E23</f>
        <v>45.05</v>
      </c>
      <c r="F43" s="39">
        <f t="shared" si="1"/>
        <v>90.1</v>
      </c>
      <c r="G43" s="1"/>
      <c r="H43" s="1"/>
    </row>
    <row r="44" spans="1:8" x14ac:dyDescent="0.25">
      <c r="A44" s="184" t="s">
        <v>1697</v>
      </c>
      <c r="B44" s="98"/>
      <c r="C44" s="98"/>
      <c r="D44" s="98">
        <v>2</v>
      </c>
      <c r="E44" s="102">
        <f>'SALE COLLARES'!E24</f>
        <v>297.14285714285717</v>
      </c>
      <c r="F44" s="39">
        <f t="shared" si="1"/>
        <v>594.28571428571433</v>
      </c>
      <c r="G44" s="1"/>
      <c r="H44" s="1"/>
    </row>
    <row r="45" spans="1:8" x14ac:dyDescent="0.25">
      <c r="A45" s="184" t="s">
        <v>1587</v>
      </c>
      <c r="B45" s="98"/>
      <c r="C45" s="98"/>
      <c r="D45" s="98">
        <v>1</v>
      </c>
      <c r="E45" s="102">
        <f>'SALE COLLARES'!E25</f>
        <v>363</v>
      </c>
      <c r="F45" s="39">
        <f t="shared" si="1"/>
        <v>363</v>
      </c>
      <c r="G45" s="1"/>
      <c r="H45" s="1"/>
    </row>
    <row r="46" spans="1:8" x14ac:dyDescent="0.25">
      <c r="A46" s="1701" t="s">
        <v>1572</v>
      </c>
      <c r="B46" s="98" t="s">
        <v>1556</v>
      </c>
      <c r="C46" s="98"/>
      <c r="D46" s="98">
        <v>3</v>
      </c>
      <c r="E46" s="102">
        <f>'SALE COLLARES'!E26</f>
        <v>48.7</v>
      </c>
      <c r="F46" s="39">
        <f t="shared" si="1"/>
        <v>146.10000000000002</v>
      </c>
      <c r="G46" s="1"/>
      <c r="H46" s="1"/>
    </row>
    <row r="47" spans="1:8" x14ac:dyDescent="0.25">
      <c r="A47" s="1702"/>
      <c r="B47" s="2" t="s">
        <v>1573</v>
      </c>
      <c r="C47" s="98"/>
      <c r="D47" s="98">
        <v>1</v>
      </c>
      <c r="E47" s="102">
        <f>'SALE COLLARES'!E27</f>
        <v>52</v>
      </c>
      <c r="F47" s="39">
        <f t="shared" si="1"/>
        <v>52</v>
      </c>
      <c r="G47" s="1"/>
      <c r="H47" s="1"/>
    </row>
    <row r="48" spans="1:8" x14ac:dyDescent="0.25">
      <c r="A48" s="191" t="s">
        <v>1557</v>
      </c>
      <c r="B48" s="98" t="s">
        <v>1535</v>
      </c>
      <c r="C48" s="98"/>
      <c r="D48" s="98"/>
      <c r="E48" s="2"/>
      <c r="F48" s="39">
        <f>'SALE COLLARES'!F28</f>
        <v>80</v>
      </c>
      <c r="G48" s="1"/>
      <c r="H48" s="1"/>
    </row>
    <row r="49" spans="1:8" x14ac:dyDescent="0.25">
      <c r="A49" s="104" t="s">
        <v>1537</v>
      </c>
      <c r="B49" s="98"/>
      <c r="C49" s="98"/>
      <c r="D49" s="98"/>
      <c r="E49" s="2"/>
      <c r="F49" s="39">
        <f>'SALE COLLARES'!F29</f>
        <v>170</v>
      </c>
      <c r="G49" s="1"/>
      <c r="H49" s="1"/>
    </row>
    <row r="50" spans="1:8" x14ac:dyDescent="0.25">
      <c r="A50" s="104" t="s">
        <v>1979</v>
      </c>
      <c r="B50" s="98"/>
      <c r="C50" s="98"/>
      <c r="D50" s="98"/>
      <c r="E50" s="2"/>
      <c r="F50" s="39">
        <f>'SALE COLLARES'!F30</f>
        <v>450</v>
      </c>
      <c r="G50" s="1"/>
      <c r="H50" s="1"/>
    </row>
    <row r="51" spans="1:8" x14ac:dyDescent="0.25">
      <c r="A51" s="104" t="s">
        <v>1558</v>
      </c>
      <c r="B51" s="98">
        <v>60</v>
      </c>
      <c r="C51" s="98"/>
      <c r="D51" s="98">
        <v>20</v>
      </c>
      <c r="E51" s="102">
        <f>'INSUMOS VARIOS'!B3</f>
        <v>3500</v>
      </c>
      <c r="F51" s="39">
        <f>E51*D51/B51</f>
        <v>1166.6666666666667</v>
      </c>
      <c r="G51" s="1"/>
      <c r="H51" s="1"/>
    </row>
    <row r="52" spans="1:8" ht="16.5" thickBot="1" x14ac:dyDescent="0.3">
      <c r="A52" s="79" t="s">
        <v>525</v>
      </c>
      <c r="B52" s="99"/>
      <c r="C52" s="99"/>
      <c r="D52" s="99"/>
      <c r="E52" s="70"/>
      <c r="F52" s="51">
        <f>SUM(F38:F51)</f>
        <v>5101.4865689865692</v>
      </c>
      <c r="G52" s="1"/>
      <c r="H52" s="1"/>
    </row>
    <row r="53" spans="1:8" x14ac:dyDescent="0.25">
      <c r="A53" s="80" t="s">
        <v>544</v>
      </c>
      <c r="B53" s="100"/>
      <c r="C53" s="100"/>
      <c r="D53" s="100"/>
      <c r="E53" s="71"/>
      <c r="F53" s="72">
        <f>F52*2</f>
        <v>10202.973137973138</v>
      </c>
      <c r="G53" s="72">
        <f>F53+F53*15%</f>
        <v>11733.41910866911</v>
      </c>
      <c r="H53" s="203">
        <v>2100</v>
      </c>
    </row>
    <row r="54" spans="1:8" ht="16.5" thickBot="1" x14ac:dyDescent="0.3">
      <c r="A54" s="81" t="s">
        <v>1559</v>
      </c>
      <c r="B54" s="101"/>
      <c r="C54" s="101"/>
      <c r="D54" s="101"/>
      <c r="E54" s="73"/>
      <c r="F54" s="73"/>
      <c r="G54" s="222"/>
      <c r="H54" s="204">
        <f>H53*2</f>
        <v>4200</v>
      </c>
    </row>
    <row r="75" spans="1:8" x14ac:dyDescent="0.25">
      <c r="A75" s="1602" t="s">
        <v>2079</v>
      </c>
      <c r="B75" s="1600"/>
      <c r="C75" s="1600"/>
      <c r="D75" s="1600"/>
      <c r="E75" s="1600"/>
      <c r="F75" s="1600"/>
      <c r="G75" s="171"/>
      <c r="H75" s="171"/>
    </row>
    <row r="76" spans="1:8" x14ac:dyDescent="0.25">
      <c r="A76" s="183" t="s">
        <v>916</v>
      </c>
      <c r="B76" s="97" t="s">
        <v>743</v>
      </c>
      <c r="C76" s="97" t="s">
        <v>1089</v>
      </c>
      <c r="D76" s="97" t="s">
        <v>1566</v>
      </c>
      <c r="E76" s="76" t="s">
        <v>1035</v>
      </c>
      <c r="F76" s="77" t="s">
        <v>1549</v>
      </c>
      <c r="G76" s="1"/>
      <c r="H76" s="171"/>
    </row>
    <row r="77" spans="1:8" x14ac:dyDescent="0.25">
      <c r="A77" s="185" t="s">
        <v>1224</v>
      </c>
      <c r="B77" s="98"/>
      <c r="C77" s="98">
        <v>1</v>
      </c>
      <c r="D77" s="98"/>
      <c r="E77" s="102">
        <f>'HILOS-CORDONES-TANZA-CUERO'!E5</f>
        <v>50.35</v>
      </c>
      <c r="F77" s="39">
        <f>E77*C77</f>
        <v>50.35</v>
      </c>
      <c r="G77" s="1"/>
      <c r="H77" s="171"/>
    </row>
    <row r="78" spans="1:8" x14ac:dyDescent="0.25">
      <c r="A78" s="184" t="s">
        <v>2080</v>
      </c>
      <c r="B78" s="98"/>
      <c r="C78" s="98"/>
      <c r="D78" s="553">
        <v>33</v>
      </c>
      <c r="E78" s="102">
        <f>VIDRIOS!E21</f>
        <v>65</v>
      </c>
      <c r="F78" s="374">
        <f>E78*D78</f>
        <v>2145</v>
      </c>
      <c r="G78" s="1"/>
      <c r="H78" s="171"/>
    </row>
    <row r="79" spans="1:8" x14ac:dyDescent="0.25">
      <c r="A79" s="184" t="s">
        <v>1988</v>
      </c>
      <c r="B79" s="98"/>
      <c r="C79" s="98"/>
      <c r="D79" s="98">
        <v>1</v>
      </c>
      <c r="E79" s="102">
        <f>FORNITURAS!D21</f>
        <v>1500</v>
      </c>
      <c r="F79" s="39">
        <f>D79*E79</f>
        <v>1500</v>
      </c>
      <c r="G79" s="1"/>
      <c r="H79" s="171"/>
    </row>
    <row r="80" spans="1:8" x14ac:dyDescent="0.25">
      <c r="A80" s="184" t="s">
        <v>908</v>
      </c>
      <c r="B80" s="98"/>
      <c r="C80" s="98">
        <v>0.5</v>
      </c>
      <c r="D80" s="98">
        <v>0.06</v>
      </c>
      <c r="E80" s="102">
        <f>'AROS, CADENAS, DIJES, ETC'!I39</f>
        <v>605</v>
      </c>
      <c r="F80" s="39">
        <f>E80*D80/C80</f>
        <v>72.599999999999994</v>
      </c>
      <c r="G80" s="1"/>
      <c r="H80" s="171"/>
    </row>
    <row r="81" spans="1:8" x14ac:dyDescent="0.25">
      <c r="A81" s="1613" t="s">
        <v>1555</v>
      </c>
      <c r="B81" s="98" t="s">
        <v>1933</v>
      </c>
      <c r="C81" s="98"/>
      <c r="D81" s="98">
        <v>2</v>
      </c>
      <c r="E81" s="102">
        <f>FORNITURAS!D5</f>
        <v>46.8</v>
      </c>
      <c r="F81" s="39">
        <f>E81*D81</f>
        <v>93.6</v>
      </c>
      <c r="G81" s="1"/>
      <c r="H81" s="171"/>
    </row>
    <row r="82" spans="1:8" x14ac:dyDescent="0.25">
      <c r="A82" s="1615"/>
      <c r="B82" s="98" t="s">
        <v>1573</v>
      </c>
      <c r="C82" s="98"/>
      <c r="D82" s="98">
        <v>1</v>
      </c>
      <c r="E82" s="102">
        <f>FORNITURAS!D7</f>
        <v>52</v>
      </c>
      <c r="F82" s="39">
        <f>E82*D82</f>
        <v>52</v>
      </c>
      <c r="G82" s="1"/>
      <c r="H82" s="171"/>
    </row>
    <row r="83" spans="1:8" x14ac:dyDescent="0.25">
      <c r="A83" s="104" t="s">
        <v>1557</v>
      </c>
      <c r="B83" s="98"/>
      <c r="C83" s="98"/>
      <c r="D83" s="98"/>
      <c r="E83" s="102"/>
      <c r="F83" s="523">
        <f>PACKAGING!E4</f>
        <v>80</v>
      </c>
      <c r="G83" s="1"/>
      <c r="H83" s="171"/>
    </row>
    <row r="84" spans="1:8" x14ac:dyDescent="0.25">
      <c r="A84" s="104" t="s">
        <v>1634</v>
      </c>
      <c r="B84" s="98"/>
      <c r="C84" s="98"/>
      <c r="D84" s="98"/>
      <c r="E84" s="102"/>
      <c r="F84" s="523">
        <f>PACKAGING!E7</f>
        <v>170</v>
      </c>
      <c r="G84" s="1"/>
      <c r="H84" s="171"/>
    </row>
    <row r="85" spans="1:8" x14ac:dyDescent="0.25">
      <c r="A85" s="104" t="s">
        <v>1670</v>
      </c>
      <c r="B85" s="98"/>
      <c r="C85" s="98"/>
      <c r="D85" s="98"/>
      <c r="E85" s="102"/>
      <c r="F85" s="523">
        <f>PACKAGING!E9</f>
        <v>450</v>
      </c>
      <c r="G85" s="1"/>
      <c r="H85" s="171"/>
    </row>
    <row r="86" spans="1:8" x14ac:dyDescent="0.25">
      <c r="A86" s="24" t="s">
        <v>1618</v>
      </c>
      <c r="B86" s="98"/>
      <c r="C86" s="98">
        <v>60</v>
      </c>
      <c r="D86" s="98">
        <v>25</v>
      </c>
      <c r="E86" s="66">
        <f>'INSUMOS VARIOS'!B3</f>
        <v>3500</v>
      </c>
      <c r="F86" s="524">
        <f>E86*D86/C86</f>
        <v>1458.3333333333333</v>
      </c>
      <c r="G86" s="1"/>
      <c r="H86" s="171"/>
    </row>
    <row r="87" spans="1:8" ht="16.5" thickBot="1" x14ac:dyDescent="0.3">
      <c r="A87" s="79" t="s">
        <v>525</v>
      </c>
      <c r="B87" s="99"/>
      <c r="C87" s="99"/>
      <c r="D87" s="99"/>
      <c r="E87" s="70"/>
      <c r="F87" s="51">
        <f>SUM(F77:F86)</f>
        <v>6071.8833333333323</v>
      </c>
      <c r="G87" s="1"/>
      <c r="H87" s="171"/>
    </row>
    <row r="88" spans="1:8" x14ac:dyDescent="0.25">
      <c r="A88" s="80" t="s">
        <v>544</v>
      </c>
      <c r="B88" s="100"/>
      <c r="C88" s="100"/>
      <c r="D88" s="100"/>
      <c r="E88" s="71"/>
      <c r="F88" s="221">
        <f>F87*2</f>
        <v>12143.766666666665</v>
      </c>
      <c r="G88" s="512">
        <f>F88+F88*25%</f>
        <v>15179.70833333333</v>
      </c>
      <c r="H88" s="268">
        <v>2850</v>
      </c>
    </row>
    <row r="89" spans="1:8" ht="16.5" thickBot="1" x14ac:dyDescent="0.3">
      <c r="A89" s="81" t="s">
        <v>1559</v>
      </c>
      <c r="B89" s="101"/>
      <c r="C89" s="101"/>
      <c r="D89" s="101"/>
      <c r="E89" s="73"/>
      <c r="F89" s="222"/>
      <c r="G89" s="522"/>
      <c r="H89" s="526">
        <f>H88*2</f>
        <v>5700</v>
      </c>
    </row>
    <row r="90" spans="1:8" ht="16.5" thickBot="1" x14ac:dyDescent="0.3"/>
    <row r="91" spans="1:8" ht="16.5" thickBot="1" x14ac:dyDescent="0.3">
      <c r="A91" s="1565" t="s">
        <v>371</v>
      </c>
      <c r="B91" s="1566"/>
      <c r="C91" s="1566"/>
      <c r="D91" s="1566"/>
      <c r="E91" s="1566"/>
      <c r="F91" s="1567"/>
    </row>
    <row r="92" spans="1:8" x14ac:dyDescent="0.25">
      <c r="A92" s="183" t="s">
        <v>916</v>
      </c>
      <c r="B92" s="97" t="s">
        <v>743</v>
      </c>
      <c r="C92" s="97" t="s">
        <v>1607</v>
      </c>
      <c r="D92" s="97" t="s">
        <v>1566</v>
      </c>
      <c r="E92" s="76" t="s">
        <v>1035</v>
      </c>
      <c r="F92" s="77" t="s">
        <v>1549</v>
      </c>
    </row>
    <row r="93" spans="1:8" x14ac:dyDescent="0.25">
      <c r="A93" s="184" t="s">
        <v>1179</v>
      </c>
      <c r="B93" s="98"/>
      <c r="C93" s="98"/>
      <c r="D93" s="98">
        <v>20</v>
      </c>
      <c r="E93" s="102">
        <f>VIDRIOS!E25</f>
        <v>42.058823529411768</v>
      </c>
      <c r="F93" s="39">
        <f>E93*D93</f>
        <v>841.17647058823536</v>
      </c>
      <c r="G93" s="1"/>
    </row>
    <row r="94" spans="1:8" x14ac:dyDescent="0.25">
      <c r="A94" s="184" t="s">
        <v>2081</v>
      </c>
      <c r="B94" s="98"/>
      <c r="C94" s="98"/>
      <c r="D94" s="98">
        <v>21</v>
      </c>
      <c r="E94" s="102">
        <f>VIDRIOS!E21</f>
        <v>65</v>
      </c>
      <c r="F94" s="39">
        <f>E94*D94</f>
        <v>1365</v>
      </c>
      <c r="G94" s="1"/>
    </row>
    <row r="95" spans="1:8" x14ac:dyDescent="0.25">
      <c r="A95" s="184" t="s">
        <v>2082</v>
      </c>
      <c r="B95" s="98"/>
      <c r="C95" s="98"/>
      <c r="D95" s="98">
        <v>10</v>
      </c>
      <c r="E95" s="102">
        <f>'PALAIS DU BIJOU'!N46</f>
        <v>37.313432835820898</v>
      </c>
      <c r="F95" s="39">
        <f>E95*D95</f>
        <v>373.13432835820896</v>
      </c>
      <c r="G95" s="1"/>
    </row>
    <row r="96" spans="1:8" x14ac:dyDescent="0.25">
      <c r="A96" s="184" t="s">
        <v>1944</v>
      </c>
      <c r="B96" s="98" t="s">
        <v>777</v>
      </c>
      <c r="C96" s="98"/>
      <c r="D96" s="98">
        <v>2</v>
      </c>
      <c r="E96" s="102">
        <f>FORNITURAS!I4</f>
        <v>66.099999999999994</v>
      </c>
      <c r="F96" s="39">
        <v>21.2</v>
      </c>
      <c r="G96" s="1"/>
    </row>
    <row r="97" spans="1:8" x14ac:dyDescent="0.25">
      <c r="A97" s="184" t="s">
        <v>1587</v>
      </c>
      <c r="B97" s="98"/>
      <c r="C97" s="98"/>
      <c r="D97" s="98">
        <v>1</v>
      </c>
      <c r="E97" s="102">
        <f>FORNITURAS!D18</f>
        <v>363</v>
      </c>
      <c r="F97" s="39">
        <f>D97*E97</f>
        <v>363</v>
      </c>
      <c r="G97" s="1"/>
    </row>
    <row r="98" spans="1:8" x14ac:dyDescent="0.25">
      <c r="A98" s="184" t="s">
        <v>1012</v>
      </c>
      <c r="B98" s="98"/>
      <c r="C98" s="98"/>
      <c r="D98" s="98">
        <v>2</v>
      </c>
      <c r="E98" s="102">
        <f>FORNITURAS!D17</f>
        <v>45.05</v>
      </c>
      <c r="F98" s="39">
        <f>D98*E98</f>
        <v>90.1</v>
      </c>
      <c r="G98" s="1"/>
    </row>
    <row r="99" spans="1:8" x14ac:dyDescent="0.25">
      <c r="A99" s="184" t="s">
        <v>908</v>
      </c>
      <c r="B99" s="98"/>
      <c r="C99" s="98">
        <v>0.26</v>
      </c>
      <c r="D99" s="98">
        <v>0.1</v>
      </c>
      <c r="E99" s="102">
        <f>'AROS, CADENAS, DIJES, ETC'!T10</f>
        <v>1000</v>
      </c>
      <c r="F99" s="39">
        <f>E99*D99/C99</f>
        <v>384.61538461538458</v>
      </c>
      <c r="G99" s="1"/>
    </row>
    <row r="100" spans="1:8" x14ac:dyDescent="0.25">
      <c r="A100" s="1613" t="s">
        <v>1555</v>
      </c>
      <c r="B100" s="98" t="s">
        <v>1933</v>
      </c>
      <c r="C100" s="98"/>
      <c r="D100" s="98">
        <v>1</v>
      </c>
      <c r="E100" s="102">
        <f>FORNITURAS!D5</f>
        <v>46.8</v>
      </c>
      <c r="F100" s="39">
        <f>E100*D100</f>
        <v>46.8</v>
      </c>
      <c r="G100" s="1"/>
    </row>
    <row r="101" spans="1:8" x14ac:dyDescent="0.25">
      <c r="A101" s="1615"/>
      <c r="B101" s="98" t="s">
        <v>1573</v>
      </c>
      <c r="C101" s="98"/>
      <c r="D101" s="98">
        <v>1</v>
      </c>
      <c r="E101" s="102">
        <f>FORNITURAS!D7</f>
        <v>52</v>
      </c>
      <c r="F101" s="39">
        <f>E101*D101</f>
        <v>52</v>
      </c>
      <c r="G101" s="1"/>
    </row>
    <row r="102" spans="1:8" x14ac:dyDescent="0.25">
      <c r="A102" s="104" t="s">
        <v>1557</v>
      </c>
      <c r="B102" s="98"/>
      <c r="C102" s="98"/>
      <c r="D102" s="98"/>
      <c r="E102" s="102"/>
      <c r="F102" s="523">
        <f>PACKAGING!E4</f>
        <v>80</v>
      </c>
      <c r="G102" s="1"/>
    </row>
    <row r="103" spans="1:8" x14ac:dyDescent="0.25">
      <c r="A103" s="104" t="s">
        <v>1634</v>
      </c>
      <c r="B103" s="98"/>
      <c r="C103" s="98"/>
      <c r="D103" s="98"/>
      <c r="E103" s="102"/>
      <c r="F103" s="523">
        <f>PACKAGING!E7</f>
        <v>170</v>
      </c>
      <c r="G103" s="1"/>
    </row>
    <row r="104" spans="1:8" x14ac:dyDescent="0.25">
      <c r="A104" s="104" t="s">
        <v>1670</v>
      </c>
      <c r="B104" s="98"/>
      <c r="C104" s="98"/>
      <c r="D104" s="98"/>
      <c r="E104" s="102"/>
      <c r="F104" s="523">
        <f>PACKAGING!E9</f>
        <v>450</v>
      </c>
      <c r="G104" s="1"/>
    </row>
    <row r="105" spans="1:8" x14ac:dyDescent="0.25">
      <c r="A105" s="24" t="s">
        <v>1618</v>
      </c>
      <c r="B105" s="98"/>
      <c r="C105" s="98">
        <v>60</v>
      </c>
      <c r="D105" s="98">
        <v>20</v>
      </c>
      <c r="E105" s="66">
        <f>'INSUMOS VARIOS'!B3</f>
        <v>3500</v>
      </c>
      <c r="F105" s="524">
        <f>E105*D105/C105</f>
        <v>1166.6666666666667</v>
      </c>
      <c r="G105" s="1"/>
    </row>
    <row r="106" spans="1:8" ht="16.5" thickBot="1" x14ac:dyDescent="0.3">
      <c r="A106" s="79" t="s">
        <v>525</v>
      </c>
      <c r="B106" s="99"/>
      <c r="C106" s="99"/>
      <c r="D106" s="99"/>
      <c r="E106" s="70"/>
      <c r="F106" s="51">
        <f>SUM(F93:F105)</f>
        <v>5403.6928502284964</v>
      </c>
      <c r="G106" s="1"/>
    </row>
    <row r="107" spans="1:8" ht="18.75" x14ac:dyDescent="0.25">
      <c r="A107" s="80" t="s">
        <v>544</v>
      </c>
      <c r="B107" s="100"/>
      <c r="C107" s="100"/>
      <c r="D107" s="100"/>
      <c r="E107" s="71"/>
      <c r="F107" s="221">
        <f>F106*2</f>
        <v>10807.385700456993</v>
      </c>
      <c r="G107" s="512">
        <f>F107+F107*25%</f>
        <v>13509.232125571241</v>
      </c>
      <c r="H107" s="75">
        <v>3400</v>
      </c>
    </row>
    <row r="108" spans="1:8" ht="19.5" thickBot="1" x14ac:dyDescent="0.3">
      <c r="A108" s="211" t="s">
        <v>1559</v>
      </c>
      <c r="B108" s="214"/>
      <c r="C108" s="214"/>
      <c r="D108" s="214"/>
      <c r="E108" s="212"/>
      <c r="F108" s="372"/>
      <c r="G108" s="522"/>
      <c r="H108" s="371">
        <f>H107*2</f>
        <v>6800</v>
      </c>
    </row>
    <row r="109" spans="1:8" ht="16.5" thickBot="1" x14ac:dyDescent="0.3"/>
    <row r="110" spans="1:8" ht="16.5" thickBot="1" x14ac:dyDescent="0.3">
      <c r="A110" s="1565" t="s">
        <v>370</v>
      </c>
      <c r="B110" s="1566"/>
      <c r="C110" s="1566"/>
      <c r="D110" s="1566"/>
      <c r="E110" s="1566"/>
      <c r="F110" s="1567"/>
    </row>
    <row r="111" spans="1:8" x14ac:dyDescent="0.25">
      <c r="A111" s="183" t="s">
        <v>916</v>
      </c>
      <c r="B111" s="97" t="s">
        <v>743</v>
      </c>
      <c r="C111" s="97" t="s">
        <v>1607</v>
      </c>
      <c r="D111" s="97" t="s">
        <v>1566</v>
      </c>
      <c r="E111" s="76" t="s">
        <v>1035</v>
      </c>
      <c r="F111" s="77" t="s">
        <v>1549</v>
      </c>
    </row>
    <row r="112" spans="1:8" x14ac:dyDescent="0.25">
      <c r="A112" s="184" t="s">
        <v>1458</v>
      </c>
      <c r="B112" s="98"/>
      <c r="C112" s="98"/>
      <c r="D112" s="98">
        <v>3</v>
      </c>
      <c r="E112" s="102">
        <f>VIDRIOS!E8</f>
        <v>8.9473684210526319</v>
      </c>
      <c r="F112" s="39">
        <f t="shared" ref="F112:F121" si="2">E112*D112</f>
        <v>26.842105263157897</v>
      </c>
      <c r="G112" s="1"/>
    </row>
    <row r="113" spans="1:7" x14ac:dyDescent="0.25">
      <c r="A113" s="184" t="s">
        <v>2081</v>
      </c>
      <c r="B113" s="98"/>
      <c r="C113" s="98"/>
      <c r="D113" s="98">
        <v>9</v>
      </c>
      <c r="E113" s="102">
        <f>VIDRIOS!E21</f>
        <v>65</v>
      </c>
      <c r="F113" s="39">
        <f t="shared" si="2"/>
        <v>585</v>
      </c>
      <c r="G113" s="1"/>
    </row>
    <row r="114" spans="1:7" x14ac:dyDescent="0.25">
      <c r="A114" s="184" t="s">
        <v>910</v>
      </c>
      <c r="B114" s="98"/>
      <c r="C114" s="98"/>
      <c r="D114" s="98">
        <v>3</v>
      </c>
      <c r="E114" s="102">
        <f>VIDRIOS!E13</f>
        <v>18.888888888888889</v>
      </c>
      <c r="F114" s="39">
        <f t="shared" si="2"/>
        <v>56.666666666666671</v>
      </c>
      <c r="G114" s="1"/>
    </row>
    <row r="115" spans="1:7" x14ac:dyDescent="0.25">
      <c r="A115" s="184" t="s">
        <v>1462</v>
      </c>
      <c r="B115" s="98"/>
      <c r="C115" s="98"/>
      <c r="D115" s="98">
        <v>5</v>
      </c>
      <c r="E115" s="102">
        <f>VIDRIOS!E13</f>
        <v>18.888888888888889</v>
      </c>
      <c r="F115" s="39">
        <f t="shared" si="2"/>
        <v>94.444444444444443</v>
      </c>
      <c r="G115" s="1"/>
    </row>
    <row r="116" spans="1:7" x14ac:dyDescent="0.25">
      <c r="A116" s="184" t="s">
        <v>2083</v>
      </c>
      <c r="B116" s="98"/>
      <c r="C116" s="98"/>
      <c r="D116" s="98">
        <v>14</v>
      </c>
      <c r="E116" s="102">
        <f>PIEDRAS!F25</f>
        <v>102.05882352941177</v>
      </c>
      <c r="F116" s="39">
        <f t="shared" si="2"/>
        <v>1428.8235294117649</v>
      </c>
      <c r="G116" s="1"/>
    </row>
    <row r="117" spans="1:7" x14ac:dyDescent="0.25">
      <c r="A117" s="184" t="s">
        <v>1992</v>
      </c>
      <c r="B117" s="98"/>
      <c r="C117" s="98"/>
      <c r="D117" s="98">
        <v>2</v>
      </c>
      <c r="E117" s="102">
        <f>VIDRIOS!E12</f>
        <v>79.444444444444443</v>
      </c>
      <c r="F117" s="39">
        <f t="shared" si="2"/>
        <v>158.88888888888889</v>
      </c>
      <c r="G117" s="1"/>
    </row>
    <row r="118" spans="1:7" x14ac:dyDescent="0.25">
      <c r="A118" s="184" t="s">
        <v>2084</v>
      </c>
      <c r="B118" s="98"/>
      <c r="C118" s="98"/>
      <c r="D118" s="98">
        <v>2</v>
      </c>
      <c r="E118" s="102">
        <f>VIDRIOS!K12</f>
        <v>28.622222222222224</v>
      </c>
      <c r="F118" s="39">
        <f t="shared" si="2"/>
        <v>57.244444444444447</v>
      </c>
      <c r="G118" s="1"/>
    </row>
    <row r="119" spans="1:7" x14ac:dyDescent="0.25">
      <c r="A119" s="184" t="s">
        <v>1755</v>
      </c>
      <c r="B119" s="98"/>
      <c r="C119" s="98"/>
      <c r="D119" s="98">
        <v>5</v>
      </c>
      <c r="E119" s="102">
        <f>VIDRIOS!E5</f>
        <v>56.666666666666664</v>
      </c>
      <c r="F119" s="39">
        <f t="shared" si="2"/>
        <v>283.33333333333331</v>
      </c>
      <c r="G119" s="1"/>
    </row>
    <row r="120" spans="1:7" x14ac:dyDescent="0.25">
      <c r="A120" s="184" t="s">
        <v>1691</v>
      </c>
      <c r="B120" s="98" t="s">
        <v>1316</v>
      </c>
      <c r="C120" s="98"/>
      <c r="D120" s="98">
        <v>7</v>
      </c>
      <c r="E120" s="102">
        <f>PERLAS!F21</f>
        <v>173.68421052631578</v>
      </c>
      <c r="F120" s="39">
        <f t="shared" si="2"/>
        <v>1215.7894736842104</v>
      </c>
      <c r="G120" s="1"/>
    </row>
    <row r="121" spans="1:7" x14ac:dyDescent="0.25">
      <c r="A121" s="184" t="s">
        <v>1554</v>
      </c>
      <c r="B121" s="98" t="s">
        <v>777</v>
      </c>
      <c r="C121" s="98"/>
      <c r="D121" s="98">
        <v>2</v>
      </c>
      <c r="E121" s="102">
        <f>FORNITURAS!D26</f>
        <v>297.14285714285717</v>
      </c>
      <c r="F121" s="39">
        <f t="shared" si="2"/>
        <v>594.28571428571433</v>
      </c>
      <c r="G121" s="1"/>
    </row>
    <row r="122" spans="1:7" x14ac:dyDescent="0.25">
      <c r="A122" s="184" t="s">
        <v>1587</v>
      </c>
      <c r="B122" s="98"/>
      <c r="C122" s="98"/>
      <c r="D122" s="98">
        <v>1</v>
      </c>
      <c r="E122" s="102">
        <f>FORNITURAS!D18</f>
        <v>363</v>
      </c>
      <c r="F122" s="39">
        <f>D122*E122</f>
        <v>363</v>
      </c>
      <c r="G122" s="1"/>
    </row>
    <row r="123" spans="1:7" x14ac:dyDescent="0.25">
      <c r="A123" s="184" t="s">
        <v>1012</v>
      </c>
      <c r="B123" s="98"/>
      <c r="C123" s="98"/>
      <c r="D123" s="98">
        <v>2</v>
      </c>
      <c r="E123" s="102">
        <f>FORNITURAS!D17</f>
        <v>45.05</v>
      </c>
      <c r="F123" s="39">
        <f>D123*E123</f>
        <v>90.1</v>
      </c>
      <c r="G123" s="1"/>
    </row>
    <row r="124" spans="1:7" x14ac:dyDescent="0.25">
      <c r="A124" s="184" t="s">
        <v>908</v>
      </c>
      <c r="B124" s="98"/>
      <c r="C124" s="98"/>
      <c r="D124" s="98">
        <v>0.1</v>
      </c>
      <c r="E124" s="102">
        <f>'AROS, CADENAS, DIJES, ETC'!I38</f>
        <v>3630</v>
      </c>
      <c r="F124" s="39">
        <f>D124*E124</f>
        <v>363</v>
      </c>
      <c r="G124" s="1"/>
    </row>
    <row r="125" spans="1:7" x14ac:dyDescent="0.25">
      <c r="A125" s="1613" t="s">
        <v>1555</v>
      </c>
      <c r="B125" s="98" t="s">
        <v>1556</v>
      </c>
      <c r="C125" s="98"/>
      <c r="D125" s="98">
        <v>1</v>
      </c>
      <c r="E125" s="102">
        <f>FORNITURAS!D4</f>
        <v>48.7</v>
      </c>
      <c r="F125" s="39">
        <f>D125*E125</f>
        <v>48.7</v>
      </c>
      <c r="G125" s="1"/>
    </row>
    <row r="126" spans="1:7" x14ac:dyDescent="0.25">
      <c r="A126" s="1615"/>
      <c r="B126" s="98" t="s">
        <v>1573</v>
      </c>
      <c r="C126" s="98"/>
      <c r="D126" s="98">
        <v>1</v>
      </c>
      <c r="E126" s="102">
        <f>FORNITURAS!D7</f>
        <v>52</v>
      </c>
      <c r="F126" s="39">
        <f>E126*D126</f>
        <v>52</v>
      </c>
      <c r="G126" s="1"/>
    </row>
    <row r="127" spans="1:7" x14ac:dyDescent="0.25">
      <c r="A127" s="104" t="s">
        <v>1557</v>
      </c>
      <c r="B127" s="98"/>
      <c r="C127" s="98"/>
      <c r="D127" s="98"/>
      <c r="E127" s="102"/>
      <c r="F127" s="523">
        <f>PACKAGING!E4</f>
        <v>80</v>
      </c>
      <c r="G127" s="1"/>
    </row>
    <row r="128" spans="1:7" x14ac:dyDescent="0.25">
      <c r="A128" s="104" t="s">
        <v>1634</v>
      </c>
      <c r="B128" s="98"/>
      <c r="C128" s="98"/>
      <c r="D128" s="98"/>
      <c r="E128" s="102"/>
      <c r="F128" s="523">
        <f>PACKAGING!E7</f>
        <v>170</v>
      </c>
      <c r="G128" s="1"/>
    </row>
    <row r="129" spans="1:9" x14ac:dyDescent="0.25">
      <c r="A129" s="104" t="s">
        <v>1670</v>
      </c>
      <c r="B129" s="98"/>
      <c r="C129" s="98"/>
      <c r="D129" s="98"/>
      <c r="E129" s="102"/>
      <c r="F129" s="523">
        <f>PACKAGING!E9</f>
        <v>450</v>
      </c>
      <c r="G129" s="1"/>
    </row>
    <row r="130" spans="1:9" x14ac:dyDescent="0.25">
      <c r="A130" s="24" t="s">
        <v>1618</v>
      </c>
      <c r="B130" s="98"/>
      <c r="C130" s="98">
        <v>60</v>
      </c>
      <c r="D130" s="98">
        <v>20</v>
      </c>
      <c r="E130" s="66">
        <f>'INSUMOS VARIOS'!B3</f>
        <v>3500</v>
      </c>
      <c r="F130" s="524">
        <f>E130*D130/C130</f>
        <v>1166.6666666666667</v>
      </c>
      <c r="G130" s="1"/>
    </row>
    <row r="131" spans="1:9" ht="16.5" thickBot="1" x14ac:dyDescent="0.3">
      <c r="A131" s="79" t="s">
        <v>525</v>
      </c>
      <c r="B131" s="99"/>
      <c r="C131" s="99"/>
      <c r="D131" s="99"/>
      <c r="E131" s="70"/>
      <c r="F131" s="51">
        <f>SUM(F112:F130)</f>
        <v>7284.7852670892926</v>
      </c>
      <c r="G131" s="1"/>
    </row>
    <row r="132" spans="1:9" ht="18.75" x14ac:dyDescent="0.25">
      <c r="A132" s="80" t="s">
        <v>544</v>
      </c>
      <c r="B132" s="100"/>
      <c r="C132" s="100"/>
      <c r="D132" s="100"/>
      <c r="E132" s="71"/>
      <c r="F132" s="221">
        <f>F131*2</f>
        <v>14569.570534178585</v>
      </c>
      <c r="G132" s="512">
        <f>F132+F132*25%</f>
        <v>18211.963167723232</v>
      </c>
      <c r="H132" s="75">
        <v>6300</v>
      </c>
    </row>
    <row r="133" spans="1:9" ht="19.5" thickBot="1" x14ac:dyDescent="0.3">
      <c r="A133" s="211" t="s">
        <v>1559</v>
      </c>
      <c r="B133" s="214"/>
      <c r="C133" s="214"/>
      <c r="D133" s="214"/>
      <c r="E133" s="212"/>
      <c r="F133" s="372"/>
      <c r="G133" s="522"/>
      <c r="H133" s="371">
        <f>H132*2</f>
        <v>12600</v>
      </c>
    </row>
    <row r="134" spans="1:9" ht="16.5" thickBot="1" x14ac:dyDescent="0.3">
      <c r="A134" s="525"/>
      <c r="B134" s="525"/>
      <c r="C134" s="525"/>
      <c r="D134" s="525"/>
      <c r="E134" s="525"/>
      <c r="F134" s="525"/>
      <c r="G134" s="525"/>
      <c r="H134" s="525"/>
    </row>
    <row r="135" spans="1:9" ht="16.5" thickBot="1" x14ac:dyDescent="0.3">
      <c r="A135" s="1565" t="s">
        <v>347</v>
      </c>
      <c r="B135" s="1566"/>
      <c r="C135" s="1566"/>
      <c r="D135" s="1566"/>
      <c r="E135" s="1566"/>
      <c r="F135" s="1566"/>
      <c r="G135" s="1567"/>
      <c r="I135" s="1"/>
    </row>
    <row r="136" spans="1:9" x14ac:dyDescent="0.25">
      <c r="A136" s="78" t="s">
        <v>916</v>
      </c>
      <c r="B136" s="385" t="s">
        <v>743</v>
      </c>
      <c r="C136" s="385" t="s">
        <v>1716</v>
      </c>
      <c r="D136" s="385" t="s">
        <v>1607</v>
      </c>
      <c r="E136" s="385" t="s">
        <v>1566</v>
      </c>
      <c r="F136" s="82" t="s">
        <v>1035</v>
      </c>
      <c r="G136" s="83" t="s">
        <v>1549</v>
      </c>
      <c r="I136" s="1"/>
    </row>
    <row r="137" spans="1:9" x14ac:dyDescent="0.25">
      <c r="A137" s="1613" t="s">
        <v>2085</v>
      </c>
      <c r="B137" s="98"/>
      <c r="C137" s="98">
        <v>0.39</v>
      </c>
      <c r="D137" s="98">
        <v>0.18</v>
      </c>
      <c r="E137" s="98">
        <v>1</v>
      </c>
      <c r="F137" s="102">
        <f>'PALAIS DU BIJOU'!N6</f>
        <v>210</v>
      </c>
      <c r="G137" s="39">
        <f>(F137*D137/C137)*E137</f>
        <v>96.923076923076906</v>
      </c>
      <c r="I137" s="1"/>
    </row>
    <row r="138" spans="1:9" x14ac:dyDescent="0.25">
      <c r="A138" s="1614"/>
      <c r="B138" s="98"/>
      <c r="C138" s="98">
        <v>0.39</v>
      </c>
      <c r="D138" s="98">
        <v>0.08</v>
      </c>
      <c r="E138" s="98">
        <v>1</v>
      </c>
      <c r="F138" s="102">
        <f>F137</f>
        <v>210</v>
      </c>
      <c r="G138" s="39">
        <f>(F138*D138/C138)*E138</f>
        <v>43.07692307692308</v>
      </c>
      <c r="H138" s="1"/>
      <c r="I138" s="1"/>
    </row>
    <row r="139" spans="1:9" x14ac:dyDescent="0.25">
      <c r="A139" s="1614"/>
      <c r="B139" s="98"/>
      <c r="C139" s="98">
        <v>0.39</v>
      </c>
      <c r="D139" s="98">
        <v>0.1</v>
      </c>
      <c r="E139" s="98">
        <v>1</v>
      </c>
      <c r="F139" s="102">
        <f>F138</f>
        <v>210</v>
      </c>
      <c r="G139" s="39">
        <f>(F139*D139/C139)*E139</f>
        <v>53.846153846153847</v>
      </c>
      <c r="H139" s="1"/>
      <c r="I139" s="1"/>
    </row>
    <row r="140" spans="1:9" x14ac:dyDescent="0.25">
      <c r="A140" s="184" t="s">
        <v>2086</v>
      </c>
      <c r="B140" s="98"/>
      <c r="C140" s="98"/>
      <c r="D140" s="98"/>
      <c r="E140" s="98">
        <v>1</v>
      </c>
      <c r="F140" s="102">
        <f>'INSUMOS VARIOS'!E62</f>
        <v>51.428571428571431</v>
      </c>
      <c r="G140" s="39">
        <f t="shared" ref="G140:G151" si="3">F140*E140</f>
        <v>51.428571428571431</v>
      </c>
      <c r="H140" s="1"/>
      <c r="I140" s="1"/>
    </row>
    <row r="141" spans="1:9" x14ac:dyDescent="0.25">
      <c r="A141" s="1613" t="s">
        <v>1555</v>
      </c>
      <c r="B141" s="98" t="s">
        <v>1556</v>
      </c>
      <c r="C141" s="98"/>
      <c r="D141" s="98"/>
      <c r="E141" s="98">
        <v>2</v>
      </c>
      <c r="F141" s="102">
        <f>FORNITURAS!D4</f>
        <v>48.7</v>
      </c>
      <c r="G141" s="39">
        <f t="shared" si="3"/>
        <v>97.4</v>
      </c>
      <c r="H141" s="1"/>
      <c r="I141" s="1"/>
    </row>
    <row r="142" spans="1:9" x14ac:dyDescent="0.25">
      <c r="A142" s="1614"/>
      <c r="B142" s="98" t="s">
        <v>1933</v>
      </c>
      <c r="C142" s="98"/>
      <c r="D142" s="98"/>
      <c r="E142" s="98">
        <v>1</v>
      </c>
      <c r="F142" s="102">
        <f>FORNITURAS!D5</f>
        <v>46.8</v>
      </c>
      <c r="G142" s="39">
        <f t="shared" si="3"/>
        <v>46.8</v>
      </c>
      <c r="H142" s="1"/>
      <c r="I142" s="1"/>
    </row>
    <row r="143" spans="1:9" x14ac:dyDescent="0.25">
      <c r="A143" s="1614"/>
      <c r="B143" s="98" t="s">
        <v>1573</v>
      </c>
      <c r="C143" s="98"/>
      <c r="D143" s="98"/>
      <c r="E143" s="98">
        <v>1</v>
      </c>
      <c r="F143" s="102">
        <f>FORNITURAS!D7</f>
        <v>52</v>
      </c>
      <c r="G143" s="39">
        <f t="shared" si="3"/>
        <v>52</v>
      </c>
      <c r="H143" s="1"/>
      <c r="I143" s="1"/>
    </row>
    <row r="144" spans="1:9" x14ac:dyDescent="0.25">
      <c r="A144" s="1615"/>
      <c r="B144" s="98" t="s">
        <v>1054</v>
      </c>
      <c r="C144" s="98"/>
      <c r="D144" s="98"/>
      <c r="E144" s="98">
        <v>1</v>
      </c>
      <c r="F144" s="102">
        <f>FORNITURAS!D10</f>
        <v>32.628571428571426</v>
      </c>
      <c r="G144" s="39">
        <f t="shared" si="3"/>
        <v>32.628571428571426</v>
      </c>
      <c r="H144" s="1"/>
      <c r="I144" s="1"/>
    </row>
    <row r="145" spans="1:9" x14ac:dyDescent="0.25">
      <c r="A145" s="104" t="s">
        <v>1050</v>
      </c>
      <c r="B145" s="98" t="s">
        <v>1059</v>
      </c>
      <c r="C145" s="98"/>
      <c r="D145" s="98"/>
      <c r="E145" s="98">
        <v>0.04</v>
      </c>
      <c r="F145" s="102">
        <f>FORNITURAS!W5</f>
        <v>906.42857142857144</v>
      </c>
      <c r="G145" s="39">
        <f t="shared" si="3"/>
        <v>36.25714285714286</v>
      </c>
      <c r="H145" s="1"/>
      <c r="I145" s="1"/>
    </row>
    <row r="146" spans="1:9" x14ac:dyDescent="0.25">
      <c r="A146" s="104" t="s">
        <v>1743</v>
      </c>
      <c r="B146" s="98"/>
      <c r="C146" s="98"/>
      <c r="D146" s="98"/>
      <c r="E146" s="98">
        <v>1</v>
      </c>
      <c r="F146" s="102">
        <f>FORNITURAS!D14</f>
        <v>98.8</v>
      </c>
      <c r="G146" s="39">
        <f t="shared" si="3"/>
        <v>98.8</v>
      </c>
      <c r="H146" s="1"/>
      <c r="I146" s="1"/>
    </row>
    <row r="147" spans="1:9" x14ac:dyDescent="0.25">
      <c r="A147" s="104" t="s">
        <v>1742</v>
      </c>
      <c r="B147" s="98" t="s">
        <v>1717</v>
      </c>
      <c r="C147" s="98"/>
      <c r="D147" s="98"/>
      <c r="E147" s="98">
        <v>1</v>
      </c>
      <c r="F147" s="102">
        <f>PERLAS!F30</f>
        <v>110</v>
      </c>
      <c r="G147" s="39">
        <f t="shared" si="3"/>
        <v>110</v>
      </c>
      <c r="H147" s="1"/>
      <c r="I147" s="1"/>
    </row>
    <row r="148" spans="1:9" x14ac:dyDescent="0.25">
      <c r="A148" s="104" t="s">
        <v>1958</v>
      </c>
      <c r="B148" s="98"/>
      <c r="C148" s="98"/>
      <c r="D148" s="98"/>
      <c r="E148" s="98">
        <v>1</v>
      </c>
      <c r="F148" s="102">
        <f>'INSUMOS VARIOS'!B7</f>
        <v>5</v>
      </c>
      <c r="G148" s="39">
        <f t="shared" si="3"/>
        <v>5</v>
      </c>
      <c r="H148" s="1"/>
      <c r="I148" s="1"/>
    </row>
    <row r="149" spans="1:9" x14ac:dyDescent="0.25">
      <c r="A149" s="3" t="s">
        <v>1587</v>
      </c>
      <c r="B149" s="98"/>
      <c r="C149" s="98"/>
      <c r="D149" s="98"/>
      <c r="E149" s="98">
        <v>1</v>
      </c>
      <c r="F149" s="102">
        <f>FORNITURAS!D18</f>
        <v>363</v>
      </c>
      <c r="G149" s="39">
        <f t="shared" si="3"/>
        <v>363</v>
      </c>
      <c r="H149" s="1"/>
      <c r="I149" s="1"/>
    </row>
    <row r="150" spans="1:9" x14ac:dyDescent="0.25">
      <c r="A150" s="331" t="s">
        <v>1554</v>
      </c>
      <c r="B150" s="98" t="s">
        <v>777</v>
      </c>
      <c r="C150" s="98"/>
      <c r="D150" s="98"/>
      <c r="E150" s="98">
        <v>4</v>
      </c>
      <c r="F150" s="102">
        <f>FORNITURAS!D26</f>
        <v>297.14285714285717</v>
      </c>
      <c r="G150" s="39">
        <f t="shared" si="3"/>
        <v>1188.5714285714287</v>
      </c>
      <c r="H150" s="1"/>
      <c r="I150" s="1"/>
    </row>
    <row r="151" spans="1:9" x14ac:dyDescent="0.25">
      <c r="A151" s="184" t="s">
        <v>1012</v>
      </c>
      <c r="B151" s="98"/>
      <c r="C151" s="98"/>
      <c r="D151" s="98"/>
      <c r="E151" s="98">
        <v>2</v>
      </c>
      <c r="F151" s="102">
        <f>FORNITURAS!D17</f>
        <v>45.05</v>
      </c>
      <c r="G151" s="39">
        <f t="shared" si="3"/>
        <v>90.1</v>
      </c>
      <c r="H151" s="1"/>
      <c r="I151" s="1"/>
    </row>
    <row r="152" spans="1:9" x14ac:dyDescent="0.25">
      <c r="A152" s="184" t="s">
        <v>1424</v>
      </c>
      <c r="B152" s="98"/>
      <c r="C152" s="98">
        <v>1</v>
      </c>
      <c r="D152" s="98">
        <v>0.46</v>
      </c>
      <c r="E152" s="98">
        <v>1</v>
      </c>
      <c r="F152" s="102">
        <f>'HILOS-CORDONES-TANZA-CUERO'!L9</f>
        <v>30</v>
      </c>
      <c r="G152" s="39">
        <f>(F152*D152/C152)*E152</f>
        <v>13.8</v>
      </c>
      <c r="H152" s="1"/>
      <c r="I152" s="1"/>
    </row>
    <row r="153" spans="1:9" x14ac:dyDescent="0.25">
      <c r="A153" s="184" t="s">
        <v>1608</v>
      </c>
      <c r="B153" s="98"/>
      <c r="C153" s="98"/>
      <c r="D153" s="98">
        <v>0.1</v>
      </c>
      <c r="E153" s="98">
        <v>1</v>
      </c>
      <c r="F153" s="102">
        <f>'AROS, CADENAS, DIJES, ETC'!I38</f>
        <v>3630</v>
      </c>
      <c r="G153" s="39">
        <f>F153*D153*E153</f>
        <v>363</v>
      </c>
      <c r="H153" s="1"/>
      <c r="I153" s="1"/>
    </row>
    <row r="154" spans="1:9" x14ac:dyDescent="0.25">
      <c r="A154" s="3" t="s">
        <v>1588</v>
      </c>
      <c r="B154" s="98"/>
      <c r="C154" s="98"/>
      <c r="D154" s="98"/>
      <c r="E154" s="98"/>
      <c r="F154" s="2"/>
      <c r="G154" s="39">
        <f>PACKAGING!E4</f>
        <v>80</v>
      </c>
      <c r="H154" s="1"/>
      <c r="I154" s="1"/>
    </row>
    <row r="155" spans="1:9" x14ac:dyDescent="0.25">
      <c r="A155" s="104" t="s">
        <v>1634</v>
      </c>
      <c r="B155" s="98"/>
      <c r="C155" s="98"/>
      <c r="D155" s="98"/>
      <c r="E155" s="98"/>
      <c r="F155" s="2"/>
      <c r="G155" s="39">
        <f>PACKAGING!E7</f>
        <v>170</v>
      </c>
      <c r="H155" s="1"/>
      <c r="I155" s="1"/>
    </row>
    <row r="156" spans="1:9" x14ac:dyDescent="0.25">
      <c r="A156" s="104" t="s">
        <v>1538</v>
      </c>
      <c r="B156" s="98"/>
      <c r="C156" s="98"/>
      <c r="D156" s="98"/>
      <c r="E156" s="98"/>
      <c r="F156" s="2"/>
      <c r="G156" s="39">
        <f>PACKAGING!E9</f>
        <v>450</v>
      </c>
      <c r="H156" s="1"/>
      <c r="I156" s="1"/>
    </row>
    <row r="157" spans="1:9" x14ac:dyDescent="0.25">
      <c r="A157" s="104" t="s">
        <v>1746</v>
      </c>
      <c r="B157" s="98"/>
      <c r="C157" s="98"/>
      <c r="D157" s="98"/>
      <c r="E157" s="98"/>
      <c r="F157" s="2"/>
      <c r="G157" s="39">
        <v>3</v>
      </c>
      <c r="H157" s="1"/>
      <c r="I157" s="1"/>
    </row>
    <row r="158" spans="1:9" x14ac:dyDescent="0.25">
      <c r="A158" s="1613" t="s">
        <v>1558</v>
      </c>
      <c r="B158" s="98" t="s">
        <v>1590</v>
      </c>
      <c r="C158" s="98">
        <v>60</v>
      </c>
      <c r="D158" s="98"/>
      <c r="E158" s="98">
        <v>15</v>
      </c>
      <c r="F158" s="102">
        <f>'INSUMOS VARIOS'!B3</f>
        <v>3500</v>
      </c>
      <c r="G158" s="39">
        <f>F158*E158/C158</f>
        <v>875</v>
      </c>
      <c r="H158" s="1"/>
      <c r="I158" s="1"/>
    </row>
    <row r="159" spans="1:9" x14ac:dyDescent="0.25">
      <c r="A159" s="1615"/>
      <c r="B159" s="98" t="s">
        <v>908</v>
      </c>
      <c r="C159" s="98">
        <v>60</v>
      </c>
      <c r="D159" s="98"/>
      <c r="E159" s="98">
        <v>5</v>
      </c>
      <c r="F159" s="102">
        <f>F158</f>
        <v>3500</v>
      </c>
      <c r="G159" s="39">
        <f>F159*E159/C159</f>
        <v>291.66666666666669</v>
      </c>
      <c r="H159" s="1"/>
      <c r="I159" s="1"/>
    </row>
    <row r="160" spans="1:9" ht="16.5" thickBot="1" x14ac:dyDescent="0.3">
      <c r="A160" s="292" t="s">
        <v>525</v>
      </c>
      <c r="B160" s="379"/>
      <c r="C160" s="379"/>
      <c r="D160" s="379"/>
      <c r="E160" s="379"/>
      <c r="F160" s="293"/>
      <c r="G160" s="294">
        <f>SUM(G137:G159)</f>
        <v>4612.298534798535</v>
      </c>
      <c r="H160" s="1"/>
      <c r="I160" s="1"/>
    </row>
    <row r="161" spans="1:9" ht="18.75" x14ac:dyDescent="0.25">
      <c r="A161" s="381" t="s">
        <v>544</v>
      </c>
      <c r="B161" s="382"/>
      <c r="C161" s="382"/>
      <c r="D161" s="382"/>
      <c r="E161" s="382"/>
      <c r="F161" s="383"/>
      <c r="G161" s="384">
        <f>G160*2</f>
        <v>9224.59706959707</v>
      </c>
      <c r="H161" s="75">
        <f>G161+G161*25%</f>
        <v>11530.746336996337</v>
      </c>
      <c r="I161" s="75">
        <v>2350</v>
      </c>
    </row>
    <row r="162" spans="1:9" ht="19.5" thickBot="1" x14ac:dyDescent="0.3">
      <c r="A162" s="81" t="s">
        <v>1559</v>
      </c>
      <c r="B162" s="101"/>
      <c r="C162" s="101"/>
      <c r="D162" s="101"/>
      <c r="E162" s="101"/>
      <c r="F162" s="73"/>
      <c r="G162" s="73"/>
      <c r="H162" s="74"/>
      <c r="I162" s="74">
        <f>I161*2</f>
        <v>4700</v>
      </c>
    </row>
    <row r="163" spans="1:9" ht="16.5" thickBot="1" x14ac:dyDescent="0.3">
      <c r="A163" s="1"/>
      <c r="B163" s="1"/>
      <c r="C163" s="1"/>
      <c r="D163" s="1"/>
      <c r="E163" s="1"/>
      <c r="F163" s="1"/>
      <c r="G163" s="1"/>
      <c r="H163" s="1"/>
      <c r="I163" s="1"/>
    </row>
    <row r="164" spans="1:9" ht="16.5" thickBot="1" x14ac:dyDescent="0.3">
      <c r="A164" s="1565" t="s">
        <v>380</v>
      </c>
      <c r="B164" s="1566"/>
      <c r="C164" s="1566"/>
      <c r="D164" s="1566"/>
      <c r="E164" s="1566"/>
      <c r="F164" s="1566"/>
      <c r="G164" s="1567"/>
      <c r="I164" s="1"/>
    </row>
    <row r="165" spans="1:9" x14ac:dyDescent="0.25">
      <c r="A165" s="78" t="s">
        <v>916</v>
      </c>
      <c r="B165" s="385" t="s">
        <v>743</v>
      </c>
      <c r="C165" s="385" t="s">
        <v>1716</v>
      </c>
      <c r="D165" s="385" t="s">
        <v>1607</v>
      </c>
      <c r="E165" s="385" t="s">
        <v>1566</v>
      </c>
      <c r="F165" s="82" t="s">
        <v>1035</v>
      </c>
      <c r="G165" s="83" t="s">
        <v>1549</v>
      </c>
      <c r="I165" s="1"/>
    </row>
    <row r="166" spans="1:9" x14ac:dyDescent="0.25">
      <c r="A166" s="184" t="s">
        <v>2087</v>
      </c>
      <c r="B166" s="98"/>
      <c r="C166" s="98">
        <v>0.39</v>
      </c>
      <c r="D166" s="98">
        <v>0.17</v>
      </c>
      <c r="E166" s="98">
        <v>2</v>
      </c>
      <c r="F166" s="102">
        <f>'PALAIS DU BIJOU'!N6</f>
        <v>210</v>
      </c>
      <c r="G166" s="39">
        <f>(F166*D166/C166)*E166</f>
        <v>183.07692307692309</v>
      </c>
      <c r="I166" s="1"/>
    </row>
    <row r="167" spans="1:9" x14ac:dyDescent="0.25">
      <c r="A167" s="1613" t="s">
        <v>1555</v>
      </c>
      <c r="B167" s="98" t="s">
        <v>1556</v>
      </c>
      <c r="C167" s="98"/>
      <c r="D167" s="98"/>
      <c r="E167" s="98">
        <v>2</v>
      </c>
      <c r="F167" s="102">
        <f>FORNITURAS!D4</f>
        <v>48.7</v>
      </c>
      <c r="G167" s="39">
        <f t="shared" ref="G167:G172" si="4">F167*E167</f>
        <v>97.4</v>
      </c>
      <c r="H167" s="1"/>
      <c r="I167" s="1"/>
    </row>
    <row r="168" spans="1:9" x14ac:dyDescent="0.25">
      <c r="A168" s="1615"/>
      <c r="B168" s="98" t="s">
        <v>1573</v>
      </c>
      <c r="C168" s="98"/>
      <c r="D168" s="98"/>
      <c r="E168" s="98">
        <v>1</v>
      </c>
      <c r="F168" s="102">
        <f>FORNITURAS!D7</f>
        <v>52</v>
      </c>
      <c r="G168" s="39">
        <f t="shared" si="4"/>
        <v>52</v>
      </c>
      <c r="H168" s="1"/>
      <c r="I168" s="1"/>
    </row>
    <row r="169" spans="1:9" x14ac:dyDescent="0.25">
      <c r="A169" s="104" t="s">
        <v>1742</v>
      </c>
      <c r="B169" s="98"/>
      <c r="C169" s="98"/>
      <c r="D169" s="98"/>
      <c r="E169" s="98">
        <v>1</v>
      </c>
      <c r="F169" s="102">
        <f>PERLAS!O7</f>
        <v>1745.8823529411766</v>
      </c>
      <c r="G169" s="39">
        <f t="shared" si="4"/>
        <v>1745.8823529411766</v>
      </c>
      <c r="H169" s="1"/>
      <c r="I169" s="1"/>
    </row>
    <row r="170" spans="1:9" x14ac:dyDescent="0.25">
      <c r="A170" s="3" t="s">
        <v>1587</v>
      </c>
      <c r="B170" s="98"/>
      <c r="C170" s="98"/>
      <c r="D170" s="98"/>
      <c r="E170" s="98">
        <v>1</v>
      </c>
      <c r="F170" s="102">
        <f>FORNITURAS!D18</f>
        <v>363</v>
      </c>
      <c r="G170" s="39">
        <f t="shared" si="4"/>
        <v>363</v>
      </c>
      <c r="H170" s="1"/>
      <c r="I170" s="1"/>
    </row>
    <row r="171" spans="1:9" x14ac:dyDescent="0.25">
      <c r="A171" s="331" t="s">
        <v>1554</v>
      </c>
      <c r="B171" s="98" t="s">
        <v>777</v>
      </c>
      <c r="C171" s="98"/>
      <c r="D171" s="98"/>
      <c r="E171" s="98">
        <v>4</v>
      </c>
      <c r="F171" s="102">
        <f>FORNITURAS!D26</f>
        <v>297.14285714285717</v>
      </c>
      <c r="G171" s="39">
        <f t="shared" si="4"/>
        <v>1188.5714285714287</v>
      </c>
      <c r="H171" s="1"/>
      <c r="I171" s="1"/>
    </row>
    <row r="172" spans="1:9" x14ac:dyDescent="0.25">
      <c r="A172" s="184" t="s">
        <v>1012</v>
      </c>
      <c r="B172" s="98"/>
      <c r="C172" s="98"/>
      <c r="D172" s="98"/>
      <c r="E172" s="98">
        <v>2</v>
      </c>
      <c r="F172" s="102">
        <f>FORNITURAS!D17</f>
        <v>45.05</v>
      </c>
      <c r="G172" s="39">
        <f t="shared" si="4"/>
        <v>90.1</v>
      </c>
      <c r="H172" s="1"/>
      <c r="I172" s="1"/>
    </row>
    <row r="173" spans="1:9" x14ac:dyDescent="0.25">
      <c r="A173" s="184" t="s">
        <v>1424</v>
      </c>
      <c r="B173" s="98"/>
      <c r="C173" s="98">
        <v>1</v>
      </c>
      <c r="D173" s="98">
        <v>0.46</v>
      </c>
      <c r="E173" s="98">
        <v>1</v>
      </c>
      <c r="F173" s="102">
        <f>'HILOS-CORDONES-TANZA-CUERO'!L9</f>
        <v>30</v>
      </c>
      <c r="G173" s="39">
        <f>(F173*D173/C173)*E173</f>
        <v>13.8</v>
      </c>
      <c r="H173" s="1"/>
      <c r="I173" s="1"/>
    </row>
    <row r="174" spans="1:9" x14ac:dyDescent="0.25">
      <c r="A174" s="184" t="s">
        <v>1608</v>
      </c>
      <c r="B174" s="98"/>
      <c r="C174" s="98"/>
      <c r="D174" s="98">
        <v>0.1</v>
      </c>
      <c r="E174" s="98">
        <v>1</v>
      </c>
      <c r="F174" s="102">
        <f>'AROS, CADENAS, DIJES, ETC'!I38</f>
        <v>3630</v>
      </c>
      <c r="G174" s="39">
        <f>F174*D174*E174</f>
        <v>363</v>
      </c>
      <c r="H174" s="1"/>
      <c r="I174" s="1"/>
    </row>
    <row r="175" spans="1:9" x14ac:dyDescent="0.25">
      <c r="A175" s="3" t="s">
        <v>1588</v>
      </c>
      <c r="B175" s="98"/>
      <c r="C175" s="98"/>
      <c r="D175" s="98"/>
      <c r="E175" s="98"/>
      <c r="F175" s="2"/>
      <c r="G175" s="39">
        <f>PACKAGING!E4</f>
        <v>80</v>
      </c>
      <c r="H175" s="1"/>
      <c r="I175" s="1"/>
    </row>
    <row r="176" spans="1:9" x14ac:dyDescent="0.25">
      <c r="A176" s="104" t="s">
        <v>1634</v>
      </c>
      <c r="B176" s="98"/>
      <c r="C176" s="98"/>
      <c r="D176" s="98"/>
      <c r="E176" s="98"/>
      <c r="F176" s="2"/>
      <c r="G176" s="39">
        <f>PACKAGING!E7</f>
        <v>170</v>
      </c>
      <c r="H176" s="1"/>
      <c r="I176" s="1"/>
    </row>
    <row r="177" spans="1:9" x14ac:dyDescent="0.25">
      <c r="A177" s="104" t="s">
        <v>1538</v>
      </c>
      <c r="B177" s="98"/>
      <c r="C177" s="98"/>
      <c r="D177" s="98"/>
      <c r="E177" s="98"/>
      <c r="F177" s="2"/>
      <c r="G177" s="39">
        <f>PACKAGING!E9</f>
        <v>450</v>
      </c>
      <c r="H177" s="1"/>
      <c r="I177" s="1"/>
    </row>
    <row r="178" spans="1:9" x14ac:dyDescent="0.25">
      <c r="A178" s="1613" t="s">
        <v>1558</v>
      </c>
      <c r="B178" s="98" t="s">
        <v>1590</v>
      </c>
      <c r="C178" s="98">
        <v>60</v>
      </c>
      <c r="D178" s="98"/>
      <c r="E178" s="98">
        <v>10</v>
      </c>
      <c r="F178" s="102">
        <f>'INSUMOS VARIOS'!B3</f>
        <v>3500</v>
      </c>
      <c r="G178" s="39">
        <f>F178*E178/C178</f>
        <v>583.33333333333337</v>
      </c>
      <c r="H178" s="1"/>
      <c r="I178" s="1"/>
    </row>
    <row r="179" spans="1:9" x14ac:dyDescent="0.25">
      <c r="A179" s="1615"/>
      <c r="B179" s="98" t="s">
        <v>908</v>
      </c>
      <c r="C179" s="98">
        <v>60</v>
      </c>
      <c r="D179" s="98"/>
      <c r="E179" s="98">
        <v>5</v>
      </c>
      <c r="F179" s="102">
        <f>F178</f>
        <v>3500</v>
      </c>
      <c r="G179" s="39">
        <f>F179*E179/C179</f>
        <v>291.66666666666669</v>
      </c>
      <c r="H179" s="1"/>
      <c r="I179" s="1"/>
    </row>
    <row r="180" spans="1:9" ht="16.5" thickBot="1" x14ac:dyDescent="0.3">
      <c r="A180" s="292" t="s">
        <v>525</v>
      </c>
      <c r="B180" s="379"/>
      <c r="C180" s="379"/>
      <c r="D180" s="379"/>
      <c r="E180" s="379"/>
      <c r="F180" s="293"/>
      <c r="G180" s="294">
        <f>SUM(G166:G179)</f>
        <v>5671.830704589529</v>
      </c>
      <c r="H180" s="1"/>
      <c r="I180" s="1"/>
    </row>
    <row r="181" spans="1:9" ht="18.75" x14ac:dyDescent="0.25">
      <c r="A181" s="381" t="s">
        <v>544</v>
      </c>
      <c r="B181" s="382"/>
      <c r="C181" s="382"/>
      <c r="D181" s="382"/>
      <c r="E181" s="382"/>
      <c r="F181" s="383"/>
      <c r="G181" s="384">
        <f>G180*2</f>
        <v>11343.661409179058</v>
      </c>
      <c r="H181" s="75">
        <f>G181+G181*25%</f>
        <v>14179.576761473822</v>
      </c>
      <c r="I181" s="75">
        <v>2350</v>
      </c>
    </row>
    <row r="182" spans="1:9" ht="19.5" thickBot="1" x14ac:dyDescent="0.3">
      <c r="A182" s="81" t="s">
        <v>1559</v>
      </c>
      <c r="B182" s="101"/>
      <c r="C182" s="101"/>
      <c r="D182" s="101"/>
      <c r="E182" s="101"/>
      <c r="F182" s="73"/>
      <c r="G182" s="73"/>
      <c r="H182" s="74"/>
      <c r="I182" s="74">
        <f>I181*2</f>
        <v>4700</v>
      </c>
    </row>
    <row r="183" spans="1:9" ht="16.5" thickBot="1" x14ac:dyDescent="0.3">
      <c r="A183" s="1"/>
      <c r="B183" s="1"/>
      <c r="C183" s="1"/>
      <c r="D183" s="1"/>
      <c r="E183" s="1"/>
      <c r="F183" s="1"/>
      <c r="G183" s="1"/>
      <c r="H183" s="1"/>
      <c r="I183" s="1"/>
    </row>
    <row r="184" spans="1:9" ht="16.5" thickBot="1" x14ac:dyDescent="0.3">
      <c r="A184" s="1565" t="s">
        <v>381</v>
      </c>
      <c r="B184" s="1566"/>
      <c r="C184" s="1566"/>
      <c r="D184" s="1566"/>
      <c r="E184" s="1566"/>
      <c r="F184" s="1566"/>
      <c r="G184" s="1567"/>
      <c r="H184" s="1"/>
      <c r="I184" s="171"/>
    </row>
    <row r="185" spans="1:9" x14ac:dyDescent="0.25">
      <c r="A185" s="183" t="s">
        <v>916</v>
      </c>
      <c r="B185" s="97" t="s">
        <v>743</v>
      </c>
      <c r="C185" s="97" t="s">
        <v>1716</v>
      </c>
      <c r="D185" s="97" t="s">
        <v>1607</v>
      </c>
      <c r="E185" s="97" t="s">
        <v>1566</v>
      </c>
      <c r="F185" s="76" t="s">
        <v>1035</v>
      </c>
      <c r="G185" s="77" t="s">
        <v>1549</v>
      </c>
      <c r="H185" s="1"/>
      <c r="I185" s="171"/>
    </row>
    <row r="186" spans="1:9" x14ac:dyDescent="0.25">
      <c r="A186" s="1613" t="s">
        <v>2088</v>
      </c>
      <c r="B186" s="98"/>
      <c r="C186" s="98">
        <v>0.39</v>
      </c>
      <c r="D186" s="98">
        <v>0.09</v>
      </c>
      <c r="E186" s="98">
        <v>2</v>
      </c>
      <c r="F186" s="102">
        <f>'PALAIS DU BIJOU'!N6</f>
        <v>210</v>
      </c>
      <c r="G186" s="39">
        <f>(F186*D186/C186)*E186</f>
        <v>96.923076923076906</v>
      </c>
      <c r="H186" s="1"/>
      <c r="I186" s="171"/>
    </row>
    <row r="187" spans="1:9" x14ac:dyDescent="0.25">
      <c r="A187" s="1614"/>
      <c r="B187" s="98"/>
      <c r="C187" s="98">
        <v>0.39</v>
      </c>
      <c r="D187" s="98">
        <v>0.02</v>
      </c>
      <c r="E187" s="98">
        <v>2</v>
      </c>
      <c r="F187" s="102">
        <f>F186</f>
        <v>210</v>
      </c>
      <c r="G187" s="39">
        <f>(F187*D187/C187)*E187</f>
        <v>21.53846153846154</v>
      </c>
      <c r="H187" s="1"/>
      <c r="I187" s="171"/>
    </row>
    <row r="188" spans="1:9" x14ac:dyDescent="0.25">
      <c r="A188" s="1615"/>
      <c r="B188" s="98"/>
      <c r="C188" s="98">
        <v>0.39</v>
      </c>
      <c r="D188" s="98">
        <v>0.05</v>
      </c>
      <c r="E188" s="98">
        <v>2</v>
      </c>
      <c r="F188" s="102">
        <f>F187</f>
        <v>210</v>
      </c>
      <c r="G188" s="39">
        <f>(F188*D188/C188)*E188</f>
        <v>53.846153846153847</v>
      </c>
      <c r="H188" s="1"/>
      <c r="I188" s="171"/>
    </row>
    <row r="189" spans="1:9" x14ac:dyDescent="0.25">
      <c r="A189" s="184" t="s">
        <v>2089</v>
      </c>
      <c r="B189" s="98" t="s">
        <v>2090</v>
      </c>
      <c r="C189" s="98"/>
      <c r="D189" s="98"/>
      <c r="E189" s="98">
        <v>1</v>
      </c>
      <c r="F189" s="102">
        <f>'INSUMOS VARIOS'!E43</f>
        <v>300</v>
      </c>
      <c r="G189" s="39">
        <f t="shared" ref="G189:G194" si="5">F189*E189</f>
        <v>300</v>
      </c>
      <c r="H189" s="1"/>
      <c r="I189" s="171"/>
    </row>
    <row r="190" spans="1:9" x14ac:dyDescent="0.25">
      <c r="A190" s="1701" t="s">
        <v>1555</v>
      </c>
      <c r="B190" s="98" t="s">
        <v>1556</v>
      </c>
      <c r="C190" s="98"/>
      <c r="D190" s="98"/>
      <c r="E190" s="98">
        <v>2</v>
      </c>
      <c r="F190" s="102">
        <f>FORNITURAS!D4</f>
        <v>48.7</v>
      </c>
      <c r="G190" s="39">
        <f t="shared" si="5"/>
        <v>97.4</v>
      </c>
      <c r="H190" s="1"/>
      <c r="I190" s="171"/>
    </row>
    <row r="191" spans="1:9" x14ac:dyDescent="0.25">
      <c r="A191" s="1702"/>
      <c r="B191" s="98" t="s">
        <v>1573</v>
      </c>
      <c r="C191" s="98"/>
      <c r="D191" s="98"/>
      <c r="E191" s="98">
        <v>1</v>
      </c>
      <c r="F191" s="102">
        <f>FORNITURAS!D7</f>
        <v>52</v>
      </c>
      <c r="G191" s="39">
        <f t="shared" si="5"/>
        <v>52</v>
      </c>
      <c r="H191" s="1"/>
      <c r="I191" s="171"/>
    </row>
    <row r="192" spans="1:9" x14ac:dyDescent="0.25">
      <c r="A192" s="184" t="s">
        <v>1554</v>
      </c>
      <c r="B192" s="98" t="s">
        <v>777</v>
      </c>
      <c r="C192" s="98"/>
      <c r="D192" s="98"/>
      <c r="E192" s="98">
        <v>8</v>
      </c>
      <c r="F192" s="102">
        <f>FORNITURAS!D26</f>
        <v>297.14285714285717</v>
      </c>
      <c r="G192" s="39">
        <f t="shared" si="5"/>
        <v>2377.1428571428573</v>
      </c>
      <c r="H192" s="1"/>
      <c r="I192" s="171"/>
    </row>
    <row r="193" spans="1:9" x14ac:dyDescent="0.25">
      <c r="A193" s="184" t="s">
        <v>1587</v>
      </c>
      <c r="B193" s="98"/>
      <c r="C193" s="98"/>
      <c r="D193" s="98"/>
      <c r="E193" s="98">
        <v>1</v>
      </c>
      <c r="F193" s="102">
        <f>FORNITURAS!D18</f>
        <v>363</v>
      </c>
      <c r="G193" s="39">
        <f t="shared" si="5"/>
        <v>363</v>
      </c>
      <c r="H193" s="1"/>
      <c r="I193" s="171"/>
    </row>
    <row r="194" spans="1:9" x14ac:dyDescent="0.25">
      <c r="A194" s="184" t="s">
        <v>1012</v>
      </c>
      <c r="B194" s="98"/>
      <c r="C194" s="98"/>
      <c r="D194" s="98"/>
      <c r="E194" s="98">
        <v>2</v>
      </c>
      <c r="F194" s="102">
        <f>FORNITURAS!D17</f>
        <v>45.05</v>
      </c>
      <c r="G194" s="39">
        <f t="shared" si="5"/>
        <v>90.1</v>
      </c>
      <c r="H194" s="1"/>
      <c r="I194" s="171"/>
    </row>
    <row r="195" spans="1:9" x14ac:dyDescent="0.25">
      <c r="A195" s="184" t="s">
        <v>1424</v>
      </c>
      <c r="B195" s="98"/>
      <c r="C195" s="98">
        <v>1</v>
      </c>
      <c r="D195" s="98">
        <v>0.46</v>
      </c>
      <c r="E195" s="98">
        <v>1</v>
      </c>
      <c r="F195" s="102">
        <f>'HILOS-CORDONES-TANZA-CUERO'!L9</f>
        <v>30</v>
      </c>
      <c r="G195" s="39">
        <f>(F195*D195/C195)*E195</f>
        <v>13.8</v>
      </c>
      <c r="H195" s="1"/>
      <c r="I195" s="171"/>
    </row>
    <row r="196" spans="1:9" x14ac:dyDescent="0.25">
      <c r="A196" s="3" t="s">
        <v>1608</v>
      </c>
      <c r="B196" s="98"/>
      <c r="C196" s="98"/>
      <c r="D196" s="98">
        <v>0.1</v>
      </c>
      <c r="E196" s="98">
        <v>1</v>
      </c>
      <c r="F196" s="102">
        <f>'AROS, CADENAS, DIJES, ETC'!I38</f>
        <v>3630</v>
      </c>
      <c r="G196" s="39">
        <f>F196*D196*E196</f>
        <v>363</v>
      </c>
      <c r="H196" s="1"/>
      <c r="I196" s="171"/>
    </row>
    <row r="197" spans="1:9" x14ac:dyDescent="0.25">
      <c r="A197" s="104" t="s">
        <v>1557</v>
      </c>
      <c r="B197" s="98" t="s">
        <v>1535</v>
      </c>
      <c r="C197" s="98"/>
      <c r="D197" s="98"/>
      <c r="E197" s="98"/>
      <c r="F197" s="2"/>
      <c r="G197" s="39">
        <f>PACKAGING!E4</f>
        <v>80</v>
      </c>
      <c r="H197" s="1"/>
      <c r="I197" s="171"/>
    </row>
    <row r="198" spans="1:9" x14ac:dyDescent="0.25">
      <c r="A198" s="104" t="s">
        <v>1634</v>
      </c>
      <c r="B198" s="98"/>
      <c r="C198" s="98"/>
      <c r="D198" s="98"/>
      <c r="E198" s="98"/>
      <c r="F198" s="2"/>
      <c r="G198" s="39">
        <f>PACKAGING!E7</f>
        <v>170</v>
      </c>
      <c r="H198" s="1"/>
      <c r="I198" s="171"/>
    </row>
    <row r="199" spans="1:9" x14ac:dyDescent="0.25">
      <c r="A199" s="104" t="s">
        <v>1979</v>
      </c>
      <c r="B199" s="98"/>
      <c r="C199" s="98"/>
      <c r="D199" s="98"/>
      <c r="E199" s="98"/>
      <c r="F199" s="2"/>
      <c r="G199" s="39">
        <f>PACKAGING!E9</f>
        <v>450</v>
      </c>
      <c r="H199" s="171"/>
      <c r="I199" s="171"/>
    </row>
    <row r="200" spans="1:9" x14ac:dyDescent="0.25">
      <c r="A200" s="104" t="s">
        <v>1590</v>
      </c>
      <c r="B200" s="98">
        <v>60</v>
      </c>
      <c r="C200" s="98">
        <v>10</v>
      </c>
      <c r="D200" s="98"/>
      <c r="E200" s="98"/>
      <c r="F200" s="102">
        <f>'INSUMOS VARIOS'!B3</f>
        <v>3500</v>
      </c>
      <c r="G200" s="39">
        <f>F200*C200/B200</f>
        <v>583.33333333333337</v>
      </c>
      <c r="H200" s="171"/>
      <c r="I200" s="171"/>
    </row>
    <row r="201" spans="1:9" x14ac:dyDescent="0.25">
      <c r="A201" s="3" t="s">
        <v>908</v>
      </c>
      <c r="B201" s="98">
        <v>60</v>
      </c>
      <c r="C201" s="98">
        <v>5</v>
      </c>
      <c r="D201" s="98"/>
      <c r="E201" s="98"/>
      <c r="F201" s="102">
        <f>F200</f>
        <v>3500</v>
      </c>
      <c r="G201" s="39">
        <f>F201*C201/B201</f>
        <v>291.66666666666669</v>
      </c>
      <c r="H201" s="171"/>
      <c r="I201" s="171"/>
    </row>
    <row r="202" spans="1:9" ht="16.5" thickBot="1" x14ac:dyDescent="0.3">
      <c r="A202" s="79" t="s">
        <v>525</v>
      </c>
      <c r="B202" s="99"/>
      <c r="C202" s="99"/>
      <c r="D202" s="99"/>
      <c r="E202" s="99"/>
      <c r="F202" s="70"/>
      <c r="G202" s="51">
        <f>SUM(G186:G201)</f>
        <v>5403.7505494505494</v>
      </c>
      <c r="H202" s="171"/>
      <c r="I202" s="171"/>
    </row>
    <row r="203" spans="1:9" ht="18.75" x14ac:dyDescent="0.25">
      <c r="A203" s="80" t="s">
        <v>544</v>
      </c>
      <c r="B203" s="100"/>
      <c r="C203" s="100"/>
      <c r="D203" s="100"/>
      <c r="E203" s="100"/>
      <c r="F203" s="71"/>
      <c r="G203" s="221">
        <f>G202*2</f>
        <v>10807.501098901099</v>
      </c>
      <c r="H203" s="512">
        <f>G203+G203*25%</f>
        <v>13509.376373626374</v>
      </c>
      <c r="I203" s="278">
        <v>2350</v>
      </c>
    </row>
    <row r="204" spans="1:9" ht="19.5" thickBot="1" x14ac:dyDescent="0.3">
      <c r="A204" s="81" t="s">
        <v>1559</v>
      </c>
      <c r="B204" s="101"/>
      <c r="C204" s="101"/>
      <c r="D204" s="101"/>
      <c r="E204" s="101"/>
      <c r="F204" s="73"/>
      <c r="G204" s="222"/>
      <c r="H204" s="522"/>
      <c r="I204" s="279">
        <f>I203*2</f>
        <v>4700</v>
      </c>
    </row>
    <row r="205" spans="1:9" ht="16.5" thickBot="1" x14ac:dyDescent="0.3"/>
    <row r="206" spans="1:9" ht="16.5" thickBot="1" x14ac:dyDescent="0.3">
      <c r="A206" s="1565" t="s">
        <v>216</v>
      </c>
      <c r="B206" s="1566"/>
      <c r="C206" s="1566"/>
      <c r="D206" s="1566"/>
      <c r="E206" s="1566"/>
      <c r="F206" s="1566"/>
      <c r="G206" s="1567"/>
      <c r="H206" s="171"/>
      <c r="I206" s="1"/>
    </row>
    <row r="207" spans="1:9" x14ac:dyDescent="0.25">
      <c r="A207" s="183" t="s">
        <v>916</v>
      </c>
      <c r="B207" s="97" t="s">
        <v>743</v>
      </c>
      <c r="C207" s="97" t="s">
        <v>1716</v>
      </c>
      <c r="D207" s="97" t="s">
        <v>1607</v>
      </c>
      <c r="E207" s="97" t="s">
        <v>1566</v>
      </c>
      <c r="F207" s="76" t="s">
        <v>1035</v>
      </c>
      <c r="G207" s="77" t="s">
        <v>1549</v>
      </c>
      <c r="H207" s="171"/>
      <c r="I207" s="1"/>
    </row>
    <row r="208" spans="1:9" x14ac:dyDescent="0.25">
      <c r="A208" s="1613" t="s">
        <v>2091</v>
      </c>
      <c r="B208" s="98"/>
      <c r="C208" s="98">
        <v>0.39</v>
      </c>
      <c r="D208" s="98">
        <v>0.1</v>
      </c>
      <c r="E208" s="98">
        <v>2</v>
      </c>
      <c r="F208" s="102">
        <f>'PALAIS DU BIJOU'!N5</f>
        <v>213</v>
      </c>
      <c r="G208" s="39">
        <f>(F208*D208/C208)*E208</f>
        <v>109.23076923076923</v>
      </c>
      <c r="H208" s="171"/>
      <c r="I208" s="1"/>
    </row>
    <row r="209" spans="1:9" x14ac:dyDescent="0.25">
      <c r="A209" s="1614"/>
      <c r="B209" s="98"/>
      <c r="C209" s="98">
        <v>0.39</v>
      </c>
      <c r="D209" s="98">
        <v>0.02</v>
      </c>
      <c r="E209" s="98">
        <v>2</v>
      </c>
      <c r="F209" s="102">
        <f>F208</f>
        <v>213</v>
      </c>
      <c r="G209" s="39">
        <f>(F209*D209/C209)*E209</f>
        <v>21.846153846153843</v>
      </c>
      <c r="H209" s="1"/>
      <c r="I209" s="1"/>
    </row>
    <row r="210" spans="1:9" x14ac:dyDescent="0.25">
      <c r="A210" s="1614"/>
      <c r="B210" s="98"/>
      <c r="C210" s="98">
        <v>0.39</v>
      </c>
      <c r="D210" s="98">
        <v>0.04</v>
      </c>
      <c r="E210" s="98">
        <v>2</v>
      </c>
      <c r="F210" s="102">
        <f>F209</f>
        <v>213</v>
      </c>
      <c r="G210" s="39">
        <f>(F210*D210/C210)*E210</f>
        <v>43.692307692307686</v>
      </c>
      <c r="H210" s="1"/>
      <c r="I210" s="1"/>
    </row>
    <row r="211" spans="1:9" x14ac:dyDescent="0.25">
      <c r="A211" s="184" t="s">
        <v>2092</v>
      </c>
      <c r="B211" s="98"/>
      <c r="C211" s="98"/>
      <c r="D211" s="98"/>
      <c r="E211" s="98">
        <v>1</v>
      </c>
      <c r="F211" s="102">
        <f>'AROS, CADENAS, DIJES, ETC'!O126</f>
        <v>550</v>
      </c>
      <c r="G211" s="39">
        <f t="shared" ref="G211:G216" si="6">F211*E211</f>
        <v>550</v>
      </c>
      <c r="H211" s="1"/>
      <c r="I211" s="1"/>
    </row>
    <row r="212" spans="1:9" x14ac:dyDescent="0.25">
      <c r="A212" s="1613" t="s">
        <v>1555</v>
      </c>
      <c r="B212" s="98" t="s">
        <v>1556</v>
      </c>
      <c r="C212" s="98"/>
      <c r="D212" s="98"/>
      <c r="E212" s="98">
        <v>2</v>
      </c>
      <c r="F212" s="102">
        <f>FORNITURAS!D4</f>
        <v>48.7</v>
      </c>
      <c r="G212" s="39">
        <f t="shared" si="6"/>
        <v>97.4</v>
      </c>
      <c r="H212" s="1"/>
      <c r="I212" s="1"/>
    </row>
    <row r="213" spans="1:9" x14ac:dyDescent="0.25">
      <c r="A213" s="1615"/>
      <c r="B213" s="98" t="s">
        <v>1573</v>
      </c>
      <c r="C213" s="98"/>
      <c r="D213" s="98"/>
      <c r="E213" s="98">
        <v>1</v>
      </c>
      <c r="F213" s="102">
        <f>FORNITURAS!D7</f>
        <v>52</v>
      </c>
      <c r="G213" s="39">
        <f t="shared" si="6"/>
        <v>52</v>
      </c>
      <c r="H213" s="1"/>
      <c r="I213" s="1"/>
    </row>
    <row r="214" spans="1:9" x14ac:dyDescent="0.25">
      <c r="A214" s="3" t="s">
        <v>1587</v>
      </c>
      <c r="B214" s="98"/>
      <c r="C214" s="98"/>
      <c r="D214" s="98"/>
      <c r="E214" s="98">
        <v>1</v>
      </c>
      <c r="F214" s="102">
        <f>FORNITURAS!D18</f>
        <v>363</v>
      </c>
      <c r="G214" s="39">
        <f t="shared" si="6"/>
        <v>363</v>
      </c>
      <c r="H214" s="1"/>
      <c r="I214" s="1"/>
    </row>
    <row r="215" spans="1:9" x14ac:dyDescent="0.25">
      <c r="A215" s="331" t="s">
        <v>1554</v>
      </c>
      <c r="B215" s="98" t="s">
        <v>777</v>
      </c>
      <c r="C215" s="98"/>
      <c r="D215" s="98"/>
      <c r="E215" s="98">
        <v>8</v>
      </c>
      <c r="F215" s="102">
        <f>FORNITURAS!D26</f>
        <v>297.14285714285717</v>
      </c>
      <c r="G215" s="39">
        <f t="shared" si="6"/>
        <v>2377.1428571428573</v>
      </c>
      <c r="H215" s="1"/>
      <c r="I215" s="1"/>
    </row>
    <row r="216" spans="1:9" x14ac:dyDescent="0.25">
      <c r="A216" s="184" t="s">
        <v>1012</v>
      </c>
      <c r="B216" s="98"/>
      <c r="C216" s="98"/>
      <c r="D216" s="98"/>
      <c r="E216" s="98">
        <v>2</v>
      </c>
      <c r="F216" s="102">
        <f>FORNITURAS!D17</f>
        <v>45.05</v>
      </c>
      <c r="G216" s="39">
        <f t="shared" si="6"/>
        <v>90.1</v>
      </c>
      <c r="H216" s="1"/>
      <c r="I216" s="1"/>
    </row>
    <row r="217" spans="1:9" x14ac:dyDescent="0.25">
      <c r="A217" s="184" t="s">
        <v>1424</v>
      </c>
      <c r="B217" s="98"/>
      <c r="C217" s="98">
        <v>1</v>
      </c>
      <c r="D217" s="98">
        <v>0.46</v>
      </c>
      <c r="E217" s="98">
        <v>1</v>
      </c>
      <c r="F217" s="102">
        <f>'HILOS-CORDONES-TANZA-CUERO'!L9</f>
        <v>30</v>
      </c>
      <c r="G217" s="39">
        <f>(F217*D217/C217)*E217</f>
        <v>13.8</v>
      </c>
      <c r="H217" s="1"/>
      <c r="I217" s="1"/>
    </row>
    <row r="218" spans="1:9" x14ac:dyDescent="0.25">
      <c r="A218" s="184" t="s">
        <v>1608</v>
      </c>
      <c r="B218" s="98"/>
      <c r="C218" s="98"/>
      <c r="D218" s="98">
        <v>0.1</v>
      </c>
      <c r="E218" s="98">
        <v>1</v>
      </c>
      <c r="F218" s="102">
        <f>'AROS, CADENAS, DIJES, ETC'!I38</f>
        <v>3630</v>
      </c>
      <c r="G218" s="39">
        <f>F218*D218*E218</f>
        <v>363</v>
      </c>
      <c r="H218" s="1"/>
      <c r="I218" s="1"/>
    </row>
    <row r="219" spans="1:9" x14ac:dyDescent="0.25">
      <c r="A219" s="3" t="s">
        <v>1588</v>
      </c>
      <c r="B219" s="98"/>
      <c r="C219" s="98"/>
      <c r="D219" s="98"/>
      <c r="E219" s="98"/>
      <c r="F219" s="2"/>
      <c r="G219" s="39">
        <f>PACKAGING!E4</f>
        <v>80</v>
      </c>
      <c r="H219" s="1"/>
      <c r="I219" s="1"/>
    </row>
    <row r="220" spans="1:9" x14ac:dyDescent="0.25">
      <c r="A220" s="104" t="s">
        <v>1634</v>
      </c>
      <c r="B220" s="98"/>
      <c r="C220" s="98"/>
      <c r="D220" s="98"/>
      <c r="E220" s="98"/>
      <c r="F220" s="2"/>
      <c r="G220" s="39">
        <f>PACKAGING!E7</f>
        <v>170</v>
      </c>
      <c r="H220" s="1"/>
      <c r="I220" s="1"/>
    </row>
    <row r="221" spans="1:9" x14ac:dyDescent="0.25">
      <c r="A221" s="104" t="s">
        <v>1538</v>
      </c>
      <c r="B221" s="98"/>
      <c r="C221" s="98"/>
      <c r="D221" s="98"/>
      <c r="E221" s="98"/>
      <c r="F221" s="2"/>
      <c r="G221" s="39">
        <f>PACKAGING!E9</f>
        <v>450</v>
      </c>
      <c r="H221" s="1"/>
      <c r="I221" s="1"/>
    </row>
    <row r="222" spans="1:9" x14ac:dyDescent="0.25">
      <c r="A222" s="3" t="s">
        <v>1558</v>
      </c>
      <c r="B222" s="98">
        <v>60</v>
      </c>
      <c r="C222" s="98"/>
      <c r="D222" s="98"/>
      <c r="E222" s="98">
        <v>15</v>
      </c>
      <c r="F222" s="102">
        <f>'INSUMOS VARIOS'!B3</f>
        <v>3500</v>
      </c>
      <c r="G222" s="39">
        <f>F222*E222/B222</f>
        <v>875</v>
      </c>
      <c r="H222" s="1"/>
      <c r="I222" s="1"/>
    </row>
    <row r="223" spans="1:9" ht="16.5" thickBot="1" x14ac:dyDescent="0.3">
      <c r="A223" s="79" t="s">
        <v>525</v>
      </c>
      <c r="B223" s="99"/>
      <c r="C223" s="99"/>
      <c r="D223" s="99"/>
      <c r="E223" s="99"/>
      <c r="F223" s="70"/>
      <c r="G223" s="51">
        <f>SUM(G208:G222)</f>
        <v>5656.2120879120885</v>
      </c>
      <c r="H223" s="1"/>
      <c r="I223" s="1"/>
    </row>
    <row r="224" spans="1:9" ht="19.5" thickBot="1" x14ac:dyDescent="0.3">
      <c r="A224" s="596" t="s">
        <v>1559</v>
      </c>
      <c r="B224" s="597"/>
      <c r="C224" s="597"/>
      <c r="D224" s="597"/>
      <c r="E224" s="597"/>
      <c r="F224" s="598"/>
      <c r="G224" s="599">
        <f>G223*2</f>
        <v>11312.424175824177</v>
      </c>
      <c r="H224" s="489">
        <f>G224+G224*50%</f>
        <v>16968.636263736265</v>
      </c>
      <c r="I224" s="531">
        <v>4700</v>
      </c>
    </row>
    <row r="225" spans="1:10" ht="16.5" thickBot="1" x14ac:dyDescent="0.3"/>
    <row r="226" spans="1:10" ht="16.5" thickBot="1" x14ac:dyDescent="0.3">
      <c r="A226" s="1565" t="s">
        <v>144</v>
      </c>
      <c r="B226" s="1566"/>
      <c r="C226" s="1566"/>
      <c r="D226" s="1566"/>
      <c r="E226" s="1566"/>
      <c r="F226" s="1566"/>
      <c r="G226" s="1567"/>
      <c r="I226" s="1"/>
      <c r="J226" s="1"/>
    </row>
    <row r="227" spans="1:10" x14ac:dyDescent="0.25">
      <c r="A227" s="78" t="s">
        <v>916</v>
      </c>
      <c r="B227" s="385" t="s">
        <v>743</v>
      </c>
      <c r="C227" s="385" t="s">
        <v>1716</v>
      </c>
      <c r="D227" s="385" t="s">
        <v>1607</v>
      </c>
      <c r="E227" s="385" t="s">
        <v>1566</v>
      </c>
      <c r="F227" s="82" t="s">
        <v>1035</v>
      </c>
      <c r="G227" s="83" t="s">
        <v>1549</v>
      </c>
      <c r="I227" s="1"/>
      <c r="J227" s="1"/>
    </row>
    <row r="228" spans="1:10" x14ac:dyDescent="0.25">
      <c r="A228" s="184" t="s">
        <v>2093</v>
      </c>
      <c r="B228" s="98"/>
      <c r="C228" s="98">
        <v>0.20499999999999999</v>
      </c>
      <c r="D228" s="98">
        <v>0.42</v>
      </c>
      <c r="E228" s="98">
        <v>1</v>
      </c>
      <c r="F228" s="102">
        <f>VIDRIOS!D26</f>
        <v>1430</v>
      </c>
      <c r="G228" s="39">
        <f>(F228*D228/C228)*E228</f>
        <v>2929.7560975609758</v>
      </c>
      <c r="I228" s="1"/>
      <c r="J228" s="1"/>
    </row>
    <row r="229" spans="1:10" x14ac:dyDescent="0.25">
      <c r="A229" s="1613" t="s">
        <v>1555</v>
      </c>
      <c r="B229" s="98" t="s">
        <v>1933</v>
      </c>
      <c r="C229" s="98"/>
      <c r="D229" s="98"/>
      <c r="E229" s="98">
        <v>2</v>
      </c>
      <c r="F229" s="102">
        <f>FORNITURAS!D5</f>
        <v>46.8</v>
      </c>
      <c r="G229" s="39">
        <f>F229*E229</f>
        <v>93.6</v>
      </c>
      <c r="H229" s="1"/>
      <c r="I229" s="1"/>
      <c r="J229" s="1"/>
    </row>
    <row r="230" spans="1:10" x14ac:dyDescent="0.25">
      <c r="A230" s="1615"/>
      <c r="B230" s="98" t="s">
        <v>1573</v>
      </c>
      <c r="C230" s="98"/>
      <c r="D230" s="98"/>
      <c r="E230" s="98">
        <v>1</v>
      </c>
      <c r="F230" s="102">
        <f>FORNITURAS!D7</f>
        <v>52</v>
      </c>
      <c r="G230" s="39">
        <f>F230*E230</f>
        <v>52</v>
      </c>
      <c r="H230" s="1"/>
      <c r="I230" s="1"/>
      <c r="J230" s="1"/>
    </row>
    <row r="231" spans="1:10" x14ac:dyDescent="0.25">
      <c r="A231" s="3" t="s">
        <v>2094</v>
      </c>
      <c r="B231" s="98" t="s">
        <v>59</v>
      </c>
      <c r="C231" s="98"/>
      <c r="D231" s="98"/>
      <c r="E231" s="98">
        <v>1</v>
      </c>
      <c r="F231" s="102">
        <f>FORNITURAS!N4</f>
        <v>3000</v>
      </c>
      <c r="G231" s="39">
        <f>F231*E231</f>
        <v>3000</v>
      </c>
      <c r="H231" s="1"/>
      <c r="I231" s="1"/>
      <c r="J231" s="1"/>
    </row>
    <row r="232" spans="1:10" x14ac:dyDescent="0.25">
      <c r="A232" s="184" t="s">
        <v>1012</v>
      </c>
      <c r="B232" s="98"/>
      <c r="C232" s="98"/>
      <c r="D232" s="98"/>
      <c r="E232" s="98">
        <v>2</v>
      </c>
      <c r="F232" s="102">
        <f>FORNITURAS!D17</f>
        <v>45.05</v>
      </c>
      <c r="G232" s="39">
        <f>F232*E232</f>
        <v>90.1</v>
      </c>
      <c r="H232" s="1"/>
      <c r="I232" s="1"/>
      <c r="J232" s="1"/>
    </row>
    <row r="233" spans="1:10" x14ac:dyDescent="0.25">
      <c r="A233" s="184" t="s">
        <v>1424</v>
      </c>
      <c r="B233" s="98"/>
      <c r="C233" s="98"/>
      <c r="D233" s="98"/>
      <c r="E233" s="98">
        <v>0.52</v>
      </c>
      <c r="F233" s="102">
        <f>'HILOS-CORDONES-TANZA-CUERO'!L9</f>
        <v>30</v>
      </c>
      <c r="G233" s="39">
        <f>F233*E233</f>
        <v>15.600000000000001</v>
      </c>
      <c r="H233" s="1"/>
      <c r="I233" s="1"/>
      <c r="J233" s="1"/>
    </row>
    <row r="234" spans="1:10" x14ac:dyDescent="0.25">
      <c r="A234" s="3" t="s">
        <v>1588</v>
      </c>
      <c r="B234" s="98"/>
      <c r="C234" s="98"/>
      <c r="D234" s="98"/>
      <c r="E234" s="98"/>
      <c r="F234" s="2"/>
      <c r="G234" s="39">
        <f>PACKAGING!E4</f>
        <v>80</v>
      </c>
      <c r="H234" s="1"/>
      <c r="I234" s="1"/>
      <c r="J234" s="1"/>
    </row>
    <row r="235" spans="1:10" x14ac:dyDescent="0.25">
      <c r="A235" s="104" t="s">
        <v>1538</v>
      </c>
      <c r="B235" s="98"/>
      <c r="C235" s="98"/>
      <c r="D235" s="98"/>
      <c r="E235" s="98"/>
      <c r="F235" s="2"/>
      <c r="G235" s="39">
        <f>PACKAGING!E9</f>
        <v>450</v>
      </c>
      <c r="H235" s="1"/>
      <c r="I235" s="1"/>
      <c r="J235" s="1"/>
    </row>
    <row r="236" spans="1:10" x14ac:dyDescent="0.25">
      <c r="A236" s="184" t="s">
        <v>1558</v>
      </c>
      <c r="B236" s="98"/>
      <c r="C236" s="98">
        <v>60</v>
      </c>
      <c r="D236" s="98"/>
      <c r="E236" s="98">
        <v>15</v>
      </c>
      <c r="F236" s="102">
        <f>'INSUMOS VARIOS'!B3</f>
        <v>3500</v>
      </c>
      <c r="G236" s="39">
        <f>F236*E236/C236</f>
        <v>875</v>
      </c>
      <c r="H236" s="1"/>
      <c r="I236" s="1"/>
      <c r="J236" s="1"/>
    </row>
    <row r="237" spans="1:10" ht="16.5" thickBot="1" x14ac:dyDescent="0.3">
      <c r="A237" s="292" t="s">
        <v>525</v>
      </c>
      <c r="B237" s="379"/>
      <c r="C237" s="379"/>
      <c r="D237" s="379"/>
      <c r="E237" s="379"/>
      <c r="F237" s="293"/>
      <c r="G237" s="294">
        <f>SUM(G228:G236)</f>
        <v>7586.0560975609769</v>
      </c>
      <c r="H237" s="1"/>
      <c r="I237" s="1"/>
      <c r="J237" s="1"/>
    </row>
    <row r="238" spans="1:10" ht="18.75" x14ac:dyDescent="0.25">
      <c r="A238" s="381" t="s">
        <v>544</v>
      </c>
      <c r="B238" s="382"/>
      <c r="C238" s="382"/>
      <c r="D238" s="382"/>
      <c r="E238" s="382"/>
      <c r="F238" s="383"/>
      <c r="G238" s="384">
        <f>G237*2</f>
        <v>15172.112195121954</v>
      </c>
      <c r="H238" s="75">
        <f>G238+G238*25%</f>
        <v>18965.140243902442</v>
      </c>
      <c r="I238" s="75">
        <v>3350</v>
      </c>
      <c r="J238" s="96"/>
    </row>
    <row r="239" spans="1:10" ht="19.5" thickBot="1" x14ac:dyDescent="0.3">
      <c r="A239" s="81" t="s">
        <v>1559</v>
      </c>
      <c r="B239" s="101"/>
      <c r="C239" s="101"/>
      <c r="D239" s="101"/>
      <c r="E239" s="101"/>
      <c r="F239" s="73"/>
      <c r="G239" s="73"/>
      <c r="H239" s="74"/>
      <c r="I239" s="74">
        <f>I238*2</f>
        <v>6700</v>
      </c>
      <c r="J239" s="96"/>
    </row>
    <row r="240" spans="1:10" ht="16.5" thickBot="1" x14ac:dyDescent="0.3">
      <c r="A240" s="1"/>
      <c r="B240" s="1"/>
      <c r="C240" s="1"/>
      <c r="D240" s="1"/>
      <c r="E240" s="1"/>
      <c r="F240" s="1"/>
      <c r="G240" s="1"/>
      <c r="H240" s="1"/>
      <c r="I240" s="1"/>
      <c r="J240" s="1"/>
    </row>
    <row r="241" spans="1:10" ht="16.5" thickBot="1" x14ac:dyDescent="0.3">
      <c r="A241" s="1565" t="s">
        <v>383</v>
      </c>
      <c r="B241" s="1566"/>
      <c r="C241" s="1566"/>
      <c r="D241" s="1566"/>
      <c r="E241" s="1566"/>
      <c r="F241" s="1567"/>
      <c r="G241" s="201"/>
      <c r="H241" s="1"/>
      <c r="I241" s="1"/>
      <c r="J241" s="1"/>
    </row>
    <row r="242" spans="1:10" x14ac:dyDescent="0.25">
      <c r="A242" s="183" t="s">
        <v>916</v>
      </c>
      <c r="B242" s="97" t="s">
        <v>742</v>
      </c>
      <c r="C242" s="97" t="s">
        <v>1089</v>
      </c>
      <c r="D242" s="97" t="s">
        <v>1547</v>
      </c>
      <c r="E242" s="76" t="s">
        <v>1035</v>
      </c>
      <c r="F242" s="77" t="s">
        <v>1549</v>
      </c>
      <c r="H242" s="1"/>
      <c r="I242" s="1"/>
      <c r="J242" s="1"/>
    </row>
    <row r="243" spans="1:10" x14ac:dyDescent="0.25">
      <c r="A243" s="1613" t="s">
        <v>1691</v>
      </c>
      <c r="B243" s="98" t="s">
        <v>1582</v>
      </c>
      <c r="C243" s="98"/>
      <c r="D243" s="98">
        <v>17</v>
      </c>
      <c r="E243" s="102">
        <f>PERLAS!F4</f>
        <v>81</v>
      </c>
      <c r="F243" s="39">
        <f t="shared" ref="F243:F251" si="7">E243*D243</f>
        <v>1377</v>
      </c>
      <c r="H243" s="1"/>
      <c r="I243" s="1"/>
      <c r="J243" s="1"/>
    </row>
    <row r="244" spans="1:10" x14ac:dyDescent="0.25">
      <c r="A244" s="1614"/>
      <c r="B244" s="98" t="s">
        <v>2059</v>
      </c>
      <c r="C244" s="98"/>
      <c r="D244" s="98">
        <v>3</v>
      </c>
      <c r="E244" s="102">
        <f>PERLAS!F24</f>
        <v>153.48837209302326</v>
      </c>
      <c r="F244" s="39">
        <f t="shared" si="7"/>
        <v>460.46511627906978</v>
      </c>
      <c r="G244" s="1"/>
      <c r="H244" s="1"/>
      <c r="I244" s="1"/>
      <c r="J244" s="1"/>
    </row>
    <row r="245" spans="1:10" x14ac:dyDescent="0.25">
      <c r="A245" s="184" t="s">
        <v>1848</v>
      </c>
      <c r="B245" s="98"/>
      <c r="C245" s="98"/>
      <c r="D245" s="98">
        <v>3</v>
      </c>
      <c r="E245" s="102">
        <f>VIDRIOS!E8</f>
        <v>8.9473684210526319</v>
      </c>
      <c r="F245" s="39">
        <f t="shared" si="7"/>
        <v>26.842105263157897</v>
      </c>
      <c r="G245" s="1"/>
      <c r="H245" s="1"/>
      <c r="I245" s="1"/>
      <c r="J245" s="1"/>
    </row>
    <row r="246" spans="1:10" x14ac:dyDescent="0.25">
      <c r="A246" s="184" t="s">
        <v>1859</v>
      </c>
      <c r="B246" s="98"/>
      <c r="C246" s="98"/>
      <c r="D246" s="98">
        <v>10</v>
      </c>
      <c r="E246" s="102">
        <f>'PALAIS DU BIJOU'!N44</f>
        <v>37.313432835820898</v>
      </c>
      <c r="F246" s="39">
        <f t="shared" si="7"/>
        <v>373.13432835820896</v>
      </c>
      <c r="G246" s="1"/>
      <c r="H246" s="1"/>
      <c r="I246" s="1"/>
      <c r="J246" s="1"/>
    </row>
    <row r="247" spans="1:10" x14ac:dyDescent="0.25">
      <c r="A247" s="184" t="s">
        <v>1997</v>
      </c>
      <c r="B247" s="98"/>
      <c r="C247" s="98"/>
      <c r="D247" s="98">
        <v>1</v>
      </c>
      <c r="E247" s="102">
        <f>VIDRIOS!E25</f>
        <v>42.058823529411768</v>
      </c>
      <c r="F247" s="39">
        <f t="shared" si="7"/>
        <v>42.058823529411768</v>
      </c>
      <c r="G247" s="1"/>
      <c r="H247" s="1"/>
      <c r="I247" s="1"/>
      <c r="J247" s="1"/>
    </row>
    <row r="248" spans="1:10" x14ac:dyDescent="0.25">
      <c r="A248" s="184" t="s">
        <v>2095</v>
      </c>
      <c r="B248" s="98"/>
      <c r="C248" s="98"/>
      <c r="D248" s="98">
        <v>9</v>
      </c>
      <c r="E248" s="102">
        <f>VIDRIOS!E5</f>
        <v>56.666666666666664</v>
      </c>
      <c r="F248" s="39">
        <f t="shared" si="7"/>
        <v>510</v>
      </c>
      <c r="G248" s="1"/>
      <c r="H248" s="1"/>
      <c r="I248" s="1"/>
      <c r="J248" s="1"/>
    </row>
    <row r="249" spans="1:10" x14ac:dyDescent="0.25">
      <c r="A249" s="184" t="s">
        <v>2096</v>
      </c>
      <c r="B249" s="98"/>
      <c r="C249" s="98"/>
      <c r="D249" s="98">
        <v>1</v>
      </c>
      <c r="E249" s="102">
        <f>VIDRIOS!E26</f>
        <v>62.173913043478258</v>
      </c>
      <c r="F249" s="39">
        <f t="shared" si="7"/>
        <v>62.173913043478258</v>
      </c>
      <c r="G249" s="1"/>
      <c r="H249" s="1"/>
      <c r="I249" s="1"/>
      <c r="J249" s="1"/>
    </row>
    <row r="250" spans="1:10" x14ac:dyDescent="0.25">
      <c r="A250" s="184" t="s">
        <v>1448</v>
      </c>
      <c r="B250" s="98"/>
      <c r="C250" s="98"/>
      <c r="D250" s="98">
        <v>2</v>
      </c>
      <c r="E250" s="102">
        <f>VIDRIOS!E13</f>
        <v>18.888888888888889</v>
      </c>
      <c r="F250" s="39">
        <f t="shared" si="7"/>
        <v>37.777777777777779</v>
      </c>
      <c r="G250" s="1"/>
      <c r="H250" s="1"/>
      <c r="I250" s="1"/>
      <c r="J250" s="1"/>
    </row>
    <row r="251" spans="1:10" x14ac:dyDescent="0.25">
      <c r="A251" s="184" t="s">
        <v>2097</v>
      </c>
      <c r="B251" s="98"/>
      <c r="C251" s="98"/>
      <c r="D251" s="98">
        <v>3</v>
      </c>
      <c r="E251" s="102">
        <f>'PALAIS DU BIJOU'!F33</f>
        <v>53.333333333333336</v>
      </c>
      <c r="F251" s="39">
        <f t="shared" si="7"/>
        <v>160</v>
      </c>
      <c r="G251" s="1"/>
      <c r="H251" s="1"/>
      <c r="I251" s="1"/>
      <c r="J251" s="1"/>
    </row>
    <row r="252" spans="1:10" x14ac:dyDescent="0.25">
      <c r="A252" s="184" t="s">
        <v>1552</v>
      </c>
      <c r="B252" s="98">
        <v>0.39</v>
      </c>
      <c r="C252" s="98">
        <v>3.0000000000000001E-3</v>
      </c>
      <c r="D252" s="98">
        <v>14</v>
      </c>
      <c r="E252" s="102">
        <f>'PALAIS DU BIJOU'!N6</f>
        <v>210</v>
      </c>
      <c r="F252" s="39">
        <f>(E252*C252/B252)*D252</f>
        <v>22.615384615384617</v>
      </c>
      <c r="G252" s="1"/>
      <c r="H252" s="1"/>
      <c r="I252" s="1"/>
      <c r="J252" s="1"/>
    </row>
    <row r="253" spans="1:10" x14ac:dyDescent="0.25">
      <c r="A253" s="1701" t="s">
        <v>1572</v>
      </c>
      <c r="B253" s="98" t="s">
        <v>1556</v>
      </c>
      <c r="C253" s="98"/>
      <c r="D253" s="98">
        <v>2</v>
      </c>
      <c r="E253" s="102">
        <f>FORNITURAS!D4</f>
        <v>48.7</v>
      </c>
      <c r="F253" s="39">
        <f t="shared" ref="F253:F259" si="8">E253*D253</f>
        <v>97.4</v>
      </c>
      <c r="G253" s="1"/>
      <c r="H253" s="1"/>
      <c r="I253" s="1"/>
      <c r="J253" s="1"/>
    </row>
    <row r="254" spans="1:10" x14ac:dyDescent="0.25">
      <c r="A254" s="1702"/>
      <c r="B254" s="98" t="s">
        <v>1573</v>
      </c>
      <c r="C254" s="98"/>
      <c r="D254" s="98">
        <v>1</v>
      </c>
      <c r="E254" s="102">
        <f>FORNITURAS!D7</f>
        <v>52</v>
      </c>
      <c r="F254" s="39">
        <f t="shared" si="8"/>
        <v>52</v>
      </c>
      <c r="G254" s="1"/>
      <c r="H254" s="1"/>
      <c r="I254" s="1"/>
      <c r="J254" s="1"/>
    </row>
    <row r="255" spans="1:10" x14ac:dyDescent="0.25">
      <c r="A255" s="184" t="s">
        <v>1424</v>
      </c>
      <c r="B255" s="98"/>
      <c r="C255" s="98"/>
      <c r="D255" s="98">
        <v>0.47</v>
      </c>
      <c r="E255" s="102">
        <f>'HILOS-CORDONES-TANZA-CUERO'!L9</f>
        <v>30</v>
      </c>
      <c r="F255" s="39">
        <f t="shared" si="8"/>
        <v>14.1</v>
      </c>
      <c r="G255" s="1"/>
      <c r="H255" s="1"/>
      <c r="I255" s="1"/>
      <c r="J255" s="1"/>
    </row>
    <row r="256" spans="1:10" x14ac:dyDescent="0.25">
      <c r="A256" s="184" t="s">
        <v>1608</v>
      </c>
      <c r="B256" s="98"/>
      <c r="C256" s="98"/>
      <c r="D256" s="98">
        <v>0.1</v>
      </c>
      <c r="E256" s="102">
        <f>'AROS, CADENAS, DIJES, ETC'!I38</f>
        <v>3630</v>
      </c>
      <c r="F256" s="39">
        <f t="shared" si="8"/>
        <v>363</v>
      </c>
      <c r="G256" s="1"/>
      <c r="H256" s="1"/>
      <c r="I256" s="1"/>
      <c r="J256" s="1"/>
    </row>
    <row r="257" spans="1:10" x14ac:dyDescent="0.25">
      <c r="A257" s="184" t="s">
        <v>1587</v>
      </c>
      <c r="B257" s="98"/>
      <c r="C257" s="98"/>
      <c r="D257" s="98">
        <v>1</v>
      </c>
      <c r="E257" s="102">
        <f>FORNITURAS!D18</f>
        <v>363</v>
      </c>
      <c r="F257" s="39">
        <f t="shared" si="8"/>
        <v>363</v>
      </c>
      <c r="G257" s="1"/>
      <c r="H257" s="1"/>
      <c r="I257" s="1"/>
      <c r="J257" s="1"/>
    </row>
    <row r="258" spans="1:10" x14ac:dyDescent="0.25">
      <c r="A258" s="184" t="s">
        <v>1697</v>
      </c>
      <c r="B258" s="98" t="s">
        <v>777</v>
      </c>
      <c r="C258" s="98"/>
      <c r="D258" s="98">
        <v>2</v>
      </c>
      <c r="E258" s="102">
        <f>FORNITURAS!D26</f>
        <v>297.14285714285717</v>
      </c>
      <c r="F258" s="39">
        <f t="shared" si="8"/>
        <v>594.28571428571433</v>
      </c>
      <c r="G258" s="1"/>
      <c r="H258" s="1"/>
      <c r="I258" s="1"/>
      <c r="J258" s="1"/>
    </row>
    <row r="259" spans="1:10" x14ac:dyDescent="0.25">
      <c r="A259" s="184" t="s">
        <v>1012</v>
      </c>
      <c r="B259" s="98"/>
      <c r="C259" s="98"/>
      <c r="D259" s="98">
        <v>2</v>
      </c>
      <c r="E259" s="102">
        <f>FORNITURAS!D17</f>
        <v>45.05</v>
      </c>
      <c r="F259" s="39">
        <f t="shared" si="8"/>
        <v>90.1</v>
      </c>
      <c r="G259" s="1"/>
      <c r="H259" s="1"/>
      <c r="I259" s="1"/>
      <c r="J259" s="1"/>
    </row>
    <row r="260" spans="1:10" x14ac:dyDescent="0.25">
      <c r="A260" s="3" t="s">
        <v>1588</v>
      </c>
      <c r="B260" s="98"/>
      <c r="C260" s="98"/>
      <c r="D260" s="98"/>
      <c r="E260" s="2"/>
      <c r="F260" s="39">
        <f>PACKAGING!E4</f>
        <v>80</v>
      </c>
      <c r="G260" s="1"/>
      <c r="H260" s="1"/>
      <c r="I260" s="1"/>
      <c r="J260" s="1"/>
    </row>
    <row r="261" spans="1:10" x14ac:dyDescent="0.25">
      <c r="A261" s="104" t="s">
        <v>1634</v>
      </c>
      <c r="B261" s="98"/>
      <c r="C261" s="98"/>
      <c r="D261" s="98"/>
      <c r="E261" s="2"/>
      <c r="F261" s="39">
        <f>PACKAGING!E7</f>
        <v>170</v>
      </c>
      <c r="G261" s="1"/>
      <c r="H261" s="1"/>
      <c r="I261" s="1"/>
      <c r="J261" s="1"/>
    </row>
    <row r="262" spans="1:10" x14ac:dyDescent="0.25">
      <c r="A262" s="104" t="s">
        <v>1979</v>
      </c>
      <c r="B262" s="98"/>
      <c r="C262" s="98"/>
      <c r="D262" s="98"/>
      <c r="E262" s="2"/>
      <c r="F262" s="39">
        <f>PACKAGING!E9</f>
        <v>450</v>
      </c>
      <c r="G262" s="1"/>
      <c r="H262" s="1"/>
      <c r="I262" s="1"/>
      <c r="J262" s="1"/>
    </row>
    <row r="263" spans="1:10" x14ac:dyDescent="0.25">
      <c r="A263" s="1613" t="s">
        <v>1558</v>
      </c>
      <c r="B263" s="98" t="s">
        <v>1590</v>
      </c>
      <c r="C263" s="98">
        <v>60</v>
      </c>
      <c r="D263" s="98">
        <v>15</v>
      </c>
      <c r="E263" s="102">
        <f>'INSUMOS VARIOS'!B3</f>
        <v>3500</v>
      </c>
      <c r="F263" s="39">
        <f>E263*D263/C263</f>
        <v>875</v>
      </c>
      <c r="G263" s="1"/>
      <c r="H263" s="1"/>
      <c r="I263" s="1"/>
      <c r="J263" s="1"/>
    </row>
    <row r="264" spans="1:10" x14ac:dyDescent="0.25">
      <c r="A264" s="1615"/>
      <c r="B264" s="98" t="s">
        <v>908</v>
      </c>
      <c r="C264" s="98">
        <v>60</v>
      </c>
      <c r="D264" s="98">
        <v>5</v>
      </c>
      <c r="E264" s="102">
        <f>E263</f>
        <v>3500</v>
      </c>
      <c r="F264" s="39">
        <f>E264*D264/C264</f>
        <v>291.66666666666669</v>
      </c>
      <c r="G264" s="1"/>
      <c r="H264" s="1"/>
      <c r="I264" s="1"/>
      <c r="J264" s="1"/>
    </row>
    <row r="265" spans="1:10" ht="16.5" thickBot="1" x14ac:dyDescent="0.3">
      <c r="A265" s="79" t="s">
        <v>525</v>
      </c>
      <c r="B265" s="99"/>
      <c r="C265" s="99"/>
      <c r="D265" s="99"/>
      <c r="E265" s="70"/>
      <c r="F265" s="51">
        <f>SUM(F243:F264)</f>
        <v>6512.619829818871</v>
      </c>
      <c r="G265" s="1"/>
      <c r="H265" s="1"/>
      <c r="I265" s="1"/>
      <c r="J265" s="1"/>
    </row>
    <row r="266" spans="1:10" ht="18.75" x14ac:dyDescent="0.25">
      <c r="A266" s="80" t="s">
        <v>544</v>
      </c>
      <c r="B266" s="100"/>
      <c r="C266" s="100"/>
      <c r="D266" s="100"/>
      <c r="E266" s="71"/>
      <c r="F266" s="72">
        <f>F265*2</f>
        <v>13025.239659637742</v>
      </c>
      <c r="G266" s="75">
        <f>F266+F266*25%</f>
        <v>16281.549574547178</v>
      </c>
      <c r="H266" s="75">
        <v>3000</v>
      </c>
      <c r="I266" s="1"/>
      <c r="J266" s="1"/>
    </row>
    <row r="267" spans="1:10" ht="19.5" thickBot="1" x14ac:dyDescent="0.3">
      <c r="A267" s="81" t="s">
        <v>1559</v>
      </c>
      <c r="B267" s="101"/>
      <c r="C267" s="101"/>
      <c r="D267" s="101"/>
      <c r="E267" s="73"/>
      <c r="F267" s="73"/>
      <c r="G267" s="74"/>
      <c r="H267" s="74">
        <f>H266*2</f>
        <v>6000</v>
      </c>
      <c r="I267" s="1"/>
      <c r="J267" s="1"/>
    </row>
    <row r="268" spans="1:10" ht="16.5" thickBot="1" x14ac:dyDescent="0.3">
      <c r="A268" s="1"/>
      <c r="B268" s="1"/>
      <c r="C268" s="1"/>
      <c r="D268" s="1"/>
      <c r="E268" s="1"/>
      <c r="F268" s="1"/>
      <c r="G268" s="1"/>
      <c r="H268" s="1"/>
      <c r="I268" s="1"/>
      <c r="J268" s="1"/>
    </row>
    <row r="269" spans="1:10" ht="16.5" thickBot="1" x14ac:dyDescent="0.3">
      <c r="A269" s="1565" t="s">
        <v>140</v>
      </c>
      <c r="B269" s="1566"/>
      <c r="C269" s="1566"/>
      <c r="D269" s="1566"/>
      <c r="E269" s="1566"/>
      <c r="F269" s="1567"/>
    </row>
    <row r="270" spans="1:10" x14ac:dyDescent="0.25">
      <c r="A270" s="183" t="s">
        <v>916</v>
      </c>
      <c r="B270" s="97" t="s">
        <v>743</v>
      </c>
      <c r="C270" s="97" t="s">
        <v>1607</v>
      </c>
      <c r="D270" s="97" t="s">
        <v>1566</v>
      </c>
      <c r="E270" s="76" t="s">
        <v>1035</v>
      </c>
      <c r="F270" s="77" t="s">
        <v>1549</v>
      </c>
    </row>
    <row r="271" spans="1:10" x14ac:dyDescent="0.25">
      <c r="A271" s="184" t="s">
        <v>1859</v>
      </c>
      <c r="B271" s="98"/>
      <c r="C271" s="98"/>
      <c r="D271" s="98">
        <v>17</v>
      </c>
      <c r="E271" s="102">
        <f>'PALAIS DU BIJOU'!N47</f>
        <v>37.313432835820898</v>
      </c>
      <c r="F271" s="39">
        <f t="shared" ref="F271:F282" si="9">E271*D271</f>
        <v>634.32835820895525</v>
      </c>
      <c r="G271" s="1"/>
    </row>
    <row r="272" spans="1:10" x14ac:dyDescent="0.25">
      <c r="A272" s="184" t="s">
        <v>1754</v>
      </c>
      <c r="B272" s="98"/>
      <c r="C272" s="98"/>
      <c r="D272" s="98">
        <v>16</v>
      </c>
      <c r="E272" s="102">
        <f>VIDRIOS!E13</f>
        <v>18.888888888888889</v>
      </c>
      <c r="F272" s="39">
        <f t="shared" si="9"/>
        <v>302.22222222222223</v>
      </c>
      <c r="G272" s="1"/>
    </row>
    <row r="273" spans="1:7" x14ac:dyDescent="0.25">
      <c r="A273" s="184" t="s">
        <v>1998</v>
      </c>
      <c r="B273" s="98"/>
      <c r="C273" s="98"/>
      <c r="D273" s="98">
        <v>2</v>
      </c>
      <c r="E273" s="102">
        <f>VIDRIOS!E8</f>
        <v>8.9473684210526319</v>
      </c>
      <c r="F273" s="39">
        <f t="shared" si="9"/>
        <v>17.894736842105264</v>
      </c>
      <c r="G273" s="1"/>
    </row>
    <row r="274" spans="1:7" x14ac:dyDescent="0.25">
      <c r="A274" s="184" t="s">
        <v>2098</v>
      </c>
      <c r="B274" s="98"/>
      <c r="C274" s="98"/>
      <c r="D274" s="98">
        <v>8</v>
      </c>
      <c r="E274" s="102">
        <f>VIDRIOS!E21</f>
        <v>65</v>
      </c>
      <c r="F274" s="39">
        <f t="shared" si="9"/>
        <v>520</v>
      </c>
      <c r="G274" s="1"/>
    </row>
    <row r="275" spans="1:7" x14ac:dyDescent="0.25">
      <c r="A275" s="1613" t="s">
        <v>1814</v>
      </c>
      <c r="B275" s="98" t="s">
        <v>93</v>
      </c>
      <c r="C275" s="98"/>
      <c r="D275" s="98">
        <v>1</v>
      </c>
      <c r="E275" s="102">
        <f>PIEDRAS!F112</f>
        <v>307.69230769230768</v>
      </c>
      <c r="F275" s="39">
        <f t="shared" si="9"/>
        <v>307.69230769230768</v>
      </c>
      <c r="G275" s="1"/>
    </row>
    <row r="276" spans="1:7" x14ac:dyDescent="0.25">
      <c r="A276" s="1614"/>
      <c r="B276" s="98" t="s">
        <v>1749</v>
      </c>
      <c r="C276" s="98"/>
      <c r="D276" s="98">
        <v>1</v>
      </c>
      <c r="E276" s="102" t="e">
        <f>PIEDRAS!#REF!</f>
        <v>#REF!</v>
      </c>
      <c r="F276" s="39" t="e">
        <f t="shared" si="9"/>
        <v>#REF!</v>
      </c>
      <c r="G276" s="1"/>
    </row>
    <row r="277" spans="1:7" x14ac:dyDescent="0.25">
      <c r="A277" s="1615"/>
      <c r="B277" s="98" t="s">
        <v>2099</v>
      </c>
      <c r="C277" s="98"/>
      <c r="D277" s="98">
        <v>2</v>
      </c>
      <c r="E277" s="102">
        <f>PIEDRAS!F110</f>
        <v>6.9230769230769234</v>
      </c>
      <c r="F277" s="39">
        <f t="shared" si="9"/>
        <v>13.846153846153847</v>
      </c>
      <c r="G277" s="1"/>
    </row>
    <row r="278" spans="1:7" x14ac:dyDescent="0.25">
      <c r="A278" s="1613" t="s">
        <v>1742</v>
      </c>
      <c r="B278" s="98" t="s">
        <v>1313</v>
      </c>
      <c r="C278" s="98"/>
      <c r="D278" s="98">
        <v>1</v>
      </c>
      <c r="E278" s="102">
        <f>PERLAS!F19</f>
        <v>140.42553191489361</v>
      </c>
      <c r="F278" s="39">
        <f t="shared" si="9"/>
        <v>140.42553191489361</v>
      </c>
      <c r="G278" s="1"/>
    </row>
    <row r="279" spans="1:7" x14ac:dyDescent="0.25">
      <c r="A279" s="1614"/>
      <c r="B279" s="98" t="s">
        <v>1314</v>
      </c>
      <c r="C279" s="98"/>
      <c r="D279" s="98">
        <v>2</v>
      </c>
      <c r="E279" s="102">
        <f>PERLAS!F20</f>
        <v>101.53846153846153</v>
      </c>
      <c r="F279" s="39">
        <f t="shared" si="9"/>
        <v>203.07692307692307</v>
      </c>
      <c r="G279" s="1"/>
    </row>
    <row r="280" spans="1:7" x14ac:dyDescent="0.25">
      <c r="A280" s="1615"/>
      <c r="B280" s="98" t="s">
        <v>1316</v>
      </c>
      <c r="C280" s="98"/>
      <c r="D280" s="98">
        <v>3</v>
      </c>
      <c r="E280" s="102">
        <f>PERLAS!F21</f>
        <v>173.68421052631578</v>
      </c>
      <c r="F280" s="39">
        <f t="shared" si="9"/>
        <v>521.05263157894728</v>
      </c>
      <c r="G280" s="1"/>
    </row>
    <row r="281" spans="1:7" x14ac:dyDescent="0.25">
      <c r="A281" s="3" t="s">
        <v>2100</v>
      </c>
      <c r="B281" s="98"/>
      <c r="C281" s="98"/>
      <c r="D281" s="98">
        <v>3</v>
      </c>
      <c r="E281" s="102">
        <f>FORNITURAS!I14</f>
        <v>145.375</v>
      </c>
      <c r="F281" s="39">
        <f t="shared" si="9"/>
        <v>436.125</v>
      </c>
      <c r="G281" s="1"/>
    </row>
    <row r="282" spans="1:7" x14ac:dyDescent="0.25">
      <c r="A282" s="331" t="s">
        <v>1554</v>
      </c>
      <c r="B282" s="98"/>
      <c r="C282" s="98"/>
      <c r="D282" s="98">
        <v>2</v>
      </c>
      <c r="E282" s="102">
        <f>FORNITURAS!D26</f>
        <v>297.14285714285717</v>
      </c>
      <c r="F282" s="39">
        <f t="shared" si="9"/>
        <v>594.28571428571433</v>
      </c>
      <c r="G282" s="1"/>
    </row>
    <row r="283" spans="1:7" x14ac:dyDescent="0.25">
      <c r="A283" s="184" t="s">
        <v>1587</v>
      </c>
      <c r="B283" s="98"/>
      <c r="C283" s="98"/>
      <c r="D283" s="98">
        <v>1</v>
      </c>
      <c r="E283" s="102">
        <f>FORNITURAS!D18</f>
        <v>363</v>
      </c>
      <c r="F283" s="39">
        <f>D283*E283</f>
        <v>363</v>
      </c>
      <c r="G283" s="1"/>
    </row>
    <row r="284" spans="1:7" x14ac:dyDescent="0.25">
      <c r="A284" s="184" t="s">
        <v>1012</v>
      </c>
      <c r="B284" s="98"/>
      <c r="C284" s="98"/>
      <c r="D284" s="98">
        <v>2</v>
      </c>
      <c r="E284" s="102">
        <f>FORNITURAS!D17</f>
        <v>45.05</v>
      </c>
      <c r="F284" s="39">
        <f>D284*E284</f>
        <v>90.1</v>
      </c>
      <c r="G284" s="1"/>
    </row>
    <row r="285" spans="1:7" x14ac:dyDescent="0.25">
      <c r="A285" s="184" t="s">
        <v>908</v>
      </c>
      <c r="B285" s="98"/>
      <c r="C285" s="98">
        <v>0.26</v>
      </c>
      <c r="D285" s="98">
        <v>0.1</v>
      </c>
      <c r="E285" s="102">
        <f>'AROS, CADENAS, DIJES, ETC'!T10</f>
        <v>1000</v>
      </c>
      <c r="F285" s="39">
        <f>E285*D285/C285</f>
        <v>384.61538461538458</v>
      </c>
      <c r="G285" s="1"/>
    </row>
    <row r="286" spans="1:7" x14ac:dyDescent="0.25">
      <c r="A286" s="1613" t="s">
        <v>1555</v>
      </c>
      <c r="B286" s="98" t="s">
        <v>1556</v>
      </c>
      <c r="C286" s="98"/>
      <c r="D286" s="98">
        <v>2</v>
      </c>
      <c r="E286" s="102">
        <f>FORNITURAS!D4</f>
        <v>48.7</v>
      </c>
      <c r="F286" s="39">
        <f>D286*E286</f>
        <v>97.4</v>
      </c>
      <c r="G286" s="1"/>
    </row>
    <row r="287" spans="1:7" x14ac:dyDescent="0.25">
      <c r="A287" s="1615"/>
      <c r="B287" s="98" t="s">
        <v>1573</v>
      </c>
      <c r="C287" s="98"/>
      <c r="D287" s="98">
        <v>1</v>
      </c>
      <c r="E287" s="102">
        <f>FORNITURAS!D7</f>
        <v>52</v>
      </c>
      <c r="F287" s="39">
        <f>E287*D287</f>
        <v>52</v>
      </c>
      <c r="G287" s="1"/>
    </row>
    <row r="288" spans="1:7" x14ac:dyDescent="0.25">
      <c r="A288" s="104" t="s">
        <v>1557</v>
      </c>
      <c r="B288" s="98"/>
      <c r="C288" s="98"/>
      <c r="D288" s="98"/>
      <c r="E288" s="102"/>
      <c r="F288" s="523">
        <f>PACKAGING!E4</f>
        <v>80</v>
      </c>
      <c r="G288" s="1"/>
    </row>
    <row r="289" spans="1:8" x14ac:dyDescent="0.25">
      <c r="A289" s="104" t="s">
        <v>1634</v>
      </c>
      <c r="B289" s="98"/>
      <c r="C289" s="98"/>
      <c r="D289" s="98"/>
      <c r="E289" s="102"/>
      <c r="F289" s="523">
        <f>PACKAGING!E7</f>
        <v>170</v>
      </c>
      <c r="G289" s="1"/>
    </row>
    <row r="290" spans="1:8" x14ac:dyDescent="0.25">
      <c r="A290" s="104" t="s">
        <v>1670</v>
      </c>
      <c r="B290" s="98"/>
      <c r="C290" s="98"/>
      <c r="D290" s="98"/>
      <c r="E290" s="102"/>
      <c r="F290" s="523">
        <f>PACKAGING!E9</f>
        <v>450</v>
      </c>
      <c r="G290" s="1"/>
    </row>
    <row r="291" spans="1:8" x14ac:dyDescent="0.25">
      <c r="A291" s="1613" t="s">
        <v>1558</v>
      </c>
      <c r="B291" s="98" t="s">
        <v>1590</v>
      </c>
      <c r="C291" s="98">
        <v>60</v>
      </c>
      <c r="D291" s="98">
        <v>15</v>
      </c>
      <c r="E291" s="102">
        <f>'INSUMOS VARIOS'!B3</f>
        <v>3500</v>
      </c>
      <c r="F291" s="39">
        <f>E291*D291/C291</f>
        <v>875</v>
      </c>
      <c r="G291" s="1"/>
      <c r="H291" s="1"/>
    </row>
    <row r="292" spans="1:8" x14ac:dyDescent="0.25">
      <c r="A292" s="1615"/>
      <c r="B292" s="98" t="s">
        <v>908</v>
      </c>
      <c r="C292" s="98">
        <v>60</v>
      </c>
      <c r="D292" s="98">
        <v>5</v>
      </c>
      <c r="E292" s="102">
        <f>E291</f>
        <v>3500</v>
      </c>
      <c r="F292" s="39">
        <f>E292*D292/C292</f>
        <v>291.66666666666669</v>
      </c>
      <c r="G292" s="1"/>
      <c r="H292" s="1"/>
    </row>
    <row r="293" spans="1:8" ht="16.5" thickBot="1" x14ac:dyDescent="0.3">
      <c r="A293" s="79" t="s">
        <v>525</v>
      </c>
      <c r="B293" s="99"/>
      <c r="C293" s="99"/>
      <c r="D293" s="99"/>
      <c r="E293" s="70"/>
      <c r="F293" s="51" t="e">
        <f>SUM(F271:F292)</f>
        <v>#REF!</v>
      </c>
      <c r="G293" s="1"/>
    </row>
    <row r="294" spans="1:8" ht="18.75" x14ac:dyDescent="0.25">
      <c r="A294" s="80" t="s">
        <v>544</v>
      </c>
      <c r="B294" s="100"/>
      <c r="C294" s="100"/>
      <c r="D294" s="100"/>
      <c r="E294" s="71"/>
      <c r="F294" s="221" t="e">
        <f>F293*2</f>
        <v>#REF!</v>
      </c>
      <c r="G294" s="512" t="e">
        <f>F294+F294*25%</f>
        <v>#REF!</v>
      </c>
      <c r="H294" s="75">
        <v>3000</v>
      </c>
    </row>
    <row r="295" spans="1:8" ht="19.5" thickBot="1" x14ac:dyDescent="0.3">
      <c r="A295" s="211" t="s">
        <v>1559</v>
      </c>
      <c r="B295" s="214"/>
      <c r="C295" s="214"/>
      <c r="D295" s="214"/>
      <c r="E295" s="212"/>
      <c r="F295" s="372"/>
      <c r="G295" s="522"/>
      <c r="H295" s="371">
        <f>H294*2</f>
        <v>6000</v>
      </c>
    </row>
    <row r="296" spans="1:8" x14ac:dyDescent="0.25">
      <c r="A296" s="1"/>
      <c r="B296" s="1"/>
      <c r="C296" s="1"/>
      <c r="D296" s="1"/>
      <c r="E296" s="1"/>
      <c r="F296" s="1"/>
      <c r="G296" s="1"/>
      <c r="H296" s="1"/>
    </row>
    <row r="319" spans="1:8" x14ac:dyDescent="0.25">
      <c r="A319" s="1"/>
      <c r="B319" s="1"/>
      <c r="C319" s="1"/>
      <c r="D319" s="1"/>
      <c r="E319" s="1"/>
      <c r="F319" s="1"/>
      <c r="G319" s="1"/>
      <c r="H319" s="1"/>
    </row>
    <row r="339" spans="1:7" ht="16.5" thickBot="1" x14ac:dyDescent="0.3"/>
    <row r="340" spans="1:7" ht="16.5" thickBot="1" x14ac:dyDescent="0.3">
      <c r="A340" s="1565" t="s">
        <v>384</v>
      </c>
      <c r="B340" s="1566"/>
      <c r="C340" s="1566"/>
      <c r="D340" s="1566"/>
      <c r="E340" s="1567"/>
    </row>
    <row r="341" spans="1:7" x14ac:dyDescent="0.25">
      <c r="A341" s="183" t="s">
        <v>916</v>
      </c>
      <c r="B341" s="97" t="s">
        <v>743</v>
      </c>
      <c r="C341" s="97" t="s">
        <v>1566</v>
      </c>
      <c r="D341" s="76" t="s">
        <v>1035</v>
      </c>
      <c r="E341" s="77" t="s">
        <v>1549</v>
      </c>
      <c r="F341" s="1"/>
    </row>
    <row r="342" spans="1:7" x14ac:dyDescent="0.25">
      <c r="A342" s="185" t="s">
        <v>1569</v>
      </c>
      <c r="B342" s="98"/>
      <c r="C342" s="98">
        <v>1</v>
      </c>
      <c r="D342" s="102">
        <f>'INSUMOS VARIOS'!E64</f>
        <v>600</v>
      </c>
      <c r="E342" s="39">
        <f>D342*C342</f>
        <v>600</v>
      </c>
      <c r="F342" s="1"/>
    </row>
    <row r="343" spans="1:7" x14ac:dyDescent="0.25">
      <c r="A343" s="1613" t="s">
        <v>1572</v>
      </c>
      <c r="B343" s="98" t="s">
        <v>1556</v>
      </c>
      <c r="C343" s="98">
        <v>2</v>
      </c>
      <c r="D343" s="102">
        <f>FORNITURAS!D4</f>
        <v>48.7</v>
      </c>
      <c r="E343" s="39">
        <f t="shared" ref="E343:E348" si="10">C343*D343</f>
        <v>97.4</v>
      </c>
      <c r="F343" s="1"/>
    </row>
    <row r="344" spans="1:7" x14ac:dyDescent="0.25">
      <c r="A344" s="1615"/>
      <c r="B344" s="98" t="s">
        <v>1573</v>
      </c>
      <c r="C344" s="98">
        <v>1</v>
      </c>
      <c r="D344" s="102">
        <f>FORNITURAS!D7</f>
        <v>52</v>
      </c>
      <c r="E344" s="39">
        <f t="shared" si="10"/>
        <v>52</v>
      </c>
      <c r="F344" s="1"/>
    </row>
    <row r="345" spans="1:7" x14ac:dyDescent="0.25">
      <c r="A345" s="3" t="s">
        <v>2000</v>
      </c>
      <c r="B345" s="98"/>
      <c r="C345" s="98">
        <v>2</v>
      </c>
      <c r="D345" s="102">
        <f>FORNITURAS!I4</f>
        <v>66.099999999999994</v>
      </c>
      <c r="E345" s="39">
        <f t="shared" si="10"/>
        <v>132.19999999999999</v>
      </c>
      <c r="F345" s="1"/>
    </row>
    <row r="346" spans="1:7" x14ac:dyDescent="0.25">
      <c r="A346" s="104" t="s">
        <v>1191</v>
      </c>
      <c r="B346" s="98"/>
      <c r="C346" s="98">
        <v>2</v>
      </c>
      <c r="D346" s="102">
        <f>FORNITURAS!D17</f>
        <v>45.05</v>
      </c>
      <c r="E346" s="39">
        <f t="shared" si="10"/>
        <v>90.1</v>
      </c>
      <c r="F346" s="1"/>
    </row>
    <row r="347" spans="1:7" x14ac:dyDescent="0.25">
      <c r="A347" s="104" t="s">
        <v>1608</v>
      </c>
      <c r="B347" s="98"/>
      <c r="C347" s="98">
        <v>0.1</v>
      </c>
      <c r="D347" s="102">
        <f>'AROS, CADENAS, DIJES, ETC'!I38</f>
        <v>3630</v>
      </c>
      <c r="E347" s="39">
        <f t="shared" si="10"/>
        <v>363</v>
      </c>
      <c r="F347" s="1"/>
    </row>
    <row r="348" spans="1:7" x14ac:dyDescent="0.25">
      <c r="A348" s="104" t="s">
        <v>1587</v>
      </c>
      <c r="B348" s="98"/>
      <c r="C348" s="98">
        <v>1</v>
      </c>
      <c r="D348" s="102">
        <f>FORNITURAS!D18</f>
        <v>363</v>
      </c>
      <c r="E348" s="39">
        <f t="shared" si="10"/>
        <v>363</v>
      </c>
      <c r="F348" s="1"/>
    </row>
    <row r="349" spans="1:7" x14ac:dyDescent="0.25">
      <c r="A349" s="104" t="s">
        <v>1557</v>
      </c>
      <c r="B349" s="98"/>
      <c r="C349" s="98"/>
      <c r="D349" s="102"/>
      <c r="E349" s="523">
        <f>PACKAGING!E4</f>
        <v>80</v>
      </c>
      <c r="G349" s="1"/>
    </row>
    <row r="350" spans="1:7" x14ac:dyDescent="0.25">
      <c r="A350" s="104" t="s">
        <v>1634</v>
      </c>
      <c r="B350" s="98"/>
      <c r="C350" s="98"/>
      <c r="D350" s="102"/>
      <c r="E350" s="523">
        <f>PACKAGING!E7</f>
        <v>170</v>
      </c>
      <c r="G350" s="1"/>
    </row>
    <row r="351" spans="1:7" x14ac:dyDescent="0.25">
      <c r="A351" s="104" t="s">
        <v>1670</v>
      </c>
      <c r="B351" s="98"/>
      <c r="C351" s="98"/>
      <c r="D351" s="102"/>
      <c r="E351" s="523">
        <f>PACKAGING!E9</f>
        <v>450</v>
      </c>
      <c r="G351" s="1"/>
    </row>
    <row r="352" spans="1:7" x14ac:dyDescent="0.25">
      <c r="A352" s="1616" t="s">
        <v>1618</v>
      </c>
      <c r="B352" s="98">
        <v>60</v>
      </c>
      <c r="C352" s="98">
        <v>10</v>
      </c>
      <c r="D352" s="66">
        <f>'INSUMOS VARIOS'!B3</f>
        <v>3500</v>
      </c>
      <c r="E352" s="524">
        <f>D352*C352/B352</f>
        <v>583.33333333333337</v>
      </c>
      <c r="G352" s="1"/>
    </row>
    <row r="353" spans="1:7" x14ac:dyDescent="0.25">
      <c r="A353" s="1715"/>
      <c r="B353" s="98">
        <v>60</v>
      </c>
      <c r="C353" s="98">
        <v>5</v>
      </c>
      <c r="D353" s="66">
        <f>D352</f>
        <v>3500</v>
      </c>
      <c r="E353" s="524">
        <f>D353*C353/B353</f>
        <v>291.66666666666669</v>
      </c>
      <c r="G353" s="1"/>
    </row>
    <row r="354" spans="1:7" ht="16.5" thickBot="1" x14ac:dyDescent="0.3">
      <c r="A354" s="79" t="s">
        <v>525</v>
      </c>
      <c r="B354" s="99"/>
      <c r="C354" s="99"/>
      <c r="D354" s="70"/>
      <c r="E354" s="51">
        <f>SUM(E342:E353)</f>
        <v>3272.7</v>
      </c>
      <c r="F354" s="1"/>
    </row>
    <row r="355" spans="1:7" ht="18.75" x14ac:dyDescent="0.25">
      <c r="A355" s="80" t="s">
        <v>544</v>
      </c>
      <c r="B355" s="100"/>
      <c r="C355" s="100"/>
      <c r="D355" s="71"/>
      <c r="E355" s="72">
        <f>E354*2</f>
        <v>6545.4</v>
      </c>
      <c r="F355" s="492">
        <f>E355+E355*25%</f>
        <v>8181.75</v>
      </c>
      <c r="G355" s="75">
        <v>2250</v>
      </c>
    </row>
    <row r="356" spans="1:7" ht="19.5" thickBot="1" x14ac:dyDescent="0.3">
      <c r="A356" s="81" t="s">
        <v>1559</v>
      </c>
      <c r="B356" s="101"/>
      <c r="C356" s="101"/>
      <c r="D356" s="73"/>
      <c r="E356" s="73"/>
      <c r="F356" s="493"/>
      <c r="G356" s="74">
        <f>G355*2</f>
        <v>4500</v>
      </c>
    </row>
  </sheetData>
  <mergeCells count="42">
    <mergeCell ref="A2:J2"/>
    <mergeCell ref="A75:F75"/>
    <mergeCell ref="A81:A82"/>
    <mergeCell ref="A16:F16"/>
    <mergeCell ref="A20:A21"/>
    <mergeCell ref="A26:A27"/>
    <mergeCell ref="A40:A41"/>
    <mergeCell ref="A46:A47"/>
    <mergeCell ref="A36:F36"/>
    <mergeCell ref="A110:F110"/>
    <mergeCell ref="A125:A126"/>
    <mergeCell ref="A186:A188"/>
    <mergeCell ref="A184:G184"/>
    <mergeCell ref="A190:A191"/>
    <mergeCell ref="A164:G164"/>
    <mergeCell ref="A167:A168"/>
    <mergeCell ref="A135:G135"/>
    <mergeCell ref="A137:A139"/>
    <mergeCell ref="A158:A159"/>
    <mergeCell ref="A141:A144"/>
    <mergeCell ref="A178:A179"/>
    <mergeCell ref="A208:A210"/>
    <mergeCell ref="A212:A213"/>
    <mergeCell ref="A206:G206"/>
    <mergeCell ref="A343:A344"/>
    <mergeCell ref="A352:A353"/>
    <mergeCell ref="M4:R4"/>
    <mergeCell ref="L2:V2"/>
    <mergeCell ref="A340:E340"/>
    <mergeCell ref="A291:A292"/>
    <mergeCell ref="A269:F269"/>
    <mergeCell ref="A286:A287"/>
    <mergeCell ref="A275:A277"/>
    <mergeCell ref="A278:A280"/>
    <mergeCell ref="A226:G226"/>
    <mergeCell ref="A91:F91"/>
    <mergeCell ref="A229:A230"/>
    <mergeCell ref="A253:A254"/>
    <mergeCell ref="A263:A264"/>
    <mergeCell ref="A241:F241"/>
    <mergeCell ref="A243:A244"/>
    <mergeCell ref="A100:A101"/>
  </mergeCells>
  <phoneticPr fontId="21" type="noConversion"/>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Hoja28"/>
  <dimension ref="A1:I162"/>
  <sheetViews>
    <sheetView zoomScale="81" zoomScaleNormal="113" workbookViewId="0">
      <selection activeCell="G78" sqref="G78"/>
    </sheetView>
  </sheetViews>
  <sheetFormatPr baseColWidth="10" defaultColWidth="10.85546875" defaultRowHeight="15.75" x14ac:dyDescent="0.25"/>
  <cols>
    <col min="1" max="1" width="23.140625" style="171" bestFit="1" customWidth="1"/>
    <col min="2" max="2" width="19.140625" style="171" bestFit="1" customWidth="1"/>
    <col min="3" max="3" width="10.85546875" style="171" customWidth="1"/>
    <col min="4" max="4" width="13.7109375" style="171" bestFit="1" customWidth="1"/>
    <col min="5" max="5" width="10.85546875" style="171"/>
    <col min="6" max="7" width="13" style="171" bestFit="1" customWidth="1"/>
    <col min="8" max="8" width="12.85546875" style="171" customWidth="1"/>
    <col min="9" max="9" width="16.42578125" style="171" bestFit="1" customWidth="1"/>
    <col min="10" max="10" width="19.140625" style="171" bestFit="1" customWidth="1"/>
    <col min="11" max="13" width="10.85546875" style="171"/>
    <col min="14" max="14" width="11.5703125" style="171" bestFit="1" customWidth="1"/>
    <col min="15" max="16384" width="10.85546875" style="171"/>
  </cols>
  <sheetData>
    <row r="1" spans="1:6" x14ac:dyDescent="0.25">
      <c r="A1" s="1666" t="s">
        <v>2103</v>
      </c>
      <c r="B1" s="1667"/>
      <c r="C1" s="1667"/>
      <c r="D1" s="1667"/>
      <c r="E1" s="1668"/>
    </row>
    <row r="2" spans="1:6" x14ac:dyDescent="0.25">
      <c r="A2" s="183" t="s">
        <v>916</v>
      </c>
      <c r="B2" s="97" t="s">
        <v>1089</v>
      </c>
      <c r="C2" s="76" t="s">
        <v>1547</v>
      </c>
      <c r="D2" s="108" t="s">
        <v>1035</v>
      </c>
      <c r="E2" s="77" t="s">
        <v>1549</v>
      </c>
      <c r="F2" s="1"/>
    </row>
    <row r="3" spans="1:6" x14ac:dyDescent="0.25">
      <c r="A3" s="104" t="s">
        <v>2104</v>
      </c>
      <c r="B3" s="148">
        <v>0.38</v>
      </c>
      <c r="C3" s="107">
        <v>0.15</v>
      </c>
      <c r="D3" s="109">
        <f>PIEDRAS!E108</f>
        <v>50</v>
      </c>
      <c r="E3" s="110">
        <f>D3*C3/B3</f>
        <v>19.736842105263158</v>
      </c>
      <c r="F3" s="1"/>
    </row>
    <row r="4" spans="1:6" x14ac:dyDescent="0.25">
      <c r="A4" s="104" t="s">
        <v>2105</v>
      </c>
      <c r="B4" s="148"/>
      <c r="C4" s="107">
        <v>1</v>
      </c>
      <c r="D4" s="109" t="e">
        <f>'AROS, CADENAS, DIJES, ETC'!#REF!</f>
        <v>#REF!</v>
      </c>
      <c r="E4" s="110" t="e">
        <f>C4*D4</f>
        <v>#REF!</v>
      </c>
      <c r="F4" s="1"/>
    </row>
    <row r="5" spans="1:6" x14ac:dyDescent="0.25">
      <c r="A5" s="104" t="s">
        <v>1666</v>
      </c>
      <c r="B5" s="148"/>
      <c r="C5" s="107">
        <v>1</v>
      </c>
      <c r="D5" s="109" t="e">
        <f>PIEDRAS!#REF!</f>
        <v>#REF!</v>
      </c>
      <c r="E5" s="110" t="e">
        <f>C5*D5</f>
        <v>#REF!</v>
      </c>
      <c r="F5" s="1"/>
    </row>
    <row r="6" spans="1:6" x14ac:dyDescent="0.25">
      <c r="A6" s="104" t="s">
        <v>1424</v>
      </c>
      <c r="B6" s="148"/>
      <c r="C6" s="107">
        <v>0.26</v>
      </c>
      <c r="D6" s="109">
        <f>'HILOS-CORDONES-TANZA-CUERO'!L9</f>
        <v>30</v>
      </c>
      <c r="E6" s="110">
        <f>C6*D6</f>
        <v>7.8000000000000007</v>
      </c>
      <c r="F6" s="1"/>
    </row>
    <row r="7" spans="1:6" x14ac:dyDescent="0.25">
      <c r="A7" s="104" t="s">
        <v>908</v>
      </c>
      <c r="B7" s="148"/>
      <c r="C7" s="107">
        <v>3.5000000000000003E-2</v>
      </c>
      <c r="D7" s="109">
        <f>'AROS, CADENAS, DIJES, ETC'!I38</f>
        <v>3630</v>
      </c>
      <c r="E7" s="110">
        <f>D7*C7</f>
        <v>127.05000000000001</v>
      </c>
      <c r="F7" s="1"/>
    </row>
    <row r="8" spans="1:6" x14ac:dyDescent="0.25">
      <c r="A8" s="104" t="s">
        <v>1587</v>
      </c>
      <c r="B8" s="148"/>
      <c r="C8" s="2">
        <v>1</v>
      </c>
      <c r="D8" s="109">
        <f>FORNITURAS!D18</f>
        <v>363</v>
      </c>
      <c r="E8" s="110">
        <f>C8*D8</f>
        <v>363</v>
      </c>
      <c r="F8" s="1"/>
    </row>
    <row r="9" spans="1:6" x14ac:dyDescent="0.25">
      <c r="A9" s="104" t="s">
        <v>1012</v>
      </c>
      <c r="B9" s="148"/>
      <c r="C9" s="2">
        <v>2</v>
      </c>
      <c r="D9" s="109">
        <f>FORNITURAS!D17</f>
        <v>45.05</v>
      </c>
      <c r="E9" s="110">
        <f>C9*D9</f>
        <v>90.1</v>
      </c>
      <c r="F9" s="1"/>
    </row>
    <row r="10" spans="1:6" x14ac:dyDescent="0.25">
      <c r="A10" s="104" t="s">
        <v>1555</v>
      </c>
      <c r="B10" s="148" t="s">
        <v>1556</v>
      </c>
      <c r="C10" s="2">
        <v>2</v>
      </c>
      <c r="D10" s="109">
        <f>FORNITURAS!D4</f>
        <v>48.7</v>
      </c>
      <c r="E10" s="110">
        <f>D10*C10</f>
        <v>97.4</v>
      </c>
      <c r="F10" s="1"/>
    </row>
    <row r="11" spans="1:6" x14ac:dyDescent="0.25">
      <c r="A11" s="104" t="s">
        <v>1050</v>
      </c>
      <c r="B11" s="148" t="s">
        <v>1059</v>
      </c>
      <c r="C11" s="2">
        <v>0.05</v>
      </c>
      <c r="D11" s="109">
        <f>FORNITURAS!W5</f>
        <v>906.42857142857144</v>
      </c>
      <c r="E11" s="110">
        <f>C11*D11</f>
        <v>45.321428571428577</v>
      </c>
      <c r="F11" s="1"/>
    </row>
    <row r="12" spans="1:6" x14ac:dyDescent="0.25">
      <c r="A12" s="104" t="s">
        <v>1697</v>
      </c>
      <c r="B12" s="148" t="s">
        <v>777</v>
      </c>
      <c r="C12" s="2">
        <v>2</v>
      </c>
      <c r="D12" s="109">
        <f>FORNITURAS!D26</f>
        <v>297.14285714285717</v>
      </c>
      <c r="E12" s="110">
        <f>C12*D12</f>
        <v>594.28571428571433</v>
      </c>
      <c r="F12" s="1"/>
    </row>
    <row r="13" spans="1:6" x14ac:dyDescent="0.25">
      <c r="A13" s="3" t="s">
        <v>1557</v>
      </c>
      <c r="B13" s="98"/>
      <c r="C13" s="2"/>
      <c r="D13" s="6"/>
      <c r="E13" s="39">
        <f>PACKAGING!E3</f>
        <v>150</v>
      </c>
      <c r="F13" s="1"/>
    </row>
    <row r="14" spans="1:6" x14ac:dyDescent="0.25">
      <c r="A14" s="189" t="s">
        <v>1558</v>
      </c>
      <c r="B14" s="98"/>
      <c r="C14" s="2"/>
      <c r="D14" s="6"/>
      <c r="E14" s="39">
        <v>40</v>
      </c>
      <c r="F14" s="1"/>
    </row>
    <row r="15" spans="1:6" x14ac:dyDescent="0.25">
      <c r="A15" s="189" t="s">
        <v>908</v>
      </c>
      <c r="B15" s="98"/>
      <c r="C15" s="2"/>
      <c r="D15" s="6"/>
      <c r="E15" s="39">
        <v>25</v>
      </c>
      <c r="F15" s="1"/>
    </row>
    <row r="16" spans="1:6" ht="16.5" thickBot="1" x14ac:dyDescent="0.3">
      <c r="A16" s="79" t="s">
        <v>525</v>
      </c>
      <c r="B16" s="99"/>
      <c r="C16" s="70"/>
      <c r="D16" s="85"/>
      <c r="E16" s="51" t="e">
        <f>SUM(E3:E15)</f>
        <v>#REF!</v>
      </c>
      <c r="F16" s="1"/>
    </row>
    <row r="17" spans="1:7" ht="18.75" x14ac:dyDescent="0.25">
      <c r="A17" s="80" t="s">
        <v>544</v>
      </c>
      <c r="B17" s="100"/>
      <c r="C17" s="71"/>
      <c r="D17" s="71"/>
      <c r="E17" s="267" t="e">
        <f>E16*2</f>
        <v>#REF!</v>
      </c>
      <c r="F17" s="278">
        <v>810</v>
      </c>
    </row>
    <row r="18" spans="1:7" ht="19.5" thickBot="1" x14ac:dyDescent="0.3">
      <c r="A18" s="81" t="s">
        <v>1559</v>
      </c>
      <c r="B18" s="101"/>
      <c r="C18" s="73"/>
      <c r="D18" s="73"/>
      <c r="E18" s="280"/>
      <c r="F18" s="279">
        <f>F17*2</f>
        <v>1620</v>
      </c>
    </row>
    <row r="19" spans="1:7" ht="16.5" thickBot="1" x14ac:dyDescent="0.3">
      <c r="G19" s="201"/>
    </row>
    <row r="20" spans="1:7" ht="16.5" thickBot="1" x14ac:dyDescent="0.3">
      <c r="A20" s="1565" t="s">
        <v>336</v>
      </c>
      <c r="B20" s="1566"/>
      <c r="C20" s="1566"/>
      <c r="D20" s="1566"/>
      <c r="E20" s="1566"/>
      <c r="F20" s="1567"/>
      <c r="G20"/>
    </row>
    <row r="21" spans="1:7" x14ac:dyDescent="0.25">
      <c r="A21" s="183" t="s">
        <v>916</v>
      </c>
      <c r="B21" s="97" t="s">
        <v>742</v>
      </c>
      <c r="C21" s="97" t="s">
        <v>1089</v>
      </c>
      <c r="D21" s="97" t="s">
        <v>1547</v>
      </c>
      <c r="E21" s="76" t="s">
        <v>1035</v>
      </c>
      <c r="F21" s="77" t="s">
        <v>1549</v>
      </c>
      <c r="G21"/>
    </row>
    <row r="22" spans="1:7" x14ac:dyDescent="0.25">
      <c r="A22" s="1701" t="s">
        <v>1691</v>
      </c>
      <c r="B22" s="98" t="s">
        <v>1582</v>
      </c>
      <c r="C22" s="98"/>
      <c r="D22" s="98">
        <v>7</v>
      </c>
      <c r="E22" s="102">
        <f>PERLAS!F4</f>
        <v>81</v>
      </c>
      <c r="F22" s="39">
        <f t="shared" ref="F22:F27" si="0">E22*D22</f>
        <v>567</v>
      </c>
      <c r="G22" s="1"/>
    </row>
    <row r="23" spans="1:7" x14ac:dyDescent="0.25">
      <c r="A23" s="1702"/>
      <c r="B23" s="98" t="s">
        <v>1584</v>
      </c>
      <c r="C23" s="98"/>
      <c r="D23" s="98">
        <v>2</v>
      </c>
      <c r="E23" s="102" t="e">
        <f>PIEDRAS!#REF!</f>
        <v>#REF!</v>
      </c>
      <c r="F23" s="39" t="e">
        <f t="shared" si="0"/>
        <v>#REF!</v>
      </c>
      <c r="G23" s="1"/>
    </row>
    <row r="24" spans="1:7" x14ac:dyDescent="0.25">
      <c r="A24" s="184" t="s">
        <v>1840</v>
      </c>
      <c r="B24" s="98"/>
      <c r="C24" s="98"/>
      <c r="D24" s="98">
        <v>2</v>
      </c>
      <c r="E24" s="102">
        <f>PIEDRAS!L7</f>
        <v>0</v>
      </c>
      <c r="F24" s="39">
        <f t="shared" si="0"/>
        <v>0</v>
      </c>
      <c r="G24" s="1"/>
    </row>
    <row r="25" spans="1:7" x14ac:dyDescent="0.25">
      <c r="A25" s="184" t="s">
        <v>2106</v>
      </c>
      <c r="B25" s="98"/>
      <c r="C25" s="98"/>
      <c r="D25" s="98">
        <v>1</v>
      </c>
      <c r="E25" s="102">
        <f>PIEDRAS!L7</f>
        <v>0</v>
      </c>
      <c r="F25" s="39">
        <f t="shared" si="0"/>
        <v>0</v>
      </c>
      <c r="G25" s="1"/>
    </row>
    <row r="26" spans="1:7" x14ac:dyDescent="0.25">
      <c r="A26" s="184" t="s">
        <v>1841</v>
      </c>
      <c r="B26" s="98"/>
      <c r="C26" s="98"/>
      <c r="D26" s="98">
        <v>3</v>
      </c>
      <c r="E26" s="102">
        <f>VIDRIOS!E4</f>
        <v>34</v>
      </c>
      <c r="F26" s="39">
        <f t="shared" si="0"/>
        <v>102</v>
      </c>
      <c r="G26" s="1"/>
    </row>
    <row r="27" spans="1:7" x14ac:dyDescent="0.25">
      <c r="A27" s="184" t="s">
        <v>1842</v>
      </c>
      <c r="B27" s="98"/>
      <c r="C27" s="98"/>
      <c r="D27" s="98">
        <v>2</v>
      </c>
      <c r="E27" s="102">
        <f>VIDRIOS!E5</f>
        <v>56.666666666666664</v>
      </c>
      <c r="F27" s="39">
        <f t="shared" si="0"/>
        <v>113.33333333333333</v>
      </c>
      <c r="G27" s="1"/>
    </row>
    <row r="28" spans="1:7" x14ac:dyDescent="0.25">
      <c r="A28" s="184" t="s">
        <v>1552</v>
      </c>
      <c r="B28" s="98">
        <v>0.39</v>
      </c>
      <c r="C28" s="98">
        <v>4.0000000000000001E-3</v>
      </c>
      <c r="D28" s="98">
        <v>7</v>
      </c>
      <c r="E28" s="102">
        <f>'PALAIS DU BIJOU'!N4</f>
        <v>170</v>
      </c>
      <c r="F28" s="39">
        <f>(E28*C28/B28)*D28</f>
        <v>12.205128205128204</v>
      </c>
      <c r="G28" s="1"/>
    </row>
    <row r="29" spans="1:7" x14ac:dyDescent="0.25">
      <c r="A29" s="184" t="s">
        <v>1843</v>
      </c>
      <c r="B29" s="98"/>
      <c r="C29" s="98"/>
      <c r="D29" s="98">
        <v>2</v>
      </c>
      <c r="E29" s="102">
        <f>PIEDRAS!L5</f>
        <v>0</v>
      </c>
      <c r="F29" s="39">
        <f>E29*D29</f>
        <v>0</v>
      </c>
      <c r="G29" s="1"/>
    </row>
    <row r="30" spans="1:7" x14ac:dyDescent="0.25">
      <c r="A30" s="184" t="s">
        <v>1350</v>
      </c>
      <c r="B30" s="98"/>
      <c r="C30" s="98"/>
      <c r="D30" s="98">
        <v>1</v>
      </c>
      <c r="E30" s="102">
        <f>PIEDRAS!F110</f>
        <v>6.9230769230769234</v>
      </c>
      <c r="F30" s="39">
        <f>E30*D30</f>
        <v>6.9230769230769234</v>
      </c>
      <c r="G30" s="1"/>
    </row>
    <row r="31" spans="1:7" x14ac:dyDescent="0.25">
      <c r="A31" s="184" t="s">
        <v>1594</v>
      </c>
      <c r="B31" s="98"/>
      <c r="C31" s="98"/>
      <c r="D31" s="98">
        <v>0.28000000000000003</v>
      </c>
      <c r="E31" s="102">
        <f>'HILOS-CORDONES-TANZA-CUERO'!L5</f>
        <v>7.34</v>
      </c>
      <c r="F31" s="39">
        <f>E31*D31</f>
        <v>2.0552000000000001</v>
      </c>
      <c r="G31" s="1"/>
    </row>
    <row r="32" spans="1:7" x14ac:dyDescent="0.25">
      <c r="A32" s="3" t="s">
        <v>1557</v>
      </c>
      <c r="B32" s="98"/>
      <c r="C32" s="98"/>
      <c r="D32" s="98"/>
      <c r="E32" s="2"/>
      <c r="F32" s="39">
        <f>PACKAGING!E12</f>
        <v>50</v>
      </c>
      <c r="G32" s="1"/>
    </row>
    <row r="33" spans="1:7" x14ac:dyDescent="0.25">
      <c r="A33" s="104" t="s">
        <v>1590</v>
      </c>
      <c r="B33" s="98"/>
      <c r="C33" s="98"/>
      <c r="D33" s="98"/>
      <c r="E33" s="2"/>
      <c r="F33" s="39">
        <v>50</v>
      </c>
      <c r="G33" s="1"/>
    </row>
    <row r="34" spans="1:7" ht="16.5" thickBot="1" x14ac:dyDescent="0.3">
      <c r="A34" s="79" t="s">
        <v>525</v>
      </c>
      <c r="B34" s="99"/>
      <c r="C34" s="99"/>
      <c r="D34" s="99"/>
      <c r="E34" s="70"/>
      <c r="F34" s="51" t="e">
        <f>SUM(F22:F33)</f>
        <v>#REF!</v>
      </c>
    </row>
    <row r="35" spans="1:7" ht="18.75" x14ac:dyDescent="0.25">
      <c r="A35" s="80" t="s">
        <v>544</v>
      </c>
      <c r="B35" s="100"/>
      <c r="C35" s="100"/>
      <c r="D35" s="100"/>
      <c r="E35" s="71"/>
      <c r="F35" s="267" t="e">
        <f>F34*2</f>
        <v>#REF!</v>
      </c>
      <c r="G35" s="278">
        <v>560</v>
      </c>
    </row>
    <row r="36" spans="1:7" ht="19.5" thickBot="1" x14ac:dyDescent="0.3">
      <c r="A36" s="81" t="s">
        <v>1559</v>
      </c>
      <c r="B36" s="101"/>
      <c r="C36" s="101"/>
      <c r="D36" s="101"/>
      <c r="E36" s="73"/>
      <c r="F36" s="280"/>
      <c r="G36" s="279">
        <f>G35*2</f>
        <v>1120</v>
      </c>
    </row>
    <row r="38" spans="1:7" x14ac:dyDescent="0.25">
      <c r="A38" s="1601" t="s">
        <v>285</v>
      </c>
      <c r="B38" s="1588"/>
      <c r="C38" s="1588"/>
      <c r="D38" s="1588"/>
      <c r="E38" s="1588"/>
      <c r="F38" s="1"/>
    </row>
    <row r="39" spans="1:7" x14ac:dyDescent="0.25">
      <c r="A39" s="183" t="s">
        <v>916</v>
      </c>
      <c r="B39" s="76" t="s">
        <v>2031</v>
      </c>
      <c r="C39" s="76" t="s">
        <v>1089</v>
      </c>
      <c r="D39" s="108" t="s">
        <v>2032</v>
      </c>
      <c r="E39" s="77" t="s">
        <v>1549</v>
      </c>
      <c r="F39" s="1"/>
    </row>
    <row r="40" spans="1:7" x14ac:dyDescent="0.25">
      <c r="A40" s="3" t="s">
        <v>885</v>
      </c>
      <c r="B40" s="186">
        <v>0.5</v>
      </c>
      <c r="C40" s="2">
        <v>0.18</v>
      </c>
      <c r="D40" s="66">
        <f>'AROS, CADENAS, DIJES, ETC'!I39</f>
        <v>605</v>
      </c>
      <c r="E40" s="39">
        <f>D40*C40/B40</f>
        <v>217.79999999999998</v>
      </c>
      <c r="F40" s="1"/>
    </row>
    <row r="41" spans="1:7" x14ac:dyDescent="0.25">
      <c r="A41" s="3" t="s">
        <v>1587</v>
      </c>
      <c r="B41" s="186"/>
      <c r="C41" s="2">
        <v>1</v>
      </c>
      <c r="D41" s="66">
        <f>FORNITURAS!D18</f>
        <v>363</v>
      </c>
      <c r="E41" s="39">
        <f>D41*C41</f>
        <v>363</v>
      </c>
      <c r="F41" s="1"/>
    </row>
    <row r="42" spans="1:7" x14ac:dyDescent="0.25">
      <c r="A42" s="3" t="s">
        <v>1588</v>
      </c>
      <c r="B42" s="98"/>
      <c r="C42" s="2"/>
      <c r="D42" s="6"/>
      <c r="E42" s="39">
        <f>PACKAGING!E3</f>
        <v>150</v>
      </c>
      <c r="F42" s="1"/>
    </row>
    <row r="43" spans="1:7" x14ac:dyDescent="0.25">
      <c r="A43" s="3" t="s">
        <v>1538</v>
      </c>
      <c r="B43" s="98"/>
      <c r="C43" s="2"/>
      <c r="D43" s="6"/>
      <c r="E43" s="39">
        <f>PACKAGING!E8</f>
        <v>420</v>
      </c>
      <c r="F43" s="1"/>
    </row>
    <row r="44" spans="1:7" x14ac:dyDescent="0.25">
      <c r="A44" s="3" t="s">
        <v>1558</v>
      </c>
      <c r="B44" s="98">
        <v>60</v>
      </c>
      <c r="C44" s="98">
        <v>10</v>
      </c>
      <c r="D44" s="102">
        <f>'INSUMOS VARIOS'!B3</f>
        <v>3500</v>
      </c>
      <c r="E44" s="39">
        <f>D44*C44/B44</f>
        <v>583.33333333333337</v>
      </c>
      <c r="F44" s="1"/>
    </row>
    <row r="45" spans="1:7" ht="16.5" thickBot="1" x14ac:dyDescent="0.3">
      <c r="A45" s="79" t="s">
        <v>525</v>
      </c>
      <c r="B45" s="99"/>
      <c r="C45" s="70"/>
      <c r="D45" s="85"/>
      <c r="E45" s="51">
        <f>SUM(E40:E44)</f>
        <v>1734.1333333333332</v>
      </c>
      <c r="F45" s="1"/>
    </row>
    <row r="46" spans="1:7" ht="18.75" x14ac:dyDescent="0.25">
      <c r="A46" s="80" t="s">
        <v>544</v>
      </c>
      <c r="B46" s="100"/>
      <c r="C46" s="71"/>
      <c r="D46" s="71"/>
      <c r="E46" s="72">
        <f>E45*2</f>
        <v>3468.2666666666664</v>
      </c>
      <c r="F46" s="512">
        <f>E46+E46*25%</f>
        <v>4335.333333333333</v>
      </c>
      <c r="G46" s="75">
        <v>1440</v>
      </c>
    </row>
    <row r="47" spans="1:7" ht="19.5" thickBot="1" x14ac:dyDescent="0.3">
      <c r="A47" s="81" t="s">
        <v>1559</v>
      </c>
      <c r="B47" s="101"/>
      <c r="C47" s="73"/>
      <c r="D47" s="73"/>
      <c r="E47" s="73"/>
      <c r="F47" s="528"/>
      <c r="G47" s="74">
        <f>G46*2</f>
        <v>2880</v>
      </c>
    </row>
    <row r="49" spans="1:7" x14ac:dyDescent="0.25">
      <c r="A49" s="1601" t="s">
        <v>291</v>
      </c>
      <c r="B49" s="1588"/>
      <c r="C49" s="1588"/>
      <c r="D49" s="1588"/>
      <c r="E49" s="1588"/>
      <c r="F49" s="1"/>
    </row>
    <row r="50" spans="1:7" x14ac:dyDescent="0.25">
      <c r="A50" s="183" t="s">
        <v>916</v>
      </c>
      <c r="B50" s="97" t="s">
        <v>743</v>
      </c>
      <c r="C50" s="76" t="s">
        <v>1547</v>
      </c>
      <c r="D50" s="108" t="s">
        <v>1035</v>
      </c>
      <c r="E50" s="77" t="s">
        <v>1549</v>
      </c>
      <c r="F50" s="1"/>
    </row>
    <row r="51" spans="1:7" x14ac:dyDescent="0.25">
      <c r="A51" s="1613" t="s">
        <v>1224</v>
      </c>
      <c r="B51" s="2">
        <v>0.27</v>
      </c>
      <c r="C51" s="107">
        <v>1</v>
      </c>
      <c r="D51" s="109" t="e">
        <f>'HILOS-CORDONES-TANZA-CUERO'!#REF!</f>
        <v>#REF!</v>
      </c>
      <c r="E51" s="110" t="e">
        <f>D51*B51*C51</f>
        <v>#REF!</v>
      </c>
      <c r="F51" s="1"/>
    </row>
    <row r="52" spans="1:7" x14ac:dyDescent="0.25">
      <c r="A52" s="1614"/>
      <c r="B52" s="2">
        <v>0.25</v>
      </c>
      <c r="C52" s="2">
        <v>1</v>
      </c>
      <c r="D52" s="109" t="e">
        <f>'HILOS-CORDONES-TANZA-CUERO'!#REF!</f>
        <v>#REF!</v>
      </c>
      <c r="E52" s="110" t="e">
        <f>D52*B52*C52</f>
        <v>#REF!</v>
      </c>
      <c r="F52" s="1"/>
    </row>
    <row r="53" spans="1:7" x14ac:dyDescent="0.25">
      <c r="A53" s="1615"/>
      <c r="B53" s="98">
        <v>0.12</v>
      </c>
      <c r="C53" s="2">
        <v>1</v>
      </c>
      <c r="D53" s="109" t="e">
        <f>'HILOS-CORDONES-TANZA-CUERO'!#REF!</f>
        <v>#REF!</v>
      </c>
      <c r="E53" s="110" t="e">
        <f>D53*B53*C53</f>
        <v>#REF!</v>
      </c>
      <c r="F53" s="1"/>
    </row>
    <row r="54" spans="1:7" x14ac:dyDescent="0.25">
      <c r="A54" s="104" t="s">
        <v>2107</v>
      </c>
      <c r="B54" s="98"/>
      <c r="C54" s="2">
        <v>1</v>
      </c>
      <c r="D54" s="109">
        <f>'AROS, CADENAS, DIJES, ETC'!O92</f>
        <v>345</v>
      </c>
      <c r="E54" s="110">
        <f>C54*D54</f>
        <v>345</v>
      </c>
      <c r="F54" s="1"/>
    </row>
    <row r="55" spans="1:7" x14ac:dyDescent="0.25">
      <c r="A55" s="104" t="s">
        <v>1012</v>
      </c>
      <c r="B55" s="98"/>
      <c r="C55" s="2">
        <v>4</v>
      </c>
      <c r="D55" s="109">
        <f>FORNITURAS!D17</f>
        <v>45.05</v>
      </c>
      <c r="E55" s="110">
        <f>D55*C55</f>
        <v>180.2</v>
      </c>
      <c r="F55" s="1"/>
    </row>
    <row r="56" spans="1:7" x14ac:dyDescent="0.25">
      <c r="A56" s="3" t="s">
        <v>1588</v>
      </c>
      <c r="B56" s="98" t="s">
        <v>1540</v>
      </c>
      <c r="C56" s="2"/>
      <c r="D56" s="6"/>
      <c r="E56" s="39">
        <f>PACKAGING!E3</f>
        <v>150</v>
      </c>
      <c r="F56" s="1"/>
    </row>
    <row r="57" spans="1:7" x14ac:dyDescent="0.25">
      <c r="A57" s="3" t="s">
        <v>1558</v>
      </c>
      <c r="B57" s="98">
        <v>60</v>
      </c>
      <c r="C57" s="98">
        <v>7</v>
      </c>
      <c r="D57" s="102">
        <f>'INSUMOS VARIOS'!B3</f>
        <v>3500</v>
      </c>
      <c r="E57" s="39">
        <f>D57*C57/B57</f>
        <v>408.33333333333331</v>
      </c>
      <c r="F57" s="1"/>
    </row>
    <row r="58" spans="1:7" ht="16.5" thickBot="1" x14ac:dyDescent="0.3">
      <c r="A58" s="79" t="s">
        <v>525</v>
      </c>
      <c r="B58" s="99"/>
      <c r="C58" s="70"/>
      <c r="D58" s="85"/>
      <c r="E58" s="51" t="e">
        <f>SUM(E51:E57)</f>
        <v>#REF!</v>
      </c>
      <c r="F58" s="1"/>
    </row>
    <row r="59" spans="1:7" ht="18.75" x14ac:dyDescent="0.25">
      <c r="A59" s="80" t="s">
        <v>544</v>
      </c>
      <c r="B59" s="100"/>
      <c r="C59" s="71"/>
      <c r="D59" s="71"/>
      <c r="E59" s="72" t="e">
        <f>E58*2</f>
        <v>#REF!</v>
      </c>
      <c r="F59" s="512" t="e">
        <f>E59+E59*25%</f>
        <v>#REF!</v>
      </c>
      <c r="G59" s="75">
        <v>1090</v>
      </c>
    </row>
    <row r="60" spans="1:7" ht="19.5" thickBot="1" x14ac:dyDescent="0.3">
      <c r="A60" s="81" t="s">
        <v>1559</v>
      </c>
      <c r="B60" s="101"/>
      <c r="C60" s="73"/>
      <c r="D60" s="73"/>
      <c r="E60" s="73"/>
      <c r="F60" s="528"/>
      <c r="G60" s="74">
        <f>G59*2</f>
        <v>2180</v>
      </c>
    </row>
    <row r="62" spans="1:7" x14ac:dyDescent="0.25">
      <c r="A62" s="1601" t="s">
        <v>2108</v>
      </c>
      <c r="B62" s="1588"/>
      <c r="C62" s="1588"/>
      <c r="D62" s="1588"/>
      <c r="E62" s="1588"/>
      <c r="F62" s="1"/>
    </row>
    <row r="63" spans="1:7" x14ac:dyDescent="0.25">
      <c r="A63" s="183" t="s">
        <v>916</v>
      </c>
      <c r="B63" s="97" t="s">
        <v>743</v>
      </c>
      <c r="C63" s="76" t="s">
        <v>1547</v>
      </c>
      <c r="D63" s="108" t="s">
        <v>1035</v>
      </c>
      <c r="E63" s="77" t="s">
        <v>1549</v>
      </c>
      <c r="F63" s="1"/>
    </row>
    <row r="64" spans="1:7" x14ac:dyDescent="0.25">
      <c r="A64" s="104" t="s">
        <v>2109</v>
      </c>
      <c r="B64" s="98"/>
      <c r="C64" s="2">
        <v>1</v>
      </c>
      <c r="D64" s="109">
        <v>245</v>
      </c>
      <c r="E64" s="110">
        <f>C64*D64</f>
        <v>245</v>
      </c>
      <c r="F64" s="1"/>
    </row>
    <row r="65" spans="1:7" x14ac:dyDescent="0.25">
      <c r="A65" s="104" t="s">
        <v>2110</v>
      </c>
      <c r="B65" s="98"/>
      <c r="C65" s="2">
        <v>1</v>
      </c>
      <c r="D65" s="109">
        <v>457</v>
      </c>
      <c r="E65" s="110">
        <f>D65*C65</f>
        <v>457</v>
      </c>
      <c r="F65" s="1"/>
    </row>
    <row r="66" spans="1:7" x14ac:dyDescent="0.25">
      <c r="A66" s="3" t="s">
        <v>1588</v>
      </c>
      <c r="B66" s="98" t="s">
        <v>1540</v>
      </c>
      <c r="C66" s="2"/>
      <c r="D66" s="6"/>
      <c r="E66" s="39">
        <f>PACKAGING!E3</f>
        <v>150</v>
      </c>
      <c r="F66" s="1"/>
    </row>
    <row r="67" spans="1:7" x14ac:dyDescent="0.25">
      <c r="A67" s="3" t="s">
        <v>1558</v>
      </c>
      <c r="B67" s="98">
        <v>60</v>
      </c>
      <c r="C67" s="98">
        <v>5</v>
      </c>
      <c r="D67" s="102">
        <f>'INSUMOS VARIOS'!B3</f>
        <v>3500</v>
      </c>
      <c r="E67" s="39">
        <f>D67*C67/B67</f>
        <v>291.66666666666669</v>
      </c>
      <c r="F67" s="1"/>
    </row>
    <row r="68" spans="1:7" ht="16.5" thickBot="1" x14ac:dyDescent="0.3">
      <c r="A68" s="79" t="s">
        <v>525</v>
      </c>
      <c r="B68" s="99"/>
      <c r="C68" s="70"/>
      <c r="D68" s="85"/>
      <c r="E68" s="51">
        <f>SUM(E64:E67)</f>
        <v>1143.6666666666667</v>
      </c>
      <c r="F68" s="1"/>
    </row>
    <row r="69" spans="1:7" ht="18.75" x14ac:dyDescent="0.25">
      <c r="A69" s="80" t="s">
        <v>1559</v>
      </c>
      <c r="B69" s="100"/>
      <c r="C69" s="71"/>
      <c r="D69" s="71"/>
      <c r="E69" s="72">
        <f>E68*2</f>
        <v>2287.3333333333335</v>
      </c>
      <c r="F69" s="512">
        <f>E69+E69*50%</f>
        <v>3431</v>
      </c>
      <c r="G69" s="75">
        <v>2680</v>
      </c>
    </row>
    <row r="71" spans="1:7" x14ac:dyDescent="0.25">
      <c r="A71" s="1576" t="s">
        <v>2111</v>
      </c>
      <c r="B71" s="1577"/>
      <c r="C71" s="1577"/>
      <c r="D71" s="1577"/>
      <c r="E71" s="1577"/>
      <c r="F71" s="1577"/>
    </row>
    <row r="72" spans="1:7" x14ac:dyDescent="0.25">
      <c r="A72" s="183" t="s">
        <v>916</v>
      </c>
      <c r="B72" s="97" t="s">
        <v>743</v>
      </c>
      <c r="C72" s="97"/>
      <c r="D72" s="76" t="s">
        <v>1547</v>
      </c>
      <c r="E72" s="108" t="s">
        <v>1035</v>
      </c>
      <c r="F72" s="77" t="s">
        <v>1549</v>
      </c>
      <c r="G72" s="1"/>
    </row>
    <row r="73" spans="1:7" x14ac:dyDescent="0.25">
      <c r="A73" s="104" t="s">
        <v>2051</v>
      </c>
      <c r="B73" s="2"/>
      <c r="C73" s="190"/>
      <c r="D73" s="107">
        <v>1</v>
      </c>
      <c r="E73" s="109">
        <f>'AROS, CADENAS, DIJES, ETC'!O165</f>
        <v>239</v>
      </c>
      <c r="F73" s="110">
        <f>D73*E73</f>
        <v>239</v>
      </c>
      <c r="G73" s="1"/>
    </row>
    <row r="74" spans="1:7" x14ac:dyDescent="0.25">
      <c r="A74" s="189" t="s">
        <v>2112</v>
      </c>
      <c r="B74" s="2"/>
      <c r="C74" s="2"/>
      <c r="D74" s="2">
        <v>1</v>
      </c>
      <c r="E74" s="109" t="e">
        <f>'AROS, CADENAS, DIJES, ETC'!#REF!</f>
        <v>#REF!</v>
      </c>
      <c r="F74" s="110" t="e">
        <f>D74*E74</f>
        <v>#REF!</v>
      </c>
      <c r="G74" s="1"/>
    </row>
    <row r="75" spans="1:7" x14ac:dyDescent="0.25">
      <c r="A75" s="3" t="s">
        <v>1557</v>
      </c>
      <c r="B75" s="98"/>
      <c r="C75" s="98"/>
      <c r="D75" s="2"/>
      <c r="E75" s="6"/>
      <c r="F75" s="39">
        <f>PACKAGING!E3</f>
        <v>150</v>
      </c>
      <c r="G75" s="1"/>
    </row>
    <row r="76" spans="1:7" x14ac:dyDescent="0.25">
      <c r="A76" s="3" t="s">
        <v>1558</v>
      </c>
      <c r="B76" s="98"/>
      <c r="C76" s="98"/>
      <c r="D76" s="2"/>
      <c r="E76" s="6"/>
      <c r="F76" s="39">
        <v>25</v>
      </c>
      <c r="G76" s="1"/>
    </row>
    <row r="77" spans="1:7" ht="16.5" thickBot="1" x14ac:dyDescent="0.3">
      <c r="A77" s="79" t="s">
        <v>525</v>
      </c>
      <c r="B77" s="99"/>
      <c r="C77" s="99"/>
      <c r="D77" s="70"/>
      <c r="E77" s="85"/>
      <c r="F77" s="51" t="e">
        <f>SUM(F73:F76)</f>
        <v>#REF!</v>
      </c>
      <c r="G77" s="1"/>
    </row>
    <row r="78" spans="1:7" ht="19.5" thickBot="1" x14ac:dyDescent="0.3">
      <c r="A78" s="81" t="s">
        <v>1559</v>
      </c>
      <c r="B78" s="101"/>
      <c r="C78" s="101"/>
      <c r="D78" s="73"/>
      <c r="E78" s="73"/>
      <c r="F78" s="223" t="e">
        <f>F77*2</f>
        <v>#REF!</v>
      </c>
      <c r="G78" s="238">
        <v>2820</v>
      </c>
    </row>
    <row r="101" ht="15.95" customHeight="1" x14ac:dyDescent="0.25"/>
    <row r="106" s="171" customFormat="1" x14ac:dyDescent="0.25"/>
    <row r="123" s="171" customFormat="1" x14ac:dyDescent="0.25"/>
    <row r="154" spans="9:9" x14ac:dyDescent="0.25">
      <c r="I154" s="380"/>
    </row>
    <row r="162" ht="15.6" customHeight="1" x14ac:dyDescent="0.25"/>
  </sheetData>
  <mergeCells count="8">
    <mergeCell ref="A22:A23"/>
    <mergeCell ref="A1:E1"/>
    <mergeCell ref="A20:F20"/>
    <mergeCell ref="A38:E38"/>
    <mergeCell ref="A71:F71"/>
    <mergeCell ref="A49:E49"/>
    <mergeCell ref="A51:A53"/>
    <mergeCell ref="A62:E62"/>
  </mergeCells>
  <pageMargins left="0.7" right="0.7" top="0.75" bottom="0.75" header="0.3" footer="0.3"/>
  <ignoredErrors>
    <ignoredError sqref="E7 F28 E10" formula="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Hoja29"/>
  <dimension ref="A1:H163"/>
  <sheetViews>
    <sheetView topLeftCell="A62" zoomScale="85" zoomScaleNormal="85" workbookViewId="0">
      <selection activeCell="F78" sqref="F78"/>
    </sheetView>
  </sheetViews>
  <sheetFormatPr baseColWidth="10" defaultColWidth="11.42578125" defaultRowHeight="15" x14ac:dyDescent="0.25"/>
  <cols>
    <col min="1" max="1" width="20" bestFit="1" customWidth="1"/>
    <col min="2" max="2" width="19" bestFit="1" customWidth="1"/>
    <col min="7" max="7" width="11.5703125" bestFit="1" customWidth="1"/>
    <col min="8" max="8" width="13" bestFit="1" customWidth="1"/>
  </cols>
  <sheetData>
    <row r="1" spans="1:8" ht="15.75" x14ac:dyDescent="0.25">
      <c r="A1" s="1576" t="s">
        <v>1708</v>
      </c>
      <c r="B1" s="1577"/>
      <c r="C1" s="1577"/>
      <c r="D1" s="1577"/>
      <c r="E1" s="1577"/>
      <c r="F1" s="1577"/>
      <c r="G1" s="1"/>
      <c r="H1" s="1"/>
    </row>
    <row r="2" spans="1:8" ht="15.75" x14ac:dyDescent="0.25">
      <c r="A2" s="183" t="s">
        <v>916</v>
      </c>
      <c r="B2" s="97" t="s">
        <v>742</v>
      </c>
      <c r="C2" s="97" t="s">
        <v>1089</v>
      </c>
      <c r="D2" s="76" t="s">
        <v>1547</v>
      </c>
      <c r="E2" s="108" t="s">
        <v>1035</v>
      </c>
      <c r="F2" s="77" t="s">
        <v>1549</v>
      </c>
      <c r="G2" s="1"/>
      <c r="H2" s="1"/>
    </row>
    <row r="3" spans="1:8" ht="15.75" x14ac:dyDescent="0.25">
      <c r="A3" s="1613" t="s">
        <v>1224</v>
      </c>
      <c r="B3" s="2" t="s">
        <v>1709</v>
      </c>
      <c r="C3" s="190">
        <v>0.27</v>
      </c>
      <c r="D3" s="107">
        <v>2</v>
      </c>
      <c r="E3" s="109">
        <f>'HILOS-CORDONES-TANZA-CUERO'!E5</f>
        <v>50.35</v>
      </c>
      <c r="F3" s="110">
        <f>E3*D3*C3</f>
        <v>27.189000000000004</v>
      </c>
      <c r="G3" s="1"/>
      <c r="H3" s="1"/>
    </row>
    <row r="4" spans="1:8" ht="15.75" x14ac:dyDescent="0.25">
      <c r="A4" s="1614"/>
      <c r="B4" s="2" t="s">
        <v>1710</v>
      </c>
      <c r="C4" s="2">
        <v>0.4</v>
      </c>
      <c r="D4" s="2">
        <v>2</v>
      </c>
      <c r="E4" s="109">
        <f>+E3</f>
        <v>50.35</v>
      </c>
      <c r="F4" s="110">
        <f>E4*D4*C4</f>
        <v>40.28</v>
      </c>
      <c r="G4" s="1"/>
      <c r="H4" s="1"/>
    </row>
    <row r="5" spans="1:8" ht="15.75" x14ac:dyDescent="0.25">
      <c r="A5" s="1614"/>
      <c r="B5" s="98" t="s">
        <v>1711</v>
      </c>
      <c r="C5" s="98">
        <v>0.4</v>
      </c>
      <c r="D5" s="2">
        <v>4</v>
      </c>
      <c r="E5" s="109">
        <f>+E4</f>
        <v>50.35</v>
      </c>
      <c r="F5" s="110">
        <f>E5*D5*C5</f>
        <v>80.56</v>
      </c>
      <c r="G5" s="1"/>
      <c r="H5" s="1"/>
    </row>
    <row r="6" spans="1:8" ht="15.75" x14ac:dyDescent="0.25">
      <c r="A6" s="1615"/>
      <c r="B6" s="98" t="s">
        <v>1712</v>
      </c>
      <c r="C6" s="98">
        <v>0.12</v>
      </c>
      <c r="D6" s="2">
        <v>1</v>
      </c>
      <c r="E6" s="109">
        <f>+E5</f>
        <v>50.35</v>
      </c>
      <c r="F6" s="110">
        <f>E6*D6*C6</f>
        <v>6.0419999999999998</v>
      </c>
      <c r="G6" s="1"/>
      <c r="H6" s="1"/>
    </row>
    <row r="7" spans="1:8" ht="15.75" x14ac:dyDescent="0.25">
      <c r="A7" s="104" t="s">
        <v>1713</v>
      </c>
      <c r="B7" s="98"/>
      <c r="C7" s="98"/>
      <c r="D7" s="2">
        <v>1</v>
      </c>
      <c r="E7" s="109">
        <v>300</v>
      </c>
      <c r="F7" s="110">
        <f>D7*E7</f>
        <v>300</v>
      </c>
      <c r="G7" s="1"/>
      <c r="H7" s="1"/>
    </row>
    <row r="8" spans="1:8" ht="15.75" x14ac:dyDescent="0.25">
      <c r="A8" s="3" t="s">
        <v>1557</v>
      </c>
      <c r="B8" s="98"/>
      <c r="C8" s="98"/>
      <c r="D8" s="2"/>
      <c r="E8" s="6"/>
      <c r="F8" s="39">
        <f>PACKAGING!E12</f>
        <v>50</v>
      </c>
      <c r="G8" s="1"/>
      <c r="H8" s="1"/>
    </row>
    <row r="9" spans="1:8" ht="15.75" x14ac:dyDescent="0.25">
      <c r="A9" s="3" t="s">
        <v>1558</v>
      </c>
      <c r="B9" s="98">
        <v>60</v>
      </c>
      <c r="C9" s="603"/>
      <c r="D9" s="2">
        <v>30</v>
      </c>
      <c r="E9" s="66">
        <f>'INSUMOS VARIOS'!B3</f>
        <v>3500</v>
      </c>
      <c r="F9" s="39">
        <f>E9*D9/B9</f>
        <v>1750</v>
      </c>
      <c r="G9" s="1"/>
      <c r="H9" s="1"/>
    </row>
    <row r="10" spans="1:8" ht="16.5" thickBot="1" x14ac:dyDescent="0.3">
      <c r="A10" s="79" t="s">
        <v>525</v>
      </c>
      <c r="B10" s="99"/>
      <c r="C10" s="99"/>
      <c r="D10" s="70"/>
      <c r="E10" s="85"/>
      <c r="F10" s="51">
        <f>SUM(F3:F9)</f>
        <v>2254.0709999999999</v>
      </c>
      <c r="G10" s="1"/>
      <c r="H10" s="1"/>
    </row>
    <row r="11" spans="1:8" ht="18.75" x14ac:dyDescent="0.25">
      <c r="A11" s="80" t="s">
        <v>544</v>
      </c>
      <c r="B11" s="100"/>
      <c r="C11" s="100"/>
      <c r="D11" s="71"/>
      <c r="E11" s="71"/>
      <c r="F11" s="72">
        <f>F10*2</f>
        <v>4508.1419999999998</v>
      </c>
      <c r="G11" s="512">
        <f>F11+F11*25%</f>
        <v>5635.1774999999998</v>
      </c>
      <c r="H11" s="75">
        <v>1650</v>
      </c>
    </row>
    <row r="12" spans="1:8" ht="19.5" thickBot="1" x14ac:dyDescent="0.3">
      <c r="A12" s="81" t="s">
        <v>1559</v>
      </c>
      <c r="B12" s="101"/>
      <c r="C12" s="101"/>
      <c r="D12" s="73"/>
      <c r="E12" s="73"/>
      <c r="F12" s="73"/>
      <c r="G12" s="522"/>
      <c r="H12" s="74">
        <f>H11*2</f>
        <v>3300</v>
      </c>
    </row>
    <row r="14" spans="1:8" ht="15.75" x14ac:dyDescent="0.25">
      <c r="A14" s="1576" t="s">
        <v>578</v>
      </c>
      <c r="B14" s="1577"/>
      <c r="C14" s="1577"/>
      <c r="D14" s="1577"/>
      <c r="E14" s="1577"/>
      <c r="F14" s="1577"/>
      <c r="G14" s="1"/>
      <c r="H14" s="603"/>
    </row>
    <row r="15" spans="1:8" ht="15.75" x14ac:dyDescent="0.25">
      <c r="A15" s="183" t="s">
        <v>916</v>
      </c>
      <c r="B15" s="97" t="s">
        <v>1194</v>
      </c>
      <c r="C15" s="97" t="s">
        <v>1089</v>
      </c>
      <c r="D15" s="76" t="s">
        <v>1547</v>
      </c>
      <c r="E15" s="108" t="s">
        <v>1035</v>
      </c>
      <c r="F15" s="77" t="s">
        <v>1549</v>
      </c>
      <c r="G15" s="1"/>
      <c r="H15" s="603"/>
    </row>
    <row r="16" spans="1:8" ht="15.75" x14ac:dyDescent="0.25">
      <c r="A16" s="104" t="s">
        <v>1842</v>
      </c>
      <c r="B16" s="148"/>
      <c r="C16" s="2"/>
      <c r="D16" s="107">
        <v>12</v>
      </c>
      <c r="E16" s="109">
        <f>VIDRIOS!E5</f>
        <v>56.666666666666664</v>
      </c>
      <c r="F16" s="110">
        <f>E16*D16</f>
        <v>680</v>
      </c>
      <c r="G16" s="1"/>
      <c r="H16" s="603"/>
    </row>
    <row r="17" spans="1:8" ht="15.75" x14ac:dyDescent="0.25">
      <c r="A17" s="104" t="s">
        <v>1374</v>
      </c>
      <c r="B17" s="148">
        <v>0.39</v>
      </c>
      <c r="C17" s="2">
        <v>2E-3</v>
      </c>
      <c r="D17" s="107">
        <v>6</v>
      </c>
      <c r="E17" s="109">
        <f>'INSUMOS VARIOS'!M53</f>
        <v>160.4</v>
      </c>
      <c r="F17" s="110">
        <f>(E17*C17/B17)*D17</f>
        <v>4.9353846153846153</v>
      </c>
      <c r="G17" s="1"/>
      <c r="H17" s="603"/>
    </row>
    <row r="18" spans="1:8" ht="15.75" x14ac:dyDescent="0.25">
      <c r="A18" s="104" t="s">
        <v>1594</v>
      </c>
      <c r="B18" s="148"/>
      <c r="C18" s="98"/>
      <c r="D18" s="2">
        <v>0.28000000000000003</v>
      </c>
      <c r="E18" s="109">
        <f>'HILOS-CORDONES-TANZA-CUERO'!L6</f>
        <v>8</v>
      </c>
      <c r="F18" s="110">
        <f>E18*D18</f>
        <v>2.2400000000000002</v>
      </c>
      <c r="G18" s="1"/>
      <c r="H18" s="603"/>
    </row>
    <row r="19" spans="1:8" ht="15.75" x14ac:dyDescent="0.25">
      <c r="A19" s="3" t="s">
        <v>1557</v>
      </c>
      <c r="B19" s="98"/>
      <c r="C19" s="98"/>
      <c r="D19" s="2"/>
      <c r="E19" s="6"/>
      <c r="F19" s="39">
        <f>PACKAGING!E12</f>
        <v>50</v>
      </c>
      <c r="G19" s="1"/>
      <c r="H19" s="603"/>
    </row>
    <row r="20" spans="1:8" ht="15.75" x14ac:dyDescent="0.25">
      <c r="A20" s="3" t="s">
        <v>1558</v>
      </c>
      <c r="B20" s="98">
        <v>60</v>
      </c>
      <c r="C20" s="604"/>
      <c r="D20" s="2">
        <v>15</v>
      </c>
      <c r="E20" s="66">
        <f>'INSUMOS VARIOS'!B3</f>
        <v>3500</v>
      </c>
      <c r="F20" s="39">
        <f>E20*D20/B20</f>
        <v>875</v>
      </c>
      <c r="G20" s="1"/>
      <c r="H20" s="603"/>
    </row>
    <row r="21" spans="1:8" ht="16.5" thickBot="1" x14ac:dyDescent="0.3">
      <c r="A21" s="79" t="s">
        <v>525</v>
      </c>
      <c r="B21" s="99"/>
      <c r="C21" s="99"/>
      <c r="D21" s="99"/>
      <c r="E21" s="70"/>
      <c r="F21" s="51">
        <f>SUM(F15:F20)</f>
        <v>1612.1753846153847</v>
      </c>
      <c r="G21" s="1"/>
      <c r="H21" s="421"/>
    </row>
    <row r="22" spans="1:8" ht="18.75" x14ac:dyDescent="0.25">
      <c r="A22" s="80" t="s">
        <v>544</v>
      </c>
      <c r="B22" s="100"/>
      <c r="C22" s="100"/>
      <c r="D22" s="100"/>
      <c r="E22" s="71"/>
      <c r="F22" s="221">
        <f>F21*2</f>
        <v>3224.3507692307694</v>
      </c>
      <c r="G22" s="512">
        <f>F22+F22*25%</f>
        <v>4030.4384615384615</v>
      </c>
      <c r="H22" s="278">
        <v>1250</v>
      </c>
    </row>
    <row r="23" spans="1:8" ht="19.5" thickBot="1" x14ac:dyDescent="0.3">
      <c r="A23" s="81" t="s">
        <v>1559</v>
      </c>
      <c r="B23" s="101"/>
      <c r="C23" s="101"/>
      <c r="D23" s="101"/>
      <c r="E23" s="73"/>
      <c r="F23" s="222"/>
      <c r="G23" s="522"/>
      <c r="H23" s="279">
        <f>H22*2</f>
        <v>2500</v>
      </c>
    </row>
    <row r="25" spans="1:8" ht="15.75" x14ac:dyDescent="0.25">
      <c r="A25" s="1576" t="s">
        <v>347</v>
      </c>
      <c r="B25" s="1577"/>
      <c r="C25" s="1577"/>
      <c r="D25" s="1577"/>
      <c r="E25" s="1577"/>
      <c r="F25" s="1577"/>
      <c r="G25" s="1"/>
      <c r="H25" s="603"/>
    </row>
    <row r="26" spans="1:8" ht="15.75" x14ac:dyDescent="0.25">
      <c r="A26" s="183" t="s">
        <v>916</v>
      </c>
      <c r="B26" s="97" t="s">
        <v>742</v>
      </c>
      <c r="C26" s="97" t="s">
        <v>1089</v>
      </c>
      <c r="D26" s="76" t="s">
        <v>1547</v>
      </c>
      <c r="E26" s="108" t="s">
        <v>1035</v>
      </c>
      <c r="F26" s="77" t="s">
        <v>1549</v>
      </c>
      <c r="G26" s="1"/>
      <c r="H26" s="603"/>
    </row>
    <row r="27" spans="1:8" ht="15.75" x14ac:dyDescent="0.25">
      <c r="A27" s="184" t="s">
        <v>970</v>
      </c>
      <c r="B27" s="2"/>
      <c r="C27" s="190"/>
      <c r="D27" s="107">
        <v>1</v>
      </c>
      <c r="E27" s="109">
        <f>'INSUMOS VARIOS'!E62</f>
        <v>51.428571428571431</v>
      </c>
      <c r="F27" s="110">
        <f>D27*E27</f>
        <v>51.428571428571431</v>
      </c>
      <c r="G27" s="1"/>
      <c r="H27" s="603"/>
    </row>
    <row r="28" spans="1:8" ht="15.75" x14ac:dyDescent="0.25">
      <c r="A28" s="3" t="s">
        <v>1552</v>
      </c>
      <c r="B28" s="2">
        <v>0.39</v>
      </c>
      <c r="C28" s="190">
        <v>0.06</v>
      </c>
      <c r="D28" s="107">
        <v>2</v>
      </c>
      <c r="E28" s="109">
        <f>'PALAIS DU BIJOU'!N6</f>
        <v>210</v>
      </c>
      <c r="F28" s="110">
        <f>(E28*C28/B28)*D28</f>
        <v>64.615384615384613</v>
      </c>
      <c r="G28" s="1"/>
      <c r="H28" s="603"/>
    </row>
    <row r="29" spans="1:8" ht="15.75" x14ac:dyDescent="0.25">
      <c r="A29" s="104" t="s">
        <v>1586</v>
      </c>
      <c r="B29" s="98"/>
      <c r="C29" s="98"/>
      <c r="D29" s="2">
        <v>2</v>
      </c>
      <c r="E29" s="109">
        <f>FORNITURAS!D17</f>
        <v>45.05</v>
      </c>
      <c r="F29" s="110">
        <f>D29*E29</f>
        <v>90.1</v>
      </c>
      <c r="G29" s="1"/>
      <c r="H29" s="603"/>
    </row>
    <row r="30" spans="1:8" ht="15.75" x14ac:dyDescent="0.25">
      <c r="A30" s="104" t="s">
        <v>1555</v>
      </c>
      <c r="B30" s="98" t="s">
        <v>1054</v>
      </c>
      <c r="C30" s="98"/>
      <c r="D30" s="2">
        <v>1</v>
      </c>
      <c r="E30" s="109">
        <f>FORNITURAS!D10</f>
        <v>32.628571428571426</v>
      </c>
      <c r="F30" s="110">
        <f>E30*D30</f>
        <v>32.628571428571426</v>
      </c>
      <c r="G30" s="1"/>
      <c r="H30" s="603"/>
    </row>
    <row r="31" spans="1:8" ht="15.75" x14ac:dyDescent="0.25">
      <c r="A31" s="331" t="s">
        <v>1958</v>
      </c>
      <c r="B31" s="98"/>
      <c r="C31" s="98"/>
      <c r="D31" s="2">
        <v>1</v>
      </c>
      <c r="E31" s="109">
        <f>'INSUMOS VARIOS'!B7</f>
        <v>5</v>
      </c>
      <c r="F31" s="110">
        <f>E31*D31</f>
        <v>5</v>
      </c>
      <c r="G31" s="1"/>
      <c r="H31" s="603"/>
    </row>
    <row r="32" spans="1:8" ht="15.75" x14ac:dyDescent="0.25">
      <c r="A32" s="1613" t="s">
        <v>1224</v>
      </c>
      <c r="B32" s="98"/>
      <c r="C32" s="98">
        <v>0.19</v>
      </c>
      <c r="D32" s="2">
        <v>2</v>
      </c>
      <c r="E32" s="109">
        <f>'HILOS-CORDONES-TANZA-CUERO'!E5</f>
        <v>50.35</v>
      </c>
      <c r="F32" s="110">
        <f>E32*D32*C32</f>
        <v>19.132999999999999</v>
      </c>
      <c r="G32" s="1"/>
      <c r="H32" s="603"/>
    </row>
    <row r="33" spans="1:8" ht="15.75" x14ac:dyDescent="0.25">
      <c r="A33" s="1615"/>
      <c r="B33" s="98"/>
      <c r="C33" s="98">
        <v>0.12</v>
      </c>
      <c r="D33" s="2">
        <v>1</v>
      </c>
      <c r="E33" s="109">
        <f>E32</f>
        <v>50.35</v>
      </c>
      <c r="F33" s="110">
        <f>E33*D33*C33</f>
        <v>6.0419999999999998</v>
      </c>
      <c r="G33" s="1"/>
      <c r="H33" s="603"/>
    </row>
    <row r="34" spans="1:8" ht="15.75" x14ac:dyDescent="0.25">
      <c r="A34" s="104" t="s">
        <v>1746</v>
      </c>
      <c r="B34" s="98"/>
      <c r="C34" s="98"/>
      <c r="D34" s="2"/>
      <c r="E34" s="109"/>
      <c r="F34" s="110">
        <v>2</v>
      </c>
      <c r="G34" s="1"/>
      <c r="H34" s="603"/>
    </row>
    <row r="35" spans="1:8" ht="15.75" x14ac:dyDescent="0.25">
      <c r="A35" s="3" t="s">
        <v>1557</v>
      </c>
      <c r="B35" s="98"/>
      <c r="C35" s="98"/>
      <c r="D35" s="2"/>
      <c r="E35" s="6"/>
      <c r="F35" s="39">
        <f>PACKAGING!E12</f>
        <v>50</v>
      </c>
      <c r="G35" s="1"/>
      <c r="H35" s="603"/>
    </row>
    <row r="36" spans="1:8" ht="15.75" x14ac:dyDescent="0.25">
      <c r="A36" s="1613" t="s">
        <v>1558</v>
      </c>
      <c r="B36" s="98" t="s">
        <v>1590</v>
      </c>
      <c r="C36" s="98">
        <v>60</v>
      </c>
      <c r="D36" s="2">
        <v>15</v>
      </c>
      <c r="E36" s="66">
        <f>'INSUMOS VARIOS'!B3</f>
        <v>3500</v>
      </c>
      <c r="F36" s="39">
        <f>E36*D36/C36</f>
        <v>875</v>
      </c>
      <c r="G36" s="1"/>
      <c r="H36" s="603"/>
    </row>
    <row r="37" spans="1:8" ht="15.75" x14ac:dyDescent="0.25">
      <c r="A37" s="1615"/>
      <c r="B37" s="98" t="s">
        <v>1712</v>
      </c>
      <c r="C37" s="98">
        <v>60</v>
      </c>
      <c r="D37" s="1">
        <v>5</v>
      </c>
      <c r="E37" s="66">
        <f>E36</f>
        <v>3500</v>
      </c>
      <c r="F37" s="39">
        <f>E37*D37/C37</f>
        <v>291.66666666666669</v>
      </c>
      <c r="G37" s="1"/>
      <c r="H37" s="603"/>
    </row>
    <row r="38" spans="1:8" ht="16.5" thickBot="1" x14ac:dyDescent="0.3">
      <c r="A38" s="79" t="s">
        <v>525</v>
      </c>
      <c r="B38" s="99"/>
      <c r="C38" s="99"/>
      <c r="D38" s="70"/>
      <c r="E38" s="85"/>
      <c r="F38" s="51">
        <f>SUM(F27:F37)</f>
        <v>1487.6141941391941</v>
      </c>
      <c r="G38" s="1"/>
      <c r="H38" s="603"/>
    </row>
    <row r="39" spans="1:8" ht="18.75" x14ac:dyDescent="0.25">
      <c r="A39" s="80" t="s">
        <v>544</v>
      </c>
      <c r="B39" s="100"/>
      <c r="C39" s="100"/>
      <c r="D39" s="71"/>
      <c r="E39" s="71"/>
      <c r="F39" s="72">
        <f>F38*2</f>
        <v>2975.2283882783881</v>
      </c>
      <c r="G39" s="512">
        <f>F39+F39*25%</f>
        <v>3719.0354853479853</v>
      </c>
      <c r="H39" s="75">
        <v>1100</v>
      </c>
    </row>
    <row r="40" spans="1:8" ht="19.5" thickBot="1" x14ac:dyDescent="0.3">
      <c r="A40" s="81" t="s">
        <v>1559</v>
      </c>
      <c r="B40" s="101"/>
      <c r="C40" s="101"/>
      <c r="D40" s="73"/>
      <c r="E40" s="73"/>
      <c r="F40" s="73"/>
      <c r="G40" s="522"/>
      <c r="H40" s="74">
        <f>H39*2</f>
        <v>2200</v>
      </c>
    </row>
    <row r="41" spans="1:8" ht="16.5" thickBot="1" x14ac:dyDescent="0.3">
      <c r="A41" s="1"/>
      <c r="B41" s="1"/>
      <c r="C41" s="1"/>
      <c r="D41" s="1"/>
      <c r="E41" s="1"/>
      <c r="F41" s="1"/>
      <c r="G41" s="1"/>
      <c r="H41" s="1"/>
    </row>
    <row r="42" spans="1:8" ht="16.5" thickBot="1" x14ac:dyDescent="0.3">
      <c r="A42" s="1568" t="s">
        <v>371</v>
      </c>
      <c r="B42" s="1569"/>
      <c r="C42" s="1569"/>
      <c r="D42" s="1569"/>
      <c r="E42" s="1569"/>
      <c r="F42" s="1570"/>
    </row>
    <row r="43" spans="1:8" ht="15.75" x14ac:dyDescent="0.25">
      <c r="A43" s="183" t="s">
        <v>916</v>
      </c>
      <c r="B43" s="97" t="s">
        <v>743</v>
      </c>
      <c r="C43" s="97" t="s">
        <v>1607</v>
      </c>
      <c r="D43" s="97" t="s">
        <v>1566</v>
      </c>
      <c r="E43" s="76" t="s">
        <v>1035</v>
      </c>
      <c r="F43" s="77" t="s">
        <v>1549</v>
      </c>
    </row>
    <row r="44" spans="1:8" ht="15.75" x14ac:dyDescent="0.25">
      <c r="A44" s="184" t="s">
        <v>1179</v>
      </c>
      <c r="B44" s="98"/>
      <c r="C44" s="98"/>
      <c r="D44" s="98">
        <v>7</v>
      </c>
      <c r="E44" s="102">
        <f>VIDRIOS!E25</f>
        <v>42.058823529411768</v>
      </c>
      <c r="F44" s="39">
        <f>E44*D44</f>
        <v>294.41176470588238</v>
      </c>
      <c r="G44" s="1"/>
    </row>
    <row r="45" spans="1:8" ht="15.75" x14ac:dyDescent="0.25">
      <c r="A45" s="184" t="s">
        <v>2081</v>
      </c>
      <c r="B45" s="98"/>
      <c r="C45" s="98"/>
      <c r="D45" s="98">
        <v>8</v>
      </c>
      <c r="E45" s="102">
        <f>VIDRIOS!E21</f>
        <v>65</v>
      </c>
      <c r="F45" s="39">
        <f>E45*D45</f>
        <v>520</v>
      </c>
      <c r="G45" s="1"/>
    </row>
    <row r="46" spans="1:8" ht="15.75" x14ac:dyDescent="0.25">
      <c r="A46" s="184" t="s">
        <v>2082</v>
      </c>
      <c r="B46" s="98"/>
      <c r="C46" s="98"/>
      <c r="D46" s="98">
        <v>4</v>
      </c>
      <c r="E46" s="102">
        <f>'PALAIS DU BIJOU'!F35</f>
        <v>65</v>
      </c>
      <c r="F46" s="39">
        <f>E46*D46</f>
        <v>260</v>
      </c>
      <c r="G46" s="1"/>
    </row>
    <row r="47" spans="1:8" ht="15.75" x14ac:dyDescent="0.25">
      <c r="A47" s="184" t="s">
        <v>1944</v>
      </c>
      <c r="B47" s="98" t="s">
        <v>777</v>
      </c>
      <c r="C47" s="98"/>
      <c r="D47" s="98">
        <v>2</v>
      </c>
      <c r="E47" s="102">
        <f>FORNITURAS!I4</f>
        <v>66.099999999999994</v>
      </c>
      <c r="F47" s="39">
        <f>E47*D47</f>
        <v>132.19999999999999</v>
      </c>
      <c r="G47" s="1"/>
    </row>
    <row r="48" spans="1:8" ht="15.75" x14ac:dyDescent="0.25">
      <c r="A48" s="184" t="s">
        <v>1587</v>
      </c>
      <c r="B48" s="98"/>
      <c r="C48" s="98"/>
      <c r="D48" s="98">
        <v>1</v>
      </c>
      <c r="E48" s="102">
        <f>FORNITURAS!D18</f>
        <v>363</v>
      </c>
      <c r="F48" s="39">
        <f>D48*E48</f>
        <v>363</v>
      </c>
      <c r="G48" s="1"/>
    </row>
    <row r="49" spans="1:8" ht="15.75" x14ac:dyDescent="0.25">
      <c r="A49" s="184" t="s">
        <v>1012</v>
      </c>
      <c r="B49" s="98"/>
      <c r="C49" s="98"/>
      <c r="D49" s="98">
        <v>2</v>
      </c>
      <c r="E49" s="102">
        <f>FORNITURAS!D17</f>
        <v>45.05</v>
      </c>
      <c r="F49" s="39">
        <f>D49*E49</f>
        <v>90.1</v>
      </c>
      <c r="G49" s="1"/>
    </row>
    <row r="50" spans="1:8" ht="15.75" x14ac:dyDescent="0.25">
      <c r="A50" s="184" t="s">
        <v>908</v>
      </c>
      <c r="B50" s="98"/>
      <c r="C50" s="98">
        <v>0.26</v>
      </c>
      <c r="D50" s="98">
        <v>3.5000000000000003E-2</v>
      </c>
      <c r="E50" s="102">
        <f>'AROS, CADENAS, DIJES, ETC'!T10</f>
        <v>1000</v>
      </c>
      <c r="F50" s="39">
        <f>E50*D50/C50</f>
        <v>134.61538461538461</v>
      </c>
      <c r="G50" s="1"/>
    </row>
    <row r="51" spans="1:8" ht="15.75" x14ac:dyDescent="0.25">
      <c r="A51" s="184" t="s">
        <v>1743</v>
      </c>
      <c r="B51" s="98"/>
      <c r="C51" s="98"/>
      <c r="D51" s="98">
        <v>1</v>
      </c>
      <c r="E51" s="102">
        <f>FORNITURAS!D14</f>
        <v>98.8</v>
      </c>
      <c r="F51" s="39">
        <f>E51*D51</f>
        <v>98.8</v>
      </c>
      <c r="G51" s="1"/>
    </row>
    <row r="52" spans="1:8" ht="15.75" x14ac:dyDescent="0.25">
      <c r="A52" s="3" t="s">
        <v>1555</v>
      </c>
      <c r="B52" s="98" t="s">
        <v>1556</v>
      </c>
      <c r="C52" s="98"/>
      <c r="D52" s="98">
        <v>1</v>
      </c>
      <c r="E52" s="102">
        <f>FORNITURAS!D4</f>
        <v>48.7</v>
      </c>
      <c r="F52" s="39">
        <f>E52*D52</f>
        <v>48.7</v>
      </c>
      <c r="G52" s="1"/>
    </row>
    <row r="53" spans="1:8" ht="15.75" x14ac:dyDescent="0.25">
      <c r="A53" s="104" t="s">
        <v>1557</v>
      </c>
      <c r="B53" s="98"/>
      <c r="C53" s="98"/>
      <c r="D53" s="98"/>
      <c r="E53" s="102"/>
      <c r="F53" s="523">
        <f>PACKAGING!E4</f>
        <v>80</v>
      </c>
      <c r="G53" s="1"/>
    </row>
    <row r="54" spans="1:8" ht="15.75" x14ac:dyDescent="0.25">
      <c r="A54" s="104" t="s">
        <v>1670</v>
      </c>
      <c r="B54" s="98"/>
      <c r="C54" s="98"/>
      <c r="D54" s="98"/>
      <c r="E54" s="102"/>
      <c r="F54" s="523">
        <f>PACKAGING!E8</f>
        <v>420</v>
      </c>
      <c r="G54" s="1"/>
    </row>
    <row r="55" spans="1:8" ht="15.75" x14ac:dyDescent="0.25">
      <c r="A55" s="24" t="s">
        <v>1618</v>
      </c>
      <c r="B55" s="98"/>
      <c r="C55" s="98">
        <v>60</v>
      </c>
      <c r="D55" s="98">
        <v>15</v>
      </c>
      <c r="E55" s="66">
        <f>'INSUMOS VARIOS'!B3</f>
        <v>3500</v>
      </c>
      <c r="F55" s="524">
        <f>E55*D55/C55</f>
        <v>875</v>
      </c>
      <c r="G55" s="1"/>
    </row>
    <row r="56" spans="1:8" ht="16.5" thickBot="1" x14ac:dyDescent="0.3">
      <c r="A56" s="79" t="s">
        <v>525</v>
      </c>
      <c r="B56" s="99"/>
      <c r="C56" s="99"/>
      <c r="D56" s="99"/>
      <c r="E56" s="70"/>
      <c r="F56" s="51">
        <f>SUM(F44:F55)</f>
        <v>3316.8271493212669</v>
      </c>
      <c r="G56" s="1"/>
    </row>
    <row r="57" spans="1:8" ht="18.75" x14ac:dyDescent="0.25">
      <c r="A57" s="80" t="s">
        <v>544</v>
      </c>
      <c r="B57" s="100"/>
      <c r="C57" s="100"/>
      <c r="D57" s="100"/>
      <c r="E57" s="71"/>
      <c r="F57" s="221">
        <f>F56*2</f>
        <v>6633.6542986425338</v>
      </c>
      <c r="G57" s="512">
        <f>F57+F57*25%</f>
        <v>8292.0678733031673</v>
      </c>
      <c r="H57" s="75">
        <v>1850</v>
      </c>
    </row>
    <row r="58" spans="1:8" ht="19.5" thickBot="1" x14ac:dyDescent="0.3">
      <c r="A58" s="211" t="s">
        <v>1559</v>
      </c>
      <c r="B58" s="214"/>
      <c r="C58" s="214"/>
      <c r="D58" s="214"/>
      <c r="E58" s="212"/>
      <c r="F58" s="372"/>
      <c r="G58" s="522"/>
      <c r="H58" s="371">
        <f>H57*2</f>
        <v>3700</v>
      </c>
    </row>
    <row r="59" spans="1:8" ht="15.75" thickBot="1" x14ac:dyDescent="0.3"/>
    <row r="60" spans="1:8" ht="16.5" thickBot="1" x14ac:dyDescent="0.3">
      <c r="A60" s="1568" t="s">
        <v>370</v>
      </c>
      <c r="B60" s="1569"/>
      <c r="C60" s="1569"/>
      <c r="D60" s="1569"/>
      <c r="E60" s="1569"/>
      <c r="F60" s="1570"/>
    </row>
    <row r="61" spans="1:8" ht="15.75" x14ac:dyDescent="0.25">
      <c r="A61" s="183" t="s">
        <v>916</v>
      </c>
      <c r="B61" s="97" t="s">
        <v>743</v>
      </c>
      <c r="C61" s="97" t="s">
        <v>1607</v>
      </c>
      <c r="D61" s="97" t="s">
        <v>1566</v>
      </c>
      <c r="E61" s="76" t="s">
        <v>1035</v>
      </c>
      <c r="F61" s="77" t="s">
        <v>1549</v>
      </c>
    </row>
    <row r="62" spans="1:8" ht="15.75" x14ac:dyDescent="0.25">
      <c r="A62" s="184" t="s">
        <v>2113</v>
      </c>
      <c r="B62" s="98"/>
      <c r="C62" s="98"/>
      <c r="D62" s="98">
        <v>1</v>
      </c>
      <c r="E62" s="102">
        <f>VIDRIOS!E9</f>
        <v>35.416666666666664</v>
      </c>
      <c r="F62" s="39">
        <f t="shared" ref="F62:F71" si="0">E62*D62</f>
        <v>35.416666666666664</v>
      </c>
      <c r="G62" s="1"/>
    </row>
    <row r="63" spans="1:8" ht="15.75" x14ac:dyDescent="0.25">
      <c r="A63" s="184" t="s">
        <v>2081</v>
      </c>
      <c r="B63" s="98"/>
      <c r="C63" s="98"/>
      <c r="D63" s="98">
        <v>4</v>
      </c>
      <c r="E63" s="102">
        <f>VIDRIOS!E21</f>
        <v>65</v>
      </c>
      <c r="F63" s="39">
        <f t="shared" si="0"/>
        <v>260</v>
      </c>
      <c r="G63" s="1"/>
    </row>
    <row r="64" spans="1:8" ht="15.75" x14ac:dyDescent="0.25">
      <c r="A64" s="184" t="s">
        <v>2114</v>
      </c>
      <c r="B64" s="98"/>
      <c r="C64" s="98"/>
      <c r="D64" s="98">
        <v>3</v>
      </c>
      <c r="E64" s="102">
        <f>VIDRIOS!E10</f>
        <v>18.888888888888889</v>
      </c>
      <c r="F64" s="39">
        <f t="shared" si="0"/>
        <v>56.666666666666671</v>
      </c>
      <c r="G64" s="1"/>
    </row>
    <row r="65" spans="1:8" ht="15.75" x14ac:dyDescent="0.25">
      <c r="A65" s="184" t="s">
        <v>2115</v>
      </c>
      <c r="B65" s="98"/>
      <c r="C65" s="98"/>
      <c r="D65" s="98">
        <v>3</v>
      </c>
      <c r="E65" s="102">
        <f>VIDRIOS!E13</f>
        <v>18.888888888888889</v>
      </c>
      <c r="F65" s="39">
        <f t="shared" si="0"/>
        <v>56.666666666666671</v>
      </c>
      <c r="G65" s="1"/>
    </row>
    <row r="66" spans="1:8" ht="15.75" x14ac:dyDescent="0.25">
      <c r="A66" s="184" t="s">
        <v>2083</v>
      </c>
      <c r="B66" s="98"/>
      <c r="C66" s="98"/>
      <c r="D66" s="98">
        <v>5</v>
      </c>
      <c r="E66" s="102">
        <f>PIEDRAS!F25</f>
        <v>102.05882352941177</v>
      </c>
      <c r="F66" s="39">
        <f t="shared" si="0"/>
        <v>510.29411764705884</v>
      </c>
      <c r="G66" s="1"/>
    </row>
    <row r="67" spans="1:8" ht="15.75" x14ac:dyDescent="0.25">
      <c r="A67" s="184" t="s">
        <v>1992</v>
      </c>
      <c r="B67" s="98"/>
      <c r="C67" s="98"/>
      <c r="D67" s="98">
        <v>1</v>
      </c>
      <c r="E67" s="102">
        <f>VIDRIOS!E12</f>
        <v>79.444444444444443</v>
      </c>
      <c r="F67" s="39">
        <f t="shared" si="0"/>
        <v>79.444444444444443</v>
      </c>
      <c r="G67" s="1"/>
    </row>
    <row r="68" spans="1:8" ht="15.75" x14ac:dyDescent="0.25">
      <c r="A68" s="184" t="s">
        <v>2084</v>
      </c>
      <c r="B68" s="98"/>
      <c r="C68" s="98"/>
      <c r="D68" s="98">
        <v>1</v>
      </c>
      <c r="E68" s="102">
        <f>'SALE COLLARES'!E118</f>
        <v>28.622222222222224</v>
      </c>
      <c r="F68" s="39">
        <f t="shared" si="0"/>
        <v>28.622222222222224</v>
      </c>
      <c r="G68" s="1"/>
    </row>
    <row r="69" spans="1:8" ht="15.75" x14ac:dyDescent="0.25">
      <c r="A69" s="184" t="s">
        <v>1755</v>
      </c>
      <c r="B69" s="98"/>
      <c r="C69" s="98"/>
      <c r="D69" s="98">
        <v>2</v>
      </c>
      <c r="E69" s="102">
        <f>VIDRIOS!E5</f>
        <v>56.666666666666664</v>
      </c>
      <c r="F69" s="39">
        <f t="shared" si="0"/>
        <v>113.33333333333333</v>
      </c>
      <c r="G69" s="1"/>
    </row>
    <row r="70" spans="1:8" ht="15.75" x14ac:dyDescent="0.25">
      <c r="A70" s="184" t="s">
        <v>1691</v>
      </c>
      <c r="B70" s="98" t="s">
        <v>1316</v>
      </c>
      <c r="C70" s="98"/>
      <c r="D70" s="98">
        <v>2</v>
      </c>
      <c r="E70" s="102">
        <f>+PERLAS!F21</f>
        <v>173.68421052631578</v>
      </c>
      <c r="F70" s="39">
        <f t="shared" si="0"/>
        <v>347.36842105263156</v>
      </c>
      <c r="G70" s="1"/>
    </row>
    <row r="71" spans="1:8" ht="15.75" x14ac:dyDescent="0.25">
      <c r="A71" s="184" t="s">
        <v>1554</v>
      </c>
      <c r="B71" s="98" t="s">
        <v>777</v>
      </c>
      <c r="C71" s="98"/>
      <c r="D71" s="98">
        <v>2</v>
      </c>
      <c r="E71" s="102">
        <f>FORNITURAS!D26</f>
        <v>297.14285714285717</v>
      </c>
      <c r="F71" s="39">
        <f t="shared" si="0"/>
        <v>594.28571428571433</v>
      </c>
      <c r="G71" s="1"/>
    </row>
    <row r="72" spans="1:8" ht="15.75" x14ac:dyDescent="0.25">
      <c r="A72" s="184" t="s">
        <v>1587</v>
      </c>
      <c r="B72" s="98"/>
      <c r="C72" s="98"/>
      <c r="D72" s="98">
        <v>1</v>
      </c>
      <c r="E72" s="102">
        <f>FORNITURAS!D18</f>
        <v>363</v>
      </c>
      <c r="F72" s="39">
        <f>D72*E72</f>
        <v>363</v>
      </c>
      <c r="G72" s="1"/>
    </row>
    <row r="73" spans="1:8" ht="15.75" x14ac:dyDescent="0.25">
      <c r="A73" s="184" t="s">
        <v>1012</v>
      </c>
      <c r="B73" s="98"/>
      <c r="C73" s="98"/>
      <c r="D73" s="98">
        <v>2</v>
      </c>
      <c r="E73" s="102">
        <f>FORNITURAS!D17</f>
        <v>45.05</v>
      </c>
      <c r="F73" s="39">
        <f>D73*E73</f>
        <v>90.1</v>
      </c>
      <c r="G73" s="1"/>
    </row>
    <row r="74" spans="1:8" ht="15.75" x14ac:dyDescent="0.25">
      <c r="A74" s="184" t="s">
        <v>908</v>
      </c>
      <c r="B74" s="98"/>
      <c r="C74" s="98"/>
      <c r="D74" s="98">
        <v>3.5000000000000003E-2</v>
      </c>
      <c r="E74" s="102">
        <f>'AROS, CADENAS, DIJES, ETC'!I38</f>
        <v>3630</v>
      </c>
      <c r="F74" s="39">
        <f>D74*E74</f>
        <v>127.05000000000001</v>
      </c>
      <c r="G74" s="1"/>
    </row>
    <row r="75" spans="1:8" ht="15.75" x14ac:dyDescent="0.25">
      <c r="A75" s="3" t="s">
        <v>1555</v>
      </c>
      <c r="B75" s="98" t="s">
        <v>1556</v>
      </c>
      <c r="C75" s="98"/>
      <c r="D75" s="98">
        <v>2</v>
      </c>
      <c r="E75" s="102">
        <f>FORNITURAS!D4</f>
        <v>48.7</v>
      </c>
      <c r="F75" s="39">
        <f>D75*E75</f>
        <v>97.4</v>
      </c>
      <c r="G75" s="1"/>
    </row>
    <row r="76" spans="1:8" ht="15.75" x14ac:dyDescent="0.25">
      <c r="A76" s="104" t="s">
        <v>1557</v>
      </c>
      <c r="B76" s="98"/>
      <c r="C76" s="98"/>
      <c r="D76" s="98"/>
      <c r="E76" s="102"/>
      <c r="F76" s="523">
        <f>PACKAGING!E4</f>
        <v>80</v>
      </c>
      <c r="G76" s="1"/>
    </row>
    <row r="77" spans="1:8" ht="15.75" x14ac:dyDescent="0.25">
      <c r="A77" s="104" t="s">
        <v>1634</v>
      </c>
      <c r="B77" s="98"/>
      <c r="C77" s="98"/>
      <c r="D77" s="98"/>
      <c r="E77" s="102"/>
      <c r="F77" s="523">
        <f>PACKAGING!E8</f>
        <v>420</v>
      </c>
      <c r="G77" s="1"/>
    </row>
    <row r="78" spans="1:8" ht="15.75" x14ac:dyDescent="0.25">
      <c r="A78" s="24" t="s">
        <v>1618</v>
      </c>
      <c r="B78" s="98"/>
      <c r="C78" s="98">
        <v>60</v>
      </c>
      <c r="D78" s="98">
        <v>15</v>
      </c>
      <c r="E78" s="66">
        <f>'INSUMOS VARIOS'!B3</f>
        <v>3500</v>
      </c>
      <c r="F78" s="524">
        <f>E78*D78/C78</f>
        <v>875</v>
      </c>
      <c r="G78" s="1"/>
    </row>
    <row r="79" spans="1:8" ht="16.5" thickBot="1" x14ac:dyDescent="0.3">
      <c r="A79" s="79" t="s">
        <v>525</v>
      </c>
      <c r="B79" s="99"/>
      <c r="C79" s="99"/>
      <c r="D79" s="99"/>
      <c r="E79" s="70"/>
      <c r="F79" s="51">
        <f>SUM(F62:F78)</f>
        <v>4134.6482529854047</v>
      </c>
      <c r="G79" s="1"/>
    </row>
    <row r="80" spans="1:8" ht="18.75" x14ac:dyDescent="0.25">
      <c r="A80" s="80" t="s">
        <v>544</v>
      </c>
      <c r="B80" s="100"/>
      <c r="C80" s="100"/>
      <c r="D80" s="100"/>
      <c r="E80" s="71"/>
      <c r="F80" s="221">
        <f>F79*2</f>
        <v>8269.2965059708094</v>
      </c>
      <c r="G80" s="512">
        <f>F80+F80*25%</f>
        <v>10336.620632463511</v>
      </c>
      <c r="H80" s="75">
        <v>3000</v>
      </c>
    </row>
    <row r="81" spans="1:8" ht="19.5" thickBot="1" x14ac:dyDescent="0.3">
      <c r="A81" s="211" t="s">
        <v>1559</v>
      </c>
      <c r="B81" s="214"/>
      <c r="C81" s="214"/>
      <c r="D81" s="214"/>
      <c r="E81" s="212"/>
      <c r="F81" s="372"/>
      <c r="G81" s="522"/>
      <c r="H81" s="371">
        <f>H80*2</f>
        <v>6000</v>
      </c>
    </row>
    <row r="82" spans="1:8" ht="16.5" thickBot="1" x14ac:dyDescent="0.3">
      <c r="A82" s="1"/>
      <c r="B82" s="1"/>
      <c r="C82" s="1"/>
      <c r="D82" s="1"/>
      <c r="E82" s="1"/>
      <c r="F82" s="1"/>
      <c r="G82" s="1"/>
      <c r="H82" s="1"/>
    </row>
    <row r="83" spans="1:8" ht="16.5" thickBot="1" x14ac:dyDescent="0.3">
      <c r="A83" s="1568" t="s">
        <v>140</v>
      </c>
      <c r="B83" s="1569"/>
      <c r="C83" s="1569"/>
      <c r="D83" s="1569"/>
      <c r="E83" s="1569"/>
      <c r="F83" s="1570"/>
    </row>
    <row r="84" spans="1:8" ht="15.75" x14ac:dyDescent="0.25">
      <c r="A84" s="183" t="s">
        <v>916</v>
      </c>
      <c r="B84" s="97" t="s">
        <v>743</v>
      </c>
      <c r="C84" s="97" t="s">
        <v>1607</v>
      </c>
      <c r="D84" s="97" t="s">
        <v>1566</v>
      </c>
      <c r="E84" s="76" t="s">
        <v>1035</v>
      </c>
      <c r="F84" s="77" t="s">
        <v>1549</v>
      </c>
    </row>
    <row r="85" spans="1:8" ht="15.75" x14ac:dyDescent="0.25">
      <c r="A85" s="184" t="s">
        <v>1859</v>
      </c>
      <c r="B85" s="98"/>
      <c r="C85" s="98"/>
      <c r="D85" s="98">
        <v>7</v>
      </c>
      <c r="E85" s="102">
        <f>'PALAIS DU BIJOU'!N49</f>
        <v>37.313432835820898</v>
      </c>
      <c r="F85" s="39">
        <f t="shared" ref="F85:F93" si="1">E85*D85</f>
        <v>261.19402985074629</v>
      </c>
      <c r="G85" s="1"/>
    </row>
    <row r="86" spans="1:8" ht="15.75" x14ac:dyDescent="0.25">
      <c r="A86" s="184" t="s">
        <v>2116</v>
      </c>
      <c r="B86" s="98"/>
      <c r="C86" s="98"/>
      <c r="D86" s="98">
        <v>10</v>
      </c>
      <c r="E86" s="102">
        <f>VIDRIOS!E13</f>
        <v>18.888888888888889</v>
      </c>
      <c r="F86" s="39">
        <f t="shared" si="1"/>
        <v>188.88888888888889</v>
      </c>
      <c r="G86" s="1"/>
    </row>
    <row r="87" spans="1:8" ht="15.75" x14ac:dyDescent="0.25">
      <c r="A87" s="184" t="s">
        <v>1998</v>
      </c>
      <c r="B87" s="98"/>
      <c r="C87" s="98"/>
      <c r="D87" s="98">
        <v>1</v>
      </c>
      <c r="E87" s="102">
        <f>'PALAIS DU BIJOU'!N50</f>
        <v>37.313432835820898</v>
      </c>
      <c r="F87" s="39">
        <f t="shared" si="1"/>
        <v>37.313432835820898</v>
      </c>
      <c r="G87" s="1"/>
    </row>
    <row r="88" spans="1:8" ht="15.75" x14ac:dyDescent="0.25">
      <c r="A88" s="184" t="s">
        <v>2098</v>
      </c>
      <c r="B88" s="98"/>
      <c r="C88" s="98"/>
      <c r="D88" s="98">
        <v>3</v>
      </c>
      <c r="E88" s="102">
        <f>VIDRIOS!E21</f>
        <v>65</v>
      </c>
      <c r="F88" s="39">
        <f t="shared" si="1"/>
        <v>195</v>
      </c>
      <c r="G88" s="1"/>
    </row>
    <row r="89" spans="1:8" ht="15.75" x14ac:dyDescent="0.25">
      <c r="A89" s="184" t="s">
        <v>1814</v>
      </c>
      <c r="B89" s="98" t="s">
        <v>2117</v>
      </c>
      <c r="C89" s="98"/>
      <c r="D89" s="98">
        <v>2</v>
      </c>
      <c r="E89" s="102">
        <v>12</v>
      </c>
      <c r="F89" s="39">
        <f t="shared" si="1"/>
        <v>24</v>
      </c>
      <c r="G89" s="1"/>
    </row>
    <row r="90" spans="1:8" ht="15.75" x14ac:dyDescent="0.25">
      <c r="A90" s="1613" t="s">
        <v>1742</v>
      </c>
      <c r="B90" s="98" t="s">
        <v>2059</v>
      </c>
      <c r="C90" s="98"/>
      <c r="D90" s="98">
        <v>1</v>
      </c>
      <c r="E90" s="102">
        <f>PERLAS!F24</f>
        <v>153.48837209302326</v>
      </c>
      <c r="F90" s="39">
        <f t="shared" si="1"/>
        <v>153.48837209302326</v>
      </c>
      <c r="G90" s="1"/>
    </row>
    <row r="91" spans="1:8" ht="15.75" x14ac:dyDescent="0.25">
      <c r="A91" s="1614"/>
      <c r="B91" s="98" t="s">
        <v>1316</v>
      </c>
      <c r="C91" s="98"/>
      <c r="D91" s="98">
        <v>2</v>
      </c>
      <c r="E91" s="102">
        <f>PERLAS!F21</f>
        <v>173.68421052631578</v>
      </c>
      <c r="F91" s="39">
        <f t="shared" si="1"/>
        <v>347.36842105263156</v>
      </c>
      <c r="G91" s="1"/>
    </row>
    <row r="92" spans="1:8" ht="15.75" x14ac:dyDescent="0.25">
      <c r="A92" s="3" t="s">
        <v>2100</v>
      </c>
      <c r="B92" s="98"/>
      <c r="C92" s="98"/>
      <c r="D92" s="98">
        <v>2</v>
      </c>
      <c r="E92" s="102">
        <f>FORNITURAS!I14</f>
        <v>145.375</v>
      </c>
      <c r="F92" s="39">
        <f t="shared" si="1"/>
        <v>290.75</v>
      </c>
      <c r="G92" s="1"/>
    </row>
    <row r="93" spans="1:8" ht="15.75" x14ac:dyDescent="0.25">
      <c r="A93" s="331" t="s">
        <v>1554</v>
      </c>
      <c r="B93" s="98"/>
      <c r="C93" s="98"/>
      <c r="D93" s="98">
        <v>2</v>
      </c>
      <c r="E93" s="102">
        <f>FORNITURAS!D26</f>
        <v>297.14285714285717</v>
      </c>
      <c r="F93" s="39">
        <f t="shared" si="1"/>
        <v>594.28571428571433</v>
      </c>
      <c r="G93" s="1"/>
    </row>
    <row r="94" spans="1:8" ht="15.75" x14ac:dyDescent="0.25">
      <c r="A94" s="184" t="s">
        <v>1587</v>
      </c>
      <c r="B94" s="98"/>
      <c r="C94" s="98"/>
      <c r="D94" s="98">
        <v>1</v>
      </c>
      <c r="E94" s="102">
        <f>FORNITURAS!D18</f>
        <v>363</v>
      </c>
      <c r="F94" s="39">
        <f>D94*E94</f>
        <v>363</v>
      </c>
      <c r="G94" s="1"/>
    </row>
    <row r="95" spans="1:8" ht="15.75" x14ac:dyDescent="0.25">
      <c r="A95" s="184" t="s">
        <v>1012</v>
      </c>
      <c r="B95" s="98"/>
      <c r="C95" s="98"/>
      <c r="D95" s="98">
        <v>2</v>
      </c>
      <c r="E95" s="102">
        <f>FORNITURAS!D17</f>
        <v>45.05</v>
      </c>
      <c r="F95" s="39">
        <f>D95*E95</f>
        <v>90.1</v>
      </c>
      <c r="G95" s="1"/>
    </row>
    <row r="96" spans="1:8" ht="15.75" x14ac:dyDescent="0.25">
      <c r="A96" s="184" t="s">
        <v>908</v>
      </c>
      <c r="B96" s="98"/>
      <c r="C96" s="98">
        <v>0.26</v>
      </c>
      <c r="D96" s="98">
        <v>3.5000000000000003E-2</v>
      </c>
      <c r="E96" s="102">
        <f>'AROS, CADENAS, DIJES, ETC'!T10</f>
        <v>1000</v>
      </c>
      <c r="F96" s="39">
        <f>E96*D96/C96</f>
        <v>134.61538461538461</v>
      </c>
      <c r="G96" s="1"/>
    </row>
    <row r="97" spans="1:8" ht="15.75" x14ac:dyDescent="0.25">
      <c r="A97" s="184" t="s">
        <v>1743</v>
      </c>
      <c r="B97" s="98"/>
      <c r="C97" s="98"/>
      <c r="D97" s="98">
        <v>1</v>
      </c>
      <c r="E97" s="102">
        <f>FORNITURAS!D14</f>
        <v>98.8</v>
      </c>
      <c r="F97" s="39">
        <f>E97*D97</f>
        <v>98.8</v>
      </c>
      <c r="G97" s="1"/>
    </row>
    <row r="98" spans="1:8" ht="15.75" x14ac:dyDescent="0.25">
      <c r="A98" s="3" t="s">
        <v>1555</v>
      </c>
      <c r="B98" s="98" t="s">
        <v>1556</v>
      </c>
      <c r="C98" s="98"/>
      <c r="D98" s="98">
        <v>2</v>
      </c>
      <c r="E98" s="102">
        <f>FORNITURAS!D4</f>
        <v>48.7</v>
      </c>
      <c r="F98" s="39">
        <f>D98*E98</f>
        <v>97.4</v>
      </c>
      <c r="G98" s="1"/>
    </row>
    <row r="99" spans="1:8" ht="15.75" x14ac:dyDescent="0.25">
      <c r="A99" s="104" t="s">
        <v>1557</v>
      </c>
      <c r="B99" s="98"/>
      <c r="C99" s="98"/>
      <c r="D99" s="98"/>
      <c r="E99" s="102"/>
      <c r="F99" s="523">
        <f>PACKAGING!E4</f>
        <v>80</v>
      </c>
      <c r="G99" s="1"/>
    </row>
    <row r="100" spans="1:8" ht="15.75" x14ac:dyDescent="0.25">
      <c r="A100" s="104" t="s">
        <v>1670</v>
      </c>
      <c r="B100" s="98"/>
      <c r="C100" s="98"/>
      <c r="D100" s="98"/>
      <c r="E100" s="102"/>
      <c r="F100" s="523">
        <f>PACKAGING!E8</f>
        <v>420</v>
      </c>
      <c r="G100" s="1"/>
    </row>
    <row r="101" spans="1:8" ht="15.75" x14ac:dyDescent="0.25">
      <c r="A101" s="184" t="s">
        <v>1558</v>
      </c>
      <c r="B101" s="98"/>
      <c r="C101" s="98">
        <v>60</v>
      </c>
      <c r="D101" s="98">
        <v>15</v>
      </c>
      <c r="E101" s="102">
        <f>'INSUMOS VARIOS'!B3</f>
        <v>3500</v>
      </c>
      <c r="F101" s="39">
        <f>E101*D101/C101</f>
        <v>875</v>
      </c>
      <c r="G101" s="1"/>
      <c r="H101" s="1"/>
    </row>
    <row r="102" spans="1:8" ht="16.5" thickBot="1" x14ac:dyDescent="0.3">
      <c r="A102" s="79" t="s">
        <v>525</v>
      </c>
      <c r="B102" s="99"/>
      <c r="C102" s="99"/>
      <c r="D102" s="99"/>
      <c r="E102" s="70"/>
      <c r="F102" s="51">
        <f>SUM(F85:F101)</f>
        <v>4251.20424362221</v>
      </c>
      <c r="G102" s="1"/>
    </row>
    <row r="103" spans="1:8" ht="18.75" x14ac:dyDescent="0.25">
      <c r="A103" s="80" t="s">
        <v>544</v>
      </c>
      <c r="B103" s="100"/>
      <c r="C103" s="100"/>
      <c r="D103" s="100"/>
      <c r="E103" s="71"/>
      <c r="F103" s="221">
        <f>F102*2</f>
        <v>8502.40848724442</v>
      </c>
      <c r="G103" s="512">
        <f>F103+F103*25%</f>
        <v>10628.010609055525</v>
      </c>
      <c r="H103" s="75">
        <v>1700</v>
      </c>
    </row>
    <row r="104" spans="1:8" ht="19.5" thickBot="1" x14ac:dyDescent="0.3">
      <c r="A104" s="211" t="s">
        <v>1559</v>
      </c>
      <c r="B104" s="214"/>
      <c r="C104" s="214"/>
      <c r="D104" s="214"/>
      <c r="E104" s="212"/>
      <c r="F104" s="372"/>
      <c r="G104" s="522"/>
      <c r="H104" s="371">
        <f>H103*2</f>
        <v>3400</v>
      </c>
    </row>
    <row r="105" spans="1:8" ht="16.5" thickBot="1" x14ac:dyDescent="0.3">
      <c r="A105" s="1"/>
      <c r="B105" s="1"/>
      <c r="C105" s="1"/>
      <c r="D105" s="1"/>
      <c r="E105" s="1"/>
      <c r="F105" s="1"/>
      <c r="G105" s="1"/>
      <c r="H105" s="1"/>
    </row>
    <row r="106" spans="1:8" ht="16.5" thickBot="1" x14ac:dyDescent="0.3">
      <c r="A106" s="1568" t="s">
        <v>384</v>
      </c>
      <c r="B106" s="1569"/>
      <c r="C106" s="1569"/>
      <c r="D106" s="1569"/>
      <c r="E106" s="1570"/>
      <c r="H106" s="1"/>
    </row>
    <row r="107" spans="1:8" ht="15.75" x14ac:dyDescent="0.25">
      <c r="A107" s="183" t="s">
        <v>916</v>
      </c>
      <c r="B107" s="97" t="s">
        <v>743</v>
      </c>
      <c r="C107" s="97" t="s">
        <v>1566</v>
      </c>
      <c r="D107" s="76" t="s">
        <v>1035</v>
      </c>
      <c r="E107" s="77" t="s">
        <v>1549</v>
      </c>
      <c r="F107" s="1"/>
      <c r="H107" s="1"/>
    </row>
    <row r="108" spans="1:8" ht="15.75" x14ac:dyDescent="0.25">
      <c r="A108" s="184" t="s">
        <v>1569</v>
      </c>
      <c r="B108" s="98">
        <v>0.37</v>
      </c>
      <c r="C108" s="98">
        <v>0.15</v>
      </c>
      <c r="D108" s="102">
        <f>'INSUMOS VARIOS'!E64</f>
        <v>600</v>
      </c>
      <c r="E108" s="39">
        <f>D108*C108/B108</f>
        <v>243.24324324324326</v>
      </c>
      <c r="F108" s="1"/>
      <c r="H108" s="1"/>
    </row>
    <row r="109" spans="1:8" ht="15.75" x14ac:dyDescent="0.25">
      <c r="A109" s="184" t="s">
        <v>1572</v>
      </c>
      <c r="B109" s="98" t="s">
        <v>1556</v>
      </c>
      <c r="C109" s="98">
        <v>2</v>
      </c>
      <c r="D109" s="102">
        <f>FORNITURAS!D4</f>
        <v>48.7</v>
      </c>
      <c r="E109" s="39">
        <f t="shared" ref="E109:E114" si="2">C109*D109</f>
        <v>97.4</v>
      </c>
      <c r="F109" s="1"/>
      <c r="H109" s="1"/>
    </row>
    <row r="110" spans="1:8" ht="15.75" x14ac:dyDescent="0.25">
      <c r="A110" s="3" t="s">
        <v>2000</v>
      </c>
      <c r="B110" s="98"/>
      <c r="C110" s="98">
        <v>2</v>
      </c>
      <c r="D110" s="102">
        <f>FORNITURAS!I4</f>
        <v>66.099999999999994</v>
      </c>
      <c r="E110" s="39">
        <f t="shared" si="2"/>
        <v>132.19999999999999</v>
      </c>
      <c r="F110" s="1"/>
      <c r="H110" s="1"/>
    </row>
    <row r="111" spans="1:8" ht="15.75" x14ac:dyDescent="0.25">
      <c r="A111" s="104" t="s">
        <v>1191</v>
      </c>
      <c r="B111" s="98"/>
      <c r="C111" s="98">
        <v>2</v>
      </c>
      <c r="D111" s="102">
        <f>FORNITURAS!D17</f>
        <v>45.05</v>
      </c>
      <c r="E111" s="39">
        <f t="shared" si="2"/>
        <v>90.1</v>
      </c>
      <c r="F111" s="1"/>
      <c r="H111" s="1"/>
    </row>
    <row r="112" spans="1:8" ht="15.75" x14ac:dyDescent="0.25">
      <c r="A112" s="104" t="s">
        <v>1608</v>
      </c>
      <c r="B112" s="98"/>
      <c r="C112" s="98">
        <v>3.5000000000000003E-2</v>
      </c>
      <c r="D112" s="102">
        <f>'AROS, CADENAS, DIJES, ETC'!I38</f>
        <v>3630</v>
      </c>
      <c r="E112" s="39">
        <f t="shared" si="2"/>
        <v>127.05000000000001</v>
      </c>
      <c r="F112" s="1"/>
      <c r="H112" s="1"/>
    </row>
    <row r="113" spans="1:8" ht="15.75" x14ac:dyDescent="0.25">
      <c r="A113" s="104" t="s">
        <v>1743</v>
      </c>
      <c r="B113" s="98" t="s">
        <v>777</v>
      </c>
      <c r="C113" s="98">
        <v>1</v>
      </c>
      <c r="D113" s="102">
        <f>FORNITURAS!D14</f>
        <v>98.8</v>
      </c>
      <c r="E113" s="39">
        <f t="shared" si="2"/>
        <v>98.8</v>
      </c>
      <c r="F113" s="1"/>
      <c r="H113" s="1"/>
    </row>
    <row r="114" spans="1:8" ht="15.75" x14ac:dyDescent="0.25">
      <c r="A114" s="104" t="s">
        <v>1587</v>
      </c>
      <c r="B114" s="98"/>
      <c r="C114" s="98">
        <v>1</v>
      </c>
      <c r="D114" s="102">
        <f>FORNITURAS!D18</f>
        <v>363</v>
      </c>
      <c r="E114" s="39">
        <f t="shared" si="2"/>
        <v>363</v>
      </c>
      <c r="F114" s="1"/>
      <c r="H114" s="1"/>
    </row>
    <row r="115" spans="1:8" ht="15.75" x14ac:dyDescent="0.25">
      <c r="A115" s="104" t="s">
        <v>1557</v>
      </c>
      <c r="B115" s="98"/>
      <c r="C115" s="98"/>
      <c r="D115" s="102"/>
      <c r="E115" s="523">
        <f>PACKAGING!E4</f>
        <v>80</v>
      </c>
      <c r="G115" s="1"/>
      <c r="H115" s="1"/>
    </row>
    <row r="116" spans="1:8" ht="15.75" x14ac:dyDescent="0.25">
      <c r="A116" s="104" t="s">
        <v>1670</v>
      </c>
      <c r="B116" s="98"/>
      <c r="C116" s="98"/>
      <c r="D116" s="102"/>
      <c r="E116" s="523">
        <f>PACKAGING!E8</f>
        <v>420</v>
      </c>
      <c r="G116" s="1"/>
      <c r="H116" s="1"/>
    </row>
    <row r="117" spans="1:8" ht="15.75" x14ac:dyDescent="0.25">
      <c r="A117" s="24" t="s">
        <v>1618</v>
      </c>
      <c r="B117" s="98">
        <v>60</v>
      </c>
      <c r="C117" s="98">
        <v>15</v>
      </c>
      <c r="D117" s="66">
        <f>'INSUMOS VARIOS'!B3</f>
        <v>3500</v>
      </c>
      <c r="E117" s="524">
        <f>D117*C117/B117</f>
        <v>875</v>
      </c>
      <c r="G117" s="1"/>
      <c r="H117" s="1"/>
    </row>
    <row r="118" spans="1:8" ht="16.5" thickBot="1" x14ac:dyDescent="0.3">
      <c r="A118" s="79" t="s">
        <v>525</v>
      </c>
      <c r="B118" s="99"/>
      <c r="C118" s="99"/>
      <c r="D118" s="70"/>
      <c r="E118" s="51">
        <f>SUM(E108:E117)</f>
        <v>2526.7932432432435</v>
      </c>
      <c r="F118" s="1"/>
      <c r="H118" s="1"/>
    </row>
    <row r="119" spans="1:8" ht="18.75" x14ac:dyDescent="0.25">
      <c r="A119" s="80" t="s">
        <v>544</v>
      </c>
      <c r="B119" s="100"/>
      <c r="C119" s="100"/>
      <c r="D119" s="71"/>
      <c r="E119" s="72">
        <f>E118*2</f>
        <v>5053.586486486487</v>
      </c>
      <c r="F119" s="492">
        <f>E119+E119*15%</f>
        <v>5811.62445945946</v>
      </c>
      <c r="G119" s="75">
        <v>1450</v>
      </c>
      <c r="H119" s="1"/>
    </row>
    <row r="120" spans="1:8" ht="19.5" thickBot="1" x14ac:dyDescent="0.3">
      <c r="A120" s="81" t="s">
        <v>1559</v>
      </c>
      <c r="B120" s="101"/>
      <c r="C120" s="101"/>
      <c r="D120" s="73"/>
      <c r="E120" s="73"/>
      <c r="F120" s="493"/>
      <c r="G120" s="74">
        <f>G119*2</f>
        <v>2900</v>
      </c>
      <c r="H120" s="1"/>
    </row>
    <row r="121" spans="1:8" ht="15.75" thickBot="1" x14ac:dyDescent="0.3"/>
    <row r="122" spans="1:8" ht="16.5" thickBot="1" x14ac:dyDescent="0.3">
      <c r="A122" s="1568" t="s">
        <v>336</v>
      </c>
      <c r="B122" s="1569"/>
      <c r="C122" s="1569"/>
      <c r="D122" s="1569"/>
      <c r="E122" s="1569"/>
      <c r="F122" s="1570"/>
      <c r="G122" s="188"/>
      <c r="H122" s="1"/>
    </row>
    <row r="123" spans="1:8" ht="15.75" x14ac:dyDescent="0.25">
      <c r="A123" s="183" t="s">
        <v>916</v>
      </c>
      <c r="B123" s="97" t="s">
        <v>742</v>
      </c>
      <c r="C123" s="97" t="s">
        <v>1089</v>
      </c>
      <c r="D123" s="97" t="s">
        <v>1547</v>
      </c>
      <c r="E123" s="76" t="s">
        <v>1035</v>
      </c>
      <c r="F123" s="77" t="s">
        <v>1549</v>
      </c>
      <c r="H123" s="1"/>
    </row>
    <row r="124" spans="1:8" ht="15.75" x14ac:dyDescent="0.25">
      <c r="A124" s="1613" t="s">
        <v>1691</v>
      </c>
      <c r="B124" s="98" t="s">
        <v>1582</v>
      </c>
      <c r="C124" s="98"/>
      <c r="D124" s="98">
        <v>7</v>
      </c>
      <c r="E124" s="102">
        <f>+PERLAS!F4</f>
        <v>81</v>
      </c>
      <c r="F124" s="39">
        <f t="shared" ref="F124:F131" si="3">E124*D124</f>
        <v>567</v>
      </c>
      <c r="H124" s="1"/>
    </row>
    <row r="125" spans="1:8" ht="15.75" x14ac:dyDescent="0.25">
      <c r="A125" s="1614"/>
      <c r="B125" s="98" t="s">
        <v>2059</v>
      </c>
      <c r="C125" s="98"/>
      <c r="D125" s="98">
        <v>1</v>
      </c>
      <c r="E125" s="102">
        <f>+PERLAS!F24</f>
        <v>153.48837209302326</v>
      </c>
      <c r="F125" s="39">
        <f t="shared" si="3"/>
        <v>153.48837209302326</v>
      </c>
      <c r="G125" s="1"/>
      <c r="H125" s="1"/>
    </row>
    <row r="126" spans="1:8" ht="15.75" x14ac:dyDescent="0.25">
      <c r="A126" s="184" t="s">
        <v>1848</v>
      </c>
      <c r="B126" s="98"/>
      <c r="C126" s="98"/>
      <c r="D126" s="98">
        <v>1</v>
      </c>
      <c r="E126" s="102">
        <f>VIDRIOS!E8</f>
        <v>8.9473684210526319</v>
      </c>
      <c r="F126" s="39">
        <f t="shared" si="3"/>
        <v>8.9473684210526319</v>
      </c>
      <c r="G126" s="1"/>
      <c r="H126" s="1"/>
    </row>
    <row r="127" spans="1:8" ht="15.75" x14ac:dyDescent="0.25">
      <c r="A127" s="184" t="s">
        <v>1859</v>
      </c>
      <c r="B127" s="98"/>
      <c r="C127" s="98"/>
      <c r="D127" s="98">
        <v>6</v>
      </c>
      <c r="E127" s="102">
        <f>'PALAIS DU BIJOU'!N45</f>
        <v>37.313432835820898</v>
      </c>
      <c r="F127" s="39">
        <f t="shared" si="3"/>
        <v>223.8805970149254</v>
      </c>
      <c r="G127" s="1"/>
      <c r="H127" s="1"/>
    </row>
    <row r="128" spans="1:8" ht="15.75" x14ac:dyDescent="0.25">
      <c r="A128" s="184" t="s">
        <v>1997</v>
      </c>
      <c r="B128" s="98"/>
      <c r="C128" s="98"/>
      <c r="D128" s="98">
        <v>1</v>
      </c>
      <c r="E128" s="102">
        <f>VIDRIOS!E25</f>
        <v>42.058823529411768</v>
      </c>
      <c r="F128" s="39">
        <f t="shared" si="3"/>
        <v>42.058823529411768</v>
      </c>
      <c r="G128" s="1"/>
      <c r="H128" s="1"/>
    </row>
    <row r="129" spans="1:8" ht="15.75" x14ac:dyDescent="0.25">
      <c r="A129" s="184" t="s">
        <v>2095</v>
      </c>
      <c r="B129" s="98"/>
      <c r="C129" s="98"/>
      <c r="D129" s="98">
        <v>4</v>
      </c>
      <c r="E129" s="102">
        <f>VIDRIOS!E5</f>
        <v>56.666666666666664</v>
      </c>
      <c r="F129" s="39">
        <f t="shared" si="3"/>
        <v>226.66666666666666</v>
      </c>
      <c r="G129" s="1"/>
      <c r="H129" s="1"/>
    </row>
    <row r="130" spans="1:8" ht="15.75" x14ac:dyDescent="0.25">
      <c r="A130" s="184" t="s">
        <v>1448</v>
      </c>
      <c r="B130" s="98"/>
      <c r="C130" s="98"/>
      <c r="D130" s="98">
        <v>2</v>
      </c>
      <c r="E130" s="102">
        <f>VIDRIOS!E13</f>
        <v>18.888888888888889</v>
      </c>
      <c r="F130" s="39">
        <f t="shared" si="3"/>
        <v>37.777777777777779</v>
      </c>
      <c r="G130" s="1"/>
      <c r="H130" s="1"/>
    </row>
    <row r="131" spans="1:8" ht="15.75" x14ac:dyDescent="0.25">
      <c r="A131" s="184" t="s">
        <v>2097</v>
      </c>
      <c r="B131" s="98"/>
      <c r="C131" s="98"/>
      <c r="D131" s="98">
        <v>1</v>
      </c>
      <c r="E131" s="102">
        <f>'PALAIS DU BIJOU'!F35</f>
        <v>65</v>
      </c>
      <c r="F131" s="39">
        <f t="shared" si="3"/>
        <v>65</v>
      </c>
      <c r="G131" s="1"/>
      <c r="H131" s="1"/>
    </row>
    <row r="132" spans="1:8" ht="15.75" x14ac:dyDescent="0.25">
      <c r="A132" s="184" t="s">
        <v>1552</v>
      </c>
      <c r="B132" s="98">
        <v>0.39</v>
      </c>
      <c r="C132" s="98">
        <v>3.0000000000000001E-3</v>
      </c>
      <c r="D132" s="98">
        <v>6</v>
      </c>
      <c r="E132" s="102">
        <f>'PALAIS DU BIJOU'!N6</f>
        <v>210</v>
      </c>
      <c r="F132" s="39">
        <f>(E132*C132/B132)*D132</f>
        <v>9.6923076923076934</v>
      </c>
      <c r="G132" s="1"/>
      <c r="H132" s="1"/>
    </row>
    <row r="133" spans="1:8" ht="15.75" x14ac:dyDescent="0.25">
      <c r="A133" s="184" t="s">
        <v>1594</v>
      </c>
      <c r="B133" s="98"/>
      <c r="C133" s="98"/>
      <c r="D133" s="98">
        <v>0.27</v>
      </c>
      <c r="E133" s="102">
        <f>'HILOS-CORDONES-TANZA-CUERO'!L6</f>
        <v>8</v>
      </c>
      <c r="F133" s="39">
        <f>E133*D133</f>
        <v>2.16</v>
      </c>
      <c r="G133" s="1"/>
      <c r="H133" s="1"/>
    </row>
    <row r="134" spans="1:8" ht="15.75" x14ac:dyDescent="0.25">
      <c r="A134" s="3" t="s">
        <v>1588</v>
      </c>
      <c r="B134" s="98"/>
      <c r="C134" s="98"/>
      <c r="D134" s="98"/>
      <c r="E134" s="2"/>
      <c r="F134" s="39">
        <f>PACKAGING!E3</f>
        <v>150</v>
      </c>
      <c r="G134" s="1"/>
      <c r="H134" s="1"/>
    </row>
    <row r="135" spans="1:8" ht="15.75" x14ac:dyDescent="0.25">
      <c r="A135" s="184" t="s">
        <v>1558</v>
      </c>
      <c r="B135" s="98" t="s">
        <v>1590</v>
      </c>
      <c r="C135" s="98">
        <v>60</v>
      </c>
      <c r="D135" s="98">
        <v>20</v>
      </c>
      <c r="E135" s="102">
        <f>'INSUMOS VARIOS'!B3</f>
        <v>3500</v>
      </c>
      <c r="F135" s="39">
        <f>E135*D135/C135</f>
        <v>1166.6666666666667</v>
      </c>
      <c r="G135" s="1"/>
      <c r="H135" s="1"/>
    </row>
    <row r="136" spans="1:8" ht="16.5" thickBot="1" x14ac:dyDescent="0.3">
      <c r="A136" s="79" t="s">
        <v>525</v>
      </c>
      <c r="B136" s="99"/>
      <c r="C136" s="99"/>
      <c r="D136" s="99"/>
      <c r="E136" s="70"/>
      <c r="F136" s="51">
        <f>SUM(F124:F135)</f>
        <v>2653.3385798618319</v>
      </c>
      <c r="G136" s="1"/>
      <c r="H136" s="1"/>
    </row>
    <row r="137" spans="1:8" ht="18.75" x14ac:dyDescent="0.25">
      <c r="A137" s="80" t="s">
        <v>544</v>
      </c>
      <c r="B137" s="100"/>
      <c r="C137" s="100"/>
      <c r="D137" s="100"/>
      <c r="E137" s="71"/>
      <c r="F137" s="72">
        <f>F136*2</f>
        <v>5306.6771597236639</v>
      </c>
      <c r="G137" s="75">
        <f>F137+F137*25%</f>
        <v>6633.3464496545803</v>
      </c>
      <c r="H137" s="75">
        <v>1450</v>
      </c>
    </row>
    <row r="138" spans="1:8" ht="19.5" thickBot="1" x14ac:dyDescent="0.3">
      <c r="A138" s="81" t="s">
        <v>1559</v>
      </c>
      <c r="B138" s="101"/>
      <c r="C138" s="101"/>
      <c r="D138" s="101"/>
      <c r="E138" s="73"/>
      <c r="F138" s="73"/>
      <c r="G138" s="74"/>
      <c r="H138" s="74">
        <f>H137*2</f>
        <v>2900</v>
      </c>
    </row>
    <row r="140" spans="1:8" ht="15.75" x14ac:dyDescent="0.25">
      <c r="A140" s="1576" t="s">
        <v>144</v>
      </c>
      <c r="B140" s="1577"/>
      <c r="C140" s="1577"/>
      <c r="D140" s="1577"/>
      <c r="E140" s="1577"/>
      <c r="F140" s="1577"/>
      <c r="G140" s="1"/>
      <c r="H140" s="1"/>
    </row>
    <row r="141" spans="1:8" ht="15.75" x14ac:dyDescent="0.25">
      <c r="A141" s="183" t="s">
        <v>916</v>
      </c>
      <c r="B141" s="97" t="s">
        <v>1194</v>
      </c>
      <c r="C141" s="97" t="s">
        <v>1089</v>
      </c>
      <c r="D141" s="76" t="s">
        <v>1547</v>
      </c>
      <c r="E141" s="108" t="s">
        <v>1035</v>
      </c>
      <c r="F141" s="77" t="s">
        <v>1549</v>
      </c>
      <c r="G141" s="1"/>
      <c r="H141" s="1"/>
    </row>
    <row r="142" spans="1:8" ht="15.75" x14ac:dyDescent="0.25">
      <c r="A142" s="104" t="s">
        <v>1264</v>
      </c>
      <c r="B142" s="148"/>
      <c r="C142" s="2"/>
      <c r="D142" s="107">
        <v>20</v>
      </c>
      <c r="E142" s="109">
        <f>VIDRIOS!E26</f>
        <v>62.173913043478258</v>
      </c>
      <c r="F142" s="110">
        <f>E142*D142</f>
        <v>1243.4782608695652</v>
      </c>
      <c r="G142" s="1"/>
      <c r="H142" s="1"/>
    </row>
    <row r="143" spans="1:8" ht="15.75" x14ac:dyDescent="0.25">
      <c r="A143" s="104" t="s">
        <v>1944</v>
      </c>
      <c r="B143" s="148"/>
      <c r="C143" s="2"/>
      <c r="D143" s="107">
        <v>1</v>
      </c>
      <c r="E143" s="109">
        <f>FORNITURAS!I6</f>
        <v>155.52941176470588</v>
      </c>
      <c r="F143" s="110">
        <f>D143*E143</f>
        <v>155.52941176470588</v>
      </c>
      <c r="G143" s="1"/>
      <c r="H143" s="1"/>
    </row>
    <row r="144" spans="1:8" ht="15.75" x14ac:dyDescent="0.25">
      <c r="A144" s="104" t="s">
        <v>1594</v>
      </c>
      <c r="B144" s="148"/>
      <c r="C144" s="98"/>
      <c r="D144" s="2">
        <v>0.28000000000000003</v>
      </c>
      <c r="E144" s="109">
        <f>'HILOS-CORDONES-TANZA-CUERO'!L6</f>
        <v>8</v>
      </c>
      <c r="F144" s="110">
        <f>E144*D144</f>
        <v>2.2400000000000002</v>
      </c>
      <c r="G144" s="1"/>
      <c r="H144" s="1"/>
    </row>
    <row r="145" spans="1:8" ht="15.75" x14ac:dyDescent="0.25">
      <c r="A145" s="3" t="s">
        <v>1557</v>
      </c>
      <c r="B145" s="98"/>
      <c r="C145" s="98"/>
      <c r="D145" s="2"/>
      <c r="E145" s="1"/>
      <c r="F145" s="39">
        <f>PULSERAS!P160</f>
        <v>50</v>
      </c>
      <c r="G145" s="1"/>
      <c r="H145" s="1"/>
    </row>
    <row r="146" spans="1:8" ht="18.75" x14ac:dyDescent="0.25">
      <c r="A146" s="3" t="s">
        <v>1558</v>
      </c>
      <c r="B146" s="98">
        <v>60</v>
      </c>
      <c r="C146" s="98">
        <v>10</v>
      </c>
      <c r="D146" s="2"/>
      <c r="E146" s="66">
        <f>'INSUMOS VARIOS'!B3</f>
        <v>3500</v>
      </c>
      <c r="F146" s="39">
        <f>E146*C146/B146</f>
        <v>583.33333333333337</v>
      </c>
      <c r="G146" s="96"/>
      <c r="H146" s="96"/>
    </row>
    <row r="147" spans="1:8" ht="16.5" thickBot="1" x14ac:dyDescent="0.3">
      <c r="A147" s="79" t="s">
        <v>525</v>
      </c>
      <c r="B147" s="99"/>
      <c r="C147" s="99"/>
      <c r="D147" s="70"/>
      <c r="E147" s="85"/>
      <c r="F147" s="51">
        <f>SUM(F142:F146)</f>
        <v>2034.5810059676046</v>
      </c>
      <c r="G147" s="1"/>
      <c r="H147" s="1"/>
    </row>
    <row r="148" spans="1:8" ht="18.75" x14ac:dyDescent="0.25">
      <c r="A148" s="80" t="s">
        <v>544</v>
      </c>
      <c r="B148" s="100"/>
      <c r="C148" s="100"/>
      <c r="D148" s="71"/>
      <c r="E148" s="71"/>
      <c r="F148" s="72">
        <f>F147*2</f>
        <v>4069.1620119352092</v>
      </c>
      <c r="G148" s="512">
        <f>F148+F148*25%</f>
        <v>5086.4525149190113</v>
      </c>
      <c r="H148" s="75">
        <v>1650</v>
      </c>
    </row>
    <row r="149" spans="1:8" ht="19.5" thickBot="1" x14ac:dyDescent="0.3">
      <c r="A149" s="81" t="s">
        <v>1559</v>
      </c>
      <c r="B149" s="101"/>
      <c r="C149" s="101"/>
      <c r="D149" s="73"/>
      <c r="E149" s="73"/>
      <c r="F149" s="73"/>
      <c r="G149" s="529"/>
      <c r="H149" s="74">
        <f>H148*2</f>
        <v>3300</v>
      </c>
    </row>
    <row r="150" spans="1:8" ht="15.75" x14ac:dyDescent="0.25">
      <c r="A150" s="1"/>
      <c r="B150" s="1"/>
      <c r="C150" s="1"/>
      <c r="D150" s="1"/>
      <c r="E150" s="1"/>
      <c r="F150" s="1"/>
      <c r="G150" s="1"/>
      <c r="H150" s="1"/>
    </row>
    <row r="151" spans="1:8" ht="15.75" x14ac:dyDescent="0.25">
      <c r="A151" s="1576" t="s">
        <v>160</v>
      </c>
      <c r="B151" s="1577"/>
      <c r="C151" s="1577"/>
      <c r="D151" s="1577"/>
      <c r="E151" s="1577"/>
      <c r="F151" s="1577"/>
      <c r="G151" s="421"/>
      <c r="H151" s="421"/>
    </row>
    <row r="152" spans="1:8" ht="15.75" x14ac:dyDescent="0.25">
      <c r="A152" s="183" t="s">
        <v>916</v>
      </c>
      <c r="B152" s="97" t="s">
        <v>743</v>
      </c>
      <c r="C152" s="97" t="s">
        <v>1089</v>
      </c>
      <c r="D152" s="97" t="s">
        <v>1566</v>
      </c>
      <c r="E152" s="76" t="s">
        <v>1035</v>
      </c>
      <c r="F152" s="77" t="s">
        <v>1549</v>
      </c>
      <c r="G152" s="1"/>
      <c r="H152" s="421"/>
    </row>
    <row r="153" spans="1:8" ht="15.75" x14ac:dyDescent="0.25">
      <c r="A153" s="184" t="s">
        <v>1224</v>
      </c>
      <c r="B153" s="98"/>
      <c r="C153" s="98">
        <v>0.5</v>
      </c>
      <c r="D153" s="98"/>
      <c r="E153" s="102">
        <f>'HILOS-CORDONES-TANZA-CUERO'!E5</f>
        <v>50.35</v>
      </c>
      <c r="F153" s="39">
        <f>E153*C153</f>
        <v>25.175000000000001</v>
      </c>
      <c r="G153" s="1"/>
      <c r="H153" s="421"/>
    </row>
    <row r="154" spans="1:8" ht="15.75" x14ac:dyDescent="0.25">
      <c r="A154" s="184" t="s">
        <v>2080</v>
      </c>
      <c r="B154" s="98"/>
      <c r="C154" s="98"/>
      <c r="D154" s="98">
        <v>13</v>
      </c>
      <c r="E154" s="102">
        <f>VIDRIOS!E21</f>
        <v>65</v>
      </c>
      <c r="F154" s="374">
        <f>E154*D154</f>
        <v>845</v>
      </c>
      <c r="G154" s="1"/>
      <c r="H154" s="421"/>
    </row>
    <row r="155" spans="1:8" ht="15.75" x14ac:dyDescent="0.25">
      <c r="A155" s="184" t="s">
        <v>1587</v>
      </c>
      <c r="B155" s="98"/>
      <c r="C155" s="98"/>
      <c r="D155" s="98">
        <v>1</v>
      </c>
      <c r="E155" s="102">
        <f>+FORNITURAS!D21</f>
        <v>1500</v>
      </c>
      <c r="F155" s="39">
        <f>D155*E155</f>
        <v>1500</v>
      </c>
      <c r="G155" s="1"/>
      <c r="H155" s="421"/>
    </row>
    <row r="156" spans="1:8" ht="15.75" x14ac:dyDescent="0.25">
      <c r="A156" s="184" t="s">
        <v>908</v>
      </c>
      <c r="B156" s="98"/>
      <c r="C156" s="98">
        <v>0.5</v>
      </c>
      <c r="D156" s="98">
        <v>0.05</v>
      </c>
      <c r="E156" s="102">
        <f>'AROS, CADENAS, DIJES, ETC'!I39</f>
        <v>605</v>
      </c>
      <c r="F156" s="39">
        <f>E156*D156/C156</f>
        <v>60.5</v>
      </c>
      <c r="G156" s="1"/>
      <c r="H156" s="421"/>
    </row>
    <row r="157" spans="1:8" ht="15.75" x14ac:dyDescent="0.25">
      <c r="A157" s="184" t="s">
        <v>1555</v>
      </c>
      <c r="B157" s="98" t="s">
        <v>1933</v>
      </c>
      <c r="C157" s="98"/>
      <c r="D157" s="98">
        <v>2</v>
      </c>
      <c r="E157" s="102">
        <f>FORNITURAS!D5</f>
        <v>46.8</v>
      </c>
      <c r="F157" s="39">
        <f>E157*D157</f>
        <v>93.6</v>
      </c>
      <c r="G157" s="1"/>
      <c r="H157" s="421"/>
    </row>
    <row r="158" spans="1:8" ht="15.75" x14ac:dyDescent="0.25">
      <c r="A158" s="104" t="s">
        <v>1557</v>
      </c>
      <c r="B158" s="98"/>
      <c r="C158" s="98"/>
      <c r="D158" s="98"/>
      <c r="E158" s="102"/>
      <c r="F158" s="523">
        <f>PACKAGING!E4</f>
        <v>80</v>
      </c>
      <c r="G158" s="1"/>
      <c r="H158" s="421"/>
    </row>
    <row r="159" spans="1:8" ht="15.75" x14ac:dyDescent="0.25">
      <c r="A159" s="104" t="s">
        <v>1670</v>
      </c>
      <c r="B159" s="98"/>
      <c r="C159" s="98"/>
      <c r="D159" s="98"/>
      <c r="E159" s="102"/>
      <c r="F159" s="523">
        <f>PACKAGING!E8</f>
        <v>420</v>
      </c>
      <c r="G159" s="1"/>
      <c r="H159" s="421"/>
    </row>
    <row r="160" spans="1:8" ht="15.75" x14ac:dyDescent="0.25">
      <c r="A160" s="24" t="s">
        <v>1618</v>
      </c>
      <c r="B160" s="98"/>
      <c r="C160" s="98">
        <v>60</v>
      </c>
      <c r="D160" s="98">
        <v>15</v>
      </c>
      <c r="E160" s="66">
        <f>'INSUMOS VARIOS'!B3</f>
        <v>3500</v>
      </c>
      <c r="F160" s="39">
        <f>E160*D160/C160</f>
        <v>875</v>
      </c>
      <c r="G160" s="1"/>
      <c r="H160" s="421"/>
    </row>
    <row r="161" spans="1:8" ht="16.5" thickBot="1" x14ac:dyDescent="0.3">
      <c r="A161" s="79" t="s">
        <v>525</v>
      </c>
      <c r="B161" s="99"/>
      <c r="C161" s="99"/>
      <c r="D161" s="99"/>
      <c r="E161" s="70"/>
      <c r="F161" s="51">
        <f>SUM(F153:F160)</f>
        <v>3899.2750000000001</v>
      </c>
      <c r="G161" s="1"/>
      <c r="H161" s="421"/>
    </row>
    <row r="162" spans="1:8" ht="18.75" x14ac:dyDescent="0.25">
      <c r="A162" s="80" t="s">
        <v>544</v>
      </c>
      <c r="B162" s="100"/>
      <c r="C162" s="100"/>
      <c r="D162" s="100"/>
      <c r="E162" s="71"/>
      <c r="F162" s="221">
        <f>F161*2</f>
        <v>7798.55</v>
      </c>
      <c r="G162" s="512">
        <f>F162+F162*25%</f>
        <v>9748.1875</v>
      </c>
      <c r="H162" s="278">
        <v>1650</v>
      </c>
    </row>
    <row r="163" spans="1:8" ht="19.5" thickBot="1" x14ac:dyDescent="0.3">
      <c r="A163" s="81" t="s">
        <v>1559</v>
      </c>
      <c r="B163" s="101"/>
      <c r="C163" s="101"/>
      <c r="D163" s="101"/>
      <c r="E163" s="73"/>
      <c r="F163" s="222"/>
      <c r="G163" s="522"/>
      <c r="H163" s="279">
        <f>H162*2</f>
        <v>3300</v>
      </c>
    </row>
  </sheetData>
  <mergeCells count="15">
    <mergeCell ref="A124:A125"/>
    <mergeCell ref="A140:F140"/>
    <mergeCell ref="A151:F151"/>
    <mergeCell ref="A42:F42"/>
    <mergeCell ref="A90:A91"/>
    <mergeCell ref="A60:F60"/>
    <mergeCell ref="A83:F83"/>
    <mergeCell ref="A106:E106"/>
    <mergeCell ref="A122:F122"/>
    <mergeCell ref="A36:A37"/>
    <mergeCell ref="A1:F1"/>
    <mergeCell ref="A3:A6"/>
    <mergeCell ref="A14:F14"/>
    <mergeCell ref="A25:F25"/>
    <mergeCell ref="A32:A33"/>
  </mergeCell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DF4D5-C58F-4985-A005-638F54C0432F}">
  <dimension ref="A2:AO487"/>
  <sheetViews>
    <sheetView topLeftCell="A489" zoomScaleNormal="100" workbookViewId="0">
      <selection activeCell="F297" sqref="F297"/>
    </sheetView>
  </sheetViews>
  <sheetFormatPr baseColWidth="10" defaultRowHeight="15" x14ac:dyDescent="0.25"/>
  <cols>
    <col min="1" max="1" width="37.85546875" bestFit="1" customWidth="1"/>
    <col min="2" max="2" width="17.85546875" bestFit="1" customWidth="1"/>
    <col min="4" max="4" width="11.5703125" bestFit="1" customWidth="1"/>
    <col min="5" max="5" width="12.85546875" bestFit="1" customWidth="1"/>
    <col min="6" max="7" width="25.42578125" bestFit="1" customWidth="1"/>
    <col min="8" max="8" width="14.140625" bestFit="1" customWidth="1"/>
    <col min="12" max="12" width="4.42578125" style="1373" customWidth="1"/>
    <col min="14" max="14" width="28.85546875" bestFit="1" customWidth="1"/>
    <col min="16" max="17" width="11.5703125" bestFit="1" customWidth="1"/>
    <col min="18" max="20" width="12.85546875" bestFit="1" customWidth="1"/>
    <col min="23" max="23" width="4" style="1373" customWidth="1"/>
    <col min="25" max="25" width="28.28515625" bestFit="1" customWidth="1"/>
    <col min="29" max="29" width="14.85546875" bestFit="1" customWidth="1"/>
    <col min="30" max="31" width="12.85546875" bestFit="1" customWidth="1"/>
  </cols>
  <sheetData>
    <row r="2" spans="1:41" ht="15" customHeight="1" x14ac:dyDescent="0.25">
      <c r="A2" s="1787" t="s">
        <v>1881</v>
      </c>
      <c r="B2" s="1787"/>
      <c r="C2" s="1787"/>
      <c r="D2" s="1787"/>
      <c r="E2" s="1787"/>
      <c r="F2" s="1787"/>
      <c r="G2" s="1787"/>
      <c r="H2" s="1787"/>
      <c r="I2" s="1787"/>
      <c r="J2" s="1787"/>
      <c r="K2" s="1787"/>
      <c r="M2" s="1787" t="s">
        <v>581</v>
      </c>
      <c r="N2" s="1787"/>
      <c r="O2" s="1787"/>
      <c r="P2" s="1787"/>
      <c r="Q2" s="1787"/>
      <c r="R2" s="1787"/>
      <c r="S2" s="1787"/>
      <c r="T2" s="1787"/>
      <c r="U2" s="1787"/>
      <c r="V2" s="1787"/>
      <c r="W2" s="1787"/>
      <c r="X2" s="1787"/>
      <c r="Y2" s="1373"/>
      <c r="Z2" s="1373"/>
      <c r="AA2" s="1373"/>
      <c r="AB2" s="1373"/>
      <c r="AC2" s="1420" t="s">
        <v>2208</v>
      </c>
      <c r="AD2" s="1373"/>
      <c r="AE2" s="1373"/>
      <c r="AF2" s="1373"/>
      <c r="AG2" s="1373"/>
      <c r="AH2" s="1373"/>
      <c r="AI2" s="1373"/>
      <c r="AJ2" s="1373"/>
      <c r="AK2" s="1373"/>
      <c r="AL2" s="1373"/>
      <c r="AM2" s="1373"/>
      <c r="AN2" s="1373"/>
      <c r="AO2" s="1373"/>
    </row>
    <row r="3" spans="1:41" ht="15.75" thickBot="1" x14ac:dyDescent="0.3"/>
    <row r="4" spans="1:41" ht="16.5" thickBot="1" x14ac:dyDescent="0.3">
      <c r="A4" s="1791" t="s">
        <v>4265</v>
      </c>
      <c r="B4" s="1792"/>
      <c r="C4" s="1792"/>
      <c r="D4" s="1792"/>
      <c r="E4" s="1792"/>
      <c r="F4" s="1793"/>
      <c r="G4" s="653"/>
      <c r="H4" s="653"/>
      <c r="I4" s="652"/>
      <c r="N4" s="1772" t="s">
        <v>4268</v>
      </c>
      <c r="O4" s="1773"/>
      <c r="P4" s="1773"/>
      <c r="Q4" s="1773"/>
      <c r="R4" s="1774"/>
      <c r="S4" s="804"/>
      <c r="T4" s="653"/>
      <c r="Y4" s="1784" t="s">
        <v>145</v>
      </c>
      <c r="Z4" s="1785"/>
      <c r="AA4" s="1785"/>
      <c r="AB4" s="1785"/>
      <c r="AC4" s="1786"/>
      <c r="AD4" s="804"/>
      <c r="AE4" s="653"/>
    </row>
    <row r="5" spans="1:41" ht="15.75" x14ac:dyDescent="0.25">
      <c r="A5" s="821" t="s">
        <v>916</v>
      </c>
      <c r="B5" s="1365" t="s">
        <v>1073</v>
      </c>
      <c r="C5" s="823" t="s">
        <v>1089</v>
      </c>
      <c r="D5" s="823" t="s">
        <v>1547</v>
      </c>
      <c r="E5" s="823" t="s">
        <v>1035</v>
      </c>
      <c r="F5" s="824" t="s">
        <v>1549</v>
      </c>
      <c r="G5" s="658"/>
      <c r="H5" s="653"/>
      <c r="I5" s="652"/>
      <c r="N5" s="821" t="s">
        <v>916</v>
      </c>
      <c r="O5" s="822" t="s">
        <v>1073</v>
      </c>
      <c r="P5" s="823" t="s">
        <v>1547</v>
      </c>
      <c r="Q5" s="823" t="s">
        <v>1035</v>
      </c>
      <c r="R5" s="824" t="s">
        <v>1549</v>
      </c>
      <c r="S5" s="658"/>
      <c r="T5" s="653"/>
      <c r="Y5" s="821" t="s">
        <v>916</v>
      </c>
      <c r="Z5" s="822" t="s">
        <v>1073</v>
      </c>
      <c r="AA5" s="823" t="s">
        <v>1547</v>
      </c>
      <c r="AB5" s="823" t="s">
        <v>1035</v>
      </c>
      <c r="AC5" s="824" t="s">
        <v>1549</v>
      </c>
      <c r="AD5" s="658"/>
      <c r="AE5" s="653"/>
    </row>
    <row r="6" spans="1:41" ht="15.75" x14ac:dyDescent="0.25">
      <c r="A6" s="1366" t="s">
        <v>4168</v>
      </c>
      <c r="B6" s="769"/>
      <c r="C6" s="1367">
        <v>0.8</v>
      </c>
      <c r="D6" s="779">
        <v>0.08</v>
      </c>
      <c r="E6" s="668">
        <f>PIEDRAS!E153</f>
        <v>6000</v>
      </c>
      <c r="F6" s="662">
        <f>E6*D6/C6</f>
        <v>600</v>
      </c>
      <c r="G6" s="658"/>
      <c r="H6" s="653"/>
      <c r="I6" s="652"/>
      <c r="N6" s="665" t="s">
        <v>4223</v>
      </c>
      <c r="O6" s="769"/>
      <c r="P6" s="779">
        <v>1</v>
      </c>
      <c r="Q6" s="668">
        <f>'AROS, CADENAS, DIJES, ETC'!D145</f>
        <v>2866</v>
      </c>
      <c r="R6" s="662">
        <f>Q6</f>
        <v>2866</v>
      </c>
      <c r="S6" s="658"/>
      <c r="T6" s="653"/>
      <c r="Y6" s="665" t="s">
        <v>4495</v>
      </c>
      <c r="Z6" s="769"/>
      <c r="AA6" s="779">
        <v>1</v>
      </c>
      <c r="AB6" s="668">
        <f>'AROS, CADENAS, DIJES, ETC'!C189</f>
        <v>4635</v>
      </c>
      <c r="AC6" s="662">
        <f>AB6</f>
        <v>4635</v>
      </c>
      <c r="AD6" s="658"/>
      <c r="AE6" s="653"/>
    </row>
    <row r="7" spans="1:41" ht="15.75" x14ac:dyDescent="0.25">
      <c r="A7" s="1366" t="s">
        <v>3735</v>
      </c>
      <c r="B7" s="769" t="s">
        <v>4219</v>
      </c>
      <c r="C7" s="1367"/>
      <c r="D7" s="779" t="s">
        <v>1649</v>
      </c>
      <c r="E7" s="668">
        <f>'AROS, CADENAS, DIJES, ETC'!J104</f>
        <v>4855</v>
      </c>
      <c r="F7" s="662">
        <f>E7</f>
        <v>4855</v>
      </c>
      <c r="G7" s="658"/>
      <c r="H7" s="653"/>
      <c r="I7" s="652"/>
      <c r="N7" s="665" t="s">
        <v>1557</v>
      </c>
      <c r="O7" s="769"/>
      <c r="P7" s="779"/>
      <c r="Q7" s="668"/>
      <c r="R7" s="662">
        <f>PACKAGING!E3</f>
        <v>150</v>
      </c>
      <c r="S7" s="658"/>
      <c r="T7" s="653"/>
      <c r="Y7" s="665" t="s">
        <v>1557</v>
      </c>
      <c r="Z7" s="769"/>
      <c r="AA7" s="779"/>
      <c r="AB7" s="668"/>
      <c r="AC7" s="662">
        <f>PACKAGING!E3</f>
        <v>150</v>
      </c>
      <c r="AD7" s="658"/>
      <c r="AE7" s="653"/>
    </row>
    <row r="8" spans="1:41" ht="16.5" thickBot="1" x14ac:dyDescent="0.3">
      <c r="A8" s="1366" t="s">
        <v>3237</v>
      </c>
      <c r="B8" s="769" t="s">
        <v>1062</v>
      </c>
      <c r="C8" s="1367"/>
      <c r="D8" s="779">
        <v>0.09</v>
      </c>
      <c r="E8" s="668">
        <f>FORNITURAS!W6</f>
        <v>541.13207547169816</v>
      </c>
      <c r="F8" s="662">
        <f>E8*D8</f>
        <v>48.701886792452832</v>
      </c>
      <c r="G8" s="658"/>
      <c r="H8" s="653"/>
      <c r="I8" s="652"/>
      <c r="N8" s="670" t="s">
        <v>525</v>
      </c>
      <c r="O8" s="672"/>
      <c r="P8" s="780"/>
      <c r="Q8" s="780"/>
      <c r="R8" s="673">
        <f>SUM(R6:R7)</f>
        <v>3016</v>
      </c>
      <c r="S8" s="658"/>
      <c r="T8" s="653"/>
      <c r="Y8" s="670" t="s">
        <v>1538</v>
      </c>
      <c r="Z8" s="672"/>
      <c r="AA8" s="780"/>
      <c r="AB8" s="780"/>
      <c r="AC8" s="673">
        <f>PACKAGING!E8</f>
        <v>420</v>
      </c>
    </row>
    <row r="9" spans="1:41" ht="16.5" thickBot="1" x14ac:dyDescent="0.3">
      <c r="A9" s="1366" t="s">
        <v>3117</v>
      </c>
      <c r="B9" s="769"/>
      <c r="C9" s="1367"/>
      <c r="D9" s="779">
        <v>1</v>
      </c>
      <c r="E9" s="668">
        <f>FORNITURAS!D15</f>
        <v>142</v>
      </c>
      <c r="F9" s="662">
        <f>E9*D9</f>
        <v>142</v>
      </c>
      <c r="G9" s="658"/>
      <c r="H9" s="653"/>
      <c r="I9" s="652"/>
      <c r="N9" s="781" t="s">
        <v>544</v>
      </c>
      <c r="O9" s="825"/>
      <c r="P9" s="825"/>
      <c r="Q9" s="825"/>
      <c r="R9" s="784">
        <f>R8*2</f>
        <v>6032</v>
      </c>
      <c r="S9" s="1374">
        <f>R9+R9*70%</f>
        <v>10254.4</v>
      </c>
      <c r="T9" s="1375">
        <v>14000</v>
      </c>
      <c r="Y9" s="675" t="s">
        <v>525</v>
      </c>
      <c r="Z9" s="810"/>
      <c r="AA9" s="810"/>
      <c r="AB9" s="677"/>
      <c r="AC9" s="1422">
        <f>SUM(AC6:AC8)</f>
        <v>5205</v>
      </c>
    </row>
    <row r="10" spans="1:41" ht="16.5" thickBot="1" x14ac:dyDescent="0.3">
      <c r="A10" s="665" t="s">
        <v>1557</v>
      </c>
      <c r="B10" s="769"/>
      <c r="C10" s="779"/>
      <c r="D10" s="779"/>
      <c r="E10" s="668"/>
      <c r="F10" s="662">
        <f>PACKAGING!E3</f>
        <v>150</v>
      </c>
      <c r="G10" s="658"/>
      <c r="H10" s="653"/>
      <c r="I10" s="652"/>
      <c r="T10" s="1391">
        <f>T9*60%</f>
        <v>8400</v>
      </c>
      <c r="U10" t="s">
        <v>3687</v>
      </c>
      <c r="Y10" s="704" t="s">
        <v>544</v>
      </c>
      <c r="Z10" s="1421"/>
      <c r="AA10" s="1421"/>
      <c r="AB10" s="1421"/>
      <c r="AC10" s="784">
        <f>AC9*2</f>
        <v>10410</v>
      </c>
      <c r="AD10" s="1423">
        <f>AC10+AC10*50%</f>
        <v>15615</v>
      </c>
      <c r="AE10" s="1375">
        <v>18000</v>
      </c>
    </row>
    <row r="11" spans="1:41" ht="16.5" thickBot="1" x14ac:dyDescent="0.3">
      <c r="A11" s="665" t="s">
        <v>1558</v>
      </c>
      <c r="B11" s="769">
        <v>60</v>
      </c>
      <c r="C11" s="779"/>
      <c r="D11" s="779">
        <v>20</v>
      </c>
      <c r="E11" s="668">
        <f>'INSUMOS VARIOS'!B3</f>
        <v>3500</v>
      </c>
      <c r="F11" s="662">
        <f>E11*D11/B11</f>
        <v>1166.6666666666667</v>
      </c>
      <c r="G11" s="658"/>
      <c r="H11" s="653"/>
      <c r="I11" s="652"/>
      <c r="AE11" s="1391">
        <f>AE10*60%</f>
        <v>10800</v>
      </c>
      <c r="AF11" t="s">
        <v>3687</v>
      </c>
    </row>
    <row r="12" spans="1:41" ht="16.5" thickBot="1" x14ac:dyDescent="0.3">
      <c r="A12" s="665" t="s">
        <v>3496</v>
      </c>
      <c r="B12" s="769"/>
      <c r="C12" s="779"/>
      <c r="D12" s="779"/>
      <c r="E12" s="668"/>
      <c r="F12" s="662">
        <f>PACKAGING!E9</f>
        <v>450</v>
      </c>
      <c r="G12" s="658"/>
      <c r="H12" s="653"/>
      <c r="I12" s="652"/>
      <c r="N12" s="1772" t="s">
        <v>4262</v>
      </c>
      <c r="O12" s="1773"/>
      <c r="P12" s="1773"/>
      <c r="Q12" s="1773"/>
      <c r="R12" s="1774"/>
      <c r="S12" s="804"/>
      <c r="T12" s="653"/>
    </row>
    <row r="13" spans="1:41" ht="16.5" thickBot="1" x14ac:dyDescent="0.3">
      <c r="A13" s="670" t="s">
        <v>525</v>
      </c>
      <c r="B13" s="672"/>
      <c r="C13" s="780"/>
      <c r="D13" s="780"/>
      <c r="E13" s="780"/>
      <c r="F13" s="673">
        <f>SUM(F6:F12)</f>
        <v>7412.3685534591195</v>
      </c>
      <c r="G13" s="809"/>
      <c r="H13" s="653"/>
      <c r="I13" s="652"/>
      <c r="N13" s="821" t="s">
        <v>916</v>
      </c>
      <c r="O13" s="822" t="s">
        <v>1073</v>
      </c>
      <c r="P13" s="823" t="s">
        <v>1547</v>
      </c>
      <c r="Q13" s="823" t="s">
        <v>1035</v>
      </c>
      <c r="R13" s="824" t="s">
        <v>1549</v>
      </c>
      <c r="S13" s="658"/>
      <c r="T13" s="653"/>
    </row>
    <row r="14" spans="1:41" ht="16.5" thickBot="1" x14ac:dyDescent="0.3">
      <c r="A14" s="1368" t="s">
        <v>1559</v>
      </c>
      <c r="B14" s="1369"/>
      <c r="C14" s="1369"/>
      <c r="D14" s="1369"/>
      <c r="E14" s="825"/>
      <c r="F14" s="787">
        <f>F13*2</f>
        <v>14824.737106918239</v>
      </c>
      <c r="G14" s="1370">
        <f>F14+F14*70%</f>
        <v>25202.053081761005</v>
      </c>
      <c r="H14" s="1390">
        <v>30000</v>
      </c>
      <c r="I14" s="1371"/>
      <c r="N14" s="665" t="s">
        <v>4224</v>
      </c>
      <c r="O14" s="769"/>
      <c r="P14" s="779">
        <v>1</v>
      </c>
      <c r="Q14" s="668">
        <f>'AROS, CADENAS, DIJES, ETC'!D146</f>
        <v>2866</v>
      </c>
      <c r="R14" s="662">
        <f>Q14</f>
        <v>2866</v>
      </c>
      <c r="S14" s="658"/>
      <c r="T14" s="653"/>
      <c r="Y14" s="1784" t="s">
        <v>4522</v>
      </c>
      <c r="Z14" s="1785"/>
      <c r="AA14" s="1785"/>
      <c r="AB14" s="1785"/>
      <c r="AC14" s="1786"/>
      <c r="AD14" s="804"/>
      <c r="AE14" s="653"/>
    </row>
    <row r="15" spans="1:41" ht="16.5" thickBot="1" x14ac:dyDescent="0.3">
      <c r="A15" s="652"/>
      <c r="B15" s="652"/>
      <c r="C15" s="652"/>
      <c r="D15" s="652"/>
      <c r="E15" s="652"/>
      <c r="F15" s="652"/>
      <c r="G15" s="652"/>
      <c r="H15" s="1275">
        <f>H14*50%</f>
        <v>15000</v>
      </c>
      <c r="I15" s="652" t="s">
        <v>3687</v>
      </c>
      <c r="N15" s="665" t="s">
        <v>1557</v>
      </c>
      <c r="O15" s="769"/>
      <c r="P15" s="779"/>
      <c r="Q15" s="668"/>
      <c r="R15" s="662">
        <f>PACKAGING!E3</f>
        <v>150</v>
      </c>
      <c r="S15" s="658"/>
      <c r="T15" s="653"/>
      <c r="Y15" s="821" t="s">
        <v>916</v>
      </c>
      <c r="Z15" s="822" t="s">
        <v>1073</v>
      </c>
      <c r="AA15" s="823" t="s">
        <v>1547</v>
      </c>
      <c r="AB15" s="823" t="s">
        <v>1035</v>
      </c>
      <c r="AC15" s="824" t="s">
        <v>1549</v>
      </c>
      <c r="AD15" s="658"/>
      <c r="AE15" s="653"/>
    </row>
    <row r="16" spans="1:41" ht="16.5" thickBot="1" x14ac:dyDescent="0.3">
      <c r="A16" s="652"/>
      <c r="B16" s="652"/>
      <c r="C16" s="652"/>
      <c r="D16" s="652"/>
      <c r="E16" s="652"/>
      <c r="F16" s="652"/>
      <c r="G16" s="652"/>
      <c r="H16" s="652"/>
      <c r="I16" s="652"/>
      <c r="N16" s="670" t="s">
        <v>525</v>
      </c>
      <c r="O16" s="672"/>
      <c r="P16" s="780"/>
      <c r="Q16" s="780"/>
      <c r="R16" s="673">
        <f>SUM(R14:R15)</f>
        <v>3016</v>
      </c>
      <c r="S16" s="658"/>
      <c r="T16" s="653"/>
      <c r="Y16" s="665" t="s">
        <v>4501</v>
      </c>
      <c r="Z16" s="769"/>
      <c r="AA16" s="779">
        <v>1</v>
      </c>
      <c r="AB16" s="668">
        <f>'AROS, CADENAS, DIJES, ETC'!C190</f>
        <v>4278</v>
      </c>
      <c r="AC16" s="662">
        <f>AB16</f>
        <v>4278</v>
      </c>
      <c r="AD16" s="658"/>
      <c r="AE16" s="653"/>
    </row>
    <row r="17" spans="1:32" ht="16.5" thickBot="1" x14ac:dyDescent="0.3">
      <c r="A17" s="1791" t="s">
        <v>4258</v>
      </c>
      <c r="B17" s="1792"/>
      <c r="C17" s="1792"/>
      <c r="D17" s="1792"/>
      <c r="E17" s="1792"/>
      <c r="F17" s="1793"/>
      <c r="G17" s="653"/>
      <c r="H17" s="653"/>
      <c r="I17" s="652"/>
      <c r="N17" s="781" t="s">
        <v>544</v>
      </c>
      <c r="O17" s="825"/>
      <c r="P17" s="825"/>
      <c r="Q17" s="825"/>
      <c r="R17" s="784">
        <f>R16*2</f>
        <v>6032</v>
      </c>
      <c r="S17" s="1374">
        <f>R17+R17*70%</f>
        <v>10254.4</v>
      </c>
      <c r="T17" s="1375">
        <v>12000</v>
      </c>
      <c r="Y17" s="665" t="s">
        <v>1557</v>
      </c>
      <c r="Z17" s="769"/>
      <c r="AA17" s="779"/>
      <c r="AB17" s="668"/>
      <c r="AC17" s="662">
        <f>PACKAGING!E3</f>
        <v>150</v>
      </c>
      <c r="AD17" s="658"/>
      <c r="AE17" s="653"/>
    </row>
    <row r="18" spans="1:32" ht="16.5" thickBot="1" x14ac:dyDescent="0.3">
      <c r="A18" s="821" t="s">
        <v>916</v>
      </c>
      <c r="B18" s="1365" t="s">
        <v>1073</v>
      </c>
      <c r="C18" s="823" t="s">
        <v>1089</v>
      </c>
      <c r="D18" s="823" t="s">
        <v>1547</v>
      </c>
      <c r="E18" s="823" t="s">
        <v>1035</v>
      </c>
      <c r="F18" s="824" t="s">
        <v>1549</v>
      </c>
      <c r="G18" s="658"/>
      <c r="H18" s="653"/>
      <c r="I18" s="652"/>
      <c r="T18" s="1269">
        <f>T17*60%</f>
        <v>7200</v>
      </c>
      <c r="U18" t="s">
        <v>3687</v>
      </c>
      <c r="Y18" s="670" t="s">
        <v>1538</v>
      </c>
      <c r="Z18" s="672"/>
      <c r="AA18" s="780"/>
      <c r="AB18" s="780"/>
      <c r="AC18" s="673">
        <f>PACKAGING!E8</f>
        <v>420</v>
      </c>
    </row>
    <row r="19" spans="1:32" ht="16.5" thickBot="1" x14ac:dyDescent="0.3">
      <c r="A19" s="1366" t="s">
        <v>4143</v>
      </c>
      <c r="B19" s="769"/>
      <c r="C19" s="1367">
        <v>0.8</v>
      </c>
      <c r="D19" s="779">
        <v>0.01</v>
      </c>
      <c r="E19" s="668">
        <f>PIEDRAS!E151</f>
        <v>4600</v>
      </c>
      <c r="F19" s="662">
        <f>E19*D19/C19</f>
        <v>57.5</v>
      </c>
      <c r="G19" s="658"/>
      <c r="H19" s="653"/>
      <c r="I19" s="652"/>
      <c r="Y19" s="675" t="s">
        <v>525</v>
      </c>
      <c r="Z19" s="810"/>
      <c r="AA19" s="810"/>
      <c r="AB19" s="677"/>
      <c r="AC19" s="1422">
        <f>SUM(AC16:AC18)</f>
        <v>4848</v>
      </c>
    </row>
    <row r="20" spans="1:32" ht="16.5" thickBot="1" x14ac:dyDescent="0.3">
      <c r="A20" s="1366" t="s">
        <v>3735</v>
      </c>
      <c r="B20" s="769" t="s">
        <v>3967</v>
      </c>
      <c r="C20" s="1367"/>
      <c r="D20" s="779" t="s">
        <v>1649</v>
      </c>
      <c r="E20" s="668">
        <f>'AROS, CADENAS, DIJES, ETC'!J102</f>
        <v>3767</v>
      </c>
      <c r="F20" s="662">
        <f>E20</f>
        <v>3767</v>
      </c>
      <c r="G20" s="658"/>
      <c r="H20" s="653"/>
      <c r="I20" s="652"/>
      <c r="N20" s="1800" t="s">
        <v>4303</v>
      </c>
      <c r="O20" s="1801"/>
      <c r="P20" s="1801"/>
      <c r="Q20" s="1801"/>
      <c r="R20" s="1802"/>
      <c r="S20" s="804"/>
      <c r="T20" s="653"/>
      <c r="Y20" s="704" t="s">
        <v>544</v>
      </c>
      <c r="Z20" s="1421"/>
      <c r="AA20" s="1421"/>
      <c r="AB20" s="1421"/>
      <c r="AC20" s="784">
        <f>AC19*2</f>
        <v>9696</v>
      </c>
      <c r="AD20" s="1423">
        <f>AC20+AC20*50%</f>
        <v>14544</v>
      </c>
      <c r="AE20" s="1375">
        <v>20000</v>
      </c>
    </row>
    <row r="21" spans="1:32" ht="16.5" thickBot="1" x14ac:dyDescent="0.3">
      <c r="A21" s="1366" t="s">
        <v>4220</v>
      </c>
      <c r="B21" s="769"/>
      <c r="C21" s="1367"/>
      <c r="D21" s="779">
        <v>1</v>
      </c>
      <c r="E21" s="668">
        <f>'AROS, CADENAS, DIJES, ETC'!P197</f>
        <v>2399</v>
      </c>
      <c r="F21" s="662">
        <f>E21*D21</f>
        <v>2399</v>
      </c>
      <c r="G21" s="658"/>
      <c r="H21" s="653"/>
      <c r="I21" s="652"/>
      <c r="N21" s="821" t="s">
        <v>916</v>
      </c>
      <c r="O21" s="822" t="s">
        <v>1073</v>
      </c>
      <c r="P21" s="823" t="s">
        <v>1547</v>
      </c>
      <c r="Q21" s="823" t="s">
        <v>1035</v>
      </c>
      <c r="R21" s="824" t="s">
        <v>1549</v>
      </c>
      <c r="S21" s="658"/>
      <c r="T21" s="653"/>
      <c r="AE21" s="1391">
        <f>AE20*60%</f>
        <v>12000</v>
      </c>
      <c r="AF21" t="s">
        <v>3687</v>
      </c>
    </row>
    <row r="22" spans="1:32" ht="15.75" x14ac:dyDescent="0.25">
      <c r="A22" s="1366" t="s">
        <v>4128</v>
      </c>
      <c r="B22" s="769" t="s">
        <v>777</v>
      </c>
      <c r="C22" s="1367"/>
      <c r="D22" s="779">
        <v>1</v>
      </c>
      <c r="E22" s="668">
        <f>FORNITURAS!I3</f>
        <v>66.099999999999994</v>
      </c>
      <c r="F22" s="662">
        <f>E22*D22</f>
        <v>66.099999999999994</v>
      </c>
      <c r="G22" s="658"/>
      <c r="H22" s="653"/>
      <c r="I22" s="652"/>
      <c r="N22" s="665" t="s">
        <v>3990</v>
      </c>
      <c r="O22" s="769" t="s">
        <v>3967</v>
      </c>
      <c r="P22" s="779">
        <v>1</v>
      </c>
      <c r="Q22" s="668">
        <f>'AROS, CADENAS, DIJES, ETC'!K102</f>
        <v>1883.5</v>
      </c>
      <c r="R22" s="662">
        <f>Q22</f>
        <v>1883.5</v>
      </c>
      <c r="S22" s="658"/>
      <c r="T22" s="653"/>
    </row>
    <row r="23" spans="1:32" ht="16.5" thickBot="1" x14ac:dyDescent="0.3">
      <c r="A23" s="1366" t="s">
        <v>1050</v>
      </c>
      <c r="B23" s="769" t="s">
        <v>1056</v>
      </c>
      <c r="C23" s="1367"/>
      <c r="D23" s="779">
        <v>0.02</v>
      </c>
      <c r="E23" s="668">
        <f>FORNITURAS!W4</f>
        <v>1404.9107142857144</v>
      </c>
      <c r="F23" s="662">
        <f>E23*D23</f>
        <v>28.098214285714288</v>
      </c>
      <c r="G23" s="658"/>
      <c r="H23" s="653"/>
      <c r="I23" s="652"/>
      <c r="N23" s="665" t="s">
        <v>4284</v>
      </c>
      <c r="O23" s="769"/>
      <c r="P23" s="779">
        <v>1</v>
      </c>
      <c r="Q23" s="668">
        <f>'AROS, CADENAS, DIJES, ETC'!P179</f>
        <v>2962</v>
      </c>
      <c r="R23" s="662">
        <f>Q23</f>
        <v>2962</v>
      </c>
      <c r="S23" s="658"/>
      <c r="T23" s="653"/>
    </row>
    <row r="24" spans="1:32" ht="16.5" thickBot="1" x14ac:dyDescent="0.3">
      <c r="A24" s="1366" t="s">
        <v>3117</v>
      </c>
      <c r="B24" s="769"/>
      <c r="C24" s="1367"/>
      <c r="D24" s="779">
        <v>1</v>
      </c>
      <c r="E24" s="668">
        <f>FORNITURAS!D11</f>
        <v>99.083333333333329</v>
      </c>
      <c r="F24" s="662">
        <f>E24*D24</f>
        <v>99.083333333333329</v>
      </c>
      <c r="G24" s="658"/>
      <c r="H24" s="653"/>
      <c r="I24" s="652"/>
      <c r="N24" s="665" t="s">
        <v>1558</v>
      </c>
      <c r="O24" s="769">
        <v>60</v>
      </c>
      <c r="P24" s="779">
        <v>5</v>
      </c>
      <c r="Q24" s="668">
        <f>'INSUMOS VARIOS'!B3</f>
        <v>3500</v>
      </c>
      <c r="R24" s="662">
        <f>Q24*P24/O24</f>
        <v>291.66666666666669</v>
      </c>
      <c r="S24" s="658"/>
      <c r="T24" s="653"/>
      <c r="Y24" s="1784" t="s">
        <v>4523</v>
      </c>
      <c r="Z24" s="1785"/>
      <c r="AA24" s="1785"/>
      <c r="AB24" s="1785"/>
      <c r="AC24" s="1786"/>
      <c r="AD24" s="804"/>
      <c r="AE24" s="653"/>
    </row>
    <row r="25" spans="1:32" ht="15.75" x14ac:dyDescent="0.25">
      <c r="A25" s="665" t="s">
        <v>1557</v>
      </c>
      <c r="B25" s="769"/>
      <c r="C25" s="779"/>
      <c r="D25" s="779"/>
      <c r="E25" s="668"/>
      <c r="F25" s="662">
        <f>PACKAGING!E3</f>
        <v>150</v>
      </c>
      <c r="G25" s="658"/>
      <c r="H25" s="653"/>
      <c r="I25" s="652"/>
      <c r="N25" s="665" t="s">
        <v>1557</v>
      </c>
      <c r="O25" s="769"/>
      <c r="P25" s="779"/>
      <c r="Q25" s="668"/>
      <c r="R25" s="662">
        <f>PACKAGING!E3</f>
        <v>150</v>
      </c>
      <c r="S25" s="658"/>
      <c r="T25" s="653"/>
      <c r="Y25" s="821" t="s">
        <v>916</v>
      </c>
      <c r="Z25" s="822" t="s">
        <v>1073</v>
      </c>
      <c r="AA25" s="823" t="s">
        <v>1547</v>
      </c>
      <c r="AB25" s="823" t="s">
        <v>1035</v>
      </c>
      <c r="AC25" s="824" t="s">
        <v>1549</v>
      </c>
      <c r="AD25" s="658"/>
      <c r="AE25" s="653"/>
    </row>
    <row r="26" spans="1:32" ht="16.5" thickBot="1" x14ac:dyDescent="0.3">
      <c r="A26" s="665" t="s">
        <v>1558</v>
      </c>
      <c r="B26" s="769">
        <v>60</v>
      </c>
      <c r="C26" s="779"/>
      <c r="D26" s="779">
        <v>20</v>
      </c>
      <c r="E26" s="668">
        <f>'INSUMOS VARIOS'!B3</f>
        <v>3500</v>
      </c>
      <c r="F26" s="662">
        <f>E26*D26/B26</f>
        <v>1166.6666666666667</v>
      </c>
      <c r="G26" s="658"/>
      <c r="H26" s="653"/>
      <c r="I26" s="652"/>
      <c r="N26" s="670" t="s">
        <v>525</v>
      </c>
      <c r="O26" s="672"/>
      <c r="P26" s="780"/>
      <c r="Q26" s="780"/>
      <c r="R26" s="673">
        <f>SUM(R22:R25)</f>
        <v>5287.166666666667</v>
      </c>
      <c r="S26" s="658"/>
      <c r="T26" s="653"/>
      <c r="Y26" s="665" t="s">
        <v>4502</v>
      </c>
      <c r="Z26" s="769"/>
      <c r="AA26" s="779">
        <v>1</v>
      </c>
      <c r="AB26" s="668">
        <f>'AROS, CADENAS, DIJES, ETC'!C191</f>
        <v>6370</v>
      </c>
      <c r="AC26" s="662">
        <f>AB26</f>
        <v>6370</v>
      </c>
      <c r="AD26" s="658"/>
      <c r="AE26" s="653"/>
    </row>
    <row r="27" spans="1:32" ht="16.5" thickBot="1" x14ac:dyDescent="0.3">
      <c r="A27" s="665" t="s">
        <v>3180</v>
      </c>
      <c r="B27" s="769"/>
      <c r="C27" s="779"/>
      <c r="D27" s="779"/>
      <c r="E27" s="668"/>
      <c r="F27" s="662">
        <f>PACKAGING!E8</f>
        <v>420</v>
      </c>
      <c r="G27" s="658"/>
      <c r="H27" s="653"/>
      <c r="I27" s="652"/>
      <c r="N27" s="781" t="s">
        <v>544</v>
      </c>
      <c r="O27" s="825"/>
      <c r="P27" s="825"/>
      <c r="Q27" s="825"/>
      <c r="R27" s="784">
        <f>R26*2</f>
        <v>10574.333333333334</v>
      </c>
      <c r="S27" s="1374">
        <f>R27+R27*70%</f>
        <v>17976.366666666669</v>
      </c>
      <c r="T27" s="1375">
        <v>20000</v>
      </c>
      <c r="Y27" s="665" t="s">
        <v>1557</v>
      </c>
      <c r="Z27" s="769"/>
      <c r="AA27" s="779"/>
      <c r="AB27" s="668"/>
      <c r="AC27" s="662">
        <f>PACKAGING!E3</f>
        <v>150</v>
      </c>
      <c r="AD27" s="658"/>
      <c r="AE27" s="653"/>
    </row>
    <row r="28" spans="1:32" ht="16.5" thickBot="1" x14ac:dyDescent="0.3">
      <c r="A28" s="670" t="s">
        <v>525</v>
      </c>
      <c r="B28" s="672"/>
      <c r="C28" s="780"/>
      <c r="D28" s="780"/>
      <c r="E28" s="780"/>
      <c r="F28" s="673">
        <f>SUM(F19:F27)</f>
        <v>8153.448214285715</v>
      </c>
      <c r="G28" s="809"/>
      <c r="H28" s="653"/>
      <c r="I28" s="652"/>
      <c r="T28" s="1269">
        <f>T27*60%</f>
        <v>12000</v>
      </c>
      <c r="U28" t="s">
        <v>3687</v>
      </c>
      <c r="Y28" s="670" t="s">
        <v>1538</v>
      </c>
      <c r="Z28" s="672"/>
      <c r="AA28" s="780"/>
      <c r="AB28" s="780"/>
      <c r="AC28" s="673">
        <f>PACKAGING!E8</f>
        <v>420</v>
      </c>
    </row>
    <row r="29" spans="1:32" ht="16.5" thickBot="1" x14ac:dyDescent="0.3">
      <c r="A29" s="1368" t="s">
        <v>1559</v>
      </c>
      <c r="B29" s="1369"/>
      <c r="C29" s="1369"/>
      <c r="D29" s="1369"/>
      <c r="E29" s="825"/>
      <c r="F29" s="787">
        <f>F28*2</f>
        <v>16306.89642857143</v>
      </c>
      <c r="G29" s="1370">
        <f>F29+F29*70%</f>
        <v>27721.723928571431</v>
      </c>
      <c r="H29" s="1390">
        <v>34000</v>
      </c>
      <c r="Y29" s="675" t="s">
        <v>525</v>
      </c>
      <c r="Z29" s="810"/>
      <c r="AA29" s="810"/>
      <c r="AB29" s="677"/>
      <c r="AC29" s="1422">
        <f>SUM(AC26:AC28)</f>
        <v>6940</v>
      </c>
    </row>
    <row r="30" spans="1:32" ht="16.5" thickBot="1" x14ac:dyDescent="0.3">
      <c r="A30" s="652"/>
      <c r="B30" s="652"/>
      <c r="C30" s="652"/>
      <c r="D30" s="652"/>
      <c r="E30" s="652"/>
      <c r="F30" s="652"/>
      <c r="G30" s="652"/>
      <c r="H30" s="1275">
        <f>H29*60%</f>
        <v>20400</v>
      </c>
      <c r="I30" s="1371" t="s">
        <v>3687</v>
      </c>
      <c r="N30" s="1788" t="s">
        <v>4277</v>
      </c>
      <c r="O30" s="1789"/>
      <c r="P30" s="1789"/>
      <c r="Q30" s="1789"/>
      <c r="R30" s="1790"/>
      <c r="S30" s="804"/>
      <c r="T30" s="653"/>
      <c r="U30" s="652"/>
      <c r="Y30" s="704" t="s">
        <v>544</v>
      </c>
      <c r="Z30" s="1421"/>
      <c r="AA30" s="1421"/>
      <c r="AB30" s="1421"/>
      <c r="AC30" s="784">
        <f>AC29*2</f>
        <v>13880</v>
      </c>
      <c r="AD30" s="1423">
        <f>AC30+AC30*50%</f>
        <v>20820</v>
      </c>
      <c r="AE30" s="1375">
        <v>26000</v>
      </c>
    </row>
    <row r="31" spans="1:32" ht="16.5" thickBot="1" x14ac:dyDescent="0.3">
      <c r="N31" s="1399" t="s">
        <v>916</v>
      </c>
      <c r="O31" s="1400" t="s">
        <v>1073</v>
      </c>
      <c r="P31" s="1401" t="s">
        <v>1547</v>
      </c>
      <c r="Q31" s="1401" t="s">
        <v>1035</v>
      </c>
      <c r="R31" s="1402" t="s">
        <v>1549</v>
      </c>
      <c r="S31" s="658"/>
      <c r="T31" s="653"/>
      <c r="U31" s="652"/>
      <c r="AE31" s="1391">
        <f>AE30*60%</f>
        <v>15600</v>
      </c>
      <c r="AF31" t="s">
        <v>3687</v>
      </c>
    </row>
    <row r="32" spans="1:32" ht="16.5" thickBot="1" x14ac:dyDescent="0.3">
      <c r="A32" s="1791" t="s">
        <v>4255</v>
      </c>
      <c r="B32" s="1792"/>
      <c r="C32" s="1792"/>
      <c r="D32" s="1792"/>
      <c r="E32" s="1792"/>
      <c r="F32" s="1793"/>
      <c r="G32" s="653"/>
      <c r="H32" s="653"/>
      <c r="I32" s="652"/>
      <c r="N32" s="665" t="s">
        <v>4295</v>
      </c>
      <c r="O32" s="769" t="s">
        <v>4296</v>
      </c>
      <c r="P32" s="779">
        <v>1</v>
      </c>
      <c r="Q32" s="668">
        <f>'AROS, CADENAS, DIJES, ETC'!K106</f>
        <v>3058</v>
      </c>
      <c r="R32" s="662">
        <f>Q32</f>
        <v>3058</v>
      </c>
      <c r="S32" s="658"/>
      <c r="T32" s="653"/>
      <c r="U32" s="652"/>
    </row>
    <row r="33" spans="1:32" ht="16.5" thickBot="1" x14ac:dyDescent="0.3">
      <c r="A33" s="821" t="s">
        <v>916</v>
      </c>
      <c r="B33" s="1365" t="s">
        <v>1073</v>
      </c>
      <c r="C33" s="823" t="s">
        <v>1089</v>
      </c>
      <c r="D33" s="823" t="s">
        <v>1547</v>
      </c>
      <c r="E33" s="823" t="s">
        <v>1035</v>
      </c>
      <c r="F33" s="824" t="s">
        <v>1549</v>
      </c>
      <c r="G33" s="658"/>
      <c r="H33" s="653"/>
      <c r="I33" s="652"/>
      <c r="N33" s="665" t="s">
        <v>3738</v>
      </c>
      <c r="O33" s="769"/>
      <c r="P33" s="779">
        <v>1</v>
      </c>
      <c r="Q33" s="668">
        <f>'INSUMOS VARIOS'!K27</f>
        <v>1800</v>
      </c>
      <c r="R33" s="662">
        <f>Q33*P33</f>
        <v>1800</v>
      </c>
      <c r="S33" s="658"/>
      <c r="T33" s="653"/>
      <c r="U33" s="652"/>
      <c r="Y33" s="1784" t="s">
        <v>4874</v>
      </c>
      <c r="Z33" s="1785"/>
      <c r="AA33" s="1785"/>
      <c r="AB33" s="1785"/>
      <c r="AC33" s="1786"/>
      <c r="AD33" s="804"/>
      <c r="AE33" s="653"/>
    </row>
    <row r="34" spans="1:32" ht="15.75" x14ac:dyDescent="0.25">
      <c r="A34" s="1366" t="s">
        <v>1389</v>
      </c>
      <c r="B34" s="769"/>
      <c r="C34" s="1367"/>
      <c r="D34" s="779">
        <v>1</v>
      </c>
      <c r="E34" s="668">
        <f>PIEDRAS!F81</f>
        <v>181.66666666666666</v>
      </c>
      <c r="F34" s="662">
        <f>E34*D34</f>
        <v>181.66666666666666</v>
      </c>
      <c r="G34" s="658"/>
      <c r="H34" s="653"/>
      <c r="I34" s="652"/>
      <c r="N34" s="665" t="s">
        <v>1557</v>
      </c>
      <c r="O34" s="769"/>
      <c r="P34" s="779"/>
      <c r="Q34" s="668"/>
      <c r="R34" s="662">
        <f>PACKAGING!E3</f>
        <v>150</v>
      </c>
      <c r="S34" s="658"/>
      <c r="T34" s="653"/>
      <c r="U34" s="652"/>
      <c r="Y34" s="821" t="s">
        <v>916</v>
      </c>
      <c r="Z34" s="822" t="s">
        <v>1073</v>
      </c>
      <c r="AA34" s="823" t="s">
        <v>1547</v>
      </c>
      <c r="AB34" s="823" t="s">
        <v>1035</v>
      </c>
      <c r="AC34" s="824" t="s">
        <v>1549</v>
      </c>
      <c r="AD34" s="658"/>
      <c r="AE34" s="653"/>
    </row>
    <row r="35" spans="1:32" ht="15.75" x14ac:dyDescent="0.25">
      <c r="A35" s="1366" t="s">
        <v>3735</v>
      </c>
      <c r="B35" s="769" t="s">
        <v>4219</v>
      </c>
      <c r="C35" s="1367"/>
      <c r="D35" s="779" t="s">
        <v>1649</v>
      </c>
      <c r="E35" s="668">
        <f>'AROS, CADENAS, DIJES, ETC'!J104</f>
        <v>4855</v>
      </c>
      <c r="F35" s="662">
        <f>E35</f>
        <v>4855</v>
      </c>
      <c r="G35" s="658"/>
      <c r="H35" s="653"/>
      <c r="I35" s="652"/>
      <c r="N35" s="665" t="s">
        <v>1558</v>
      </c>
      <c r="O35" s="769">
        <v>60</v>
      </c>
      <c r="P35" s="779">
        <v>5</v>
      </c>
      <c r="Q35" s="668">
        <f>'INSUMOS VARIOS'!B3</f>
        <v>3500</v>
      </c>
      <c r="R35" s="662">
        <f>Q35*P35/O35</f>
        <v>291.66666666666669</v>
      </c>
      <c r="S35" s="658"/>
      <c r="T35" s="653"/>
      <c r="U35" s="652"/>
      <c r="Y35" s="665" t="s">
        <v>4847</v>
      </c>
      <c r="Z35" s="769"/>
      <c r="AA35" s="779">
        <v>1</v>
      </c>
      <c r="AB35" s="668">
        <f>'AROS, CADENAS, DIJES, ETC'!C192</f>
        <v>3690</v>
      </c>
      <c r="AC35" s="662">
        <f>AB35</f>
        <v>3690</v>
      </c>
      <c r="AD35" s="658"/>
      <c r="AE35" s="653"/>
    </row>
    <row r="36" spans="1:32" ht="16.5" thickBot="1" x14ac:dyDescent="0.3">
      <c r="A36" s="1366" t="s">
        <v>1742</v>
      </c>
      <c r="B36" s="769" t="s">
        <v>3630</v>
      </c>
      <c r="C36" s="1367"/>
      <c r="D36" s="779">
        <v>1</v>
      </c>
      <c r="E36" s="668">
        <f>'PERLAS 2'!H16</f>
        <v>1305.92</v>
      </c>
      <c r="F36" s="662">
        <f>E36*D36</f>
        <v>1305.92</v>
      </c>
      <c r="G36" s="658"/>
      <c r="H36" s="653"/>
      <c r="I36" s="652"/>
      <c r="N36" s="670" t="s">
        <v>525</v>
      </c>
      <c r="O36" s="672"/>
      <c r="P36" s="780"/>
      <c r="Q36" s="780"/>
      <c r="R36" s="673">
        <f>SUM(R32:R35)</f>
        <v>5299.666666666667</v>
      </c>
      <c r="S36" s="652"/>
      <c r="T36" s="652"/>
      <c r="U36" s="652"/>
      <c r="Y36" s="665" t="s">
        <v>1557</v>
      </c>
      <c r="Z36" s="769"/>
      <c r="AA36" s="779"/>
      <c r="AB36" s="668"/>
      <c r="AC36" s="662">
        <f>PACKAGING!E3</f>
        <v>150</v>
      </c>
      <c r="AD36" s="658"/>
      <c r="AE36" s="653"/>
    </row>
    <row r="37" spans="1:32" ht="16.5" thickBot="1" x14ac:dyDescent="0.3">
      <c r="A37" s="769" t="s">
        <v>4222</v>
      </c>
      <c r="B37" s="769" t="s">
        <v>4221</v>
      </c>
      <c r="C37" s="1367"/>
      <c r="D37" s="779">
        <v>2</v>
      </c>
      <c r="E37" s="668">
        <f>FORNITURAS!I13</f>
        <v>274.44444444444446</v>
      </c>
      <c r="F37" s="662">
        <f>E37*D37</f>
        <v>548.88888888888891</v>
      </c>
      <c r="G37" s="658"/>
      <c r="H37" s="653"/>
      <c r="I37" s="652"/>
      <c r="N37" s="675" t="s">
        <v>544</v>
      </c>
      <c r="O37" s="810"/>
      <c r="P37" s="810"/>
      <c r="Q37" s="810"/>
      <c r="R37" s="692">
        <f>R36*2</f>
        <v>10599.333333333334</v>
      </c>
      <c r="S37" s="811">
        <f>R37+R37*70%</f>
        <v>18018.866666666669</v>
      </c>
      <c r="T37" s="682">
        <v>20000</v>
      </c>
      <c r="U37" s="652"/>
      <c r="Y37" s="670" t="s">
        <v>1538</v>
      </c>
      <c r="Z37" s="672"/>
      <c r="AA37" s="780"/>
      <c r="AB37" s="780"/>
      <c r="AC37" s="673">
        <f>PACKAGING!E8</f>
        <v>420</v>
      </c>
    </row>
    <row r="38" spans="1:32" ht="16.5" thickBot="1" x14ac:dyDescent="0.3">
      <c r="A38" s="1366" t="s">
        <v>3117</v>
      </c>
      <c r="B38" s="769"/>
      <c r="C38" s="1367"/>
      <c r="D38" s="779">
        <v>2</v>
      </c>
      <c r="E38" s="668">
        <f>FORNITURAS!D15</f>
        <v>142</v>
      </c>
      <c r="F38" s="662">
        <f>E38*D38</f>
        <v>284</v>
      </c>
      <c r="G38" s="658"/>
      <c r="H38" s="653"/>
      <c r="I38" s="652"/>
      <c r="N38" s="812" t="s">
        <v>1559</v>
      </c>
      <c r="O38" s="813"/>
      <c r="P38" s="813"/>
      <c r="Q38" s="813"/>
      <c r="R38" s="694"/>
      <c r="S38" s="814"/>
      <c r="T38" s="1275">
        <f>T37*60%</f>
        <v>12000</v>
      </c>
      <c r="U38" s="1120" t="s">
        <v>3687</v>
      </c>
      <c r="Y38" s="675" t="s">
        <v>525</v>
      </c>
      <c r="Z38" s="810"/>
      <c r="AA38" s="810"/>
      <c r="AB38" s="677"/>
      <c r="AC38" s="1422">
        <f>SUM(AC35:AC37)</f>
        <v>4260</v>
      </c>
    </row>
    <row r="39" spans="1:32" ht="16.5" thickBot="1" x14ac:dyDescent="0.3">
      <c r="A39" s="665" t="s">
        <v>1557</v>
      </c>
      <c r="B39" s="769"/>
      <c r="C39" s="779"/>
      <c r="D39" s="779"/>
      <c r="E39" s="668"/>
      <c r="F39" s="662">
        <f>PACKAGING!E3</f>
        <v>150</v>
      </c>
      <c r="G39" s="658"/>
      <c r="H39" s="653"/>
      <c r="I39" s="652"/>
      <c r="Y39" s="704" t="s">
        <v>544</v>
      </c>
      <c r="Z39" s="1421"/>
      <c r="AA39" s="1421"/>
      <c r="AB39" s="1421"/>
      <c r="AC39" s="784">
        <f>AC38*2</f>
        <v>8520</v>
      </c>
      <c r="AD39" s="1423">
        <f>AC39+AC39*70%</f>
        <v>14484</v>
      </c>
      <c r="AE39" s="1375">
        <v>18000</v>
      </c>
    </row>
    <row r="40" spans="1:32" ht="16.5" thickBot="1" x14ac:dyDescent="0.3">
      <c r="A40" s="665" t="s">
        <v>1558</v>
      </c>
      <c r="B40" s="769">
        <v>60</v>
      </c>
      <c r="C40" s="779"/>
      <c r="D40" s="779">
        <v>20</v>
      </c>
      <c r="E40" s="668">
        <f>'INSUMOS VARIOS'!B3</f>
        <v>3500</v>
      </c>
      <c r="F40" s="662">
        <f>E40*D40/B40</f>
        <v>1166.6666666666667</v>
      </c>
      <c r="G40" s="658"/>
      <c r="H40" s="653"/>
      <c r="I40" s="652"/>
      <c r="N40" s="1788" t="s">
        <v>4347</v>
      </c>
      <c r="O40" s="1789"/>
      <c r="P40" s="1789"/>
      <c r="Q40" s="1789"/>
      <c r="R40" s="1790"/>
      <c r="S40" s="804"/>
      <c r="T40" s="653"/>
      <c r="AE40" s="1391">
        <f>AE39*60%</f>
        <v>10800</v>
      </c>
      <c r="AF40" t="s">
        <v>3687</v>
      </c>
    </row>
    <row r="41" spans="1:32" ht="15.75" x14ac:dyDescent="0.25">
      <c r="A41" s="665" t="s">
        <v>3496</v>
      </c>
      <c r="B41" s="769"/>
      <c r="C41" s="779"/>
      <c r="D41" s="779"/>
      <c r="E41" s="668"/>
      <c r="F41" s="662">
        <f>PACKAGING!E9</f>
        <v>450</v>
      </c>
      <c r="G41" s="658"/>
      <c r="H41" s="653"/>
      <c r="I41" s="652"/>
      <c r="N41" s="821" t="s">
        <v>916</v>
      </c>
      <c r="O41" s="822" t="s">
        <v>1073</v>
      </c>
      <c r="P41" s="823" t="s">
        <v>1547</v>
      </c>
      <c r="Q41" s="823" t="s">
        <v>1035</v>
      </c>
      <c r="R41" s="824" t="s">
        <v>1549</v>
      </c>
      <c r="S41" s="658"/>
      <c r="T41" s="653"/>
    </row>
    <row r="42" spans="1:32" ht="16.5" thickBot="1" x14ac:dyDescent="0.3">
      <c r="A42" s="670" t="s">
        <v>525</v>
      </c>
      <c r="B42" s="672"/>
      <c r="C42" s="780"/>
      <c r="D42" s="780"/>
      <c r="E42" s="780"/>
      <c r="F42" s="673">
        <f>SUM(F34:F41)</f>
        <v>8942.1422222222227</v>
      </c>
      <c r="G42" s="809"/>
      <c r="H42" s="653"/>
      <c r="I42" s="652"/>
      <c r="N42" s="1405" t="s">
        <v>859</v>
      </c>
      <c r="O42" s="1383"/>
      <c r="P42" s="1406">
        <v>1</v>
      </c>
      <c r="Q42" s="1385">
        <f>'AROS, CADENAS, DIJES, ETC'!D96</f>
        <v>1195</v>
      </c>
      <c r="R42" s="1386">
        <f>Q42</f>
        <v>1195</v>
      </c>
      <c r="S42" s="658"/>
      <c r="T42" s="653"/>
    </row>
    <row r="43" spans="1:32" ht="16.5" thickBot="1" x14ac:dyDescent="0.3">
      <c r="A43" s="1368" t="s">
        <v>1559</v>
      </c>
      <c r="B43" s="1369"/>
      <c r="C43" s="1369"/>
      <c r="D43" s="1369"/>
      <c r="E43" s="825"/>
      <c r="F43" s="787">
        <f>F42*2</f>
        <v>17884.284444444445</v>
      </c>
      <c r="G43" s="1370">
        <f>F43+F43*70%</f>
        <v>30403.283555555558</v>
      </c>
      <c r="H43" s="1390">
        <v>34000</v>
      </c>
      <c r="N43" s="665" t="s">
        <v>4348</v>
      </c>
      <c r="O43" s="769"/>
      <c r="P43" s="779">
        <v>1</v>
      </c>
      <c r="Q43" s="668">
        <f>'AROS, CADENAS, DIJES, ETC'!O153</f>
        <v>2095</v>
      </c>
      <c r="R43" s="662">
        <f>Q43</f>
        <v>2095</v>
      </c>
      <c r="S43" s="658"/>
      <c r="T43" s="653"/>
      <c r="Y43" s="1784" t="s">
        <v>5014</v>
      </c>
      <c r="Z43" s="1785"/>
      <c r="AA43" s="1785"/>
      <c r="AB43" s="1785"/>
      <c r="AC43" s="1786"/>
      <c r="AD43" s="804"/>
      <c r="AE43" s="653"/>
    </row>
    <row r="44" spans="1:32" ht="16.5" thickBot="1" x14ac:dyDescent="0.3">
      <c r="A44" s="652"/>
      <c r="B44" s="652"/>
      <c r="C44" s="652"/>
      <c r="D44" s="652"/>
      <c r="E44" s="652"/>
      <c r="F44" s="652"/>
      <c r="G44" s="652"/>
      <c r="H44" s="1275">
        <f>H43*50%</f>
        <v>17000</v>
      </c>
      <c r="I44" t="s">
        <v>3687</v>
      </c>
      <c r="N44" s="665" t="s">
        <v>1557</v>
      </c>
      <c r="O44" s="769"/>
      <c r="P44" s="779"/>
      <c r="Q44" s="668"/>
      <c r="R44" s="662">
        <f>PACKAGING!E3</f>
        <v>150</v>
      </c>
      <c r="S44" s="658"/>
      <c r="T44" s="653"/>
      <c r="Y44" s="821" t="s">
        <v>916</v>
      </c>
      <c r="Z44" s="822" t="s">
        <v>1073</v>
      </c>
      <c r="AA44" s="823" t="s">
        <v>1547</v>
      </c>
      <c r="AB44" s="823" t="s">
        <v>1035</v>
      </c>
      <c r="AC44" s="824" t="s">
        <v>1549</v>
      </c>
      <c r="AD44" s="658"/>
      <c r="AE44" s="653"/>
    </row>
    <row r="45" spans="1:32" ht="16.5" thickBot="1" x14ac:dyDescent="0.3">
      <c r="N45" s="670" t="s">
        <v>525</v>
      </c>
      <c r="O45" s="672"/>
      <c r="P45" s="780"/>
      <c r="Q45" s="780"/>
      <c r="R45" s="673">
        <f>SUM(R43:R44)</f>
        <v>2245</v>
      </c>
      <c r="S45" s="658"/>
      <c r="T45" s="653"/>
      <c r="Y45" s="665" t="s">
        <v>5015</v>
      </c>
      <c r="Z45" s="769"/>
      <c r="AA45" s="779">
        <v>1</v>
      </c>
      <c r="AB45" s="668">
        <f>'AROS, CADENAS, DIJES, ETC'!C193</f>
        <v>6400</v>
      </c>
      <c r="AC45" s="662">
        <f>AB45</f>
        <v>6400</v>
      </c>
      <c r="AD45" s="658"/>
      <c r="AE45" s="653"/>
    </row>
    <row r="46" spans="1:32" ht="16.5" thickBot="1" x14ac:dyDescent="0.3">
      <c r="A46" s="1791" t="s">
        <v>4257</v>
      </c>
      <c r="B46" s="1792"/>
      <c r="C46" s="1792"/>
      <c r="D46" s="1792"/>
      <c r="E46" s="1792"/>
      <c r="F46" s="1793"/>
      <c r="G46" s="653"/>
      <c r="H46" s="653"/>
      <c r="I46" s="652"/>
      <c r="N46" s="781" t="s">
        <v>544</v>
      </c>
      <c r="O46" s="825"/>
      <c r="P46" s="825"/>
      <c r="Q46" s="825"/>
      <c r="R46" s="784">
        <f>R45*2</f>
        <v>4490</v>
      </c>
      <c r="S46" s="1374">
        <f>R46+R46*70%</f>
        <v>7633</v>
      </c>
      <c r="T46" s="1375">
        <v>18000</v>
      </c>
      <c r="Y46" s="665" t="s">
        <v>1557</v>
      </c>
      <c r="Z46" s="769"/>
      <c r="AA46" s="779"/>
      <c r="AB46" s="668"/>
      <c r="AC46" s="662">
        <f>PACKAGING!E3</f>
        <v>150</v>
      </c>
      <c r="AD46" s="658"/>
      <c r="AE46" s="653"/>
    </row>
    <row r="47" spans="1:32" ht="16.5" thickBot="1" x14ac:dyDescent="0.3">
      <c r="A47" s="821" t="s">
        <v>916</v>
      </c>
      <c r="B47" s="1365" t="s">
        <v>1073</v>
      </c>
      <c r="C47" s="823" t="s">
        <v>1089</v>
      </c>
      <c r="D47" s="823" t="s">
        <v>1547</v>
      </c>
      <c r="E47" s="823" t="s">
        <v>1035</v>
      </c>
      <c r="F47" s="824" t="s">
        <v>1549</v>
      </c>
      <c r="G47" s="658"/>
      <c r="H47" s="653"/>
      <c r="I47" s="652"/>
      <c r="T47" s="1391">
        <f>T46*60%</f>
        <v>10800</v>
      </c>
      <c r="U47" t="s">
        <v>3687</v>
      </c>
      <c r="Y47" s="670" t="s">
        <v>1538</v>
      </c>
      <c r="Z47" s="672"/>
      <c r="AA47" s="780"/>
      <c r="AB47" s="780"/>
      <c r="AC47" s="673">
        <f>PACKAGING!E8</f>
        <v>420</v>
      </c>
    </row>
    <row r="48" spans="1:32" ht="16.5" thickBot="1" x14ac:dyDescent="0.3">
      <c r="A48" s="1366" t="s">
        <v>4143</v>
      </c>
      <c r="B48" s="769"/>
      <c r="C48" s="1367">
        <v>0.8</v>
      </c>
      <c r="D48" s="779">
        <v>0.08</v>
      </c>
      <c r="E48" s="668">
        <f>PIEDRAS!E151</f>
        <v>4600</v>
      </c>
      <c r="F48" s="662">
        <f>E48*D48</f>
        <v>368</v>
      </c>
      <c r="G48" s="658"/>
      <c r="H48" s="653"/>
      <c r="I48" s="652"/>
      <c r="Y48" s="675" t="s">
        <v>525</v>
      </c>
      <c r="Z48" s="810"/>
      <c r="AA48" s="810"/>
      <c r="AB48" s="677"/>
      <c r="AC48" s="1422">
        <f>SUM(AC45:AC47)</f>
        <v>6970</v>
      </c>
    </row>
    <row r="49" spans="1:32" ht="16.5" thickBot="1" x14ac:dyDescent="0.3">
      <c r="A49" s="1366" t="s">
        <v>3735</v>
      </c>
      <c r="B49" s="769" t="s">
        <v>4219</v>
      </c>
      <c r="C49" s="1367"/>
      <c r="D49" s="779" t="s">
        <v>1649</v>
      </c>
      <c r="E49" s="668">
        <f>'AROS, CADENAS, DIJES, ETC'!J104</f>
        <v>4855</v>
      </c>
      <c r="F49" s="662">
        <f>E49</f>
        <v>4855</v>
      </c>
      <c r="G49" s="658"/>
      <c r="H49" s="653"/>
      <c r="I49" s="652"/>
      <c r="N49" s="1788" t="s">
        <v>1838</v>
      </c>
      <c r="O49" s="1789"/>
      <c r="P49" s="1789"/>
      <c r="Q49" s="1789"/>
      <c r="R49" s="1790"/>
      <c r="S49" s="804"/>
      <c r="T49" s="653"/>
      <c r="Y49" s="704" t="s">
        <v>544</v>
      </c>
      <c r="Z49" s="1421"/>
      <c r="AA49" s="1421"/>
      <c r="AB49" s="1421"/>
      <c r="AC49" s="784">
        <f>AC48*2</f>
        <v>13940</v>
      </c>
      <c r="AD49" s="1423">
        <f>AC49+AC49*70%</f>
        <v>23698</v>
      </c>
      <c r="AE49" s="1375">
        <v>26000</v>
      </c>
    </row>
    <row r="50" spans="1:32" ht="16.5" thickBot="1" x14ac:dyDescent="0.3">
      <c r="A50" s="1366" t="s">
        <v>1742</v>
      </c>
      <c r="B50" s="769" t="s">
        <v>1316</v>
      </c>
      <c r="C50" s="1367"/>
      <c r="D50" s="779">
        <v>1</v>
      </c>
      <c r="E50" s="668">
        <f>'PERLAS 2'!H34</f>
        <v>421.05263157894734</v>
      </c>
      <c r="F50" s="662">
        <f t="shared" ref="F50:F55" si="0">E50*D50</f>
        <v>421.05263157894734</v>
      </c>
      <c r="G50" s="658"/>
      <c r="H50" s="653"/>
      <c r="I50" s="652"/>
      <c r="N50" s="821" t="s">
        <v>916</v>
      </c>
      <c r="O50" s="822" t="s">
        <v>1073</v>
      </c>
      <c r="P50" s="823" t="s">
        <v>1547</v>
      </c>
      <c r="Q50" s="823" t="s">
        <v>1035</v>
      </c>
      <c r="R50" s="824" t="s">
        <v>1549</v>
      </c>
      <c r="S50" s="658"/>
      <c r="T50" s="653"/>
      <c r="AE50" s="1391">
        <f>AE49*60%</f>
        <v>15600</v>
      </c>
      <c r="AF50" t="s">
        <v>3687</v>
      </c>
    </row>
    <row r="51" spans="1:32" ht="15.75" x14ac:dyDescent="0.25">
      <c r="A51" s="1366" t="s">
        <v>1555</v>
      </c>
      <c r="B51" s="769" t="s">
        <v>1933</v>
      </c>
      <c r="C51" s="1367"/>
      <c r="D51" s="779">
        <v>1</v>
      </c>
      <c r="E51" s="668">
        <f>FORNITURAS!D5</f>
        <v>46.8</v>
      </c>
      <c r="F51" s="662">
        <f t="shared" si="0"/>
        <v>46.8</v>
      </c>
      <c r="G51" s="658"/>
      <c r="H51" s="653"/>
      <c r="I51" s="652"/>
      <c r="N51" s="1405" t="s">
        <v>859</v>
      </c>
      <c r="O51" s="1383"/>
      <c r="P51" s="1406">
        <v>1</v>
      </c>
      <c r="Q51" s="1385">
        <f>'AROS, CADENAS, DIJES, ETC'!D96</f>
        <v>1195</v>
      </c>
      <c r="R51" s="1386">
        <f>Q51</f>
        <v>1195</v>
      </c>
      <c r="S51" s="658"/>
      <c r="T51" s="653"/>
    </row>
    <row r="52" spans="1:32" ht="15.75" x14ac:dyDescent="0.25">
      <c r="A52" s="1366" t="s">
        <v>4231</v>
      </c>
      <c r="B52" s="769"/>
      <c r="C52" s="1367"/>
      <c r="D52" s="779">
        <v>1</v>
      </c>
      <c r="E52" s="668">
        <f>'INSUMOS VARIOS'!E78</f>
        <v>300</v>
      </c>
      <c r="F52" s="662">
        <f t="shared" si="0"/>
        <v>300</v>
      </c>
      <c r="G52" s="658"/>
      <c r="H52" s="653"/>
      <c r="I52" s="652"/>
      <c r="N52" s="665" t="s">
        <v>4349</v>
      </c>
      <c r="O52" s="769"/>
      <c r="P52" s="779">
        <v>1</v>
      </c>
      <c r="Q52" s="668">
        <f>'AROS, CADENAS, DIJES, ETC'!O154</f>
        <v>3590</v>
      </c>
      <c r="R52" s="662">
        <f>Q52</f>
        <v>3590</v>
      </c>
      <c r="S52" s="658"/>
      <c r="T52" s="653"/>
    </row>
    <row r="53" spans="1:32" ht="15.75" x14ac:dyDescent="0.25">
      <c r="A53" s="769" t="s">
        <v>4226</v>
      </c>
      <c r="B53" s="769"/>
      <c r="C53" s="1367"/>
      <c r="D53" s="779">
        <v>0.2</v>
      </c>
      <c r="E53" s="668">
        <f>'HILOS-CORDONES-TANZA-CUERO'!E27</f>
        <v>25</v>
      </c>
      <c r="F53" s="662">
        <f t="shared" si="0"/>
        <v>5</v>
      </c>
      <c r="G53" s="658"/>
      <c r="H53" s="653"/>
      <c r="I53" s="652"/>
      <c r="N53" s="665" t="s">
        <v>1557</v>
      </c>
      <c r="O53" s="769"/>
      <c r="P53" s="779"/>
      <c r="Q53" s="668"/>
      <c r="R53" s="662">
        <f>PACKAGING!E3</f>
        <v>150</v>
      </c>
      <c r="S53" s="658"/>
      <c r="T53" s="653"/>
    </row>
    <row r="54" spans="1:32" ht="16.5" thickBot="1" x14ac:dyDescent="0.3">
      <c r="A54" s="1367" t="s">
        <v>4225</v>
      </c>
      <c r="B54" s="769"/>
      <c r="C54" s="1367"/>
      <c r="D54" s="779">
        <v>1</v>
      </c>
      <c r="E54" s="668">
        <f>'PALAIS DU BIJOU'!O17</f>
        <v>3.4375</v>
      </c>
      <c r="F54" s="662">
        <f t="shared" si="0"/>
        <v>3.4375</v>
      </c>
      <c r="G54" s="658"/>
      <c r="H54" s="653"/>
      <c r="I54" s="652"/>
      <c r="N54" s="670" t="s">
        <v>525</v>
      </c>
      <c r="O54" s="672"/>
      <c r="P54" s="780"/>
      <c r="Q54" s="780"/>
      <c r="R54" s="673">
        <f>SUM(R52:R53)</f>
        <v>3740</v>
      </c>
      <c r="S54" s="658"/>
      <c r="T54" s="653"/>
    </row>
    <row r="55" spans="1:32" ht="16.5" thickBot="1" x14ac:dyDescent="0.3">
      <c r="A55" s="1366" t="s">
        <v>1050</v>
      </c>
      <c r="B55" s="769" t="s">
        <v>1062</v>
      </c>
      <c r="C55" s="1367"/>
      <c r="D55" s="779">
        <v>0.09</v>
      </c>
      <c r="E55" s="668">
        <f>FORNITURAS!W6</f>
        <v>541.13207547169816</v>
      </c>
      <c r="F55" s="662">
        <f t="shared" si="0"/>
        <v>48.701886792452832</v>
      </c>
      <c r="G55" s="658"/>
      <c r="H55" s="653"/>
      <c r="I55" s="652"/>
      <c r="N55" s="781" t="s">
        <v>544</v>
      </c>
      <c r="O55" s="825"/>
      <c r="P55" s="825"/>
      <c r="Q55" s="825"/>
      <c r="R55" s="784">
        <f>R54*2</f>
        <v>7480</v>
      </c>
      <c r="S55" s="1374">
        <f>R55+R55*70%</f>
        <v>12716</v>
      </c>
      <c r="T55" s="1375">
        <v>16000</v>
      </c>
    </row>
    <row r="56" spans="1:32" ht="16.5" thickBot="1" x14ac:dyDescent="0.3">
      <c r="A56" s="665" t="s">
        <v>1557</v>
      </c>
      <c r="B56" s="769"/>
      <c r="C56" s="779"/>
      <c r="D56" s="779"/>
      <c r="E56" s="668"/>
      <c r="F56" s="662">
        <f>PACKAGING!E3</f>
        <v>150</v>
      </c>
      <c r="G56" s="658"/>
      <c r="H56" s="653"/>
      <c r="I56" s="652"/>
      <c r="T56" s="1391">
        <f>T55*60%</f>
        <v>9600</v>
      </c>
      <c r="U56" t="s">
        <v>3687</v>
      </c>
    </row>
    <row r="57" spans="1:32" ht="16.5" thickBot="1" x14ac:dyDescent="0.3">
      <c r="A57" s="665" t="s">
        <v>1558</v>
      </c>
      <c r="B57" s="769">
        <v>60</v>
      </c>
      <c r="C57" s="779"/>
      <c r="D57" s="779">
        <v>30</v>
      </c>
      <c r="E57" s="668">
        <f>'INSUMOS VARIOS'!B3</f>
        <v>3500</v>
      </c>
      <c r="F57" s="662">
        <f>E57*D57/B57</f>
        <v>1750</v>
      </c>
      <c r="G57" s="658"/>
      <c r="H57" s="653"/>
      <c r="I57" s="652"/>
    </row>
    <row r="58" spans="1:32" ht="16.5" thickBot="1" x14ac:dyDescent="0.3">
      <c r="A58" s="665" t="s">
        <v>3496</v>
      </c>
      <c r="B58" s="769"/>
      <c r="C58" s="779"/>
      <c r="D58" s="779"/>
      <c r="E58" s="668"/>
      <c r="F58" s="662">
        <f>PACKAGING!E9</f>
        <v>450</v>
      </c>
      <c r="G58" s="658"/>
      <c r="H58" s="653"/>
      <c r="I58" s="652"/>
      <c r="N58" s="1788" t="s">
        <v>4544</v>
      </c>
      <c r="O58" s="1789"/>
      <c r="P58" s="1789"/>
      <c r="Q58" s="1789"/>
      <c r="R58" s="1790"/>
      <c r="S58" s="804"/>
      <c r="T58" s="653"/>
    </row>
    <row r="59" spans="1:32" ht="16.5" thickBot="1" x14ac:dyDescent="0.3">
      <c r="A59" s="670" t="s">
        <v>525</v>
      </c>
      <c r="B59" s="672"/>
      <c r="C59" s="780"/>
      <c r="D59" s="780"/>
      <c r="E59" s="780"/>
      <c r="F59" s="673">
        <f>SUM(F48:F58)</f>
        <v>8397.9920183714003</v>
      </c>
      <c r="G59" s="809"/>
      <c r="H59" s="653"/>
      <c r="I59" s="652"/>
      <c r="N59" s="821" t="s">
        <v>916</v>
      </c>
      <c r="O59" s="822" t="s">
        <v>1073</v>
      </c>
      <c r="P59" s="823" t="s">
        <v>1547</v>
      </c>
      <c r="Q59" s="823" t="s">
        <v>1035</v>
      </c>
      <c r="R59" s="824" t="s">
        <v>1549</v>
      </c>
      <c r="S59" s="658"/>
      <c r="T59" s="653"/>
    </row>
    <row r="60" spans="1:32" ht="16.5" thickBot="1" x14ac:dyDescent="0.3">
      <c r="A60" s="1368" t="s">
        <v>1559</v>
      </c>
      <c r="B60" s="1369"/>
      <c r="C60" s="1369"/>
      <c r="D60" s="1369"/>
      <c r="E60" s="825"/>
      <c r="F60" s="787">
        <f>F59*2</f>
        <v>16795.984036742801</v>
      </c>
      <c r="G60" s="1370">
        <f>F60+F60*70%</f>
        <v>28553.172862462758</v>
      </c>
      <c r="H60" s="1390">
        <v>30000</v>
      </c>
      <c r="I60" t="s">
        <v>3687</v>
      </c>
      <c r="N60" s="1405" t="s">
        <v>859</v>
      </c>
      <c r="O60" s="1383"/>
      <c r="P60" s="1406">
        <v>1</v>
      </c>
      <c r="Q60" s="1385">
        <f>'AROS, CADENAS, DIJES, ETC'!D101</f>
        <v>2505</v>
      </c>
      <c r="R60" s="1386">
        <f>Q60</f>
        <v>2505</v>
      </c>
      <c r="S60" s="658"/>
      <c r="T60" s="653"/>
    </row>
    <row r="61" spans="1:32" ht="16.5" thickBot="1" x14ac:dyDescent="0.3">
      <c r="A61" s="652"/>
      <c r="B61" s="652"/>
      <c r="C61" s="652"/>
      <c r="D61" s="652"/>
      <c r="E61" s="652"/>
      <c r="F61" s="652"/>
      <c r="G61" s="652"/>
      <c r="H61" s="1275">
        <f>H60*60%</f>
        <v>18000</v>
      </c>
      <c r="N61" s="665" t="s">
        <v>4350</v>
      </c>
      <c r="O61" s="769"/>
      <c r="P61" s="779">
        <v>1</v>
      </c>
      <c r="Q61" s="668">
        <f>'AROS, CADENAS, DIJES, ETC'!O152</f>
        <v>1930</v>
      </c>
      <c r="R61" s="662">
        <f>Q61</f>
        <v>1930</v>
      </c>
      <c r="S61" s="658"/>
      <c r="T61" s="653"/>
    </row>
    <row r="62" spans="1:32" ht="16.5" thickBot="1" x14ac:dyDescent="0.3">
      <c r="N62" s="665" t="s">
        <v>1557</v>
      </c>
      <c r="O62" s="769"/>
      <c r="P62" s="779"/>
      <c r="Q62" s="668"/>
      <c r="R62" s="662">
        <f>PACKAGING!E3</f>
        <v>150</v>
      </c>
      <c r="S62" s="658"/>
      <c r="T62" s="653"/>
    </row>
    <row r="63" spans="1:32" ht="16.5" thickBot="1" x14ac:dyDescent="0.3">
      <c r="A63" s="1791" t="s">
        <v>4254</v>
      </c>
      <c r="B63" s="1792"/>
      <c r="C63" s="1792"/>
      <c r="D63" s="1792"/>
      <c r="E63" s="1792"/>
      <c r="F63" s="1793"/>
      <c r="G63" s="653"/>
      <c r="H63" s="653"/>
      <c r="I63" s="652"/>
      <c r="N63" s="670" t="s">
        <v>525</v>
      </c>
      <c r="O63" s="672"/>
      <c r="P63" s="780"/>
      <c r="Q63" s="780"/>
      <c r="R63" s="673">
        <f>SUM(R61:R62)</f>
        <v>2080</v>
      </c>
      <c r="S63" s="658"/>
      <c r="T63" s="653"/>
    </row>
    <row r="64" spans="1:32" ht="16.5" thickBot="1" x14ac:dyDescent="0.3">
      <c r="A64" s="821" t="s">
        <v>916</v>
      </c>
      <c r="B64" s="1365" t="s">
        <v>1073</v>
      </c>
      <c r="C64" s="823" t="s">
        <v>1089</v>
      </c>
      <c r="D64" s="823" t="s">
        <v>1547</v>
      </c>
      <c r="E64" s="823" t="s">
        <v>1035</v>
      </c>
      <c r="F64" s="824" t="s">
        <v>1549</v>
      </c>
      <c r="G64" s="658"/>
      <c r="H64" s="653"/>
      <c r="I64" s="652"/>
      <c r="N64" s="781" t="s">
        <v>544</v>
      </c>
      <c r="O64" s="825"/>
      <c r="P64" s="825"/>
      <c r="Q64" s="825"/>
      <c r="R64" s="784">
        <f>R63*2</f>
        <v>4160</v>
      </c>
      <c r="S64" s="1374">
        <f>R64+R64*70%</f>
        <v>7072</v>
      </c>
      <c r="T64" s="1375">
        <v>16000</v>
      </c>
    </row>
    <row r="65" spans="1:21" ht="16.5" thickBot="1" x14ac:dyDescent="0.3">
      <c r="A65" s="1366" t="s">
        <v>3735</v>
      </c>
      <c r="B65" s="769" t="s">
        <v>3967</v>
      </c>
      <c r="C65" s="1367"/>
      <c r="D65" s="779" t="s">
        <v>1649</v>
      </c>
      <c r="E65" s="668">
        <f>'AROS, CADENAS, DIJES, ETC'!J102</f>
        <v>3767</v>
      </c>
      <c r="F65" s="662">
        <f>E65</f>
        <v>3767</v>
      </c>
      <c r="G65" s="658"/>
      <c r="H65" s="653"/>
      <c r="I65" s="652"/>
      <c r="T65" s="1391">
        <f>T64*60%</f>
        <v>9600</v>
      </c>
      <c r="U65" t="s">
        <v>3687</v>
      </c>
    </row>
    <row r="66" spans="1:21" ht="16.5" thickBot="1" x14ac:dyDescent="0.3">
      <c r="A66" s="1366" t="s">
        <v>1742</v>
      </c>
      <c r="B66" s="769" t="s">
        <v>1345</v>
      </c>
      <c r="C66" s="1367"/>
      <c r="D66" s="779">
        <v>2</v>
      </c>
      <c r="E66" s="668">
        <f>'PERLAS 2'!H14</f>
        <v>324.8</v>
      </c>
      <c r="F66" s="662">
        <f>E66*D66</f>
        <v>649.6</v>
      </c>
      <c r="G66" s="658"/>
      <c r="H66" s="653"/>
      <c r="I66" s="652"/>
    </row>
    <row r="67" spans="1:21" ht="16.5" thickBot="1" x14ac:dyDescent="0.3">
      <c r="A67" s="1366" t="s">
        <v>3183</v>
      </c>
      <c r="B67" s="769" t="s">
        <v>777</v>
      </c>
      <c r="C67" s="1367"/>
      <c r="D67" s="779">
        <v>2</v>
      </c>
      <c r="E67" s="668">
        <f>PIEDRAS!F123</f>
        <v>40.909090909090907</v>
      </c>
      <c r="F67" s="662">
        <f>E67*D67</f>
        <v>81.818181818181813</v>
      </c>
      <c r="G67" s="658"/>
      <c r="H67" s="653"/>
      <c r="I67" s="652"/>
      <c r="N67" s="1788" t="s">
        <v>4774</v>
      </c>
      <c r="O67" s="1789"/>
      <c r="P67" s="1789"/>
      <c r="Q67" s="1789"/>
      <c r="R67" s="1790"/>
      <c r="S67" s="804"/>
      <c r="T67" s="653"/>
    </row>
    <row r="68" spans="1:21" ht="15.75" x14ac:dyDescent="0.25">
      <c r="A68" s="1366" t="s">
        <v>4230</v>
      </c>
      <c r="B68" s="769"/>
      <c r="C68" s="1367"/>
      <c r="D68" s="779">
        <v>2</v>
      </c>
      <c r="E68" s="668">
        <f>PIEDRAS!F86</f>
        <v>400</v>
      </c>
      <c r="F68" s="662">
        <f>E68*D68</f>
        <v>800</v>
      </c>
      <c r="G68" s="658"/>
      <c r="H68" s="653"/>
      <c r="I68" s="652"/>
      <c r="N68" s="821" t="s">
        <v>916</v>
      </c>
      <c r="O68" s="822" t="s">
        <v>1073</v>
      </c>
      <c r="P68" s="823" t="s">
        <v>1547</v>
      </c>
      <c r="Q68" s="823" t="s">
        <v>1035</v>
      </c>
      <c r="R68" s="824" t="s">
        <v>1549</v>
      </c>
      <c r="S68" s="658"/>
      <c r="T68" s="653"/>
    </row>
    <row r="69" spans="1:21" ht="15.75" x14ac:dyDescent="0.25">
      <c r="A69" s="1366" t="s">
        <v>3117</v>
      </c>
      <c r="B69" s="769"/>
      <c r="C69" s="1367"/>
      <c r="D69" s="779">
        <v>4</v>
      </c>
      <c r="E69" s="668">
        <f>FORNITURAS!D11</f>
        <v>99.083333333333329</v>
      </c>
      <c r="F69" s="662">
        <f>E69*D69</f>
        <v>396.33333333333331</v>
      </c>
      <c r="G69" s="658"/>
      <c r="H69" s="653"/>
      <c r="I69" s="652"/>
      <c r="N69" s="1405" t="s">
        <v>859</v>
      </c>
      <c r="O69" s="1383"/>
      <c r="P69" s="1406">
        <v>1</v>
      </c>
      <c r="Q69" s="1385">
        <f>'AROS, CADENAS, DIJES, ETC'!D96</f>
        <v>1195</v>
      </c>
      <c r="R69" s="1386">
        <f>Q69</f>
        <v>1195</v>
      </c>
      <c r="S69" s="658"/>
      <c r="T69" s="653"/>
    </row>
    <row r="70" spans="1:21" ht="15.75" x14ac:dyDescent="0.25">
      <c r="A70" s="1366" t="s">
        <v>1050</v>
      </c>
      <c r="B70" s="769" t="s">
        <v>1062</v>
      </c>
      <c r="C70" s="1367"/>
      <c r="D70" s="779">
        <v>0.1</v>
      </c>
      <c r="E70" s="668">
        <f>FORNITURAS!W6</f>
        <v>541.13207547169816</v>
      </c>
      <c r="F70" s="662">
        <f>E70*D70</f>
        <v>54.113207547169822</v>
      </c>
      <c r="G70" s="658"/>
      <c r="H70" s="653"/>
      <c r="I70" s="652"/>
      <c r="N70" s="665" t="s">
        <v>4775</v>
      </c>
      <c r="O70" s="769"/>
      <c r="P70" s="779">
        <v>1</v>
      </c>
      <c r="Q70" s="668">
        <f>'AROS, CADENAS, DIJES, ETC'!O156</f>
        <v>3294</v>
      </c>
      <c r="R70" s="662">
        <f>Q70</f>
        <v>3294</v>
      </c>
      <c r="S70" s="658"/>
      <c r="T70" s="653"/>
    </row>
    <row r="71" spans="1:21" ht="15.75" x14ac:dyDescent="0.25">
      <c r="A71" s="665" t="s">
        <v>1557</v>
      </c>
      <c r="B71" s="769"/>
      <c r="C71" s="779"/>
      <c r="D71" s="779"/>
      <c r="E71" s="668"/>
      <c r="F71" s="662">
        <f>PACKAGING!E3</f>
        <v>150</v>
      </c>
      <c r="G71" s="658"/>
      <c r="H71" s="653"/>
      <c r="I71" s="652"/>
      <c r="N71" s="665" t="s">
        <v>1557</v>
      </c>
      <c r="O71" s="769"/>
      <c r="P71" s="779"/>
      <c r="Q71" s="668"/>
      <c r="R71" s="662">
        <f>PACKAGING!E3</f>
        <v>150</v>
      </c>
      <c r="S71" s="658"/>
      <c r="T71" s="653"/>
    </row>
    <row r="72" spans="1:21" ht="16.5" thickBot="1" x14ac:dyDescent="0.3">
      <c r="A72" s="665" t="s">
        <v>1558</v>
      </c>
      <c r="B72" s="769">
        <v>60</v>
      </c>
      <c r="C72" s="779"/>
      <c r="D72" s="779">
        <v>40</v>
      </c>
      <c r="E72" s="668">
        <f>'INSUMOS VARIOS'!B3</f>
        <v>3500</v>
      </c>
      <c r="F72" s="662">
        <f>E72*D72/B72</f>
        <v>2333.3333333333335</v>
      </c>
      <c r="G72" s="658"/>
      <c r="H72" s="653"/>
      <c r="I72" s="652"/>
      <c r="N72" s="670" t="s">
        <v>525</v>
      </c>
      <c r="O72" s="672"/>
      <c r="P72" s="780"/>
      <c r="Q72" s="780"/>
      <c r="R72" s="673">
        <f>SUM(R70:R71)</f>
        <v>3444</v>
      </c>
      <c r="S72" s="658"/>
      <c r="T72" s="653"/>
    </row>
    <row r="73" spans="1:21" ht="16.5" thickBot="1" x14ac:dyDescent="0.3">
      <c r="A73" s="665" t="s">
        <v>3180</v>
      </c>
      <c r="B73" s="769"/>
      <c r="C73" s="779"/>
      <c r="D73" s="779"/>
      <c r="E73" s="668"/>
      <c r="F73" s="662">
        <f>PACKAGING!E8</f>
        <v>420</v>
      </c>
      <c r="G73" s="658"/>
      <c r="H73" s="653"/>
      <c r="I73" s="652"/>
      <c r="N73" s="781" t="s">
        <v>544</v>
      </c>
      <c r="O73" s="825"/>
      <c r="P73" s="825"/>
      <c r="Q73" s="825"/>
      <c r="R73" s="784">
        <f>R72*2</f>
        <v>6888</v>
      </c>
      <c r="S73" s="1374">
        <f>R73+R73*70%</f>
        <v>11709.599999999999</v>
      </c>
      <c r="T73" s="1375">
        <v>16000</v>
      </c>
    </row>
    <row r="74" spans="1:21" ht="16.5" thickBot="1" x14ac:dyDescent="0.3">
      <c r="A74" s="670" t="s">
        <v>525</v>
      </c>
      <c r="B74" s="672"/>
      <c r="C74" s="780"/>
      <c r="D74" s="780"/>
      <c r="E74" s="780"/>
      <c r="F74" s="673">
        <f>SUM(F65:F73)</f>
        <v>8652.1980560320189</v>
      </c>
      <c r="G74" s="809"/>
      <c r="H74" s="653"/>
      <c r="I74" s="652"/>
      <c r="T74" s="1391">
        <f>T73*60%</f>
        <v>9600</v>
      </c>
      <c r="U74" t="s">
        <v>3687</v>
      </c>
    </row>
    <row r="75" spans="1:21" ht="16.5" thickBot="1" x14ac:dyDescent="0.3">
      <c r="A75" s="1368" t="s">
        <v>1559</v>
      </c>
      <c r="B75" s="1369"/>
      <c r="C75" s="1369"/>
      <c r="D75" s="1369"/>
      <c r="E75" s="825"/>
      <c r="F75" s="787">
        <f>F74*2</f>
        <v>17304.396112064038</v>
      </c>
      <c r="G75" s="1370">
        <f>F75+F75*70%</f>
        <v>29417.473390508865</v>
      </c>
      <c r="H75" s="1390">
        <v>36000</v>
      </c>
    </row>
    <row r="76" spans="1:21" ht="16.5" thickBot="1" x14ac:dyDescent="0.3">
      <c r="A76" s="652"/>
      <c r="B76" s="652"/>
      <c r="C76" s="652"/>
      <c r="D76" s="652"/>
      <c r="E76" s="652"/>
      <c r="F76" s="652"/>
      <c r="G76" s="652"/>
      <c r="H76" s="1275">
        <f>H75*60%</f>
        <v>21600</v>
      </c>
      <c r="I76" t="s">
        <v>3687</v>
      </c>
    </row>
    <row r="77" spans="1:21" ht="16.5" thickBot="1" x14ac:dyDescent="0.3">
      <c r="A77" s="1772" t="s">
        <v>4234</v>
      </c>
      <c r="B77" s="1773"/>
      <c r="C77" s="1773"/>
      <c r="D77" s="1773"/>
      <c r="E77" s="1774"/>
      <c r="F77" s="804"/>
      <c r="G77" s="653"/>
      <c r="N77" s="1788" t="s">
        <v>4776</v>
      </c>
      <c r="O77" s="1789"/>
      <c r="P77" s="1789"/>
      <c r="Q77" s="1789"/>
      <c r="R77" s="1790"/>
      <c r="S77" s="804"/>
      <c r="T77" s="653"/>
    </row>
    <row r="78" spans="1:21" ht="15.75" x14ac:dyDescent="0.25">
      <c r="A78" s="821" t="s">
        <v>916</v>
      </c>
      <c r="B78" s="822" t="s">
        <v>1073</v>
      </c>
      <c r="C78" s="823" t="s">
        <v>1547</v>
      </c>
      <c r="D78" s="823" t="s">
        <v>1035</v>
      </c>
      <c r="E78" s="824" t="s">
        <v>1549</v>
      </c>
      <c r="F78" s="658"/>
      <c r="G78" s="653"/>
      <c r="N78" s="821" t="s">
        <v>916</v>
      </c>
      <c r="O78" s="822" t="s">
        <v>1073</v>
      </c>
      <c r="P78" s="823" t="s">
        <v>1547</v>
      </c>
      <c r="Q78" s="823" t="s">
        <v>1035</v>
      </c>
      <c r="R78" s="824" t="s">
        <v>1549</v>
      </c>
      <c r="S78" s="658"/>
      <c r="T78" s="653"/>
    </row>
    <row r="79" spans="1:21" ht="15.75" x14ac:dyDescent="0.25">
      <c r="A79" s="665" t="s">
        <v>4235</v>
      </c>
      <c r="B79" s="769"/>
      <c r="C79" s="779" t="s">
        <v>1649</v>
      </c>
      <c r="D79" s="668">
        <f>'AROS, CADENAS, DIJES, ETC'!C38</f>
        <v>4690</v>
      </c>
      <c r="E79" s="662">
        <f>D79</f>
        <v>4690</v>
      </c>
      <c r="F79" s="658"/>
      <c r="G79" s="653"/>
      <c r="N79" s="1405" t="s">
        <v>3563</v>
      </c>
      <c r="O79" s="1383"/>
      <c r="P79" s="1406">
        <v>1</v>
      </c>
      <c r="Q79" s="1385">
        <f>'AROS, CADENAS, DIJES, ETC'!D101</f>
        <v>2505</v>
      </c>
      <c r="R79" s="1386">
        <f>Q79</f>
        <v>2505</v>
      </c>
      <c r="S79" s="658"/>
      <c r="T79" s="653"/>
    </row>
    <row r="80" spans="1:21" ht="15.75" x14ac:dyDescent="0.25">
      <c r="A80" s="665" t="s">
        <v>1557</v>
      </c>
      <c r="B80" s="769"/>
      <c r="C80" s="779"/>
      <c r="D80" s="668"/>
      <c r="E80" s="662">
        <f>PACKAGING!E3</f>
        <v>150</v>
      </c>
      <c r="F80" s="658"/>
      <c r="G80" s="653"/>
      <c r="N80" s="665" t="s">
        <v>4777</v>
      </c>
      <c r="O80" s="769"/>
      <c r="P80" s="779">
        <v>1</v>
      </c>
      <c r="Q80" s="668">
        <f>'AROS, CADENAS, DIJES, ETC'!O157</f>
        <v>2200</v>
      </c>
      <c r="R80" s="662">
        <f>Q80</f>
        <v>2200</v>
      </c>
      <c r="S80" s="658"/>
      <c r="T80" s="653"/>
    </row>
    <row r="81" spans="1:21" ht="15.75" x14ac:dyDescent="0.25">
      <c r="A81" s="665" t="s">
        <v>3180</v>
      </c>
      <c r="B81" s="769"/>
      <c r="C81" s="779"/>
      <c r="D81" s="668"/>
      <c r="E81" s="662">
        <f>PACKAGING!E8</f>
        <v>420</v>
      </c>
      <c r="F81" s="658"/>
      <c r="G81" s="653"/>
      <c r="N81" s="665" t="s">
        <v>1557</v>
      </c>
      <c r="O81" s="769"/>
      <c r="P81" s="779"/>
      <c r="Q81" s="668"/>
      <c r="R81" s="662">
        <f>PACKAGING!E3</f>
        <v>150</v>
      </c>
      <c r="S81" s="658"/>
      <c r="T81" s="653"/>
    </row>
    <row r="82" spans="1:21" ht="16.5" thickBot="1" x14ac:dyDescent="0.3">
      <c r="A82" s="670" t="s">
        <v>525</v>
      </c>
      <c r="B82" s="672"/>
      <c r="C82" s="780"/>
      <c r="D82" s="780"/>
      <c r="E82" s="673">
        <f>SUM(E79:E81)</f>
        <v>5260</v>
      </c>
      <c r="F82" s="658"/>
      <c r="G82" s="653"/>
      <c r="N82" s="670" t="s">
        <v>525</v>
      </c>
      <c r="O82" s="672"/>
      <c r="P82" s="780"/>
      <c r="Q82" s="780"/>
      <c r="R82" s="673">
        <f>SUM(R80:R81)</f>
        <v>2350</v>
      </c>
      <c r="S82" s="658"/>
      <c r="T82" s="653"/>
    </row>
    <row r="83" spans="1:21" ht="16.5" thickBot="1" x14ac:dyDescent="0.3">
      <c r="A83" s="781" t="s">
        <v>544</v>
      </c>
      <c r="B83" s="825"/>
      <c r="C83" s="825"/>
      <c r="D83" s="825"/>
      <c r="E83" s="784">
        <f>E82*2</f>
        <v>10520</v>
      </c>
      <c r="F83" s="1374">
        <f>E83+E83*70%</f>
        <v>17884</v>
      </c>
      <c r="G83" s="1390">
        <v>28000</v>
      </c>
      <c r="N83" s="781" t="s">
        <v>544</v>
      </c>
      <c r="O83" s="825"/>
      <c r="P83" s="825"/>
      <c r="Q83" s="825"/>
      <c r="R83" s="784">
        <f>R82*2</f>
        <v>4700</v>
      </c>
      <c r="S83" s="1374">
        <f>R83+R83*70%</f>
        <v>7990</v>
      </c>
      <c r="T83" s="1375">
        <v>16000</v>
      </c>
    </row>
    <row r="84" spans="1:21" ht="16.5" thickBot="1" x14ac:dyDescent="0.3">
      <c r="G84" s="1275">
        <f>G83*50%</f>
        <v>14000</v>
      </c>
      <c r="H84" t="s">
        <v>3687</v>
      </c>
      <c r="T84" s="1391">
        <f>T83*60%</f>
        <v>9600</v>
      </c>
      <c r="U84" t="s">
        <v>3687</v>
      </c>
    </row>
    <row r="85" spans="1:21" ht="15.75" thickBot="1" x14ac:dyDescent="0.3"/>
    <row r="86" spans="1:21" ht="16.5" thickBot="1" x14ac:dyDescent="0.3">
      <c r="A86" s="1791" t="s">
        <v>4269</v>
      </c>
      <c r="B86" s="1792"/>
      <c r="C86" s="1792"/>
      <c r="D86" s="1792"/>
      <c r="E86" s="1792"/>
      <c r="F86" s="1793"/>
      <c r="G86" s="653"/>
      <c r="H86" s="653"/>
      <c r="I86" s="652"/>
      <c r="N86" s="1788" t="s">
        <v>4779</v>
      </c>
      <c r="O86" s="1789"/>
      <c r="P86" s="1789"/>
      <c r="Q86" s="1789"/>
      <c r="R86" s="1790"/>
      <c r="S86" s="804"/>
      <c r="T86" s="653"/>
    </row>
    <row r="87" spans="1:21" ht="15.75" x14ac:dyDescent="0.25">
      <c r="A87" s="821" t="s">
        <v>916</v>
      </c>
      <c r="B87" s="1365" t="s">
        <v>1073</v>
      </c>
      <c r="C87" s="823" t="s">
        <v>1089</v>
      </c>
      <c r="D87" s="823" t="s">
        <v>1547</v>
      </c>
      <c r="E87" s="823" t="s">
        <v>1035</v>
      </c>
      <c r="F87" s="824" t="s">
        <v>1549</v>
      </c>
      <c r="G87" s="658"/>
      <c r="H87" s="653"/>
      <c r="I87" s="652"/>
      <c r="N87" s="821" t="s">
        <v>916</v>
      </c>
      <c r="O87" s="822" t="s">
        <v>1073</v>
      </c>
      <c r="P87" s="823" t="s">
        <v>1547</v>
      </c>
      <c r="Q87" s="823" t="s">
        <v>1035</v>
      </c>
      <c r="R87" s="824" t="s">
        <v>1549</v>
      </c>
      <c r="S87" s="658"/>
      <c r="T87" s="653"/>
    </row>
    <row r="88" spans="1:21" ht="15.75" x14ac:dyDescent="0.25">
      <c r="A88" s="1366" t="s">
        <v>3735</v>
      </c>
      <c r="B88" s="769" t="s">
        <v>3967</v>
      </c>
      <c r="C88" s="1367"/>
      <c r="D88" s="779" t="s">
        <v>1649</v>
      </c>
      <c r="E88" s="668">
        <f>'AROS, CADENAS, DIJES, ETC'!J102</f>
        <v>3767</v>
      </c>
      <c r="F88" s="662">
        <f>E88</f>
        <v>3767</v>
      </c>
      <c r="G88" s="658"/>
      <c r="H88" s="653"/>
      <c r="I88" s="652"/>
      <c r="N88" s="1405" t="s">
        <v>3563</v>
      </c>
      <c r="O88" s="1383"/>
      <c r="P88" s="1406">
        <v>1</v>
      </c>
      <c r="Q88" s="1385">
        <f>'AROS, CADENAS, DIJES, ETC'!D101</f>
        <v>2505</v>
      </c>
      <c r="R88" s="1386">
        <f>Q88</f>
        <v>2505</v>
      </c>
      <c r="S88" s="658"/>
      <c r="T88" s="653"/>
    </row>
    <row r="89" spans="1:21" ht="15.75" x14ac:dyDescent="0.25">
      <c r="A89" s="1736" t="s">
        <v>1742</v>
      </c>
      <c r="B89" s="769" t="s">
        <v>1357</v>
      </c>
      <c r="C89" s="1367"/>
      <c r="D89" s="779">
        <v>1</v>
      </c>
      <c r="E89" s="668">
        <f>'PERLAS 2'!H15</f>
        <v>680.16666666666663</v>
      </c>
      <c r="F89" s="662">
        <f>E89*D89</f>
        <v>680.16666666666663</v>
      </c>
      <c r="G89" s="658"/>
      <c r="H89" s="653"/>
      <c r="I89" s="652"/>
      <c r="N89" s="665" t="s">
        <v>4778</v>
      </c>
      <c r="O89" s="769"/>
      <c r="P89" s="779">
        <v>1</v>
      </c>
      <c r="Q89" s="668">
        <f>'AROS, CADENAS, DIJES, ETC'!O158</f>
        <v>2200</v>
      </c>
      <c r="R89" s="662">
        <f>Q89</f>
        <v>2200</v>
      </c>
      <c r="S89" s="658"/>
      <c r="T89" s="653"/>
    </row>
    <row r="90" spans="1:21" ht="15.75" x14ac:dyDescent="0.25">
      <c r="A90" s="1737"/>
      <c r="B90" s="769" t="s">
        <v>2170</v>
      </c>
      <c r="C90" s="1367"/>
      <c r="D90" s="779">
        <v>4</v>
      </c>
      <c r="E90" s="668">
        <f>'PERLAS 2'!H18</f>
        <v>167.2</v>
      </c>
      <c r="F90" s="662">
        <f>E90*D90</f>
        <v>668.8</v>
      </c>
      <c r="G90" s="658"/>
      <c r="H90" s="653"/>
      <c r="I90" s="652"/>
      <c r="N90" s="665" t="s">
        <v>1557</v>
      </c>
      <c r="O90" s="769"/>
      <c r="P90" s="779"/>
      <c r="Q90" s="668"/>
      <c r="R90" s="662">
        <f>PACKAGING!E3</f>
        <v>150</v>
      </c>
      <c r="S90" s="658"/>
      <c r="T90" s="653"/>
    </row>
    <row r="91" spans="1:21" ht="16.5" thickBot="1" x14ac:dyDescent="0.3">
      <c r="A91" s="1366" t="s">
        <v>4248</v>
      </c>
      <c r="B91" s="769"/>
      <c r="C91" s="1367"/>
      <c r="D91" s="779">
        <v>1</v>
      </c>
      <c r="E91" s="668">
        <f>'AROS, CADENAS, DIJES, ETC'!O67</f>
        <v>3186</v>
      </c>
      <c r="F91" s="662">
        <f>E91*D91</f>
        <v>3186</v>
      </c>
      <c r="G91" s="658"/>
      <c r="H91" s="653"/>
      <c r="I91" s="652"/>
      <c r="N91" s="670" t="s">
        <v>525</v>
      </c>
      <c r="O91" s="672"/>
      <c r="P91" s="780"/>
      <c r="Q91" s="780"/>
      <c r="R91" s="673">
        <f>SUM(R89:R90)</f>
        <v>2350</v>
      </c>
      <c r="S91" s="658"/>
      <c r="T91" s="653"/>
    </row>
    <row r="92" spans="1:21" ht="16.5" thickBot="1" x14ac:dyDescent="0.3">
      <c r="A92" s="1366" t="s">
        <v>3117</v>
      </c>
      <c r="B92" s="769"/>
      <c r="C92" s="1367"/>
      <c r="D92" s="779">
        <v>1</v>
      </c>
      <c r="E92" s="668">
        <f>FORNITURAS!D15</f>
        <v>142</v>
      </c>
      <c r="F92" s="662">
        <f>E92*D92</f>
        <v>142</v>
      </c>
      <c r="G92" s="658"/>
      <c r="H92" s="653"/>
      <c r="I92" s="652"/>
      <c r="N92" s="781" t="s">
        <v>544</v>
      </c>
      <c r="O92" s="825"/>
      <c r="P92" s="825"/>
      <c r="Q92" s="825"/>
      <c r="R92" s="784">
        <f>R91*2</f>
        <v>4700</v>
      </c>
      <c r="S92" s="1374">
        <f>R92+R92*70%</f>
        <v>7990</v>
      </c>
      <c r="T92" s="1375">
        <v>16000</v>
      </c>
    </row>
    <row r="93" spans="1:21" ht="16.5" thickBot="1" x14ac:dyDescent="0.3">
      <c r="A93" s="1366" t="s">
        <v>1050</v>
      </c>
      <c r="B93" s="769" t="s">
        <v>1062</v>
      </c>
      <c r="C93" s="1367"/>
      <c r="D93" s="779">
        <v>0.1</v>
      </c>
      <c r="E93" s="668">
        <f>FORNITURAS!W6</f>
        <v>541.13207547169816</v>
      </c>
      <c r="F93" s="662">
        <f>E93*D93</f>
        <v>54.113207547169822</v>
      </c>
      <c r="G93" s="658"/>
      <c r="H93" s="653"/>
      <c r="I93" s="652"/>
      <c r="T93" s="1391">
        <f>T92*60%</f>
        <v>9600</v>
      </c>
      <c r="U93" t="s">
        <v>3687</v>
      </c>
    </row>
    <row r="94" spans="1:21" ht="15.75" x14ac:dyDescent="0.25">
      <c r="A94" s="665" t="s">
        <v>1557</v>
      </c>
      <c r="B94" s="769"/>
      <c r="C94" s="779"/>
      <c r="D94" s="779"/>
      <c r="E94" s="668"/>
      <c r="F94" s="662">
        <f>PACKAGING!E3</f>
        <v>150</v>
      </c>
      <c r="G94" s="658"/>
      <c r="H94" s="653"/>
      <c r="I94" s="652"/>
    </row>
    <row r="95" spans="1:21" ht="15.75" x14ac:dyDescent="0.25">
      <c r="A95" s="665" t="s">
        <v>1558</v>
      </c>
      <c r="B95" s="769">
        <v>60</v>
      </c>
      <c r="C95" s="779"/>
      <c r="D95" s="779">
        <v>40</v>
      </c>
      <c r="E95" s="668">
        <f>'INSUMOS VARIOS'!B3</f>
        <v>3500</v>
      </c>
      <c r="F95" s="662">
        <f>E95*D95/B95</f>
        <v>2333.3333333333335</v>
      </c>
      <c r="G95" s="658"/>
      <c r="H95" s="653"/>
      <c r="I95" s="652"/>
    </row>
    <row r="96" spans="1:21" ht="15.75" x14ac:dyDescent="0.25">
      <c r="A96" s="665" t="s">
        <v>3180</v>
      </c>
      <c r="B96" s="769"/>
      <c r="C96" s="779"/>
      <c r="D96" s="779"/>
      <c r="E96" s="668"/>
      <c r="F96" s="662">
        <f>PACKAGING!E8</f>
        <v>420</v>
      </c>
      <c r="G96" s="658"/>
      <c r="H96" s="653"/>
      <c r="I96" s="652"/>
    </row>
    <row r="97" spans="1:9" ht="16.5" thickBot="1" x14ac:dyDescent="0.3">
      <c r="A97" s="670" t="s">
        <v>525</v>
      </c>
      <c r="B97" s="672"/>
      <c r="C97" s="780"/>
      <c r="D97" s="780"/>
      <c r="E97" s="780"/>
      <c r="F97" s="673">
        <f>SUM(F88:F96)</f>
        <v>11401.413207547172</v>
      </c>
      <c r="G97" s="809"/>
      <c r="H97" s="653"/>
      <c r="I97" s="652"/>
    </row>
    <row r="98" spans="1:9" ht="16.5" thickBot="1" x14ac:dyDescent="0.3">
      <c r="A98" s="1368" t="s">
        <v>1559</v>
      </c>
      <c r="B98" s="1369"/>
      <c r="C98" s="1369"/>
      <c r="D98" s="1369"/>
      <c r="E98" s="825"/>
      <c r="F98" s="787">
        <f>F97*2</f>
        <v>22802.826415094343</v>
      </c>
      <c r="G98" s="1370">
        <f>F98+F98*70%</f>
        <v>38764.804905660385</v>
      </c>
      <c r="H98" s="1390">
        <v>42000</v>
      </c>
    </row>
    <row r="99" spans="1:9" ht="16.5" thickBot="1" x14ac:dyDescent="0.3">
      <c r="A99" s="652"/>
      <c r="B99" s="652"/>
      <c r="C99" s="652"/>
      <c r="D99" s="652"/>
      <c r="E99" s="652"/>
      <c r="F99" s="652"/>
      <c r="G99" s="652"/>
      <c r="H99" s="1275">
        <f>H98*60%</f>
        <v>25200</v>
      </c>
      <c r="I99" t="s">
        <v>3687</v>
      </c>
    </row>
    <row r="100" spans="1:9" ht="15.75" thickBot="1" x14ac:dyDescent="0.3"/>
    <row r="101" spans="1:9" ht="16.5" thickBot="1" x14ac:dyDescent="0.3">
      <c r="A101" s="1788" t="s">
        <v>4313</v>
      </c>
      <c r="B101" s="1789"/>
      <c r="C101" s="1789"/>
      <c r="D101" s="1789"/>
      <c r="E101" s="1790"/>
      <c r="F101" s="804"/>
      <c r="G101" s="653"/>
      <c r="H101" s="652"/>
    </row>
    <row r="102" spans="1:9" ht="15.75" x14ac:dyDescent="0.25">
      <c r="A102" s="1399" t="s">
        <v>916</v>
      </c>
      <c r="B102" s="1400" t="s">
        <v>1073</v>
      </c>
      <c r="C102" s="1401" t="s">
        <v>1547</v>
      </c>
      <c r="D102" s="1401" t="s">
        <v>1035</v>
      </c>
      <c r="E102" s="1402" t="s">
        <v>1549</v>
      </c>
      <c r="F102" s="658"/>
      <c r="G102" s="653"/>
      <c r="H102" s="652"/>
    </row>
    <row r="103" spans="1:9" ht="15.75" x14ac:dyDescent="0.25">
      <c r="A103" s="663" t="s">
        <v>1908</v>
      </c>
      <c r="B103" s="769" t="s">
        <v>3642</v>
      </c>
      <c r="C103" s="779">
        <v>2</v>
      </c>
      <c r="D103" s="668" t="s">
        <v>1649</v>
      </c>
      <c r="E103" s="662">
        <f>'AROS, CADENAS, DIJES, ETC'!C8</f>
        <v>2800</v>
      </c>
      <c r="F103" s="658"/>
      <c r="G103" s="653"/>
      <c r="H103" s="652"/>
    </row>
    <row r="104" spans="1:9" ht="15.75" x14ac:dyDescent="0.25">
      <c r="A104" s="1734" t="s">
        <v>1742</v>
      </c>
      <c r="B104" s="660" t="s">
        <v>3532</v>
      </c>
      <c r="C104" s="779">
        <v>1</v>
      </c>
      <c r="D104" s="668">
        <f>'PERLAS 2'!H23</f>
        <v>281.60000000000002</v>
      </c>
      <c r="E104" s="662">
        <f>D104*C104</f>
        <v>281.60000000000002</v>
      </c>
      <c r="F104" s="658"/>
      <c r="G104" s="653"/>
      <c r="H104" s="652"/>
    </row>
    <row r="105" spans="1:9" ht="15.75" x14ac:dyDescent="0.25">
      <c r="A105" s="1735"/>
      <c r="B105" s="769" t="s">
        <v>3537</v>
      </c>
      <c r="C105" s="779">
        <v>1</v>
      </c>
      <c r="D105" s="668">
        <f>'PERLAS 2'!H25</f>
        <v>770</v>
      </c>
      <c r="E105" s="662">
        <f>D105</f>
        <v>770</v>
      </c>
      <c r="F105" s="658"/>
      <c r="G105" s="653"/>
      <c r="H105" s="652"/>
    </row>
    <row r="106" spans="1:9" ht="15.75" x14ac:dyDescent="0.25">
      <c r="A106" s="665" t="s">
        <v>1936</v>
      </c>
      <c r="B106" s="769"/>
      <c r="C106" s="779">
        <v>3</v>
      </c>
      <c r="D106" s="668">
        <f>PIEDRAS!F19</f>
        <v>102.05882352941177</v>
      </c>
      <c r="E106" s="662">
        <f>D106*2</f>
        <v>204.11764705882354</v>
      </c>
      <c r="F106" s="658"/>
      <c r="G106" s="653"/>
      <c r="H106" s="652"/>
    </row>
    <row r="107" spans="1:9" ht="15.75" x14ac:dyDescent="0.25">
      <c r="A107" s="665" t="s">
        <v>1010</v>
      </c>
      <c r="B107" s="769"/>
      <c r="C107" s="779">
        <v>2</v>
      </c>
      <c r="D107" s="668">
        <f>FORNITURAS!D15</f>
        <v>142</v>
      </c>
      <c r="E107" s="662">
        <f>D107*C107</f>
        <v>284</v>
      </c>
      <c r="F107" s="658"/>
      <c r="G107" s="653"/>
      <c r="H107" s="652"/>
    </row>
    <row r="108" spans="1:9" ht="15.75" x14ac:dyDescent="0.25">
      <c r="A108" s="665" t="s">
        <v>3401</v>
      </c>
      <c r="B108" s="769"/>
      <c r="C108" s="779">
        <v>2</v>
      </c>
      <c r="D108" s="668">
        <f>FORNITURAS!I10</f>
        <v>501</v>
      </c>
      <c r="E108" s="662">
        <f>D108*C108</f>
        <v>1002</v>
      </c>
      <c r="F108" s="658"/>
      <c r="G108" s="653"/>
      <c r="H108" s="652"/>
    </row>
    <row r="109" spans="1:9" ht="15.75" x14ac:dyDescent="0.25">
      <c r="A109" s="665" t="s">
        <v>1557</v>
      </c>
      <c r="B109" s="769"/>
      <c r="C109" s="779"/>
      <c r="D109" s="668"/>
      <c r="E109" s="662">
        <f>PACKAGING!E3</f>
        <v>150</v>
      </c>
      <c r="F109" s="658"/>
      <c r="G109" s="653"/>
      <c r="H109" s="652"/>
    </row>
    <row r="110" spans="1:9" ht="15.75" x14ac:dyDescent="0.25">
      <c r="A110" s="665" t="s">
        <v>3180</v>
      </c>
      <c r="B110" s="769"/>
      <c r="C110" s="779"/>
      <c r="D110" s="668"/>
      <c r="E110" s="662">
        <f>PACKAGING!E8</f>
        <v>420</v>
      </c>
      <c r="F110" s="658"/>
      <c r="G110" s="653"/>
      <c r="H110" s="652"/>
    </row>
    <row r="111" spans="1:9" x14ac:dyDescent="0.25">
      <c r="A111" s="665" t="s">
        <v>1558</v>
      </c>
      <c r="B111" s="769">
        <v>60</v>
      </c>
      <c r="C111" s="779">
        <v>20</v>
      </c>
      <c r="D111" s="668">
        <f>'INSUMOS VARIOS'!B3</f>
        <v>3500</v>
      </c>
      <c r="E111" s="662">
        <f>D111*C111/B111</f>
        <v>1166.6666666666667</v>
      </c>
      <c r="F111" s="652"/>
      <c r="G111" s="658"/>
      <c r="H111" s="652"/>
    </row>
    <row r="112" spans="1:9" ht="16.5" thickBot="1" x14ac:dyDescent="0.3">
      <c r="A112" s="670" t="s">
        <v>525</v>
      </c>
      <c r="B112" s="672"/>
      <c r="C112" s="780"/>
      <c r="D112" s="780"/>
      <c r="E112" s="673">
        <f>SUM(E103:E111)</f>
        <v>7078.3843137254908</v>
      </c>
      <c r="F112" s="809"/>
      <c r="G112" s="653"/>
      <c r="H112" s="652"/>
    </row>
    <row r="113" spans="1:9" ht="16.5" thickBot="1" x14ac:dyDescent="0.3">
      <c r="A113" s="675" t="s">
        <v>544</v>
      </c>
      <c r="B113" s="810"/>
      <c r="C113" s="810"/>
      <c r="D113" s="810"/>
      <c r="E113" s="692">
        <f>E112*2</f>
        <v>14156.768627450982</v>
      </c>
      <c r="F113" s="811">
        <f>E113+E113*70%</f>
        <v>24066.506666666668</v>
      </c>
      <c r="G113" s="1103">
        <v>28000</v>
      </c>
      <c r="H113" s="652"/>
    </row>
    <row r="114" spans="1:9" ht="16.5" thickBot="1" x14ac:dyDescent="0.3">
      <c r="A114" s="812" t="s">
        <v>1559</v>
      </c>
      <c r="B114" s="813"/>
      <c r="C114" s="813"/>
      <c r="D114" s="813"/>
      <c r="E114" s="694"/>
      <c r="F114" s="1397"/>
      <c r="G114" s="1398">
        <f>G113*60%</f>
        <v>16800</v>
      </c>
      <c r="H114" s="1371" t="s">
        <v>3687</v>
      </c>
    </row>
    <row r="115" spans="1:9" ht="15.75" thickBot="1" x14ac:dyDescent="0.3"/>
    <row r="116" spans="1:9" ht="16.5" thickBot="1" x14ac:dyDescent="0.3">
      <c r="A116" s="1794" t="s">
        <v>4310</v>
      </c>
      <c r="B116" s="1795"/>
      <c r="C116" s="1795"/>
      <c r="D116" s="1795"/>
      <c r="E116" s="1795"/>
      <c r="F116" s="1796"/>
      <c r="G116" s="653"/>
      <c r="H116" s="653"/>
      <c r="I116" s="652"/>
    </row>
    <row r="117" spans="1:9" ht="15.75" x14ac:dyDescent="0.25">
      <c r="A117" s="821" t="s">
        <v>916</v>
      </c>
      <c r="B117" s="1365" t="s">
        <v>1073</v>
      </c>
      <c r="C117" s="823" t="s">
        <v>1089</v>
      </c>
      <c r="D117" s="823" t="s">
        <v>1547</v>
      </c>
      <c r="E117" s="823" t="s">
        <v>1035</v>
      </c>
      <c r="F117" s="824" t="s">
        <v>1549</v>
      </c>
      <c r="G117" s="658"/>
      <c r="H117" s="653"/>
      <c r="I117" s="652"/>
    </row>
    <row r="118" spans="1:9" ht="15.75" x14ac:dyDescent="0.25">
      <c r="A118" s="1366" t="s">
        <v>4162</v>
      </c>
      <c r="B118" s="769"/>
      <c r="C118" s="1367">
        <v>0.8</v>
      </c>
      <c r="D118" s="779">
        <v>0.16</v>
      </c>
      <c r="E118" s="668">
        <f>PIEDRAS!E148</f>
        <v>3600</v>
      </c>
      <c r="F118" s="662">
        <f>E118*D118/C118</f>
        <v>720</v>
      </c>
      <c r="G118" s="658"/>
      <c r="H118" s="653"/>
      <c r="I118" s="652"/>
    </row>
    <row r="119" spans="1:9" ht="15.75" x14ac:dyDescent="0.25">
      <c r="A119" s="1366" t="s">
        <v>4222</v>
      </c>
      <c r="B119" s="769" t="s">
        <v>4221</v>
      </c>
      <c r="C119" s="1367"/>
      <c r="D119" s="779">
        <v>4</v>
      </c>
      <c r="E119" s="668">
        <f>FORNITURAS!I13</f>
        <v>274.44444444444446</v>
      </c>
      <c r="F119" s="662">
        <f>E119*D119</f>
        <v>1097.7777777777778</v>
      </c>
      <c r="G119" s="658"/>
      <c r="H119" s="653"/>
      <c r="I119" s="652"/>
    </row>
    <row r="120" spans="1:9" ht="15.75" x14ac:dyDescent="0.25">
      <c r="A120" s="1366" t="s">
        <v>3735</v>
      </c>
      <c r="B120" s="769" t="s">
        <v>4219</v>
      </c>
      <c r="C120" s="1367"/>
      <c r="D120" s="779" t="s">
        <v>1649</v>
      </c>
      <c r="E120" s="668">
        <f>'AROS, CADENAS, DIJES, ETC'!J104</f>
        <v>4855</v>
      </c>
      <c r="F120" s="662">
        <f>E120</f>
        <v>4855</v>
      </c>
      <c r="G120" s="658"/>
      <c r="H120" s="653"/>
      <c r="I120" s="652"/>
    </row>
    <row r="121" spans="1:9" ht="15.75" x14ac:dyDescent="0.25">
      <c r="A121" s="1366" t="s">
        <v>3237</v>
      </c>
      <c r="B121" s="769" t="s">
        <v>1062</v>
      </c>
      <c r="C121" s="1367"/>
      <c r="D121" s="779">
        <v>0.18</v>
      </c>
      <c r="E121" s="668">
        <f>FORNITURAS!W6</f>
        <v>541.13207547169816</v>
      </c>
      <c r="F121" s="662">
        <f>E121*D121</f>
        <v>97.403773584905665</v>
      </c>
      <c r="G121" s="658"/>
      <c r="H121" s="653"/>
      <c r="I121" s="652"/>
    </row>
    <row r="122" spans="1:9" ht="15.75" x14ac:dyDescent="0.25">
      <c r="A122" s="665" t="s">
        <v>1557</v>
      </c>
      <c r="B122" s="769"/>
      <c r="C122" s="779"/>
      <c r="D122" s="779"/>
      <c r="E122" s="668"/>
      <c r="F122" s="662">
        <f>PACKAGING!E3</f>
        <v>150</v>
      </c>
      <c r="G122" s="658"/>
      <c r="H122" s="653"/>
      <c r="I122" s="652"/>
    </row>
    <row r="123" spans="1:9" ht="15.75" x14ac:dyDescent="0.25">
      <c r="A123" s="665" t="s">
        <v>1558</v>
      </c>
      <c r="B123" s="769">
        <v>60</v>
      </c>
      <c r="C123" s="779"/>
      <c r="D123" s="779">
        <v>30</v>
      </c>
      <c r="E123" s="668">
        <f>'INSUMOS VARIOS'!B3</f>
        <v>3500</v>
      </c>
      <c r="F123" s="662">
        <f>E123*D123/B123</f>
        <v>1750</v>
      </c>
      <c r="G123" s="658"/>
      <c r="H123" s="653"/>
      <c r="I123" s="652"/>
    </row>
    <row r="124" spans="1:9" ht="15.75" x14ac:dyDescent="0.25">
      <c r="A124" s="665" t="s">
        <v>3496</v>
      </c>
      <c r="B124" s="769"/>
      <c r="C124" s="779"/>
      <c r="D124" s="779"/>
      <c r="E124" s="668"/>
      <c r="F124" s="662">
        <f>PACKAGING!E9</f>
        <v>450</v>
      </c>
      <c r="G124" s="658"/>
      <c r="H124" s="653"/>
      <c r="I124" s="652"/>
    </row>
    <row r="125" spans="1:9" ht="16.5" thickBot="1" x14ac:dyDescent="0.3">
      <c r="A125" s="670" t="s">
        <v>525</v>
      </c>
      <c r="B125" s="672"/>
      <c r="C125" s="780"/>
      <c r="D125" s="780"/>
      <c r="E125" s="780"/>
      <c r="F125" s="673">
        <f>SUM(F118:F124)</f>
        <v>9120.1815513626825</v>
      </c>
      <c r="G125" s="809"/>
      <c r="H125" s="653"/>
      <c r="I125" s="652"/>
    </row>
    <row r="126" spans="1:9" ht="16.5" thickBot="1" x14ac:dyDescent="0.3">
      <c r="A126" s="1368" t="s">
        <v>1559</v>
      </c>
      <c r="B126" s="1369"/>
      <c r="C126" s="1369"/>
      <c r="D126" s="1369"/>
      <c r="E126" s="825"/>
      <c r="F126" s="787">
        <f>F125*2</f>
        <v>18240.363102725365</v>
      </c>
      <c r="G126" s="1370">
        <f>F126+F126*70%</f>
        <v>31008.617274633121</v>
      </c>
      <c r="H126" s="1390">
        <v>34000</v>
      </c>
      <c r="I126" s="1371"/>
    </row>
    <row r="127" spans="1:9" ht="16.5" thickBot="1" x14ac:dyDescent="0.3">
      <c r="A127" s="652"/>
      <c r="B127" s="652"/>
      <c r="C127" s="652"/>
      <c r="D127" s="652"/>
      <c r="E127" s="652"/>
      <c r="F127" s="652"/>
      <c r="G127" s="652"/>
      <c r="H127" s="1275">
        <f>H126*60%</f>
        <v>20400</v>
      </c>
      <c r="I127" s="652" t="s">
        <v>3687</v>
      </c>
    </row>
    <row r="128" spans="1:9" ht="16.5" thickBot="1" x14ac:dyDescent="0.3">
      <c r="A128" s="1797" t="s">
        <v>4320</v>
      </c>
      <c r="B128" s="1798"/>
      <c r="C128" s="1798"/>
      <c r="D128" s="1798"/>
      <c r="E128" s="1799"/>
      <c r="F128" s="804"/>
      <c r="G128" s="653"/>
      <c r="H128" s="652"/>
    </row>
    <row r="129" spans="1:8" ht="15.75" x14ac:dyDescent="0.25">
      <c r="A129" s="1399" t="s">
        <v>916</v>
      </c>
      <c r="B129" s="1400" t="s">
        <v>1073</v>
      </c>
      <c r="C129" s="1401" t="s">
        <v>1547</v>
      </c>
      <c r="D129" s="1401" t="s">
        <v>1035</v>
      </c>
      <c r="E129" s="1402" t="s">
        <v>1549</v>
      </c>
      <c r="F129" s="658"/>
      <c r="G129" s="653"/>
      <c r="H129" s="652"/>
    </row>
    <row r="130" spans="1:8" ht="15.75" x14ac:dyDescent="0.25">
      <c r="A130" s="663" t="s">
        <v>1908</v>
      </c>
      <c r="B130" s="769" t="s">
        <v>3642</v>
      </c>
      <c r="C130" s="779">
        <v>2</v>
      </c>
      <c r="D130" s="668" t="s">
        <v>1649</v>
      </c>
      <c r="E130" s="662">
        <f>'AROS, CADENAS, DIJES, ETC'!C8</f>
        <v>2800</v>
      </c>
      <c r="F130" s="658"/>
      <c r="G130" s="653"/>
      <c r="H130" s="652"/>
    </row>
    <row r="131" spans="1:8" ht="15.75" x14ac:dyDescent="0.25">
      <c r="A131" s="683" t="s">
        <v>1742</v>
      </c>
      <c r="B131" s="660" t="s">
        <v>3532</v>
      </c>
      <c r="C131" s="779">
        <v>2</v>
      </c>
      <c r="D131" s="668">
        <f>'PERLAS 2'!H23</f>
        <v>281.60000000000002</v>
      </c>
      <c r="E131" s="662">
        <f>D131*C131</f>
        <v>563.20000000000005</v>
      </c>
      <c r="F131" s="658"/>
      <c r="G131" s="653"/>
      <c r="H131" s="652"/>
    </row>
    <row r="132" spans="1:8" ht="15.75" x14ac:dyDescent="0.25">
      <c r="A132" s="665" t="s">
        <v>4321</v>
      </c>
      <c r="B132" s="769"/>
      <c r="C132" s="779">
        <v>2</v>
      </c>
      <c r="D132" s="668">
        <f>PIEDRAS!F25</f>
        <v>102.05882352941177</v>
      </c>
      <c r="E132" s="662">
        <f>D132*2</f>
        <v>204.11764705882354</v>
      </c>
      <c r="F132" s="658"/>
      <c r="G132" s="653"/>
      <c r="H132" s="652"/>
    </row>
    <row r="133" spans="1:8" ht="15.75" x14ac:dyDescent="0.25">
      <c r="A133" s="665" t="s">
        <v>1010</v>
      </c>
      <c r="B133" s="769"/>
      <c r="C133" s="779">
        <v>2</v>
      </c>
      <c r="D133" s="668">
        <f>FORNITURAS!D15</f>
        <v>142</v>
      </c>
      <c r="E133" s="662">
        <f>D133*C133</f>
        <v>284</v>
      </c>
      <c r="F133" s="658"/>
      <c r="G133" s="653"/>
      <c r="H133" s="652"/>
    </row>
    <row r="134" spans="1:8" ht="15.75" x14ac:dyDescent="0.25">
      <c r="A134" s="665" t="s">
        <v>1557</v>
      </c>
      <c r="B134" s="769"/>
      <c r="C134" s="779"/>
      <c r="D134" s="668"/>
      <c r="E134" s="662">
        <f>PACKAGING!E3</f>
        <v>150</v>
      </c>
      <c r="F134" s="658"/>
      <c r="G134" s="653"/>
      <c r="H134" s="652"/>
    </row>
    <row r="135" spans="1:8" ht="15.75" x14ac:dyDescent="0.25">
      <c r="A135" s="665" t="s">
        <v>3180</v>
      </c>
      <c r="B135" s="769"/>
      <c r="C135" s="779"/>
      <c r="D135" s="668"/>
      <c r="E135" s="662">
        <f>PACKAGING!E8</f>
        <v>420</v>
      </c>
      <c r="F135" s="658"/>
      <c r="G135" s="653"/>
      <c r="H135" s="652"/>
    </row>
    <row r="136" spans="1:8" x14ac:dyDescent="0.25">
      <c r="A136" s="665" t="s">
        <v>1558</v>
      </c>
      <c r="B136" s="769">
        <v>60</v>
      </c>
      <c r="C136" s="779">
        <v>20</v>
      </c>
      <c r="D136" s="668">
        <f>'INSUMOS VARIOS'!B3</f>
        <v>3500</v>
      </c>
      <c r="E136" s="662">
        <f>D136*C136/B136</f>
        <v>1166.6666666666667</v>
      </c>
      <c r="F136" s="652"/>
      <c r="G136" s="658"/>
      <c r="H136" s="652"/>
    </row>
    <row r="137" spans="1:8" ht="16.5" thickBot="1" x14ac:dyDescent="0.3">
      <c r="A137" s="670" t="s">
        <v>525</v>
      </c>
      <c r="B137" s="672"/>
      <c r="C137" s="780"/>
      <c r="D137" s="780"/>
      <c r="E137" s="673">
        <f>SUM(E130:E136)</f>
        <v>5587.9843137254902</v>
      </c>
      <c r="F137" s="809"/>
      <c r="G137" s="653"/>
      <c r="H137" s="652"/>
    </row>
    <row r="138" spans="1:8" ht="16.5" thickBot="1" x14ac:dyDescent="0.3">
      <c r="A138" s="675" t="s">
        <v>544</v>
      </c>
      <c r="B138" s="810"/>
      <c r="C138" s="810"/>
      <c r="D138" s="810"/>
      <c r="E138" s="692">
        <f>E137*2</f>
        <v>11175.96862745098</v>
      </c>
      <c r="F138" s="811">
        <f>E138+E138*70%</f>
        <v>18999.146666666667</v>
      </c>
      <c r="G138" s="1103">
        <v>24000</v>
      </c>
      <c r="H138" s="652"/>
    </row>
    <row r="139" spans="1:8" ht="16.5" thickBot="1" x14ac:dyDescent="0.3">
      <c r="A139" s="812" t="s">
        <v>1559</v>
      </c>
      <c r="B139" s="813"/>
      <c r="C139" s="813"/>
      <c r="D139" s="813"/>
      <c r="E139" s="694"/>
      <c r="F139" s="1397"/>
      <c r="G139" s="1398">
        <f>G138*60%</f>
        <v>14400</v>
      </c>
      <c r="H139" s="1371" t="s">
        <v>3687</v>
      </c>
    </row>
    <row r="140" spans="1:8" ht="15.75" thickBot="1" x14ac:dyDescent="0.3"/>
    <row r="141" spans="1:8" ht="16.5" thickBot="1" x14ac:dyDescent="0.3">
      <c r="A141" s="1772" t="s">
        <v>4339</v>
      </c>
      <c r="B141" s="1773"/>
      <c r="C141" s="1773"/>
      <c r="D141" s="1773"/>
      <c r="E141" s="1774"/>
      <c r="F141" s="804"/>
      <c r="G141" s="653"/>
    </row>
    <row r="142" spans="1:8" ht="15.75" x14ac:dyDescent="0.25">
      <c r="A142" s="821" t="s">
        <v>916</v>
      </c>
      <c r="B142" s="822" t="s">
        <v>1073</v>
      </c>
      <c r="C142" s="823" t="s">
        <v>1547</v>
      </c>
      <c r="D142" s="823" t="s">
        <v>1035</v>
      </c>
      <c r="E142" s="824" t="s">
        <v>1549</v>
      </c>
      <c r="F142" s="658"/>
      <c r="G142" s="653"/>
    </row>
    <row r="143" spans="1:8" ht="15.75" x14ac:dyDescent="0.25">
      <c r="A143" s="665" t="s">
        <v>4326</v>
      </c>
      <c r="B143" s="769"/>
      <c r="C143" s="779" t="s">
        <v>1649</v>
      </c>
      <c r="D143" s="668">
        <f>'AROS, CADENAS, DIJES, ETC'!C35</f>
        <v>3924</v>
      </c>
      <c r="E143" s="662">
        <f>D143</f>
        <v>3924</v>
      </c>
      <c r="F143" s="658"/>
      <c r="G143" s="653"/>
    </row>
    <row r="144" spans="1:8" ht="15.75" x14ac:dyDescent="0.25">
      <c r="A144" s="665" t="s">
        <v>1557</v>
      </c>
      <c r="B144" s="769"/>
      <c r="C144" s="779"/>
      <c r="D144" s="668"/>
      <c r="E144" s="662">
        <f>PACKAGING!E3</f>
        <v>150</v>
      </c>
      <c r="F144" s="658"/>
      <c r="G144" s="653"/>
    </row>
    <row r="145" spans="1:8" ht="15.75" x14ac:dyDescent="0.25">
      <c r="A145" s="665" t="s">
        <v>3180</v>
      </c>
      <c r="B145" s="769"/>
      <c r="C145" s="779"/>
      <c r="D145" s="668"/>
      <c r="E145" s="662">
        <f>PACKAGING!E8</f>
        <v>420</v>
      </c>
      <c r="F145" s="658"/>
      <c r="G145" s="653"/>
    </row>
    <row r="146" spans="1:8" ht="16.5" thickBot="1" x14ac:dyDescent="0.3">
      <c r="A146" s="670" t="s">
        <v>525</v>
      </c>
      <c r="B146" s="672"/>
      <c r="C146" s="780"/>
      <c r="D146" s="780"/>
      <c r="E146" s="673">
        <f>SUM(E143:E145)</f>
        <v>4494</v>
      </c>
      <c r="F146" s="658"/>
      <c r="G146" s="653"/>
    </row>
    <row r="147" spans="1:8" ht="16.5" thickBot="1" x14ac:dyDescent="0.3">
      <c r="A147" s="781" t="s">
        <v>544</v>
      </c>
      <c r="B147" s="825"/>
      <c r="C147" s="825"/>
      <c r="D147" s="825"/>
      <c r="E147" s="784">
        <f>E146*2</f>
        <v>8988</v>
      </c>
      <c r="F147" s="1374">
        <f>E147+E147*70%</f>
        <v>15279.599999999999</v>
      </c>
      <c r="G147" s="1390">
        <v>22000</v>
      </c>
    </row>
    <row r="148" spans="1:8" ht="16.5" thickBot="1" x14ac:dyDescent="0.3">
      <c r="G148" s="1275">
        <f>G147*50%</f>
        <v>11000</v>
      </c>
      <c r="H148" t="s">
        <v>3687</v>
      </c>
    </row>
    <row r="149" spans="1:8" ht="15.75" thickBot="1" x14ac:dyDescent="0.3"/>
    <row r="150" spans="1:8" ht="16.5" thickBot="1" x14ac:dyDescent="0.3">
      <c r="A150" s="1772" t="s">
        <v>4336</v>
      </c>
      <c r="B150" s="1773"/>
      <c r="C150" s="1773"/>
      <c r="D150" s="1773"/>
      <c r="E150" s="1774"/>
      <c r="F150" s="804"/>
      <c r="G150" s="653"/>
    </row>
    <row r="151" spans="1:8" ht="15.75" x14ac:dyDescent="0.25">
      <c r="A151" s="821" t="s">
        <v>916</v>
      </c>
      <c r="B151" s="822" t="s">
        <v>1073</v>
      </c>
      <c r="C151" s="823" t="s">
        <v>1547</v>
      </c>
      <c r="D151" s="823" t="s">
        <v>1035</v>
      </c>
      <c r="E151" s="824" t="s">
        <v>1549</v>
      </c>
      <c r="F151" s="658"/>
      <c r="G151" s="653"/>
    </row>
    <row r="152" spans="1:8" ht="15.75" x14ac:dyDescent="0.25">
      <c r="A152" s="665" t="s">
        <v>4332</v>
      </c>
      <c r="B152" s="769"/>
      <c r="C152" s="779" t="s">
        <v>1649</v>
      </c>
      <c r="D152" s="668">
        <f>'AROS, CADENAS, DIJES, ETC'!C164</f>
        <v>4801</v>
      </c>
      <c r="E152" s="662">
        <f>D152</f>
        <v>4801</v>
      </c>
      <c r="F152" s="658"/>
      <c r="G152" s="653"/>
    </row>
    <row r="153" spans="1:8" ht="15.75" x14ac:dyDescent="0.25">
      <c r="A153" s="665" t="s">
        <v>1557</v>
      </c>
      <c r="B153" s="769"/>
      <c r="C153" s="779"/>
      <c r="D153" s="668"/>
      <c r="E153" s="662">
        <f>PACKAGING!E3</f>
        <v>150</v>
      </c>
      <c r="F153" s="658"/>
      <c r="G153" s="653"/>
    </row>
    <row r="154" spans="1:8" ht="15.75" x14ac:dyDescent="0.25">
      <c r="A154" s="665" t="s">
        <v>3496</v>
      </c>
      <c r="B154" s="769"/>
      <c r="C154" s="779"/>
      <c r="D154" s="668"/>
      <c r="E154" s="662">
        <f>PACKAGING!I5</f>
        <v>845</v>
      </c>
      <c r="F154" s="658"/>
      <c r="G154" s="653"/>
    </row>
    <row r="155" spans="1:8" ht="16.5" thickBot="1" x14ac:dyDescent="0.3">
      <c r="A155" s="670" t="s">
        <v>525</v>
      </c>
      <c r="B155" s="672"/>
      <c r="C155" s="780"/>
      <c r="D155" s="780"/>
      <c r="E155" s="673">
        <f>SUM(E152:E154)</f>
        <v>5796</v>
      </c>
      <c r="F155" s="658"/>
      <c r="G155" s="653"/>
    </row>
    <row r="156" spans="1:8" ht="16.5" thickBot="1" x14ac:dyDescent="0.3">
      <c r="A156" s="781" t="s">
        <v>544</v>
      </c>
      <c r="B156" s="825"/>
      <c r="C156" s="825"/>
      <c r="D156" s="825"/>
      <c r="E156" s="784">
        <f>E155*2</f>
        <v>11592</v>
      </c>
      <c r="F156" s="1374">
        <f>E156+E156*70%</f>
        <v>19706.400000000001</v>
      </c>
      <c r="G156" s="1390">
        <v>28000</v>
      </c>
    </row>
    <row r="157" spans="1:8" ht="16.5" thickBot="1" x14ac:dyDescent="0.3">
      <c r="G157" s="1275">
        <f>G156*50%</f>
        <v>14000</v>
      </c>
      <c r="H157" t="s">
        <v>3687</v>
      </c>
    </row>
    <row r="158" spans="1:8" ht="16.5" thickBot="1" x14ac:dyDescent="0.3">
      <c r="A158" s="1772" t="s">
        <v>4337</v>
      </c>
      <c r="B158" s="1773"/>
      <c r="C158" s="1773"/>
      <c r="D158" s="1773"/>
      <c r="E158" s="1774"/>
      <c r="F158" s="804"/>
      <c r="G158" s="653"/>
    </row>
    <row r="159" spans="1:8" ht="15.75" x14ac:dyDescent="0.25">
      <c r="A159" s="821" t="s">
        <v>916</v>
      </c>
      <c r="B159" s="822" t="s">
        <v>1073</v>
      </c>
      <c r="C159" s="823" t="s">
        <v>1547</v>
      </c>
      <c r="D159" s="823" t="s">
        <v>1035</v>
      </c>
      <c r="E159" s="824" t="s">
        <v>1549</v>
      </c>
      <c r="F159" s="658"/>
      <c r="G159" s="653"/>
    </row>
    <row r="160" spans="1:8" ht="15.75" x14ac:dyDescent="0.25">
      <c r="A160" s="665" t="s">
        <v>4333</v>
      </c>
      <c r="B160" s="769"/>
      <c r="C160" s="779" t="s">
        <v>1649</v>
      </c>
      <c r="D160" s="668">
        <f>'AROS, CADENAS, DIJES, ETC'!C165</f>
        <v>4801</v>
      </c>
      <c r="E160" s="662">
        <f>D160</f>
        <v>4801</v>
      </c>
      <c r="F160" s="658"/>
      <c r="G160" s="653"/>
    </row>
    <row r="161" spans="1:8" ht="15.75" x14ac:dyDescent="0.25">
      <c r="A161" s="665" t="s">
        <v>1557</v>
      </c>
      <c r="B161" s="769"/>
      <c r="C161" s="779"/>
      <c r="D161" s="668"/>
      <c r="E161" s="662">
        <f>PACKAGING!E3</f>
        <v>150</v>
      </c>
      <c r="F161" s="658"/>
      <c r="G161" s="653"/>
    </row>
    <row r="162" spans="1:8" ht="15.75" x14ac:dyDescent="0.25">
      <c r="A162" s="665" t="s">
        <v>3496</v>
      </c>
      <c r="B162" s="769"/>
      <c r="C162" s="779"/>
      <c r="D162" s="668"/>
      <c r="E162" s="662">
        <f>PACKAGING!I5</f>
        <v>845</v>
      </c>
      <c r="F162" s="658"/>
      <c r="G162" s="653"/>
    </row>
    <row r="163" spans="1:8" ht="16.5" thickBot="1" x14ac:dyDescent="0.3">
      <c r="A163" s="670" t="s">
        <v>525</v>
      </c>
      <c r="B163" s="672"/>
      <c r="C163" s="780"/>
      <c r="D163" s="780"/>
      <c r="E163" s="673">
        <f>SUM(E160:E162)</f>
        <v>5796</v>
      </c>
      <c r="F163" s="658"/>
      <c r="G163" s="653"/>
    </row>
    <row r="164" spans="1:8" ht="16.5" thickBot="1" x14ac:dyDescent="0.3">
      <c r="A164" s="781" t="s">
        <v>544</v>
      </c>
      <c r="B164" s="825"/>
      <c r="C164" s="825"/>
      <c r="D164" s="825"/>
      <c r="E164" s="784">
        <f>E163*2</f>
        <v>11592</v>
      </c>
      <c r="F164" s="1374">
        <f>E164+E164*70%</f>
        <v>19706.400000000001</v>
      </c>
      <c r="G164" s="1390">
        <v>32000</v>
      </c>
    </row>
    <row r="165" spans="1:8" ht="16.5" thickBot="1" x14ac:dyDescent="0.3">
      <c r="G165" s="1275">
        <f>G164*50%</f>
        <v>16000</v>
      </c>
      <c r="H165" t="s">
        <v>3687</v>
      </c>
    </row>
    <row r="166" spans="1:8" ht="15.75" thickBot="1" x14ac:dyDescent="0.3"/>
    <row r="167" spans="1:8" ht="16.5" thickBot="1" x14ac:dyDescent="0.3">
      <c r="A167" s="1772" t="s">
        <v>4338</v>
      </c>
      <c r="B167" s="1773"/>
      <c r="C167" s="1773"/>
      <c r="D167" s="1773"/>
      <c r="E167" s="1774"/>
      <c r="F167" s="804"/>
      <c r="G167" s="653"/>
    </row>
    <row r="168" spans="1:8" ht="15.75" x14ac:dyDescent="0.25">
      <c r="A168" s="821" t="s">
        <v>916</v>
      </c>
      <c r="B168" s="822" t="s">
        <v>1073</v>
      </c>
      <c r="C168" s="823" t="s">
        <v>1547</v>
      </c>
      <c r="D168" s="823" t="s">
        <v>1035</v>
      </c>
      <c r="E168" s="824" t="s">
        <v>1549</v>
      </c>
      <c r="F168" s="658"/>
      <c r="G168" s="653"/>
    </row>
    <row r="169" spans="1:8" ht="15.75" x14ac:dyDescent="0.25">
      <c r="A169" s="665" t="s">
        <v>4334</v>
      </c>
      <c r="B169" s="769"/>
      <c r="C169" s="779" t="s">
        <v>1649</v>
      </c>
      <c r="D169" s="668">
        <f>'AROS, CADENAS, DIJES, ETC'!C166</f>
        <v>4801</v>
      </c>
      <c r="E169" s="662">
        <f>D169</f>
        <v>4801</v>
      </c>
      <c r="F169" s="658"/>
      <c r="G169" s="653"/>
    </row>
    <row r="170" spans="1:8" ht="15.75" x14ac:dyDescent="0.25">
      <c r="A170" s="665" t="s">
        <v>1557</v>
      </c>
      <c r="B170" s="769"/>
      <c r="C170" s="779"/>
      <c r="D170" s="668"/>
      <c r="E170" s="662">
        <f>PACKAGING!E3</f>
        <v>150</v>
      </c>
      <c r="F170" s="658"/>
      <c r="G170" s="653"/>
    </row>
    <row r="171" spans="1:8" ht="15.75" x14ac:dyDescent="0.25">
      <c r="A171" s="665" t="s">
        <v>3496</v>
      </c>
      <c r="B171" s="769"/>
      <c r="C171" s="779"/>
      <c r="D171" s="668"/>
      <c r="E171" s="662">
        <f>PACKAGING!E9</f>
        <v>450</v>
      </c>
      <c r="F171" s="658"/>
      <c r="G171" s="653"/>
    </row>
    <row r="172" spans="1:8" ht="16.5" thickBot="1" x14ac:dyDescent="0.3">
      <c r="A172" s="670" t="s">
        <v>525</v>
      </c>
      <c r="B172" s="672"/>
      <c r="C172" s="780"/>
      <c r="D172" s="780"/>
      <c r="E172" s="673">
        <f>SUM(E169:E171)</f>
        <v>5401</v>
      </c>
      <c r="F172" s="658"/>
      <c r="G172" s="653"/>
    </row>
    <row r="173" spans="1:8" ht="16.5" thickBot="1" x14ac:dyDescent="0.3">
      <c r="A173" s="781" t="s">
        <v>544</v>
      </c>
      <c r="B173" s="825"/>
      <c r="C173" s="825"/>
      <c r="D173" s="825"/>
      <c r="E173" s="784">
        <f>E172*2</f>
        <v>10802</v>
      </c>
      <c r="F173" s="1374">
        <f>E173+E173*70%</f>
        <v>18363.400000000001</v>
      </c>
      <c r="G173" s="1390">
        <v>36000</v>
      </c>
    </row>
    <row r="174" spans="1:8" ht="16.5" thickBot="1" x14ac:dyDescent="0.3">
      <c r="G174" s="1275">
        <f>G173*50%</f>
        <v>18000</v>
      </c>
      <c r="H174" t="s">
        <v>3687</v>
      </c>
    </row>
    <row r="175" spans="1:8" ht="15.75" thickBot="1" x14ac:dyDescent="0.3"/>
    <row r="176" spans="1:8" ht="16.5" thickBot="1" x14ac:dyDescent="0.3">
      <c r="A176" s="1772" t="s">
        <v>275</v>
      </c>
      <c r="B176" s="1773"/>
      <c r="C176" s="1773"/>
      <c r="D176" s="1773"/>
      <c r="E176" s="1774"/>
      <c r="F176" s="804"/>
      <c r="G176" s="653"/>
    </row>
    <row r="177" spans="1:9" ht="15.75" x14ac:dyDescent="0.25">
      <c r="A177" s="821" t="s">
        <v>916</v>
      </c>
      <c r="B177" s="822" t="s">
        <v>1073</v>
      </c>
      <c r="C177" s="823" t="s">
        <v>1547</v>
      </c>
      <c r="D177" s="823" t="s">
        <v>1035</v>
      </c>
      <c r="E177" s="824" t="s">
        <v>1549</v>
      </c>
      <c r="F177" s="658"/>
      <c r="G177" s="653"/>
    </row>
    <row r="178" spans="1:9" ht="15.75" x14ac:dyDescent="0.25">
      <c r="A178" s="665" t="s">
        <v>4346</v>
      </c>
      <c r="B178" s="769"/>
      <c r="C178" s="779" t="s">
        <v>1649</v>
      </c>
      <c r="D178" s="668">
        <f>'AROS, CADENAS, DIJES, ETC'!C39</f>
        <v>3615</v>
      </c>
      <c r="E178" s="662">
        <f>D178</f>
        <v>3615</v>
      </c>
      <c r="F178" s="658"/>
      <c r="G178" s="653"/>
    </row>
    <row r="179" spans="1:9" ht="15.75" x14ac:dyDescent="0.25">
      <c r="A179" s="665" t="s">
        <v>1557</v>
      </c>
      <c r="B179" s="769"/>
      <c r="C179" s="779"/>
      <c r="D179" s="668"/>
      <c r="E179" s="662">
        <f>PACKAGING!E3</f>
        <v>150</v>
      </c>
      <c r="F179" s="658"/>
      <c r="G179" s="653"/>
    </row>
    <row r="180" spans="1:9" ht="15.75" x14ac:dyDescent="0.25">
      <c r="A180" s="665" t="s">
        <v>3496</v>
      </c>
      <c r="B180" s="769"/>
      <c r="C180" s="779"/>
      <c r="D180" s="668"/>
      <c r="E180" s="662">
        <f>PACKAGING!E9</f>
        <v>450</v>
      </c>
      <c r="F180" s="658"/>
      <c r="G180" s="653"/>
    </row>
    <row r="181" spans="1:9" ht="16.5" thickBot="1" x14ac:dyDescent="0.3">
      <c r="A181" s="670" t="s">
        <v>525</v>
      </c>
      <c r="B181" s="672"/>
      <c r="C181" s="780"/>
      <c r="D181" s="780"/>
      <c r="E181" s="673">
        <f>SUM(E178:E180)</f>
        <v>4215</v>
      </c>
      <c r="F181" s="658"/>
      <c r="G181" s="653"/>
    </row>
    <row r="182" spans="1:9" ht="16.5" thickBot="1" x14ac:dyDescent="0.3">
      <c r="A182" s="781" t="s">
        <v>544</v>
      </c>
      <c r="B182" s="825"/>
      <c r="C182" s="825"/>
      <c r="D182" s="825"/>
      <c r="E182" s="784">
        <f>E181*2</f>
        <v>8430</v>
      </c>
      <c r="F182" s="1374">
        <f>E182+E182*70%</f>
        <v>14331</v>
      </c>
      <c r="G182" s="1390">
        <v>26000</v>
      </c>
    </row>
    <row r="183" spans="1:9" ht="16.5" thickBot="1" x14ac:dyDescent="0.3">
      <c r="G183" s="1275">
        <f>G182*50%</f>
        <v>13000</v>
      </c>
      <c r="H183" t="s">
        <v>3687</v>
      </c>
    </row>
    <row r="184" spans="1:9" ht="15.75" thickBot="1" x14ac:dyDescent="0.3"/>
    <row r="185" spans="1:9" ht="16.5" thickBot="1" x14ac:dyDescent="0.3">
      <c r="A185" s="1778" t="s">
        <v>4466</v>
      </c>
      <c r="B185" s="1779"/>
      <c r="C185" s="1779"/>
      <c r="D185" s="1779"/>
      <c r="E185" s="1779"/>
      <c r="F185" s="1780"/>
      <c r="G185" s="653"/>
      <c r="H185" s="653"/>
      <c r="I185" s="652"/>
    </row>
    <row r="186" spans="1:9" ht="15.75" x14ac:dyDescent="0.25">
      <c r="A186" s="821" t="s">
        <v>916</v>
      </c>
      <c r="B186" s="1365" t="s">
        <v>1073</v>
      </c>
      <c r="C186" s="823" t="s">
        <v>1089</v>
      </c>
      <c r="D186" s="823" t="s">
        <v>1547</v>
      </c>
      <c r="E186" s="823" t="s">
        <v>1035</v>
      </c>
      <c r="F186" s="824" t="s">
        <v>1549</v>
      </c>
      <c r="G186" s="658"/>
      <c r="H186" s="653"/>
      <c r="I186" s="652"/>
    </row>
    <row r="187" spans="1:9" ht="15.75" x14ac:dyDescent="0.25">
      <c r="A187" s="1366" t="s">
        <v>4464</v>
      </c>
      <c r="B187" s="769"/>
      <c r="C187" s="1367"/>
      <c r="D187" s="779">
        <v>1</v>
      </c>
      <c r="E187" s="668">
        <f>PIEDRAS!F89</f>
        <v>365.21739130434781</v>
      </c>
      <c r="F187" s="662">
        <f>E187*D187</f>
        <v>365.21739130434781</v>
      </c>
      <c r="G187" s="658"/>
      <c r="H187" s="653"/>
      <c r="I187" s="652"/>
    </row>
    <row r="188" spans="1:9" ht="15.75" x14ac:dyDescent="0.25">
      <c r="A188" s="1366" t="s">
        <v>4465</v>
      </c>
      <c r="B188" s="769"/>
      <c r="C188" s="1367"/>
      <c r="D188" s="779">
        <v>1</v>
      </c>
      <c r="E188" s="668">
        <f>PIEDRAS!F90</f>
        <v>109.09090909090909</v>
      </c>
      <c r="F188" s="662">
        <f>E188</f>
        <v>109.09090909090909</v>
      </c>
      <c r="G188" s="658"/>
      <c r="H188" s="653"/>
      <c r="I188" s="652"/>
    </row>
    <row r="189" spans="1:9" ht="15.75" x14ac:dyDescent="0.25">
      <c r="A189" s="769" t="s">
        <v>4222</v>
      </c>
      <c r="B189" s="769" t="s">
        <v>4221</v>
      </c>
      <c r="C189" s="1367"/>
      <c r="D189" s="779">
        <v>1</v>
      </c>
      <c r="E189" s="668">
        <f>FORNITURAS!I13</f>
        <v>274.44444444444446</v>
      </c>
      <c r="F189" s="662">
        <f>E189*D189</f>
        <v>274.44444444444446</v>
      </c>
      <c r="G189" s="658"/>
      <c r="H189" s="653"/>
      <c r="I189" s="652"/>
    </row>
    <row r="190" spans="1:9" ht="15.75" x14ac:dyDescent="0.25">
      <c r="A190" s="769" t="s">
        <v>1908</v>
      </c>
      <c r="B190" s="769" t="s">
        <v>3642</v>
      </c>
      <c r="C190" s="1367"/>
      <c r="D190" s="779" t="s">
        <v>1649</v>
      </c>
      <c r="E190" s="668">
        <f>'AROS, CADENAS, DIJES, ETC'!C8</f>
        <v>2800</v>
      </c>
      <c r="F190" s="662">
        <f>E190</f>
        <v>2800</v>
      </c>
      <c r="G190" s="658"/>
      <c r="H190" s="653"/>
      <c r="I190" s="652"/>
    </row>
    <row r="191" spans="1:9" ht="15.75" x14ac:dyDescent="0.25">
      <c r="A191" s="1366" t="s">
        <v>3117</v>
      </c>
      <c r="B191" s="769"/>
      <c r="C191" s="1367"/>
      <c r="D191" s="779">
        <v>2</v>
      </c>
      <c r="E191" s="668">
        <f>FORNITURAS!D11</f>
        <v>99.083333333333329</v>
      </c>
      <c r="F191" s="662">
        <f>E191*D191</f>
        <v>198.16666666666666</v>
      </c>
      <c r="G191" s="658"/>
      <c r="H191" s="653"/>
      <c r="I191" s="652"/>
    </row>
    <row r="192" spans="1:9" ht="15.75" x14ac:dyDescent="0.25">
      <c r="A192" s="665" t="s">
        <v>1557</v>
      </c>
      <c r="B192" s="769"/>
      <c r="C192" s="779"/>
      <c r="D192" s="779"/>
      <c r="E192" s="668"/>
      <c r="F192" s="662">
        <f>PACKAGING!E3</f>
        <v>150</v>
      </c>
      <c r="G192" s="658"/>
      <c r="H192" s="653"/>
      <c r="I192" s="652"/>
    </row>
    <row r="193" spans="1:9" ht="15.75" x14ac:dyDescent="0.25">
      <c r="A193" s="665" t="s">
        <v>1558</v>
      </c>
      <c r="B193" s="769">
        <v>60</v>
      </c>
      <c r="C193" s="779"/>
      <c r="D193" s="779">
        <v>30</v>
      </c>
      <c r="E193" s="668">
        <f>'INSUMOS VARIOS'!B3</f>
        <v>3500</v>
      </c>
      <c r="F193" s="662">
        <f>E193*D193/B193</f>
        <v>1750</v>
      </c>
      <c r="G193" s="658"/>
      <c r="H193" s="653"/>
      <c r="I193" s="652"/>
    </row>
    <row r="194" spans="1:9" ht="15.75" x14ac:dyDescent="0.25">
      <c r="A194" s="665" t="s">
        <v>3180</v>
      </c>
      <c r="B194" s="769"/>
      <c r="C194" s="779"/>
      <c r="D194" s="779"/>
      <c r="E194" s="668"/>
      <c r="F194" s="662">
        <f>PACKAGING!E8</f>
        <v>420</v>
      </c>
      <c r="G194" s="658"/>
      <c r="H194" s="653"/>
      <c r="I194" s="652"/>
    </row>
    <row r="195" spans="1:9" ht="16.5" thickBot="1" x14ac:dyDescent="0.3">
      <c r="A195" s="670" t="s">
        <v>525</v>
      </c>
      <c r="B195" s="672"/>
      <c r="C195" s="780"/>
      <c r="D195" s="780"/>
      <c r="E195" s="780"/>
      <c r="F195" s="673">
        <f>SUM(F187:F194)</f>
        <v>6066.9194115063674</v>
      </c>
      <c r="G195" s="809"/>
      <c r="H195" s="653"/>
      <c r="I195" s="652"/>
    </row>
    <row r="196" spans="1:9" ht="16.5" thickBot="1" x14ac:dyDescent="0.3">
      <c r="A196" s="1368" t="s">
        <v>1559</v>
      </c>
      <c r="B196" s="1369"/>
      <c r="C196" s="1369"/>
      <c r="D196" s="1369"/>
      <c r="E196" s="825"/>
      <c r="F196" s="787">
        <f>F195*2</f>
        <v>12133.838823012735</v>
      </c>
      <c r="G196" s="1370">
        <f>F196+F196*70%</f>
        <v>20627.525999121648</v>
      </c>
      <c r="H196" s="1390">
        <v>32000</v>
      </c>
    </row>
    <row r="197" spans="1:9" ht="16.5" thickBot="1" x14ac:dyDescent="0.3">
      <c r="A197" s="652"/>
      <c r="B197" s="652"/>
      <c r="C197" s="652"/>
      <c r="D197" s="652"/>
      <c r="E197" s="652"/>
      <c r="F197" s="652"/>
      <c r="G197" s="652"/>
      <c r="H197" s="1275">
        <f>H196*50%</f>
        <v>16000</v>
      </c>
      <c r="I197" t="s">
        <v>3687</v>
      </c>
    </row>
    <row r="198" spans="1:9" ht="15.75" thickBot="1" x14ac:dyDescent="0.3"/>
    <row r="199" spans="1:9" ht="16.5" thickBot="1" x14ac:dyDescent="0.3">
      <c r="A199" s="1778" t="s">
        <v>4467</v>
      </c>
      <c r="B199" s="1779"/>
      <c r="C199" s="1779"/>
      <c r="D199" s="1779"/>
      <c r="E199" s="1779"/>
      <c r="F199" s="1780"/>
      <c r="G199" s="653"/>
      <c r="H199" s="653"/>
      <c r="I199" s="652"/>
    </row>
    <row r="200" spans="1:9" ht="15.75" x14ac:dyDescent="0.25">
      <c r="A200" s="821" t="s">
        <v>916</v>
      </c>
      <c r="B200" s="1365" t="s">
        <v>1073</v>
      </c>
      <c r="C200" s="823" t="s">
        <v>1089</v>
      </c>
      <c r="D200" s="823" t="s">
        <v>1547</v>
      </c>
      <c r="E200" s="823" t="s">
        <v>1035</v>
      </c>
      <c r="F200" s="824" t="s">
        <v>1549</v>
      </c>
      <c r="G200" s="658"/>
      <c r="H200" s="653"/>
      <c r="I200" s="652"/>
    </row>
    <row r="201" spans="1:9" ht="15.75" x14ac:dyDescent="0.25">
      <c r="A201" s="1803" t="s">
        <v>1742</v>
      </c>
      <c r="B201" s="779" t="s">
        <v>4394</v>
      </c>
      <c r="C201" s="769"/>
      <c r="D201" s="779">
        <v>1</v>
      </c>
      <c r="E201" s="668">
        <f>'PERLAS 2'!O14</f>
        <v>186.66666666666666</v>
      </c>
      <c r="F201" s="662">
        <f>E201*D201</f>
        <v>186.66666666666666</v>
      </c>
      <c r="G201" s="658"/>
      <c r="H201" s="653"/>
      <c r="I201" s="652"/>
    </row>
    <row r="202" spans="1:9" ht="15.75" x14ac:dyDescent="0.25">
      <c r="A202" s="1752"/>
      <c r="B202" s="769" t="s">
        <v>4396</v>
      </c>
      <c r="C202" s="1367"/>
      <c r="D202" s="779">
        <v>1</v>
      </c>
      <c r="E202" s="668">
        <f>'PERLAS 2'!O16</f>
        <v>1166.6666666666667</v>
      </c>
      <c r="F202" s="662">
        <f>E202</f>
        <v>1166.6666666666667</v>
      </c>
      <c r="G202" s="658"/>
      <c r="H202" s="653"/>
      <c r="I202" s="652"/>
    </row>
    <row r="203" spans="1:9" ht="15.75" x14ac:dyDescent="0.25">
      <c r="A203" s="1735"/>
      <c r="B203" s="769" t="s">
        <v>4398</v>
      </c>
      <c r="C203" s="1367"/>
      <c r="D203" s="779">
        <v>1</v>
      </c>
      <c r="E203" s="668">
        <f>'PERLAS 2'!O17</f>
        <v>1118.75</v>
      </c>
      <c r="F203" s="662">
        <f>E203*D203</f>
        <v>1118.75</v>
      </c>
      <c r="G203" s="658"/>
      <c r="H203" s="653"/>
      <c r="I203" s="652"/>
    </row>
    <row r="204" spans="1:9" ht="15.75" x14ac:dyDescent="0.25">
      <c r="A204" s="769" t="s">
        <v>1908</v>
      </c>
      <c r="B204" s="769" t="s">
        <v>3642</v>
      </c>
      <c r="C204" s="1367"/>
      <c r="D204" s="779" t="s">
        <v>1649</v>
      </c>
      <c r="E204" s="668">
        <f>'AROS, CADENAS, DIJES, ETC'!C8</f>
        <v>2800</v>
      </c>
      <c r="F204" s="662">
        <f>E204</f>
        <v>2800</v>
      </c>
      <c r="G204" s="658"/>
      <c r="H204" s="653"/>
      <c r="I204" s="652"/>
    </row>
    <row r="205" spans="1:9" ht="15.75" x14ac:dyDescent="0.25">
      <c r="A205" s="1366" t="s">
        <v>3117</v>
      </c>
      <c r="B205" s="769"/>
      <c r="C205" s="1367"/>
      <c r="D205" s="779">
        <v>2</v>
      </c>
      <c r="E205" s="668">
        <f>FORNITURAS!D15</f>
        <v>142</v>
      </c>
      <c r="F205" s="662">
        <f>E205*D205</f>
        <v>284</v>
      </c>
      <c r="G205" s="658"/>
      <c r="H205" s="653"/>
      <c r="I205" s="652"/>
    </row>
    <row r="206" spans="1:9" ht="15.75" x14ac:dyDescent="0.25">
      <c r="A206" s="665" t="s">
        <v>1557</v>
      </c>
      <c r="B206" s="769"/>
      <c r="C206" s="779"/>
      <c r="D206" s="779"/>
      <c r="E206" s="668"/>
      <c r="F206" s="662">
        <f>PACKAGING!E3</f>
        <v>150</v>
      </c>
      <c r="G206" s="658"/>
      <c r="H206" s="653"/>
      <c r="I206" s="652"/>
    </row>
    <row r="207" spans="1:9" ht="15.75" x14ac:dyDescent="0.25">
      <c r="A207" s="665" t="s">
        <v>1558</v>
      </c>
      <c r="B207" s="769">
        <v>60</v>
      </c>
      <c r="C207" s="779"/>
      <c r="D207" s="779">
        <v>30</v>
      </c>
      <c r="E207" s="668">
        <f>'INSUMOS VARIOS'!B3</f>
        <v>3500</v>
      </c>
      <c r="F207" s="662">
        <f>E207*D207/B207</f>
        <v>1750</v>
      </c>
      <c r="G207" s="658"/>
      <c r="H207" s="653"/>
      <c r="I207" s="652"/>
    </row>
    <row r="208" spans="1:9" ht="15.75" x14ac:dyDescent="0.25">
      <c r="A208" s="665" t="s">
        <v>3180</v>
      </c>
      <c r="B208" s="769"/>
      <c r="C208" s="779"/>
      <c r="D208" s="779"/>
      <c r="E208" s="668"/>
      <c r="F208" s="662">
        <f>PACKAGING!E8</f>
        <v>420</v>
      </c>
      <c r="G208" s="658"/>
      <c r="H208" s="653"/>
      <c r="I208" s="652"/>
    </row>
    <row r="209" spans="1:9" ht="16.5" thickBot="1" x14ac:dyDescent="0.3">
      <c r="A209" s="670" t="s">
        <v>525</v>
      </c>
      <c r="B209" s="672"/>
      <c r="C209" s="780"/>
      <c r="D209" s="780"/>
      <c r="E209" s="780"/>
      <c r="F209" s="673">
        <f>SUM(F201:F208)</f>
        <v>7876.0833333333339</v>
      </c>
      <c r="G209" s="809"/>
      <c r="H209" s="653"/>
      <c r="I209" s="652"/>
    </row>
    <row r="210" spans="1:9" ht="16.5" thickBot="1" x14ac:dyDescent="0.3">
      <c r="A210" s="1368" t="s">
        <v>1559</v>
      </c>
      <c r="B210" s="1369"/>
      <c r="C210" s="1369"/>
      <c r="D210" s="1369"/>
      <c r="E210" s="825"/>
      <c r="F210" s="787">
        <f>F209*2</f>
        <v>15752.166666666668</v>
      </c>
      <c r="G210" s="1370">
        <f>F210+F210*70%</f>
        <v>26778.683333333334</v>
      </c>
      <c r="H210" s="1390">
        <v>46000</v>
      </c>
    </row>
    <row r="211" spans="1:9" ht="16.5" thickBot="1" x14ac:dyDescent="0.3">
      <c r="A211" s="652"/>
      <c r="B211" s="652"/>
      <c r="C211" s="652"/>
      <c r="D211" s="652"/>
      <c r="E211" s="652"/>
      <c r="F211" s="652"/>
      <c r="G211" s="652"/>
      <c r="H211" s="1275">
        <f>H210*50%</f>
        <v>23000</v>
      </c>
      <c r="I211" t="s">
        <v>3687</v>
      </c>
    </row>
    <row r="212" spans="1:9" ht="15.75" thickBot="1" x14ac:dyDescent="0.3"/>
    <row r="213" spans="1:9" ht="16.5" thickBot="1" x14ac:dyDescent="0.3">
      <c r="A213" s="1778" t="s">
        <v>4468</v>
      </c>
      <c r="B213" s="1779"/>
      <c r="C213" s="1779"/>
      <c r="D213" s="1779"/>
      <c r="E213" s="1779"/>
      <c r="F213" s="1780"/>
      <c r="G213" s="653"/>
      <c r="H213" s="653"/>
      <c r="I213" s="652"/>
    </row>
    <row r="214" spans="1:9" ht="15.75" x14ac:dyDescent="0.25">
      <c r="A214" s="821" t="s">
        <v>916</v>
      </c>
      <c r="B214" s="1365" t="s">
        <v>1073</v>
      </c>
      <c r="C214" s="823" t="s">
        <v>1089</v>
      </c>
      <c r="D214" s="823" t="s">
        <v>1547</v>
      </c>
      <c r="E214" s="823" t="s">
        <v>1035</v>
      </c>
      <c r="F214" s="824" t="s">
        <v>1549</v>
      </c>
      <c r="G214" s="658"/>
      <c r="H214" s="653"/>
      <c r="I214" s="652"/>
    </row>
    <row r="215" spans="1:9" ht="15.75" x14ac:dyDescent="0.25">
      <c r="A215" s="1762" t="s">
        <v>1742</v>
      </c>
      <c r="B215" s="779" t="s">
        <v>4394</v>
      </c>
      <c r="C215" s="769"/>
      <c r="D215" s="779">
        <v>1</v>
      </c>
      <c r="E215" s="668">
        <f>'PERLAS 2'!O14</f>
        <v>186.66666666666666</v>
      </c>
      <c r="F215" s="662">
        <f>E215*D215</f>
        <v>186.66666666666666</v>
      </c>
      <c r="G215" s="658"/>
      <c r="H215" s="653"/>
      <c r="I215" s="652"/>
    </row>
    <row r="216" spans="1:9" ht="15.75" x14ac:dyDescent="0.25">
      <c r="A216" s="1763"/>
      <c r="B216" s="769" t="s">
        <v>4396</v>
      </c>
      <c r="C216" s="1367"/>
      <c r="D216" s="779">
        <v>1</v>
      </c>
      <c r="E216" s="668">
        <f>'PERLAS 2'!O16</f>
        <v>1166.6666666666667</v>
      </c>
      <c r="F216" s="662">
        <f>E216</f>
        <v>1166.6666666666667</v>
      </c>
      <c r="G216" s="658"/>
      <c r="H216" s="653"/>
      <c r="I216" s="652"/>
    </row>
    <row r="217" spans="1:9" ht="15.75" x14ac:dyDescent="0.25">
      <c r="A217" s="769" t="s">
        <v>4386</v>
      </c>
      <c r="B217" s="769"/>
      <c r="C217" s="1367"/>
      <c r="D217" s="779">
        <v>1</v>
      </c>
      <c r="E217" s="668">
        <f>'INSUMOS VARIOS'!E79</f>
        <v>177.08333333333334</v>
      </c>
      <c r="F217" s="662">
        <f>E217*D217</f>
        <v>177.08333333333334</v>
      </c>
      <c r="G217" s="658"/>
      <c r="H217" s="653"/>
      <c r="I217" s="652"/>
    </row>
    <row r="218" spans="1:9" ht="15.75" x14ac:dyDescent="0.25">
      <c r="A218" s="769" t="s">
        <v>1908</v>
      </c>
      <c r="B218" s="769" t="s">
        <v>1935</v>
      </c>
      <c r="C218" s="1367"/>
      <c r="D218" s="779" t="s">
        <v>1649</v>
      </c>
      <c r="E218" s="668">
        <f>'AROS, CADENAS, DIJES, ETC'!C9</f>
        <v>3000</v>
      </c>
      <c r="F218" s="662">
        <f>E218</f>
        <v>3000</v>
      </c>
      <c r="G218" s="658"/>
      <c r="H218" s="653"/>
      <c r="I218" s="652"/>
    </row>
    <row r="219" spans="1:9" ht="15.75" x14ac:dyDescent="0.25">
      <c r="A219" s="1366" t="s">
        <v>3117</v>
      </c>
      <c r="B219" s="769"/>
      <c r="C219" s="1367"/>
      <c r="D219" s="779">
        <v>2</v>
      </c>
      <c r="E219" s="668">
        <f>FORNITURAS!D15</f>
        <v>142</v>
      </c>
      <c r="F219" s="662">
        <f>E219*D219</f>
        <v>284</v>
      </c>
      <c r="G219" s="658"/>
      <c r="H219" s="653"/>
      <c r="I219" s="652"/>
    </row>
    <row r="220" spans="1:9" ht="15.75" x14ac:dyDescent="0.25">
      <c r="A220" s="665" t="s">
        <v>1557</v>
      </c>
      <c r="B220" s="769"/>
      <c r="C220" s="779"/>
      <c r="D220" s="779"/>
      <c r="E220" s="668"/>
      <c r="F220" s="662">
        <f>PACKAGING!E3</f>
        <v>150</v>
      </c>
      <c r="G220" s="658"/>
      <c r="H220" s="653"/>
      <c r="I220" s="652"/>
    </row>
    <row r="221" spans="1:9" ht="15.75" x14ac:dyDescent="0.25">
      <c r="A221" s="665" t="s">
        <v>1558</v>
      </c>
      <c r="B221" s="769">
        <v>60</v>
      </c>
      <c r="C221" s="779"/>
      <c r="D221" s="779">
        <v>30</v>
      </c>
      <c r="E221" s="668">
        <f>'INSUMOS VARIOS'!B3</f>
        <v>3500</v>
      </c>
      <c r="F221" s="662">
        <f>E221*D221/B221</f>
        <v>1750</v>
      </c>
      <c r="G221" s="658"/>
      <c r="H221" s="653"/>
      <c r="I221" s="652"/>
    </row>
    <row r="222" spans="1:9" ht="15.75" x14ac:dyDescent="0.25">
      <c r="A222" s="665" t="s">
        <v>3180</v>
      </c>
      <c r="B222" s="769"/>
      <c r="C222" s="779"/>
      <c r="D222" s="779"/>
      <c r="E222" s="668"/>
      <c r="F222" s="662">
        <f>PACKAGING!E8</f>
        <v>420</v>
      </c>
      <c r="G222" s="658"/>
      <c r="H222" s="653"/>
      <c r="I222" s="652"/>
    </row>
    <row r="223" spans="1:9" ht="16.5" thickBot="1" x14ac:dyDescent="0.3">
      <c r="A223" s="670" t="s">
        <v>525</v>
      </c>
      <c r="B223" s="672"/>
      <c r="C223" s="780"/>
      <c r="D223" s="780"/>
      <c r="E223" s="780"/>
      <c r="F223" s="673">
        <f>SUM(F215:F222)</f>
        <v>7134.416666666667</v>
      </c>
      <c r="G223" s="809"/>
      <c r="H223" s="653"/>
      <c r="I223" s="652"/>
    </row>
    <row r="224" spans="1:9" ht="16.5" thickBot="1" x14ac:dyDescent="0.3">
      <c r="A224" s="1368" t="s">
        <v>1559</v>
      </c>
      <c r="B224" s="1369"/>
      <c r="C224" s="1369"/>
      <c r="D224" s="1369"/>
      <c r="E224" s="825"/>
      <c r="F224" s="787">
        <f>F223*2</f>
        <v>14268.833333333334</v>
      </c>
      <c r="G224" s="1370">
        <f>F224+F224*70%</f>
        <v>24257.016666666666</v>
      </c>
      <c r="H224" s="1390">
        <v>40000</v>
      </c>
    </row>
    <row r="225" spans="1:9" ht="16.5" thickBot="1" x14ac:dyDescent="0.3">
      <c r="A225" s="652"/>
      <c r="B225" s="652"/>
      <c r="C225" s="652"/>
      <c r="D225" s="652"/>
      <c r="E225" s="652"/>
      <c r="F225" s="652"/>
      <c r="G225" s="652"/>
      <c r="H225" s="1275">
        <f>H224*50%</f>
        <v>20000</v>
      </c>
      <c r="I225" t="s">
        <v>3687</v>
      </c>
    </row>
    <row r="226" spans="1:9" ht="15.75" thickBot="1" x14ac:dyDescent="0.3"/>
    <row r="227" spans="1:9" ht="16.5" thickBot="1" x14ac:dyDescent="0.3">
      <c r="A227" s="1778" t="s">
        <v>4470</v>
      </c>
      <c r="B227" s="1779"/>
      <c r="C227" s="1779"/>
      <c r="D227" s="1779"/>
      <c r="E227" s="1779"/>
      <c r="F227" s="1780"/>
      <c r="G227" s="653"/>
      <c r="H227" s="653"/>
      <c r="I227" s="652"/>
    </row>
    <row r="228" spans="1:9" ht="15.75" x14ac:dyDescent="0.25">
      <c r="A228" s="821" t="s">
        <v>916</v>
      </c>
      <c r="B228" s="1365" t="s">
        <v>1073</v>
      </c>
      <c r="C228" s="823" t="s">
        <v>1089</v>
      </c>
      <c r="D228" s="823" t="s">
        <v>1547</v>
      </c>
      <c r="E228" s="823" t="s">
        <v>1035</v>
      </c>
      <c r="F228" s="824" t="s">
        <v>1549</v>
      </c>
      <c r="G228" s="658"/>
      <c r="H228" s="653"/>
      <c r="I228" s="652"/>
    </row>
    <row r="229" spans="1:9" ht="15.75" x14ac:dyDescent="0.25">
      <c r="A229" s="665" t="s">
        <v>1742</v>
      </c>
      <c r="B229" s="779" t="s">
        <v>4394</v>
      </c>
      <c r="C229" s="769"/>
      <c r="D229" s="779">
        <v>2</v>
      </c>
      <c r="E229" s="668">
        <f>'PERLAS 2'!O14</f>
        <v>186.66666666666666</v>
      </c>
      <c r="F229" s="662">
        <f>E229*D229</f>
        <v>373.33333333333331</v>
      </c>
      <c r="G229" s="658"/>
      <c r="H229" s="653"/>
      <c r="I229" s="652"/>
    </row>
    <row r="230" spans="1:9" ht="15.75" x14ac:dyDescent="0.25">
      <c r="A230" s="665" t="s">
        <v>4413</v>
      </c>
      <c r="B230" s="769"/>
      <c r="C230" s="1367"/>
      <c r="D230" s="779">
        <v>2</v>
      </c>
      <c r="E230" s="668">
        <f>PIEDRAS!F135</f>
        <v>37.974683544303801</v>
      </c>
      <c r="F230" s="662">
        <f>E230*2</f>
        <v>75.949367088607602</v>
      </c>
      <c r="G230" s="658"/>
      <c r="H230" s="653"/>
      <c r="I230" s="652"/>
    </row>
    <row r="231" spans="1:9" ht="15.75" x14ac:dyDescent="0.25">
      <c r="A231" s="665" t="s">
        <v>4469</v>
      </c>
      <c r="B231" s="769"/>
      <c r="C231" s="1367"/>
      <c r="D231" s="779">
        <v>2</v>
      </c>
      <c r="E231" s="668">
        <f>PIEDRAS!F32</f>
        <v>49.55294117647059</v>
      </c>
      <c r="F231" s="662">
        <f>E231*D231</f>
        <v>99.10588235294118</v>
      </c>
      <c r="G231" s="658"/>
      <c r="H231" s="653"/>
      <c r="I231" s="652"/>
    </row>
    <row r="232" spans="1:9" ht="15.75" x14ac:dyDescent="0.25">
      <c r="A232" s="769" t="s">
        <v>1908</v>
      </c>
      <c r="B232" s="769"/>
      <c r="C232" s="1367"/>
      <c r="D232" s="779" t="s">
        <v>1649</v>
      </c>
      <c r="E232" s="668">
        <f>'AROS, CADENAS, DIJES, ETC'!C113</f>
        <v>2410</v>
      </c>
      <c r="F232" s="662">
        <f>E232</f>
        <v>2410</v>
      </c>
      <c r="G232" s="658"/>
      <c r="H232" s="653"/>
      <c r="I232" s="652"/>
    </row>
    <row r="233" spans="1:9" ht="15.75" x14ac:dyDescent="0.25">
      <c r="A233" s="1366" t="s">
        <v>3117</v>
      </c>
      <c r="B233" s="769"/>
      <c r="C233" s="1367"/>
      <c r="D233" s="779">
        <v>2</v>
      </c>
      <c r="E233" s="668">
        <f>FORNITURAS!D11</f>
        <v>99.083333333333329</v>
      </c>
      <c r="F233" s="662">
        <f>E233*D233</f>
        <v>198.16666666666666</v>
      </c>
      <c r="G233" s="658"/>
      <c r="H233" s="653"/>
      <c r="I233" s="652"/>
    </row>
    <row r="234" spans="1:9" ht="15.75" x14ac:dyDescent="0.25">
      <c r="A234" s="665" t="s">
        <v>1557</v>
      </c>
      <c r="B234" s="769"/>
      <c r="C234" s="779"/>
      <c r="D234" s="779"/>
      <c r="E234" s="668"/>
      <c r="F234" s="662">
        <f>PACKAGING!E3</f>
        <v>150</v>
      </c>
      <c r="G234" s="658"/>
      <c r="H234" s="653"/>
      <c r="I234" s="652"/>
    </row>
    <row r="235" spans="1:9" ht="15.75" x14ac:dyDescent="0.25">
      <c r="A235" s="665" t="s">
        <v>1558</v>
      </c>
      <c r="B235" s="769">
        <v>60</v>
      </c>
      <c r="C235" s="779"/>
      <c r="D235" s="779">
        <v>30</v>
      </c>
      <c r="E235" s="668">
        <f>'INSUMOS VARIOS'!B3</f>
        <v>3500</v>
      </c>
      <c r="F235" s="662">
        <f>E235*D235/B235</f>
        <v>1750</v>
      </c>
      <c r="G235" s="658"/>
      <c r="H235" s="653"/>
      <c r="I235" s="652"/>
    </row>
    <row r="236" spans="1:9" ht="15.75" x14ac:dyDescent="0.25">
      <c r="A236" s="665" t="s">
        <v>3180</v>
      </c>
      <c r="B236" s="769"/>
      <c r="C236" s="779"/>
      <c r="D236" s="779"/>
      <c r="E236" s="668"/>
      <c r="F236" s="662">
        <f>PACKAGING!E3</f>
        <v>150</v>
      </c>
      <c r="G236" s="658"/>
      <c r="H236" s="653"/>
      <c r="I236" s="652"/>
    </row>
    <row r="237" spans="1:9" ht="16.5" thickBot="1" x14ac:dyDescent="0.3">
      <c r="A237" s="670" t="s">
        <v>525</v>
      </c>
      <c r="B237" s="672"/>
      <c r="C237" s="780"/>
      <c r="D237" s="780"/>
      <c r="E237" s="780"/>
      <c r="F237" s="673">
        <f>SUM(F229:F236)</f>
        <v>5206.5552494415488</v>
      </c>
      <c r="G237" s="809"/>
      <c r="H237" s="653"/>
      <c r="I237" s="652"/>
    </row>
    <row r="238" spans="1:9" ht="16.5" thickBot="1" x14ac:dyDescent="0.3">
      <c r="A238" s="1368" t="s">
        <v>1559</v>
      </c>
      <c r="B238" s="1369"/>
      <c r="C238" s="1369"/>
      <c r="D238" s="1369"/>
      <c r="E238" s="825"/>
      <c r="F238" s="787">
        <f>F237*2</f>
        <v>10413.110498883098</v>
      </c>
      <c r="G238" s="1370">
        <f>F238+F238*70%</f>
        <v>17702.287848101267</v>
      </c>
      <c r="H238" s="1390">
        <v>25000</v>
      </c>
    </row>
    <row r="239" spans="1:9" ht="16.5" thickBot="1" x14ac:dyDescent="0.3">
      <c r="A239" s="652"/>
      <c r="B239" s="652"/>
      <c r="C239" s="652"/>
      <c r="D239" s="652"/>
      <c r="E239" s="652"/>
      <c r="F239" s="652"/>
      <c r="G239" s="652"/>
      <c r="H239" s="1275">
        <f>H238*50%</f>
        <v>12500</v>
      </c>
      <c r="I239" t="s">
        <v>3687</v>
      </c>
    </row>
    <row r="240" spans="1:9" ht="15.75" thickBot="1" x14ac:dyDescent="0.3"/>
    <row r="241" spans="1:9" ht="16.5" thickBot="1" x14ac:dyDescent="0.3">
      <c r="A241" s="1778" t="s">
        <v>148</v>
      </c>
      <c r="B241" s="1779"/>
      <c r="C241" s="1779"/>
      <c r="D241" s="1779"/>
      <c r="E241" s="1779"/>
      <c r="F241" s="1780"/>
      <c r="G241" s="653"/>
      <c r="H241" s="653"/>
      <c r="I241" s="652"/>
    </row>
    <row r="242" spans="1:9" ht="15.75" x14ac:dyDescent="0.25">
      <c r="A242" s="821" t="s">
        <v>916</v>
      </c>
      <c r="B242" s="1365" t="s">
        <v>1073</v>
      </c>
      <c r="C242" s="823" t="s">
        <v>1089</v>
      </c>
      <c r="D242" s="823" t="s">
        <v>1547</v>
      </c>
      <c r="E242" s="823" t="s">
        <v>1035</v>
      </c>
      <c r="F242" s="824" t="s">
        <v>1549</v>
      </c>
      <c r="G242" s="658"/>
      <c r="H242" s="653"/>
      <c r="I242" s="652"/>
    </row>
    <row r="243" spans="1:9" ht="15.75" x14ac:dyDescent="0.25">
      <c r="A243" s="665" t="s">
        <v>1742</v>
      </c>
      <c r="B243" s="779" t="s">
        <v>4394</v>
      </c>
      <c r="C243" s="769"/>
      <c r="D243" s="779">
        <v>2</v>
      </c>
      <c r="E243" s="668">
        <f>'PERLAS 2'!O14</f>
        <v>186.66666666666666</v>
      </c>
      <c r="F243" s="662">
        <f>E243*D243</f>
        <v>373.33333333333331</v>
      </c>
      <c r="G243" s="658"/>
      <c r="H243" s="653"/>
      <c r="I243" s="652"/>
    </row>
    <row r="244" spans="1:9" ht="15.75" x14ac:dyDescent="0.25">
      <c r="A244" s="665" t="s">
        <v>4410</v>
      </c>
      <c r="B244" s="769"/>
      <c r="C244" s="1367"/>
      <c r="D244" s="779">
        <v>6</v>
      </c>
      <c r="E244" s="668">
        <f>PIEDRAS!F92</f>
        <v>30.032608695652176</v>
      </c>
      <c r="F244" s="662">
        <f>E244*D244</f>
        <v>180.19565217391306</v>
      </c>
      <c r="G244" s="658"/>
      <c r="H244" s="653"/>
      <c r="I244" s="652"/>
    </row>
    <row r="245" spans="1:9" ht="15.75" x14ac:dyDescent="0.25">
      <c r="A245" s="769" t="s">
        <v>1908</v>
      </c>
      <c r="B245" s="769">
        <v>1.5</v>
      </c>
      <c r="C245" s="1367"/>
      <c r="D245" s="779" t="s">
        <v>1649</v>
      </c>
      <c r="E245" s="668">
        <f>'AROS, CADENAS, DIJES, ETC'!C9</f>
        <v>3000</v>
      </c>
      <c r="F245" s="662">
        <f>E245</f>
        <v>3000</v>
      </c>
      <c r="G245" s="658"/>
      <c r="H245" s="653"/>
      <c r="I245" s="652"/>
    </row>
    <row r="246" spans="1:9" ht="15.75" x14ac:dyDescent="0.25">
      <c r="A246" s="1366" t="s">
        <v>3117</v>
      </c>
      <c r="B246" s="769"/>
      <c r="C246" s="1367"/>
      <c r="D246" s="779">
        <v>8</v>
      </c>
      <c r="E246" s="668">
        <f>FORNITURAS!D11</f>
        <v>99.083333333333329</v>
      </c>
      <c r="F246" s="662">
        <f>E246*D246</f>
        <v>792.66666666666663</v>
      </c>
      <c r="G246" s="658"/>
      <c r="H246" s="653"/>
      <c r="I246" s="652"/>
    </row>
    <row r="247" spans="1:9" ht="15.75" x14ac:dyDescent="0.25">
      <c r="A247" s="665" t="s">
        <v>1557</v>
      </c>
      <c r="B247" s="769"/>
      <c r="C247" s="779"/>
      <c r="D247" s="779"/>
      <c r="E247" s="668"/>
      <c r="F247" s="662">
        <f>PACKAGING!E3</f>
        <v>150</v>
      </c>
      <c r="G247" s="658"/>
      <c r="H247" s="653"/>
      <c r="I247" s="652"/>
    </row>
    <row r="248" spans="1:9" ht="15.75" x14ac:dyDescent="0.25">
      <c r="A248" s="665" t="s">
        <v>1558</v>
      </c>
      <c r="B248" s="769">
        <v>60</v>
      </c>
      <c r="C248" s="779"/>
      <c r="D248" s="779">
        <v>40</v>
      </c>
      <c r="E248" s="668">
        <f>'INSUMOS VARIOS'!B3</f>
        <v>3500</v>
      </c>
      <c r="F248" s="662">
        <f>E248*D248/B248</f>
        <v>2333.3333333333335</v>
      </c>
      <c r="G248" s="658"/>
      <c r="H248" s="653"/>
      <c r="I248" s="652"/>
    </row>
    <row r="249" spans="1:9" ht="15.75" x14ac:dyDescent="0.25">
      <c r="A249" s="665" t="s">
        <v>3180</v>
      </c>
      <c r="B249" s="769"/>
      <c r="C249" s="779"/>
      <c r="D249" s="779"/>
      <c r="E249" s="668"/>
      <c r="F249" s="662">
        <f>PACKAGING!E8</f>
        <v>420</v>
      </c>
      <c r="G249" s="658"/>
      <c r="H249" s="653"/>
      <c r="I249" s="652"/>
    </row>
    <row r="250" spans="1:9" ht="16.5" thickBot="1" x14ac:dyDescent="0.3">
      <c r="A250" s="670" t="s">
        <v>525</v>
      </c>
      <c r="B250" s="672"/>
      <c r="C250" s="780"/>
      <c r="D250" s="780"/>
      <c r="E250" s="780"/>
      <c r="F250" s="673">
        <f>SUM(F243:F249)</f>
        <v>7249.528985507246</v>
      </c>
      <c r="G250" s="809"/>
      <c r="H250" s="653"/>
      <c r="I250" s="652"/>
    </row>
    <row r="251" spans="1:9" ht="16.5" thickBot="1" x14ac:dyDescent="0.3">
      <c r="A251" s="1368" t="s">
        <v>1559</v>
      </c>
      <c r="B251" s="1369"/>
      <c r="C251" s="1369"/>
      <c r="D251" s="1369"/>
      <c r="E251" s="825"/>
      <c r="F251" s="787">
        <f>F250*2</f>
        <v>14499.057971014492</v>
      </c>
      <c r="G251" s="1370">
        <f>F251+F251*70%</f>
        <v>24648.398550724636</v>
      </c>
      <c r="H251" s="1390">
        <v>38000</v>
      </c>
    </row>
    <row r="252" spans="1:9" ht="16.5" thickBot="1" x14ac:dyDescent="0.3">
      <c r="A252" s="652"/>
      <c r="B252" s="652"/>
      <c r="C252" s="652"/>
      <c r="D252" s="652"/>
      <c r="E252" s="652"/>
      <c r="F252" s="652"/>
      <c r="G252" s="652"/>
      <c r="H252" s="1275">
        <f>H251*50%</f>
        <v>19000</v>
      </c>
      <c r="I252" t="s">
        <v>3687</v>
      </c>
    </row>
    <row r="253" spans="1:9" ht="15.75" thickBot="1" x14ac:dyDescent="0.3"/>
    <row r="254" spans="1:9" ht="16.5" thickBot="1" x14ac:dyDescent="0.3">
      <c r="A254" s="1784" t="s">
        <v>4547</v>
      </c>
      <c r="B254" s="1785"/>
      <c r="C254" s="1785"/>
      <c r="D254" s="1785"/>
      <c r="E254" s="1786"/>
      <c r="F254" s="804"/>
      <c r="G254" s="653"/>
    </row>
    <row r="255" spans="1:9" ht="15.75" x14ac:dyDescent="0.25">
      <c r="A255" s="821" t="s">
        <v>916</v>
      </c>
      <c r="B255" s="822" t="s">
        <v>1073</v>
      </c>
      <c r="C255" s="823" t="s">
        <v>1547</v>
      </c>
      <c r="D255" s="823" t="s">
        <v>1035</v>
      </c>
      <c r="E255" s="824" t="s">
        <v>1549</v>
      </c>
      <c r="F255" s="658"/>
      <c r="G255" s="653"/>
    </row>
    <row r="256" spans="1:9" ht="15.75" x14ac:dyDescent="0.25">
      <c r="A256" s="665" t="s">
        <v>4503</v>
      </c>
      <c r="B256" s="769"/>
      <c r="C256" s="779" t="s">
        <v>1649</v>
      </c>
      <c r="D256" s="668">
        <f>'AROS, CADENAS, DIJES, ETC'!C40</f>
        <v>7230</v>
      </c>
      <c r="E256" s="662">
        <f>D256</f>
        <v>7230</v>
      </c>
      <c r="F256" s="658"/>
      <c r="G256" s="653"/>
    </row>
    <row r="257" spans="1:8" ht="15.75" x14ac:dyDescent="0.25">
      <c r="A257" s="665" t="s">
        <v>1557</v>
      </c>
      <c r="B257" s="769"/>
      <c r="C257" s="779"/>
      <c r="D257" s="668"/>
      <c r="E257" s="662">
        <f>PACKAGING!E3</f>
        <v>150</v>
      </c>
      <c r="F257" s="658"/>
      <c r="G257" s="653"/>
    </row>
    <row r="258" spans="1:8" ht="15.75" x14ac:dyDescent="0.25">
      <c r="A258" s="665" t="s">
        <v>3496</v>
      </c>
      <c r="B258" s="769"/>
      <c r="C258" s="779"/>
      <c r="D258" s="668"/>
      <c r="E258" s="662">
        <f>PACKAGING!E9</f>
        <v>450</v>
      </c>
      <c r="F258" s="658"/>
      <c r="G258" s="653"/>
    </row>
    <row r="259" spans="1:8" ht="16.5" thickBot="1" x14ac:dyDescent="0.3">
      <c r="A259" s="670" t="s">
        <v>525</v>
      </c>
      <c r="B259" s="672"/>
      <c r="C259" s="780"/>
      <c r="D259" s="780"/>
      <c r="E259" s="673">
        <f>SUM(E256:E258)</f>
        <v>7830</v>
      </c>
      <c r="F259" s="658"/>
      <c r="G259" s="653"/>
    </row>
    <row r="260" spans="1:8" ht="16.5" thickBot="1" x14ac:dyDescent="0.3">
      <c r="A260" s="781" t="s">
        <v>544</v>
      </c>
      <c r="B260" s="825"/>
      <c r="C260" s="825"/>
      <c r="D260" s="825"/>
      <c r="E260" s="784">
        <f>E259*2</f>
        <v>15660</v>
      </c>
      <c r="F260" s="1374">
        <f>E260+E260*70%</f>
        <v>26622</v>
      </c>
      <c r="G260" s="1390">
        <v>38000</v>
      </c>
    </row>
    <row r="261" spans="1:8" ht="16.5" thickBot="1" x14ac:dyDescent="0.3">
      <c r="G261" s="1275">
        <f>G260*50%</f>
        <v>19000</v>
      </c>
      <c r="H261" t="s">
        <v>3687</v>
      </c>
    </row>
    <row r="263" spans="1:8" ht="15.75" thickBot="1" x14ac:dyDescent="0.3"/>
    <row r="264" spans="1:8" ht="16.5" thickBot="1" x14ac:dyDescent="0.3">
      <c r="A264" s="1784" t="s">
        <v>4610</v>
      </c>
      <c r="B264" s="1785"/>
      <c r="C264" s="1785"/>
      <c r="D264" s="1785"/>
      <c r="E264" s="1786"/>
      <c r="F264" s="804"/>
      <c r="G264" s="653"/>
    </row>
    <row r="265" spans="1:8" ht="15.75" x14ac:dyDescent="0.25">
      <c r="A265" s="821" t="s">
        <v>916</v>
      </c>
      <c r="B265" s="822" t="s">
        <v>1073</v>
      </c>
      <c r="C265" s="823" t="s">
        <v>1547</v>
      </c>
      <c r="D265" s="823" t="s">
        <v>1035</v>
      </c>
      <c r="E265" s="824" t="s">
        <v>1549</v>
      </c>
      <c r="F265" s="658"/>
      <c r="G265" s="653"/>
    </row>
    <row r="266" spans="1:8" ht="15.75" x14ac:dyDescent="0.25">
      <c r="A266" s="665" t="s">
        <v>4518</v>
      </c>
      <c r="B266" s="769"/>
      <c r="C266" s="779" t="s">
        <v>1649</v>
      </c>
      <c r="D266" s="668">
        <f>'AROS, CADENAS, DIJES, ETC'!C41</f>
        <v>3501</v>
      </c>
      <c r="E266" s="662">
        <f>D266</f>
        <v>3501</v>
      </c>
      <c r="F266" s="658"/>
      <c r="G266" s="653"/>
    </row>
    <row r="267" spans="1:8" ht="15.75" x14ac:dyDescent="0.25">
      <c r="A267" s="665" t="s">
        <v>1557</v>
      </c>
      <c r="B267" s="769"/>
      <c r="C267" s="779"/>
      <c r="D267" s="668"/>
      <c r="E267" s="662">
        <f>PACKAGING!E3</f>
        <v>150</v>
      </c>
      <c r="F267" s="658"/>
      <c r="G267" s="653"/>
    </row>
    <row r="268" spans="1:8" ht="15.75" x14ac:dyDescent="0.25">
      <c r="A268" s="665" t="s">
        <v>3180</v>
      </c>
      <c r="B268" s="769"/>
      <c r="C268" s="779"/>
      <c r="D268" s="668"/>
      <c r="E268" s="662">
        <f>PACKAGING!E8</f>
        <v>420</v>
      </c>
      <c r="F268" s="658"/>
      <c r="G268" s="653"/>
    </row>
    <row r="269" spans="1:8" ht="16.5" thickBot="1" x14ac:dyDescent="0.3">
      <c r="A269" s="670" t="s">
        <v>525</v>
      </c>
      <c r="B269" s="672"/>
      <c r="C269" s="780"/>
      <c r="D269" s="780"/>
      <c r="E269" s="673">
        <f>SUM(E266:E268)</f>
        <v>4071</v>
      </c>
      <c r="F269" s="658"/>
      <c r="G269" s="653"/>
    </row>
    <row r="270" spans="1:8" ht="16.5" thickBot="1" x14ac:dyDescent="0.3">
      <c r="A270" s="781" t="s">
        <v>544</v>
      </c>
      <c r="B270" s="825"/>
      <c r="C270" s="825"/>
      <c r="D270" s="825"/>
      <c r="E270" s="784">
        <f>E269*2</f>
        <v>8142</v>
      </c>
      <c r="F270" s="1374">
        <f>E270+E270*70%</f>
        <v>13841.4</v>
      </c>
      <c r="G270" s="1390">
        <v>24000</v>
      </c>
    </row>
    <row r="271" spans="1:8" ht="16.5" thickBot="1" x14ac:dyDescent="0.3">
      <c r="G271" s="1275">
        <f>G270*50%</f>
        <v>12000</v>
      </c>
      <c r="H271" t="s">
        <v>3687</v>
      </c>
    </row>
    <row r="272" spans="1:8" ht="15.75" thickBot="1" x14ac:dyDescent="0.3"/>
    <row r="273" spans="1:8" ht="16.5" thickBot="1" x14ac:dyDescent="0.3">
      <c r="A273" s="1784" t="s">
        <v>4637</v>
      </c>
      <c r="B273" s="1785"/>
      <c r="C273" s="1785"/>
      <c r="D273" s="1785"/>
      <c r="E273" s="1786"/>
      <c r="F273" s="804"/>
      <c r="G273" s="653"/>
    </row>
    <row r="274" spans="1:8" ht="15.75" x14ac:dyDescent="0.25">
      <c r="A274" s="821" t="s">
        <v>916</v>
      </c>
      <c r="B274" s="822" t="s">
        <v>1073</v>
      </c>
      <c r="C274" s="823" t="s">
        <v>1547</v>
      </c>
      <c r="D274" s="823" t="s">
        <v>1035</v>
      </c>
      <c r="E274" s="824" t="s">
        <v>1549</v>
      </c>
      <c r="F274" s="658"/>
      <c r="G274" s="653"/>
    </row>
    <row r="275" spans="1:8" ht="15.75" x14ac:dyDescent="0.25">
      <c r="A275" s="665" t="s">
        <v>4520</v>
      </c>
      <c r="B275" s="769" t="s">
        <v>4519</v>
      </c>
      <c r="C275" s="779" t="s">
        <v>1649</v>
      </c>
      <c r="D275" s="668">
        <f>'AROS, CADENAS, DIJES, ETC'!C65</f>
        <v>3073</v>
      </c>
      <c r="E275" s="662">
        <f>D275</f>
        <v>3073</v>
      </c>
      <c r="F275" s="658"/>
      <c r="G275" s="653"/>
    </row>
    <row r="276" spans="1:8" ht="15.75" x14ac:dyDescent="0.25">
      <c r="A276" s="665" t="s">
        <v>1557</v>
      </c>
      <c r="B276" s="769"/>
      <c r="C276" s="779"/>
      <c r="D276" s="668"/>
      <c r="E276" s="662">
        <f>PACKAGING!E3</f>
        <v>150</v>
      </c>
      <c r="F276" s="658"/>
      <c r="G276" s="653"/>
    </row>
    <row r="277" spans="1:8" ht="15.75" x14ac:dyDescent="0.25">
      <c r="A277" s="665" t="s">
        <v>3180</v>
      </c>
      <c r="B277" s="769"/>
      <c r="C277" s="779"/>
      <c r="D277" s="668"/>
      <c r="E277" s="662">
        <f>PACKAGING!E8</f>
        <v>420</v>
      </c>
      <c r="F277" s="658"/>
      <c r="G277" s="653"/>
    </row>
    <row r="278" spans="1:8" ht="16.5" thickBot="1" x14ac:dyDescent="0.3">
      <c r="A278" s="670" t="s">
        <v>525</v>
      </c>
      <c r="B278" s="672"/>
      <c r="C278" s="780"/>
      <c r="D278" s="780"/>
      <c r="E278" s="673">
        <f>SUM(E275:E277)</f>
        <v>3643</v>
      </c>
      <c r="F278" s="658"/>
      <c r="G278" s="653"/>
    </row>
    <row r="279" spans="1:8" ht="16.5" thickBot="1" x14ac:dyDescent="0.3">
      <c r="A279" s="781" t="s">
        <v>544</v>
      </c>
      <c r="B279" s="825"/>
      <c r="C279" s="825"/>
      <c r="D279" s="825"/>
      <c r="E279" s="784">
        <f>E278*2</f>
        <v>7286</v>
      </c>
      <c r="F279" s="1374">
        <f>E279+E279*70%</f>
        <v>12386.2</v>
      </c>
      <c r="G279" s="1390">
        <v>24000</v>
      </c>
    </row>
    <row r="280" spans="1:8" ht="16.5" thickBot="1" x14ac:dyDescent="0.3">
      <c r="G280" s="1275">
        <f>G279*50%</f>
        <v>12000</v>
      </c>
      <c r="H280" t="s">
        <v>3687</v>
      </c>
    </row>
    <row r="281" spans="1:8" ht="15.75" thickBot="1" x14ac:dyDescent="0.3"/>
    <row r="282" spans="1:8" ht="16.5" thickBot="1" x14ac:dyDescent="0.3">
      <c r="A282" s="1784" t="s">
        <v>4638</v>
      </c>
      <c r="B282" s="1785"/>
      <c r="C282" s="1785"/>
      <c r="D282" s="1785"/>
      <c r="E282" s="1786"/>
      <c r="F282" s="804"/>
      <c r="G282" s="653"/>
    </row>
    <row r="283" spans="1:8" ht="15.75" x14ac:dyDescent="0.25">
      <c r="A283" s="821" t="s">
        <v>916</v>
      </c>
      <c r="B283" s="822" t="s">
        <v>1073</v>
      </c>
      <c r="C283" s="823" t="s">
        <v>1547</v>
      </c>
      <c r="D283" s="823" t="s">
        <v>1035</v>
      </c>
      <c r="E283" s="824" t="s">
        <v>1549</v>
      </c>
      <c r="F283" s="658"/>
      <c r="G283" s="653"/>
    </row>
    <row r="284" spans="1:8" ht="15.75" x14ac:dyDescent="0.25">
      <c r="A284" s="665" t="s">
        <v>4520</v>
      </c>
      <c r="B284" s="769" t="s">
        <v>4521</v>
      </c>
      <c r="C284" s="779" t="s">
        <v>1649</v>
      </c>
      <c r="D284" s="668">
        <f>'AROS, CADENAS, DIJES, ETC'!C66</f>
        <v>3973</v>
      </c>
      <c r="E284" s="662">
        <f>D284</f>
        <v>3973</v>
      </c>
      <c r="F284" s="658"/>
      <c r="G284" s="653"/>
    </row>
    <row r="285" spans="1:8" ht="15.75" x14ac:dyDescent="0.25">
      <c r="A285" s="665" t="s">
        <v>1557</v>
      </c>
      <c r="B285" s="769"/>
      <c r="C285" s="779"/>
      <c r="D285" s="668"/>
      <c r="E285" s="662">
        <f>PACKAGING!E3</f>
        <v>150</v>
      </c>
      <c r="F285" s="658"/>
      <c r="G285" s="653"/>
    </row>
    <row r="286" spans="1:8" ht="15.75" x14ac:dyDescent="0.25">
      <c r="A286" s="665" t="s">
        <v>3180</v>
      </c>
      <c r="B286" s="769"/>
      <c r="C286" s="779"/>
      <c r="D286" s="668"/>
      <c r="E286" s="662">
        <f>PACKAGING!E8</f>
        <v>420</v>
      </c>
      <c r="F286" s="658"/>
      <c r="G286" s="653"/>
    </row>
    <row r="287" spans="1:8" ht="16.5" thickBot="1" x14ac:dyDescent="0.3">
      <c r="A287" s="670" t="s">
        <v>525</v>
      </c>
      <c r="B287" s="672"/>
      <c r="C287" s="780"/>
      <c r="D287" s="780"/>
      <c r="E287" s="673">
        <f>SUM(E284:E286)</f>
        <v>4543</v>
      </c>
      <c r="F287" s="658"/>
      <c r="G287" s="653"/>
    </row>
    <row r="288" spans="1:8" ht="16.5" thickBot="1" x14ac:dyDescent="0.3">
      <c r="A288" s="781" t="s">
        <v>544</v>
      </c>
      <c r="B288" s="825"/>
      <c r="C288" s="825"/>
      <c r="D288" s="825"/>
      <c r="E288" s="784">
        <f>E287*2</f>
        <v>9086</v>
      </c>
      <c r="F288" s="1374">
        <f>E288+E288*70%</f>
        <v>15446.2</v>
      </c>
      <c r="G288" s="1390">
        <v>24000</v>
      </c>
    </row>
    <row r="289" spans="1:8" ht="16.5" thickBot="1" x14ac:dyDescent="0.3">
      <c r="G289" s="1275">
        <f>G288*50%</f>
        <v>12000</v>
      </c>
      <c r="H289" t="s">
        <v>3687</v>
      </c>
    </row>
    <row r="290" spans="1:8" ht="15.75" thickBot="1" x14ac:dyDescent="0.3"/>
    <row r="291" spans="1:8" ht="16.5" thickBot="1" x14ac:dyDescent="0.3">
      <c r="A291" s="1781" t="s">
        <v>4595</v>
      </c>
      <c r="B291" s="1782"/>
      <c r="C291" s="1782"/>
      <c r="D291" s="1782"/>
      <c r="E291" s="1783"/>
      <c r="F291" s="804"/>
      <c r="G291" s="653"/>
    </row>
    <row r="292" spans="1:8" ht="15.75" x14ac:dyDescent="0.25">
      <c r="A292" s="821" t="s">
        <v>916</v>
      </c>
      <c r="B292" s="822" t="s">
        <v>1073</v>
      </c>
      <c r="C292" s="823" t="s">
        <v>1547</v>
      </c>
      <c r="D292" s="823" t="s">
        <v>1035</v>
      </c>
      <c r="E292" s="824" t="s">
        <v>1549</v>
      </c>
      <c r="F292" s="658"/>
      <c r="G292" s="653"/>
    </row>
    <row r="293" spans="1:8" ht="15.75" x14ac:dyDescent="0.25">
      <c r="A293" s="665" t="s">
        <v>4507</v>
      </c>
      <c r="B293" s="769" t="s">
        <v>969</v>
      </c>
      <c r="C293" s="779" t="s">
        <v>1649</v>
      </c>
      <c r="D293" s="668">
        <f>'AROS, CADENAS, DIJES, ETC'!J105</f>
        <v>6380</v>
      </c>
      <c r="E293" s="662">
        <f>D293</f>
        <v>6380</v>
      </c>
      <c r="F293" s="658"/>
      <c r="G293" s="653"/>
    </row>
    <row r="294" spans="1:8" ht="15.75" x14ac:dyDescent="0.25">
      <c r="A294" s="665" t="s">
        <v>4506</v>
      </c>
      <c r="B294" s="769"/>
      <c r="C294" s="779">
        <v>2</v>
      </c>
      <c r="D294" s="668">
        <f>PIEDRAS!K78</f>
        <v>850</v>
      </c>
      <c r="E294" s="662">
        <f>D294*C294</f>
        <v>1700</v>
      </c>
      <c r="F294" s="658"/>
      <c r="G294" s="653"/>
    </row>
    <row r="295" spans="1:8" ht="15.75" x14ac:dyDescent="0.25">
      <c r="A295" s="665" t="s">
        <v>1557</v>
      </c>
      <c r="B295" s="769"/>
      <c r="C295" s="779"/>
      <c r="D295" s="668"/>
      <c r="E295" s="662">
        <f>PACKAGING!E3</f>
        <v>150</v>
      </c>
      <c r="F295" s="658"/>
      <c r="G295" s="653"/>
    </row>
    <row r="296" spans="1:8" ht="15.75" x14ac:dyDescent="0.25">
      <c r="A296" s="665" t="s">
        <v>4565</v>
      </c>
      <c r="B296" s="769"/>
      <c r="C296" s="779"/>
      <c r="D296" s="668"/>
      <c r="E296" s="662">
        <f>PACKAGING!I5</f>
        <v>845</v>
      </c>
      <c r="F296" s="653"/>
      <c r="G296" s="653"/>
    </row>
    <row r="297" spans="1:8" ht="16.5" thickBot="1" x14ac:dyDescent="0.3">
      <c r="A297" s="670" t="s">
        <v>525</v>
      </c>
      <c r="B297" s="672"/>
      <c r="C297" s="780"/>
      <c r="D297" s="780"/>
      <c r="E297" s="673">
        <f>SUM(E293:E296)</f>
        <v>9075</v>
      </c>
      <c r="F297" s="658"/>
      <c r="G297" s="653"/>
    </row>
    <row r="298" spans="1:8" ht="16.5" thickBot="1" x14ac:dyDescent="0.3">
      <c r="A298" s="781" t="s">
        <v>544</v>
      </c>
      <c r="B298" s="825"/>
      <c r="C298" s="825"/>
      <c r="D298" s="825"/>
      <c r="E298" s="784">
        <f>E297*2</f>
        <v>18150</v>
      </c>
      <c r="F298" s="1374">
        <f>E298+E298*70%</f>
        <v>30855</v>
      </c>
      <c r="G298" s="1390">
        <v>36000</v>
      </c>
    </row>
    <row r="299" spans="1:8" ht="16.5" thickBot="1" x14ac:dyDescent="0.3">
      <c r="G299" s="1275">
        <f>G298*60%</f>
        <v>21600</v>
      </c>
      <c r="H299" t="s">
        <v>3687</v>
      </c>
    </row>
    <row r="300" spans="1:8" ht="15.75" thickBot="1" x14ac:dyDescent="0.3"/>
    <row r="301" spans="1:8" ht="16.5" thickBot="1" x14ac:dyDescent="0.3">
      <c r="A301" s="1775" t="s">
        <v>3814</v>
      </c>
      <c r="B301" s="1776"/>
      <c r="C301" s="1776"/>
      <c r="D301" s="1776"/>
      <c r="E301" s="1776"/>
      <c r="F301" s="1776"/>
      <c r="G301" s="631"/>
      <c r="H301" s="171"/>
    </row>
    <row r="302" spans="1:8" ht="15.75" x14ac:dyDescent="0.25">
      <c r="A302" s="1400" t="s">
        <v>916</v>
      </c>
      <c r="B302" s="1400" t="s">
        <v>1073</v>
      </c>
      <c r="C302" s="1400" t="s">
        <v>1089</v>
      </c>
      <c r="D302" s="1400" t="s">
        <v>1547</v>
      </c>
      <c r="E302" s="1400" t="s">
        <v>1035</v>
      </c>
      <c r="F302" s="824" t="s">
        <v>1549</v>
      </c>
      <c r="G302" s="1"/>
      <c r="H302" s="171"/>
    </row>
    <row r="303" spans="1:8" ht="15.75" x14ac:dyDescent="0.25">
      <c r="A303" s="665" t="s">
        <v>3735</v>
      </c>
      <c r="B303" s="769" t="s">
        <v>3577</v>
      </c>
      <c r="C303" s="769"/>
      <c r="D303" s="769" t="s">
        <v>1649</v>
      </c>
      <c r="E303" s="661">
        <f>PLATEADO!E32</f>
        <v>2798</v>
      </c>
      <c r="F303" s="662">
        <f>E303</f>
        <v>2798</v>
      </c>
      <c r="G303" s="1"/>
      <c r="H303" s="171"/>
    </row>
    <row r="304" spans="1:8" ht="15.75" x14ac:dyDescent="0.25">
      <c r="A304" s="665" t="s">
        <v>3404</v>
      </c>
      <c r="B304" s="769" t="s">
        <v>805</v>
      </c>
      <c r="C304" s="769"/>
      <c r="D304" s="769">
        <v>2</v>
      </c>
      <c r="E304" s="661">
        <f>PIEDRAS!F79</f>
        <v>257.14285714285717</v>
      </c>
      <c r="F304" s="662">
        <f t="shared" ref="F304:F309" si="1">E304*D304</f>
        <v>514.28571428571433</v>
      </c>
      <c r="G304" s="1"/>
      <c r="H304" s="171"/>
    </row>
    <row r="305" spans="1:9" ht="15.75" x14ac:dyDescent="0.25">
      <c r="A305" s="665" t="s">
        <v>4554</v>
      </c>
      <c r="B305" s="769"/>
      <c r="C305" s="769"/>
      <c r="D305" s="769">
        <v>2</v>
      </c>
      <c r="E305" s="661">
        <f>PIEDRAS!F154</f>
        <v>30</v>
      </c>
      <c r="F305" s="662">
        <f t="shared" si="1"/>
        <v>60</v>
      </c>
      <c r="G305" s="1"/>
      <c r="H305" s="171"/>
    </row>
    <row r="306" spans="1:9" ht="15.75" x14ac:dyDescent="0.25">
      <c r="A306" s="1736" t="s">
        <v>1742</v>
      </c>
      <c r="B306" s="769" t="s">
        <v>3532</v>
      </c>
      <c r="C306" s="769"/>
      <c r="D306" s="769">
        <v>1</v>
      </c>
      <c r="E306" s="661">
        <f>'PERLAS 2'!H23</f>
        <v>281.60000000000002</v>
      </c>
      <c r="F306" s="662">
        <f t="shared" si="1"/>
        <v>281.60000000000002</v>
      </c>
      <c r="G306" s="1"/>
      <c r="H306" s="171"/>
    </row>
    <row r="307" spans="1:9" ht="15.75" x14ac:dyDescent="0.25">
      <c r="A307" s="1737"/>
      <c r="B307" s="769" t="s">
        <v>1322</v>
      </c>
      <c r="C307" s="769"/>
      <c r="D307" s="769">
        <v>1</v>
      </c>
      <c r="E307" s="661">
        <f>'PERLAS 2'!H4</f>
        <v>1792</v>
      </c>
      <c r="F307" s="662">
        <f t="shared" si="1"/>
        <v>1792</v>
      </c>
      <c r="G307" s="1"/>
      <c r="H307" s="171"/>
    </row>
    <row r="308" spans="1:9" ht="15.75" x14ac:dyDescent="0.25">
      <c r="A308" s="665" t="s">
        <v>4555</v>
      </c>
      <c r="B308" s="769" t="s">
        <v>805</v>
      </c>
      <c r="C308" s="769"/>
      <c r="D308" s="769">
        <v>1</v>
      </c>
      <c r="E308" s="661">
        <f>VIDRIOS!E30</f>
        <v>65</v>
      </c>
      <c r="F308" s="662">
        <f t="shared" si="1"/>
        <v>65</v>
      </c>
      <c r="G308" s="1"/>
      <c r="H308" s="171"/>
    </row>
    <row r="309" spans="1:9" ht="15.75" x14ac:dyDescent="0.25">
      <c r="A309" s="665" t="s">
        <v>3117</v>
      </c>
      <c r="B309" s="769"/>
      <c r="C309" s="769"/>
      <c r="D309" s="769">
        <v>2</v>
      </c>
      <c r="E309" s="661">
        <f>PLATEADO!F14</f>
        <v>94</v>
      </c>
      <c r="F309" s="662">
        <f t="shared" si="1"/>
        <v>188</v>
      </c>
      <c r="G309" s="1"/>
      <c r="H309" s="171"/>
    </row>
    <row r="310" spans="1:9" ht="15.75" x14ac:dyDescent="0.25">
      <c r="A310" s="665" t="s">
        <v>1558</v>
      </c>
      <c r="B310" s="769">
        <v>60</v>
      </c>
      <c r="C310" s="769"/>
      <c r="D310" s="769">
        <v>20</v>
      </c>
      <c r="E310" s="661">
        <f>'INSUMOS VARIOS'!B3</f>
        <v>3500</v>
      </c>
      <c r="F310" s="662">
        <f>E310*D310/B310</f>
        <v>1166.6666666666667</v>
      </c>
      <c r="G310" s="1"/>
      <c r="H310" s="1424"/>
    </row>
    <row r="311" spans="1:9" ht="15.75" x14ac:dyDescent="0.25">
      <c r="A311" s="665" t="s">
        <v>1557</v>
      </c>
      <c r="B311" s="769"/>
      <c r="C311" s="769"/>
      <c r="D311" s="769"/>
      <c r="E311" s="769"/>
      <c r="F311" s="662">
        <f>PACKAGING!E3</f>
        <v>150</v>
      </c>
      <c r="G311" s="1"/>
      <c r="H311" s="171"/>
    </row>
    <row r="312" spans="1:9" ht="15.75" x14ac:dyDescent="0.25">
      <c r="A312" s="665" t="s">
        <v>4565</v>
      </c>
      <c r="B312" s="769"/>
      <c r="C312" s="769"/>
      <c r="D312" s="769"/>
      <c r="E312" s="769"/>
      <c r="F312" s="662">
        <f>PACKAGING!I5</f>
        <v>845</v>
      </c>
      <c r="G312" s="1"/>
      <c r="H312" s="171"/>
    </row>
    <row r="313" spans="1:9" ht="16.5" thickBot="1" x14ac:dyDescent="0.3">
      <c r="A313" s="672" t="s">
        <v>525</v>
      </c>
      <c r="B313" s="672"/>
      <c r="C313" s="672"/>
      <c r="D313" s="672"/>
      <c r="E313" s="672"/>
      <c r="F313" s="673">
        <f>SUM(F303:F312)</f>
        <v>7860.5523809523811</v>
      </c>
      <c r="G313" s="134"/>
      <c r="H313" s="171"/>
    </row>
    <row r="314" spans="1:9" ht="16.5" thickBot="1" x14ac:dyDescent="0.3">
      <c r="A314" s="783" t="s">
        <v>1559</v>
      </c>
      <c r="B314" s="783"/>
      <c r="C314" s="783"/>
      <c r="D314" s="783"/>
      <c r="E314" s="783"/>
      <c r="F314" s="787">
        <f>F313*2</f>
        <v>15721.104761904762</v>
      </c>
      <c r="G314" s="515">
        <f>F314+F314*70%</f>
        <v>26725.878095238095</v>
      </c>
      <c r="H314" s="1234">
        <v>36000</v>
      </c>
      <c r="I314" s="1266"/>
    </row>
    <row r="315" spans="1:9" ht="16.5" thickBot="1" x14ac:dyDescent="0.3">
      <c r="H315" s="1288">
        <f>H314*60%</f>
        <v>21600</v>
      </c>
      <c r="I315" s="1266" t="s">
        <v>3687</v>
      </c>
    </row>
    <row r="316" spans="1:9" ht="15.75" thickBot="1" x14ac:dyDescent="0.3"/>
    <row r="317" spans="1:9" ht="16.5" thickBot="1" x14ac:dyDescent="0.3">
      <c r="A317" s="1781" t="s">
        <v>134</v>
      </c>
      <c r="B317" s="1782"/>
      <c r="C317" s="1782"/>
      <c r="D317" s="1782"/>
      <c r="E317" s="1783"/>
      <c r="F317" s="804"/>
      <c r="G317" s="653"/>
    </row>
    <row r="318" spans="1:9" ht="15.75" x14ac:dyDescent="0.25">
      <c r="A318" s="821" t="s">
        <v>916</v>
      </c>
      <c r="B318" s="822" t="s">
        <v>1073</v>
      </c>
      <c r="C318" s="823" t="s">
        <v>1547</v>
      </c>
      <c r="D318" s="823" t="s">
        <v>1035</v>
      </c>
      <c r="E318" s="824" t="s">
        <v>1549</v>
      </c>
      <c r="F318" s="658"/>
      <c r="G318" s="653"/>
    </row>
    <row r="319" spans="1:9" ht="15.75" x14ac:dyDescent="0.25">
      <c r="A319" s="665" t="s">
        <v>3735</v>
      </c>
      <c r="B319" s="769" t="s">
        <v>4552</v>
      </c>
      <c r="C319" s="779" t="s">
        <v>1649</v>
      </c>
      <c r="D319" s="668">
        <f>'AROS, CADENAS, DIJES, ETC'!J103</f>
        <v>6380</v>
      </c>
      <c r="E319" s="662">
        <f>D319</f>
        <v>6380</v>
      </c>
      <c r="F319" s="658"/>
      <c r="G319" s="653"/>
    </row>
    <row r="320" spans="1:9" ht="15.75" x14ac:dyDescent="0.25">
      <c r="A320" s="665" t="s">
        <v>4553</v>
      </c>
      <c r="B320" s="769"/>
      <c r="C320" s="779">
        <v>2</v>
      </c>
      <c r="D320" s="668">
        <f>'PERLAS 2'!H33</f>
        <v>625</v>
      </c>
      <c r="E320" s="662">
        <f>D320*C320</f>
        <v>1250</v>
      </c>
      <c r="F320" s="658"/>
      <c r="G320" s="653"/>
    </row>
    <row r="321" spans="1:8" ht="15.75" x14ac:dyDescent="0.25">
      <c r="A321" s="665" t="s">
        <v>1971</v>
      </c>
      <c r="B321" s="769" t="s">
        <v>1573</v>
      </c>
      <c r="C321" s="779">
        <v>2</v>
      </c>
      <c r="D321" s="668">
        <f>FORNITURAS!D7</f>
        <v>52</v>
      </c>
      <c r="E321" s="662">
        <f>D321*C321</f>
        <v>104</v>
      </c>
      <c r="F321" s="658"/>
      <c r="G321" s="653"/>
    </row>
    <row r="322" spans="1:8" ht="15.75" x14ac:dyDescent="0.25">
      <c r="A322" s="665" t="s">
        <v>3117</v>
      </c>
      <c r="B322" s="769"/>
      <c r="C322" s="779">
        <v>2</v>
      </c>
      <c r="D322" s="668">
        <f>FORNITURAS!D11</f>
        <v>99.083333333333329</v>
      </c>
      <c r="E322" s="662">
        <f>D322*C322</f>
        <v>198.16666666666666</v>
      </c>
      <c r="F322" s="658"/>
      <c r="G322" s="653"/>
    </row>
    <row r="323" spans="1:8" ht="15.75" x14ac:dyDescent="0.25">
      <c r="A323" s="665" t="s">
        <v>1558</v>
      </c>
      <c r="B323" s="769">
        <v>60</v>
      </c>
      <c r="C323" s="779">
        <v>15</v>
      </c>
      <c r="D323" s="668">
        <f>'INSUMOS VARIOS'!B3</f>
        <v>3500</v>
      </c>
      <c r="E323" s="662">
        <f>D323*C323/B323</f>
        <v>875</v>
      </c>
      <c r="F323" s="658"/>
      <c r="G323" s="653"/>
    </row>
    <row r="324" spans="1:8" ht="15.75" x14ac:dyDescent="0.25">
      <c r="A324" s="665" t="s">
        <v>1557</v>
      </c>
      <c r="B324" s="769"/>
      <c r="C324" s="779"/>
      <c r="D324" s="668"/>
      <c r="E324" s="662">
        <f>PACKAGING!E3</f>
        <v>150</v>
      </c>
      <c r="F324" s="658"/>
      <c r="G324" s="653"/>
    </row>
    <row r="325" spans="1:8" ht="15.75" x14ac:dyDescent="0.25">
      <c r="A325" s="665" t="s">
        <v>3496</v>
      </c>
      <c r="B325" s="769"/>
      <c r="C325" s="779"/>
      <c r="D325" s="668"/>
      <c r="E325" s="662">
        <f>PACKAGING!E9</f>
        <v>450</v>
      </c>
      <c r="F325" s="658"/>
      <c r="G325" s="653"/>
    </row>
    <row r="326" spans="1:8" ht="16.5" thickBot="1" x14ac:dyDescent="0.3">
      <c r="A326" s="670" t="s">
        <v>525</v>
      </c>
      <c r="B326" s="672"/>
      <c r="C326" s="780"/>
      <c r="D326" s="780"/>
      <c r="E326" s="673">
        <f>SUM(E319:E325)</f>
        <v>9407.1666666666679</v>
      </c>
      <c r="F326" s="658"/>
      <c r="G326" s="653"/>
    </row>
    <row r="327" spans="1:8" ht="16.5" thickBot="1" x14ac:dyDescent="0.3">
      <c r="A327" s="781" t="s">
        <v>544</v>
      </c>
      <c r="B327" s="825"/>
      <c r="C327" s="825"/>
      <c r="D327" s="825"/>
      <c r="E327" s="784">
        <f>E326*2</f>
        <v>18814.333333333336</v>
      </c>
      <c r="F327" s="1374">
        <f>E327+E327*70%</f>
        <v>31984.366666666669</v>
      </c>
      <c r="G327" s="1390">
        <v>34000</v>
      </c>
    </row>
    <row r="328" spans="1:8" ht="16.5" thickBot="1" x14ac:dyDescent="0.3">
      <c r="G328" s="1275">
        <f>G327*50%</f>
        <v>17000</v>
      </c>
      <c r="H328" t="s">
        <v>3687</v>
      </c>
    </row>
    <row r="329" spans="1:8" ht="15.75" thickBot="1" x14ac:dyDescent="0.3"/>
    <row r="330" spans="1:8" ht="16.5" thickBot="1" x14ac:dyDescent="0.3">
      <c r="A330" s="1775" t="s">
        <v>337</v>
      </c>
      <c r="B330" s="1776"/>
      <c r="C330" s="1776"/>
      <c r="D330" s="1776"/>
      <c r="E330" s="1776"/>
      <c r="F330" s="1776"/>
      <c r="G330" s="631"/>
      <c r="H330" s="171"/>
    </row>
    <row r="331" spans="1:8" ht="15.75" x14ac:dyDescent="0.25">
      <c r="A331" s="1400" t="s">
        <v>916</v>
      </c>
      <c r="B331" s="1400" t="s">
        <v>1073</v>
      </c>
      <c r="C331" s="1400" t="s">
        <v>1089</v>
      </c>
      <c r="D331" s="1400" t="s">
        <v>1547</v>
      </c>
      <c r="E331" s="1400" t="s">
        <v>1035</v>
      </c>
      <c r="F331" s="824" t="s">
        <v>1549</v>
      </c>
      <c r="G331" s="1"/>
      <c r="H331" s="171"/>
    </row>
    <row r="332" spans="1:8" ht="15.75" x14ac:dyDescent="0.25">
      <c r="A332" s="665" t="s">
        <v>3735</v>
      </c>
      <c r="B332" s="769" t="s">
        <v>3577</v>
      </c>
      <c r="C332" s="769"/>
      <c r="D332" s="769" t="s">
        <v>1649</v>
      </c>
      <c r="E332" s="661">
        <f>PLATEADO!E32</f>
        <v>2798</v>
      </c>
      <c r="F332" s="662">
        <f>E332</f>
        <v>2798</v>
      </c>
      <c r="G332" s="1"/>
      <c r="H332" s="171"/>
    </row>
    <row r="333" spans="1:8" ht="15.75" x14ac:dyDescent="0.25">
      <c r="A333" s="665" t="s">
        <v>4351</v>
      </c>
      <c r="B333" s="769">
        <v>0.93</v>
      </c>
      <c r="C333" s="769"/>
      <c r="D333" s="769">
        <v>3.5000000000000003E-2</v>
      </c>
      <c r="E333" s="661">
        <f>PIEDRAS!E149</f>
        <v>3600</v>
      </c>
      <c r="F333" s="662">
        <f>E333*D333</f>
        <v>126.00000000000001</v>
      </c>
      <c r="G333" s="1"/>
      <c r="H333" s="171"/>
    </row>
    <row r="334" spans="1:8" ht="15.75" x14ac:dyDescent="0.25">
      <c r="A334" s="665" t="s">
        <v>4163</v>
      </c>
      <c r="B334" s="769"/>
      <c r="C334" s="769"/>
      <c r="D334" s="769">
        <v>1</v>
      </c>
      <c r="E334" s="661">
        <f>'INSUMOS VARIOS'!E77</f>
        <v>200</v>
      </c>
      <c r="F334" s="662">
        <f>E334*D334</f>
        <v>200</v>
      </c>
      <c r="G334" s="1"/>
      <c r="H334" s="171"/>
    </row>
    <row r="335" spans="1:8" ht="15.75" x14ac:dyDescent="0.25">
      <c r="A335" s="1736" t="s">
        <v>4556</v>
      </c>
      <c r="B335" s="769">
        <v>0.35</v>
      </c>
      <c r="C335" s="769"/>
      <c r="D335" s="769">
        <v>2</v>
      </c>
      <c r="E335" s="661">
        <f>'HILOS-CORDONES-TANZA-CUERO'!E24</f>
        <v>56</v>
      </c>
      <c r="F335" s="662">
        <f>E335*D335*B335</f>
        <v>39.199999999999996</v>
      </c>
      <c r="G335" s="1"/>
      <c r="H335" s="171"/>
    </row>
    <row r="336" spans="1:8" ht="15.75" x14ac:dyDescent="0.25">
      <c r="A336" s="1737"/>
      <c r="B336" s="769">
        <v>0.65</v>
      </c>
      <c r="C336" s="769"/>
      <c r="D336" s="769">
        <v>1</v>
      </c>
      <c r="E336" s="661">
        <f>'HILOS-CORDONES-TANZA-CUERO'!E24</f>
        <v>56</v>
      </c>
      <c r="F336" s="662">
        <f>E336*D336*B336</f>
        <v>36.4</v>
      </c>
      <c r="G336" s="1"/>
      <c r="H336" s="171"/>
    </row>
    <row r="337" spans="1:9" ht="15.75" x14ac:dyDescent="0.25">
      <c r="A337" s="665" t="s">
        <v>1971</v>
      </c>
      <c r="B337" s="769"/>
      <c r="C337" s="769"/>
      <c r="D337" s="769">
        <v>2</v>
      </c>
      <c r="E337" s="661">
        <f>PLATEADO!D23</f>
        <v>46.8</v>
      </c>
      <c r="F337" s="662">
        <f>E337*D337</f>
        <v>93.6</v>
      </c>
      <c r="G337" s="1"/>
    </row>
    <row r="338" spans="1:9" ht="15.75" x14ac:dyDescent="0.25">
      <c r="A338" s="665" t="s">
        <v>1558</v>
      </c>
      <c r="B338" s="769">
        <v>60</v>
      </c>
      <c r="C338" s="769"/>
      <c r="D338" s="769">
        <v>45</v>
      </c>
      <c r="E338" s="661">
        <f>'INSUMOS VARIOS'!B3</f>
        <v>3500</v>
      </c>
      <c r="F338" s="662">
        <f>E338*D338/B338</f>
        <v>2625</v>
      </c>
      <c r="G338" s="1"/>
    </row>
    <row r="339" spans="1:9" ht="15.75" x14ac:dyDescent="0.25">
      <c r="A339" s="665" t="s">
        <v>1557</v>
      </c>
      <c r="B339" s="769"/>
      <c r="C339" s="769"/>
      <c r="D339" s="769"/>
      <c r="E339" s="769"/>
      <c r="F339" s="662">
        <f>PACKAGING!E3</f>
        <v>150</v>
      </c>
      <c r="G339" s="1"/>
      <c r="H339" s="171"/>
    </row>
    <row r="340" spans="1:9" ht="15.75" x14ac:dyDescent="0.25">
      <c r="A340" s="665" t="s">
        <v>3568</v>
      </c>
      <c r="B340" s="769"/>
      <c r="C340" s="769"/>
      <c r="D340" s="769"/>
      <c r="E340" s="769"/>
      <c r="F340" s="662">
        <f>PACKAGING!I5</f>
        <v>845</v>
      </c>
      <c r="G340" s="1"/>
      <c r="H340" s="171"/>
    </row>
    <row r="341" spans="1:9" ht="16.5" thickBot="1" x14ac:dyDescent="0.3">
      <c r="A341" s="672" t="s">
        <v>525</v>
      </c>
      <c r="B341" s="672"/>
      <c r="C341" s="672"/>
      <c r="D341" s="672"/>
      <c r="E341" s="672"/>
      <c r="F341" s="673">
        <f>SUM(F332:F340)</f>
        <v>6913.2</v>
      </c>
      <c r="G341" s="134"/>
      <c r="H341" s="171"/>
    </row>
    <row r="342" spans="1:9" ht="16.5" thickBot="1" x14ac:dyDescent="0.3">
      <c r="A342" s="783" t="s">
        <v>1559</v>
      </c>
      <c r="B342" s="783"/>
      <c r="C342" s="783"/>
      <c r="D342" s="783"/>
      <c r="E342" s="783"/>
      <c r="F342" s="787">
        <f>F341*2</f>
        <v>13826.4</v>
      </c>
      <c r="G342" s="515">
        <f>F342+F342*70%</f>
        <v>23504.879999999997</v>
      </c>
      <c r="H342" s="1234">
        <v>28000</v>
      </c>
      <c r="I342" s="1266"/>
    </row>
    <row r="343" spans="1:9" ht="16.5" thickBot="1" x14ac:dyDescent="0.3">
      <c r="H343" s="1288">
        <f>H342*60%</f>
        <v>16800</v>
      </c>
      <c r="I343" s="1266" t="s">
        <v>3687</v>
      </c>
    </row>
    <row r="344" spans="1:9" ht="15.75" thickBot="1" x14ac:dyDescent="0.3"/>
    <row r="345" spans="1:9" ht="16.5" thickBot="1" x14ac:dyDescent="0.3">
      <c r="A345" s="1775" t="s">
        <v>4639</v>
      </c>
      <c r="B345" s="1776"/>
      <c r="C345" s="1776"/>
      <c r="D345" s="1776"/>
      <c r="E345" s="1777"/>
      <c r="F345" s="804"/>
      <c r="G345" s="653"/>
    </row>
    <row r="346" spans="1:9" ht="15.75" x14ac:dyDescent="0.25">
      <c r="A346" s="821" t="s">
        <v>916</v>
      </c>
      <c r="B346" s="822" t="s">
        <v>1073</v>
      </c>
      <c r="C346" s="823" t="s">
        <v>1547</v>
      </c>
      <c r="D346" s="823" t="s">
        <v>1035</v>
      </c>
      <c r="E346" s="824" t="s">
        <v>1549</v>
      </c>
      <c r="F346" s="658"/>
      <c r="G346" s="653"/>
    </row>
    <row r="347" spans="1:9" ht="15.75" x14ac:dyDescent="0.25">
      <c r="A347" s="665" t="s">
        <v>4520</v>
      </c>
      <c r="B347" s="769" t="s">
        <v>4636</v>
      </c>
      <c r="C347" s="779" t="s">
        <v>1649</v>
      </c>
      <c r="D347" s="668">
        <f>'AROS, CADENAS, DIJES, ETC'!C67</f>
        <v>5570</v>
      </c>
      <c r="E347" s="662">
        <f>D347</f>
        <v>5570</v>
      </c>
      <c r="F347" s="658"/>
      <c r="G347" s="653"/>
    </row>
    <row r="348" spans="1:9" ht="15.75" x14ac:dyDescent="0.25">
      <c r="A348" s="665" t="s">
        <v>1557</v>
      </c>
      <c r="B348" s="769"/>
      <c r="C348" s="779"/>
      <c r="D348" s="668"/>
      <c r="E348" s="662">
        <f>PACKAGING!E3</f>
        <v>150</v>
      </c>
      <c r="F348" s="658"/>
      <c r="G348" s="653"/>
    </row>
    <row r="349" spans="1:9" ht="15.75" x14ac:dyDescent="0.25">
      <c r="A349" s="665" t="s">
        <v>3496</v>
      </c>
      <c r="B349" s="769"/>
      <c r="C349" s="779"/>
      <c r="D349" s="668"/>
      <c r="E349" s="662">
        <f>PACKAGING!E8</f>
        <v>420</v>
      </c>
      <c r="F349" s="658"/>
      <c r="G349" s="653"/>
    </row>
    <row r="350" spans="1:9" ht="16.5" thickBot="1" x14ac:dyDescent="0.3">
      <c r="A350" s="670" t="s">
        <v>525</v>
      </c>
      <c r="B350" s="672"/>
      <c r="C350" s="780"/>
      <c r="D350" s="780"/>
      <c r="E350" s="673">
        <f>SUM(E347:E349)</f>
        <v>6140</v>
      </c>
      <c r="F350" s="658"/>
      <c r="G350" s="653"/>
    </row>
    <row r="351" spans="1:9" ht="16.5" thickBot="1" x14ac:dyDescent="0.3">
      <c r="A351" s="781" t="s">
        <v>544</v>
      </c>
      <c r="B351" s="825"/>
      <c r="C351" s="825"/>
      <c r="D351" s="825"/>
      <c r="E351" s="784">
        <f>E350*2</f>
        <v>12280</v>
      </c>
      <c r="F351" s="1374">
        <f>E351+E351*70%</f>
        <v>20876</v>
      </c>
      <c r="G351" s="1390">
        <v>28000</v>
      </c>
    </row>
    <row r="352" spans="1:9" ht="16.5" thickBot="1" x14ac:dyDescent="0.3">
      <c r="G352" s="1275"/>
      <c r="H352" t="s">
        <v>3687</v>
      </c>
    </row>
    <row r="354" spans="1:8" ht="15.75" thickBot="1" x14ac:dyDescent="0.3"/>
    <row r="355" spans="1:8" ht="16.5" thickBot="1" x14ac:dyDescent="0.3">
      <c r="A355" s="1775" t="s">
        <v>4825</v>
      </c>
      <c r="B355" s="1776"/>
      <c r="C355" s="1776"/>
      <c r="D355" s="1776"/>
      <c r="E355" s="1777"/>
      <c r="F355" s="804"/>
      <c r="G355" s="653"/>
    </row>
    <row r="356" spans="1:8" ht="15.75" x14ac:dyDescent="0.25">
      <c r="A356" s="821" t="s">
        <v>916</v>
      </c>
      <c r="B356" s="822" t="s">
        <v>1073</v>
      </c>
      <c r="C356" s="823" t="s">
        <v>1547</v>
      </c>
      <c r="D356" s="823" t="s">
        <v>1035</v>
      </c>
      <c r="E356" s="824" t="s">
        <v>1549</v>
      </c>
      <c r="F356" s="658"/>
      <c r="G356" s="653"/>
    </row>
    <row r="357" spans="1:8" ht="15.75" x14ac:dyDescent="0.25">
      <c r="A357" s="665" t="s">
        <v>4806</v>
      </c>
      <c r="B357" s="769" t="s">
        <v>4807</v>
      </c>
      <c r="C357" s="779" t="s">
        <v>1649</v>
      </c>
      <c r="D357" s="668">
        <f>'AROS, CADENAS, DIJES, ETC'!C71</f>
        <v>5414</v>
      </c>
      <c r="E357" s="662">
        <f>D357</f>
        <v>5414</v>
      </c>
      <c r="F357" s="658"/>
      <c r="G357" s="653"/>
    </row>
    <row r="358" spans="1:8" ht="15.75" x14ac:dyDescent="0.25">
      <c r="A358" s="665" t="s">
        <v>1557</v>
      </c>
      <c r="B358" s="769"/>
      <c r="C358" s="779"/>
      <c r="D358" s="668"/>
      <c r="E358" s="662">
        <f>PACKAGING!E3</f>
        <v>150</v>
      </c>
      <c r="F358" s="658"/>
      <c r="G358" s="653"/>
    </row>
    <row r="359" spans="1:8" ht="15.75" x14ac:dyDescent="0.25">
      <c r="A359" s="665" t="s">
        <v>3180</v>
      </c>
      <c r="B359" s="769"/>
      <c r="C359" s="779"/>
      <c r="D359" s="668"/>
      <c r="E359" s="662">
        <f>PACKAGING!E8</f>
        <v>420</v>
      </c>
      <c r="F359" s="658"/>
      <c r="G359" s="653"/>
    </row>
    <row r="360" spans="1:8" ht="16.5" thickBot="1" x14ac:dyDescent="0.3">
      <c r="A360" s="670" t="s">
        <v>525</v>
      </c>
      <c r="B360" s="672"/>
      <c r="C360" s="780"/>
      <c r="D360" s="780"/>
      <c r="E360" s="673">
        <f>SUM(E357:E359)</f>
        <v>5984</v>
      </c>
      <c r="F360" s="658"/>
      <c r="G360" s="653"/>
    </row>
    <row r="361" spans="1:8" ht="16.5" thickBot="1" x14ac:dyDescent="0.3">
      <c r="A361" s="781" t="s">
        <v>544</v>
      </c>
      <c r="B361" s="825"/>
      <c r="C361" s="825"/>
      <c r="D361" s="825"/>
      <c r="E361" s="784">
        <f>E360*2</f>
        <v>11968</v>
      </c>
      <c r="F361" s="1374">
        <f>E361+E361*70%</f>
        <v>20345.599999999999</v>
      </c>
      <c r="G361" s="1390">
        <v>28000</v>
      </c>
    </row>
    <row r="362" spans="1:8" ht="16.5" thickBot="1" x14ac:dyDescent="0.3">
      <c r="G362" s="1275"/>
      <c r="H362" t="s">
        <v>3687</v>
      </c>
    </row>
    <row r="363" spans="1:8" ht="15.75" thickBot="1" x14ac:dyDescent="0.3"/>
    <row r="364" spans="1:8" ht="16.5" thickBot="1" x14ac:dyDescent="0.3">
      <c r="A364" s="1775" t="s">
        <v>4826</v>
      </c>
      <c r="B364" s="1776"/>
      <c r="C364" s="1776"/>
      <c r="D364" s="1776"/>
      <c r="E364" s="1777"/>
      <c r="F364" s="804"/>
      <c r="G364" s="653"/>
    </row>
    <row r="365" spans="1:8" ht="15.75" x14ac:dyDescent="0.25">
      <c r="A365" s="821" t="s">
        <v>916</v>
      </c>
      <c r="B365" s="822" t="s">
        <v>1073</v>
      </c>
      <c r="C365" s="823" t="s">
        <v>1547</v>
      </c>
      <c r="D365" s="823" t="s">
        <v>1035</v>
      </c>
      <c r="E365" s="824" t="s">
        <v>1549</v>
      </c>
      <c r="F365" s="658"/>
      <c r="G365" s="653"/>
    </row>
    <row r="366" spans="1:8" ht="15.75" x14ac:dyDescent="0.25">
      <c r="A366" s="665" t="s">
        <v>4808</v>
      </c>
      <c r="B366" s="769" t="s">
        <v>4800</v>
      </c>
      <c r="C366" s="779" t="s">
        <v>1649</v>
      </c>
      <c r="D366" s="668">
        <f>'AROS, CADENAS, DIJES, ETC'!C72</f>
        <v>5699</v>
      </c>
      <c r="E366" s="662">
        <f>D366</f>
        <v>5699</v>
      </c>
      <c r="F366" s="658"/>
      <c r="G366" s="653"/>
    </row>
    <row r="367" spans="1:8" ht="15.75" x14ac:dyDescent="0.25">
      <c r="A367" s="665" t="s">
        <v>1557</v>
      </c>
      <c r="B367" s="769"/>
      <c r="C367" s="779"/>
      <c r="D367" s="668"/>
      <c r="E367" s="662">
        <f>PACKAGING!E3</f>
        <v>150</v>
      </c>
      <c r="F367" s="658"/>
      <c r="G367" s="653"/>
    </row>
    <row r="368" spans="1:8" ht="15.75" x14ac:dyDescent="0.25">
      <c r="A368" s="665" t="s">
        <v>3180</v>
      </c>
      <c r="B368" s="769"/>
      <c r="C368" s="779"/>
      <c r="D368" s="668"/>
      <c r="E368" s="662">
        <f>PACKAGING!E8</f>
        <v>420</v>
      </c>
      <c r="F368" s="658"/>
      <c r="G368" s="653"/>
    </row>
    <row r="369" spans="1:8" ht="16.5" thickBot="1" x14ac:dyDescent="0.3">
      <c r="A369" s="670" t="s">
        <v>525</v>
      </c>
      <c r="B369" s="672"/>
      <c r="C369" s="780"/>
      <c r="D369" s="780"/>
      <c r="E369" s="673">
        <f>SUM(E366:E368)</f>
        <v>6269</v>
      </c>
      <c r="F369" s="658"/>
      <c r="G369" s="653"/>
    </row>
    <row r="370" spans="1:8" ht="16.5" thickBot="1" x14ac:dyDescent="0.3">
      <c r="A370" s="781" t="s">
        <v>544</v>
      </c>
      <c r="B370" s="825"/>
      <c r="C370" s="825"/>
      <c r="D370" s="825"/>
      <c r="E370" s="784">
        <f>E369*2</f>
        <v>12538</v>
      </c>
      <c r="F370" s="1374">
        <f>E370+E370*70%</f>
        <v>21314.6</v>
      </c>
      <c r="G370" s="1390">
        <v>28000</v>
      </c>
    </row>
    <row r="371" spans="1:8" ht="16.5" thickBot="1" x14ac:dyDescent="0.3">
      <c r="G371" s="1275"/>
      <c r="H371" t="s">
        <v>3687</v>
      </c>
    </row>
    <row r="373" spans="1:8" ht="15.75" thickBot="1" x14ac:dyDescent="0.3"/>
    <row r="374" spans="1:8" ht="16.5" thickBot="1" x14ac:dyDescent="0.3">
      <c r="A374" s="1775" t="s">
        <v>4827</v>
      </c>
      <c r="B374" s="1776"/>
      <c r="C374" s="1776"/>
      <c r="D374" s="1776"/>
      <c r="E374" s="1777"/>
      <c r="F374" s="804"/>
      <c r="G374" s="653"/>
    </row>
    <row r="375" spans="1:8" ht="15.75" x14ac:dyDescent="0.25">
      <c r="A375" s="821" t="s">
        <v>916</v>
      </c>
      <c r="B375" s="822" t="s">
        <v>1073</v>
      </c>
      <c r="C375" s="823" t="s">
        <v>1547</v>
      </c>
      <c r="D375" s="823" t="s">
        <v>1035</v>
      </c>
      <c r="E375" s="824" t="s">
        <v>1549</v>
      </c>
      <c r="F375" s="658"/>
      <c r="G375" s="653"/>
    </row>
    <row r="376" spans="1:8" ht="15.75" x14ac:dyDescent="0.25">
      <c r="A376" s="665" t="s">
        <v>4809</v>
      </c>
      <c r="B376" s="769" t="s">
        <v>4801</v>
      </c>
      <c r="C376" s="779" t="s">
        <v>1649</v>
      </c>
      <c r="D376" s="668">
        <f>'AROS, CADENAS, DIJES, ETC'!C73</f>
        <v>5883</v>
      </c>
      <c r="E376" s="662">
        <f>D376</f>
        <v>5883</v>
      </c>
      <c r="F376" s="658"/>
      <c r="G376" s="653"/>
    </row>
    <row r="377" spans="1:8" ht="15.75" x14ac:dyDescent="0.25">
      <c r="A377" s="665" t="s">
        <v>1557</v>
      </c>
      <c r="B377" s="769"/>
      <c r="C377" s="779"/>
      <c r="D377" s="668"/>
      <c r="E377" s="662">
        <f>PACKAGING!E3</f>
        <v>150</v>
      </c>
      <c r="F377" s="658"/>
      <c r="G377" s="653"/>
    </row>
    <row r="378" spans="1:8" ht="15.75" x14ac:dyDescent="0.25">
      <c r="A378" s="665" t="s">
        <v>3180</v>
      </c>
      <c r="B378" s="769"/>
      <c r="C378" s="779"/>
      <c r="D378" s="668"/>
      <c r="E378" s="662">
        <f>PACKAGING!E8</f>
        <v>420</v>
      </c>
      <c r="F378" s="658"/>
      <c r="G378" s="653"/>
    </row>
    <row r="379" spans="1:8" ht="16.5" thickBot="1" x14ac:dyDescent="0.3">
      <c r="A379" s="670" t="s">
        <v>525</v>
      </c>
      <c r="B379" s="672"/>
      <c r="C379" s="780"/>
      <c r="D379" s="780"/>
      <c r="E379" s="673">
        <f>SUM(E376:E378)</f>
        <v>6453</v>
      </c>
      <c r="F379" s="658"/>
      <c r="G379" s="653"/>
    </row>
    <row r="380" spans="1:8" ht="16.5" thickBot="1" x14ac:dyDescent="0.3">
      <c r="A380" s="781" t="s">
        <v>544</v>
      </c>
      <c r="B380" s="825"/>
      <c r="C380" s="825"/>
      <c r="D380" s="825"/>
      <c r="E380" s="784">
        <f>E379*2</f>
        <v>12906</v>
      </c>
      <c r="F380" s="1374">
        <f>E380+E380*70%</f>
        <v>21940.199999999997</v>
      </c>
      <c r="G380" s="1390">
        <v>30000</v>
      </c>
    </row>
    <row r="381" spans="1:8" ht="16.5" thickBot="1" x14ac:dyDescent="0.3">
      <c r="G381" s="1275"/>
      <c r="H381" t="s">
        <v>3687</v>
      </c>
    </row>
    <row r="383" spans="1:8" ht="15.75" thickBot="1" x14ac:dyDescent="0.3"/>
    <row r="384" spans="1:8" ht="16.5" thickBot="1" x14ac:dyDescent="0.3">
      <c r="A384" s="1775" t="s">
        <v>4828</v>
      </c>
      <c r="B384" s="1776"/>
      <c r="C384" s="1776"/>
      <c r="D384" s="1776"/>
      <c r="E384" s="1777"/>
      <c r="F384" s="804"/>
      <c r="G384" s="653"/>
    </row>
    <row r="385" spans="1:8" ht="15.75" x14ac:dyDescent="0.25">
      <c r="A385" s="821" t="s">
        <v>916</v>
      </c>
      <c r="B385" s="822" t="s">
        <v>1073</v>
      </c>
      <c r="C385" s="823" t="s">
        <v>1547</v>
      </c>
      <c r="D385" s="823" t="s">
        <v>1035</v>
      </c>
      <c r="E385" s="824" t="s">
        <v>1549</v>
      </c>
      <c r="F385" s="658"/>
      <c r="G385" s="653"/>
    </row>
    <row r="386" spans="1:8" ht="15.75" x14ac:dyDescent="0.25">
      <c r="A386" s="665" t="s">
        <v>4810</v>
      </c>
      <c r="B386" s="769" t="s">
        <v>4802</v>
      </c>
      <c r="C386" s="779" t="s">
        <v>1649</v>
      </c>
      <c r="D386" s="668">
        <f>'AROS, CADENAS, DIJES, ETC'!C74</f>
        <v>6067</v>
      </c>
      <c r="E386" s="662">
        <f>D386</f>
        <v>6067</v>
      </c>
      <c r="F386" s="658"/>
      <c r="G386" s="653"/>
    </row>
    <row r="387" spans="1:8" ht="15.75" x14ac:dyDescent="0.25">
      <c r="A387" s="665" t="s">
        <v>1557</v>
      </c>
      <c r="B387" s="769"/>
      <c r="C387" s="779"/>
      <c r="D387" s="668"/>
      <c r="E387" s="662">
        <f>PACKAGING!E3</f>
        <v>150</v>
      </c>
      <c r="F387" s="658"/>
      <c r="G387" s="653"/>
    </row>
    <row r="388" spans="1:8" ht="15.75" x14ac:dyDescent="0.25">
      <c r="A388" s="665" t="s">
        <v>3180</v>
      </c>
      <c r="B388" s="769"/>
      <c r="C388" s="779"/>
      <c r="D388" s="668"/>
      <c r="E388" s="662">
        <f>PACKAGING!E8</f>
        <v>420</v>
      </c>
      <c r="F388" s="658"/>
      <c r="G388" s="653"/>
    </row>
    <row r="389" spans="1:8" ht="16.5" thickBot="1" x14ac:dyDescent="0.3">
      <c r="A389" s="670" t="s">
        <v>525</v>
      </c>
      <c r="B389" s="672"/>
      <c r="C389" s="780"/>
      <c r="D389" s="780"/>
      <c r="E389" s="673">
        <f>SUM(E386:E388)</f>
        <v>6637</v>
      </c>
      <c r="F389" s="658"/>
      <c r="G389" s="653"/>
    </row>
    <row r="390" spans="1:8" ht="16.5" thickBot="1" x14ac:dyDescent="0.3">
      <c r="A390" s="781" t="s">
        <v>544</v>
      </c>
      <c r="B390" s="825"/>
      <c r="C390" s="825"/>
      <c r="D390" s="825"/>
      <c r="E390" s="784">
        <f>E389*2</f>
        <v>13274</v>
      </c>
      <c r="F390" s="1374">
        <f>E390+E390*70%</f>
        <v>22565.8</v>
      </c>
      <c r="G390" s="1390">
        <v>32000</v>
      </c>
    </row>
    <row r="391" spans="1:8" ht="16.5" thickBot="1" x14ac:dyDescent="0.3">
      <c r="G391" s="1275"/>
      <c r="H391" t="s">
        <v>3687</v>
      </c>
    </row>
    <row r="393" spans="1:8" ht="15.75" thickBot="1" x14ac:dyDescent="0.3"/>
    <row r="394" spans="1:8" ht="16.5" thickBot="1" x14ac:dyDescent="0.3">
      <c r="A394" s="1775" t="s">
        <v>455</v>
      </c>
      <c r="B394" s="1776"/>
      <c r="C394" s="1776"/>
      <c r="D394" s="1776"/>
      <c r="E394" s="1777"/>
      <c r="F394" s="804"/>
      <c r="G394" s="653"/>
    </row>
    <row r="395" spans="1:8" ht="15.75" x14ac:dyDescent="0.25">
      <c r="A395" s="821" t="s">
        <v>916</v>
      </c>
      <c r="B395" s="822" t="s">
        <v>1073</v>
      </c>
      <c r="C395" s="823" t="s">
        <v>1547</v>
      </c>
      <c r="D395" s="823" t="s">
        <v>1035</v>
      </c>
      <c r="E395" s="824" t="s">
        <v>1549</v>
      </c>
      <c r="F395" s="658"/>
      <c r="G395" s="653"/>
    </row>
    <row r="396" spans="1:8" ht="15.75" x14ac:dyDescent="0.25">
      <c r="A396" s="665" t="s">
        <v>4795</v>
      </c>
      <c r="B396" s="769" t="s">
        <v>4794</v>
      </c>
      <c r="C396" s="779" t="s">
        <v>1649</v>
      </c>
      <c r="D396" s="668">
        <f>'AROS, CADENAS, DIJES, ETC'!C168</f>
        <v>5160</v>
      </c>
      <c r="E396" s="662">
        <f>D396</f>
        <v>5160</v>
      </c>
      <c r="F396" s="658"/>
      <c r="G396" s="653"/>
    </row>
    <row r="397" spans="1:8" ht="15.75" x14ac:dyDescent="0.25">
      <c r="A397" s="665" t="s">
        <v>1557</v>
      </c>
      <c r="B397" s="769"/>
      <c r="C397" s="779"/>
      <c r="D397" s="668"/>
      <c r="E397" s="662">
        <f>PACKAGING!E13</f>
        <v>6</v>
      </c>
      <c r="F397" s="658"/>
      <c r="G397" s="653"/>
    </row>
    <row r="398" spans="1:8" ht="15.75" x14ac:dyDescent="0.25">
      <c r="A398" s="665" t="s">
        <v>3180</v>
      </c>
      <c r="B398" s="769"/>
      <c r="C398" s="779"/>
      <c r="D398" s="668"/>
      <c r="E398" s="662">
        <f>PACKAGING!E18</f>
        <v>2</v>
      </c>
      <c r="F398" s="658"/>
      <c r="G398" s="653"/>
    </row>
    <row r="399" spans="1:8" ht="16.5" thickBot="1" x14ac:dyDescent="0.3">
      <c r="A399" s="670" t="s">
        <v>525</v>
      </c>
      <c r="B399" s="672"/>
      <c r="C399" s="780"/>
      <c r="D399" s="780"/>
      <c r="E399" s="673">
        <f>SUM(E396:E398)</f>
        <v>5168</v>
      </c>
      <c r="F399" s="658"/>
      <c r="G399" s="653"/>
    </row>
    <row r="400" spans="1:8" ht="16.5" thickBot="1" x14ac:dyDescent="0.3">
      <c r="A400" s="781" t="s">
        <v>544</v>
      </c>
      <c r="B400" s="825"/>
      <c r="C400" s="825"/>
      <c r="D400" s="825"/>
      <c r="E400" s="784">
        <f>E399*2</f>
        <v>10336</v>
      </c>
      <c r="F400" s="1374">
        <f>E400+E400*70%</f>
        <v>17571.2</v>
      </c>
      <c r="G400" s="1390">
        <v>30000</v>
      </c>
    </row>
    <row r="401" spans="1:8" ht="16.5" thickBot="1" x14ac:dyDescent="0.3">
      <c r="G401" s="1275"/>
      <c r="H401" t="s">
        <v>3687</v>
      </c>
    </row>
    <row r="402" spans="1:8" ht="15.75" thickBot="1" x14ac:dyDescent="0.3"/>
    <row r="403" spans="1:8" ht="16.5" thickBot="1" x14ac:dyDescent="0.3">
      <c r="A403" s="1775" t="s">
        <v>4831</v>
      </c>
      <c r="B403" s="1776"/>
      <c r="C403" s="1776"/>
      <c r="D403" s="1776"/>
      <c r="E403" s="1777"/>
      <c r="F403" s="804"/>
      <c r="G403" s="653"/>
    </row>
    <row r="404" spans="1:8" ht="15.75" x14ac:dyDescent="0.25">
      <c r="A404" s="821" t="s">
        <v>916</v>
      </c>
      <c r="B404" s="822" t="s">
        <v>1073</v>
      </c>
      <c r="C404" s="823" t="s">
        <v>1547</v>
      </c>
      <c r="D404" s="823" t="s">
        <v>1035</v>
      </c>
      <c r="E404" s="824" t="s">
        <v>1549</v>
      </c>
      <c r="F404" s="658"/>
      <c r="G404" s="653"/>
    </row>
    <row r="405" spans="1:8" ht="15.75" x14ac:dyDescent="0.25">
      <c r="A405" s="665" t="s">
        <v>4832</v>
      </c>
      <c r="B405" s="769" t="s">
        <v>4833</v>
      </c>
      <c r="C405" s="779" t="s">
        <v>1649</v>
      </c>
      <c r="D405" s="668">
        <f>'AROS, CADENAS, DIJES, ETC'!C42</f>
        <v>4298</v>
      </c>
      <c r="E405" s="662">
        <f>D405</f>
        <v>4298</v>
      </c>
      <c r="F405" s="658"/>
      <c r="G405" s="653"/>
    </row>
    <row r="406" spans="1:8" ht="15.75" x14ac:dyDescent="0.25">
      <c r="A406" s="665" t="s">
        <v>1557</v>
      </c>
      <c r="B406" s="769"/>
      <c r="C406" s="779"/>
      <c r="D406" s="668"/>
      <c r="E406" s="662">
        <f>PACKAGING!E3</f>
        <v>150</v>
      </c>
      <c r="F406" s="658"/>
      <c r="G406" s="653"/>
    </row>
    <row r="407" spans="1:8" ht="15.75" x14ac:dyDescent="0.25">
      <c r="A407" s="665" t="s">
        <v>3496</v>
      </c>
      <c r="B407" s="769"/>
      <c r="C407" s="779"/>
      <c r="D407" s="668"/>
      <c r="E407" s="662">
        <f>PACKAGING!E9</f>
        <v>450</v>
      </c>
      <c r="F407" s="658"/>
      <c r="G407" s="653"/>
    </row>
    <row r="408" spans="1:8" ht="16.5" thickBot="1" x14ac:dyDescent="0.3">
      <c r="A408" s="670" t="s">
        <v>525</v>
      </c>
      <c r="B408" s="672"/>
      <c r="C408" s="780"/>
      <c r="D408" s="780"/>
      <c r="E408" s="673">
        <f>SUM(E405:E407)</f>
        <v>4898</v>
      </c>
      <c r="F408" s="658"/>
      <c r="G408" s="653"/>
    </row>
    <row r="409" spans="1:8" ht="16.5" thickBot="1" x14ac:dyDescent="0.3">
      <c r="A409" s="781" t="s">
        <v>544</v>
      </c>
      <c r="B409" s="825"/>
      <c r="C409" s="825"/>
      <c r="D409" s="825"/>
      <c r="E409" s="784">
        <f>E408*2</f>
        <v>9796</v>
      </c>
      <c r="F409" s="1374">
        <f>E409+E409*70%</f>
        <v>16653.2</v>
      </c>
      <c r="G409" s="1390">
        <v>28000</v>
      </c>
    </row>
    <row r="410" spans="1:8" ht="16.5" thickBot="1" x14ac:dyDescent="0.3">
      <c r="G410" s="1275"/>
      <c r="H410" t="s">
        <v>3687</v>
      </c>
    </row>
    <row r="412" spans="1:8" ht="15.75" thickBot="1" x14ac:dyDescent="0.3"/>
    <row r="413" spans="1:8" ht="16.5" thickBot="1" x14ac:dyDescent="0.3">
      <c r="A413" s="1775" t="s">
        <v>4829</v>
      </c>
      <c r="B413" s="1776"/>
      <c r="C413" s="1776"/>
      <c r="D413" s="1776"/>
      <c r="E413" s="1777"/>
      <c r="F413" s="804"/>
      <c r="G413" s="653"/>
    </row>
    <row r="414" spans="1:8" ht="15.75" x14ac:dyDescent="0.25">
      <c r="A414" s="821" t="s">
        <v>916</v>
      </c>
      <c r="B414" s="822" t="s">
        <v>1073</v>
      </c>
      <c r="C414" s="823" t="s">
        <v>1547</v>
      </c>
      <c r="D414" s="823" t="s">
        <v>1035</v>
      </c>
      <c r="E414" s="824" t="s">
        <v>1549</v>
      </c>
      <c r="F414" s="658"/>
      <c r="G414" s="653"/>
    </row>
    <row r="415" spans="1:8" ht="15.75" x14ac:dyDescent="0.25">
      <c r="A415" s="665" t="s">
        <v>4811</v>
      </c>
      <c r="B415" s="769" t="s">
        <v>4785</v>
      </c>
      <c r="C415" s="779" t="s">
        <v>1649</v>
      </c>
      <c r="D415" s="668">
        <f>'AROS, CADENAS, DIJES, ETC'!C43</f>
        <v>4478</v>
      </c>
      <c r="E415" s="662">
        <f>D415</f>
        <v>4478</v>
      </c>
      <c r="F415" s="658"/>
      <c r="G415" s="653"/>
    </row>
    <row r="416" spans="1:8" ht="15.75" x14ac:dyDescent="0.25">
      <c r="A416" s="665" t="s">
        <v>1557</v>
      </c>
      <c r="B416" s="769"/>
      <c r="C416" s="779"/>
      <c r="D416" s="668"/>
      <c r="E416" s="662">
        <f>PACKAGING!E3</f>
        <v>150</v>
      </c>
      <c r="F416" s="658"/>
      <c r="G416" s="653"/>
    </row>
    <row r="417" spans="1:8" ht="15.75" x14ac:dyDescent="0.25">
      <c r="A417" s="665" t="s">
        <v>3496</v>
      </c>
      <c r="B417" s="769"/>
      <c r="C417" s="779"/>
      <c r="D417" s="668"/>
      <c r="E417" s="662">
        <f>PACKAGING!E9</f>
        <v>450</v>
      </c>
      <c r="F417" s="658"/>
      <c r="G417" s="653"/>
    </row>
    <row r="418" spans="1:8" ht="16.5" thickBot="1" x14ac:dyDescent="0.3">
      <c r="A418" s="670" t="s">
        <v>525</v>
      </c>
      <c r="B418" s="672"/>
      <c r="C418" s="780"/>
      <c r="D418" s="780"/>
      <c r="E418" s="673">
        <f>SUM(E415:E417)</f>
        <v>5078</v>
      </c>
      <c r="F418" s="658"/>
      <c r="G418" s="653"/>
    </row>
    <row r="419" spans="1:8" ht="16.5" thickBot="1" x14ac:dyDescent="0.3">
      <c r="A419" s="781" t="s">
        <v>544</v>
      </c>
      <c r="B419" s="825"/>
      <c r="C419" s="825"/>
      <c r="D419" s="825"/>
      <c r="E419" s="784">
        <f>E418*2</f>
        <v>10156</v>
      </c>
      <c r="F419" s="1374">
        <f>E419+E419*70%</f>
        <v>17265.2</v>
      </c>
      <c r="G419" s="1390">
        <v>30000</v>
      </c>
    </row>
    <row r="420" spans="1:8" ht="16.5" thickBot="1" x14ac:dyDescent="0.3">
      <c r="G420" s="1275"/>
      <c r="H420" t="s">
        <v>3687</v>
      </c>
    </row>
    <row r="422" spans="1:8" ht="15.75" thickBot="1" x14ac:dyDescent="0.3"/>
    <row r="423" spans="1:8" ht="16.5" thickBot="1" x14ac:dyDescent="0.3">
      <c r="A423" s="1775" t="s">
        <v>4830</v>
      </c>
      <c r="B423" s="1776"/>
      <c r="C423" s="1776"/>
      <c r="D423" s="1776"/>
      <c r="E423" s="1777"/>
      <c r="F423" s="804"/>
      <c r="G423" s="653"/>
    </row>
    <row r="424" spans="1:8" ht="15.75" x14ac:dyDescent="0.25">
      <c r="A424" s="821" t="s">
        <v>916</v>
      </c>
      <c r="B424" s="822" t="s">
        <v>1073</v>
      </c>
      <c r="C424" s="823" t="s">
        <v>1547</v>
      </c>
      <c r="D424" s="823" t="s">
        <v>1035</v>
      </c>
      <c r="E424" s="824" t="s">
        <v>1549</v>
      </c>
      <c r="F424" s="658"/>
      <c r="G424" s="653"/>
    </row>
    <row r="425" spans="1:8" ht="15.75" x14ac:dyDescent="0.25">
      <c r="A425" s="665" t="s">
        <v>4814</v>
      </c>
      <c r="B425" s="769" t="s">
        <v>4786</v>
      </c>
      <c r="C425" s="779" t="s">
        <v>1649</v>
      </c>
      <c r="D425" s="668">
        <f>'AROS, CADENAS, DIJES, ETC'!C44</f>
        <v>4600</v>
      </c>
      <c r="E425" s="662">
        <f>D425</f>
        <v>4600</v>
      </c>
      <c r="F425" s="658"/>
      <c r="G425" s="653"/>
    </row>
    <row r="426" spans="1:8" ht="15.75" x14ac:dyDescent="0.25">
      <c r="A426" s="665" t="s">
        <v>1557</v>
      </c>
      <c r="B426" s="769"/>
      <c r="C426" s="779"/>
      <c r="D426" s="668"/>
      <c r="E426" s="662">
        <f>PACKAGING!E3</f>
        <v>150</v>
      </c>
      <c r="F426" s="658"/>
      <c r="G426" s="653"/>
    </row>
    <row r="427" spans="1:8" ht="15.75" x14ac:dyDescent="0.25">
      <c r="A427" s="665" t="s">
        <v>3496</v>
      </c>
      <c r="B427" s="769"/>
      <c r="C427" s="779"/>
      <c r="D427" s="668"/>
      <c r="E427" s="662">
        <f>PACKAGING!E9</f>
        <v>450</v>
      </c>
      <c r="F427" s="658"/>
      <c r="G427" s="653"/>
    </row>
    <row r="428" spans="1:8" ht="16.5" thickBot="1" x14ac:dyDescent="0.3">
      <c r="A428" s="670" t="s">
        <v>525</v>
      </c>
      <c r="B428" s="672"/>
      <c r="C428" s="780"/>
      <c r="D428" s="780"/>
      <c r="E428" s="673">
        <f>SUM(E425:E427)</f>
        <v>5200</v>
      </c>
      <c r="F428" s="658"/>
      <c r="G428" s="653"/>
    </row>
    <row r="429" spans="1:8" ht="16.5" thickBot="1" x14ac:dyDescent="0.3">
      <c r="A429" s="781" t="s">
        <v>544</v>
      </c>
      <c r="B429" s="825"/>
      <c r="C429" s="825"/>
      <c r="D429" s="825"/>
      <c r="E429" s="784">
        <f>E428*2</f>
        <v>10400</v>
      </c>
      <c r="F429" s="1374">
        <f>E429+E429*70%</f>
        <v>17680</v>
      </c>
      <c r="G429" s="1390">
        <v>32000</v>
      </c>
    </row>
    <row r="430" spans="1:8" ht="16.5" thickBot="1" x14ac:dyDescent="0.3">
      <c r="G430" s="1275"/>
      <c r="H430" t="s">
        <v>3687</v>
      </c>
    </row>
    <row r="432" spans="1:8" ht="15.75" thickBot="1" x14ac:dyDescent="0.3"/>
    <row r="433" spans="1:8" ht="16.5" thickBot="1" x14ac:dyDescent="0.3">
      <c r="A433" s="1775" t="s">
        <v>4824</v>
      </c>
      <c r="B433" s="1776"/>
      <c r="C433" s="1776"/>
      <c r="D433" s="1776"/>
      <c r="E433" s="1777"/>
      <c r="F433" s="804"/>
      <c r="G433" s="653"/>
    </row>
    <row r="434" spans="1:8" ht="15.75" x14ac:dyDescent="0.25">
      <c r="A434" s="821" t="s">
        <v>916</v>
      </c>
      <c r="B434" s="822" t="s">
        <v>1073</v>
      </c>
      <c r="C434" s="823" t="s">
        <v>1547</v>
      </c>
      <c r="D434" s="823" t="s">
        <v>1035</v>
      </c>
      <c r="E434" s="824" t="s">
        <v>1549</v>
      </c>
      <c r="F434" s="658"/>
      <c r="G434" s="653"/>
    </row>
    <row r="435" spans="1:8" ht="15.75" x14ac:dyDescent="0.25">
      <c r="A435" s="665" t="s">
        <v>4815</v>
      </c>
      <c r="B435" s="769" t="s">
        <v>4793</v>
      </c>
      <c r="C435" s="779" t="s">
        <v>1649</v>
      </c>
      <c r="D435" s="668">
        <f>'AROS, CADENAS, DIJES, ETC'!C45</f>
        <v>4304</v>
      </c>
      <c r="E435" s="662">
        <f>D435</f>
        <v>4304</v>
      </c>
      <c r="F435" s="658"/>
      <c r="G435" s="653"/>
    </row>
    <row r="436" spans="1:8" ht="15.75" x14ac:dyDescent="0.25">
      <c r="A436" s="665" t="s">
        <v>1557</v>
      </c>
      <c r="B436" s="769"/>
      <c r="C436" s="779"/>
      <c r="D436" s="668"/>
      <c r="E436" s="662">
        <f>PACKAGING!E3</f>
        <v>150</v>
      </c>
      <c r="F436" s="658"/>
      <c r="G436" s="653"/>
    </row>
    <row r="437" spans="1:8" ht="15.75" x14ac:dyDescent="0.25">
      <c r="A437" s="665" t="s">
        <v>3180</v>
      </c>
      <c r="B437" s="769"/>
      <c r="C437" s="779"/>
      <c r="D437" s="668"/>
      <c r="E437" s="662">
        <f>PACKAGING!E8</f>
        <v>420</v>
      </c>
      <c r="F437" s="658"/>
      <c r="G437" s="653"/>
    </row>
    <row r="438" spans="1:8" ht="16.5" thickBot="1" x14ac:dyDescent="0.3">
      <c r="A438" s="670" t="s">
        <v>525</v>
      </c>
      <c r="B438" s="672"/>
      <c r="C438" s="780"/>
      <c r="D438" s="780"/>
      <c r="E438" s="673">
        <f>SUM(E435:E437)</f>
        <v>4874</v>
      </c>
      <c r="F438" s="658"/>
      <c r="G438" s="653"/>
    </row>
    <row r="439" spans="1:8" ht="16.5" thickBot="1" x14ac:dyDescent="0.3">
      <c r="A439" s="781" t="s">
        <v>544</v>
      </c>
      <c r="B439" s="825"/>
      <c r="C439" s="825"/>
      <c r="D439" s="825"/>
      <c r="E439" s="784">
        <f>E438*2</f>
        <v>9748</v>
      </c>
      <c r="F439" s="1374">
        <f>E439+E439*70%</f>
        <v>16571.599999999999</v>
      </c>
      <c r="G439" s="1390">
        <v>28000</v>
      </c>
    </row>
    <row r="440" spans="1:8" ht="16.5" thickBot="1" x14ac:dyDescent="0.3">
      <c r="G440" s="1275"/>
      <c r="H440" t="s">
        <v>3687</v>
      </c>
    </row>
    <row r="442" spans="1:8" ht="15.75" thickBot="1" x14ac:dyDescent="0.3"/>
    <row r="443" spans="1:8" ht="16.5" thickBot="1" x14ac:dyDescent="0.3">
      <c r="A443" s="1775" t="s">
        <v>4835</v>
      </c>
      <c r="B443" s="1776"/>
      <c r="C443" s="1776"/>
      <c r="D443" s="1776"/>
      <c r="E443" s="1777"/>
      <c r="F443" s="804"/>
      <c r="G443" s="653"/>
    </row>
    <row r="444" spans="1:8" ht="15.75" x14ac:dyDescent="0.25">
      <c r="A444" s="821" t="s">
        <v>916</v>
      </c>
      <c r="B444" s="822" t="s">
        <v>1073</v>
      </c>
      <c r="C444" s="823" t="s">
        <v>1547</v>
      </c>
      <c r="D444" s="823" t="s">
        <v>1035</v>
      </c>
      <c r="E444" s="824" t="s">
        <v>1549</v>
      </c>
      <c r="F444" s="658"/>
      <c r="G444" s="653"/>
    </row>
    <row r="445" spans="1:8" ht="15.75" x14ac:dyDescent="0.25">
      <c r="A445" s="665" t="s">
        <v>4815</v>
      </c>
      <c r="B445" s="769" t="s">
        <v>4791</v>
      </c>
      <c r="C445" s="779" t="s">
        <v>1649</v>
      </c>
      <c r="D445" s="668">
        <f>'AROS, CADENAS, DIJES, ETC'!C70</f>
        <v>7563</v>
      </c>
      <c r="E445" s="662">
        <f>D445</f>
        <v>7563</v>
      </c>
      <c r="F445" s="658"/>
      <c r="G445" s="653"/>
    </row>
    <row r="446" spans="1:8" ht="15.75" x14ac:dyDescent="0.25">
      <c r="A446" s="665" t="s">
        <v>1557</v>
      </c>
      <c r="B446" s="769"/>
      <c r="C446" s="779"/>
      <c r="D446" s="668"/>
      <c r="E446" s="662">
        <f>PACKAGING!E3</f>
        <v>150</v>
      </c>
      <c r="F446" s="658"/>
      <c r="G446" s="653"/>
    </row>
    <row r="447" spans="1:8" ht="15.75" x14ac:dyDescent="0.25">
      <c r="A447" s="665" t="s">
        <v>3180</v>
      </c>
      <c r="B447" s="769"/>
      <c r="C447" s="779"/>
      <c r="D447" s="668"/>
      <c r="E447" s="662">
        <f>PACKAGING!E8</f>
        <v>420</v>
      </c>
      <c r="F447" s="658"/>
      <c r="G447" s="653"/>
    </row>
    <row r="448" spans="1:8" ht="16.5" thickBot="1" x14ac:dyDescent="0.3">
      <c r="A448" s="670" t="s">
        <v>525</v>
      </c>
      <c r="B448" s="672"/>
      <c r="C448" s="780"/>
      <c r="D448" s="780"/>
      <c r="E448" s="673">
        <f>SUM(E445:E447)</f>
        <v>8133</v>
      </c>
      <c r="F448" s="658"/>
      <c r="G448" s="653"/>
    </row>
    <row r="449" spans="1:8" ht="16.5" thickBot="1" x14ac:dyDescent="0.3">
      <c r="A449" s="781" t="s">
        <v>544</v>
      </c>
      <c r="B449" s="825"/>
      <c r="C449" s="825"/>
      <c r="D449" s="825"/>
      <c r="E449" s="784">
        <f>E448*2</f>
        <v>16266</v>
      </c>
      <c r="F449" s="1374">
        <f>E449+E449*70%</f>
        <v>27652.199999999997</v>
      </c>
      <c r="G449" s="1390">
        <v>36000</v>
      </c>
    </row>
    <row r="450" spans="1:8" ht="16.5" thickBot="1" x14ac:dyDescent="0.3">
      <c r="G450" s="1275"/>
      <c r="H450" t="s">
        <v>3687</v>
      </c>
    </row>
    <row r="452" spans="1:8" ht="15.75" thickBot="1" x14ac:dyDescent="0.3"/>
    <row r="453" spans="1:8" ht="16.5" thickBot="1" x14ac:dyDescent="0.3">
      <c r="A453" s="1775" t="s">
        <v>4819</v>
      </c>
      <c r="B453" s="1776"/>
      <c r="C453" s="1776"/>
      <c r="D453" s="1776"/>
      <c r="E453" s="1777"/>
      <c r="F453" s="804"/>
      <c r="G453" s="653"/>
    </row>
    <row r="454" spans="1:8" ht="15.75" x14ac:dyDescent="0.25">
      <c r="A454" s="821" t="s">
        <v>916</v>
      </c>
      <c r="B454" s="822" t="s">
        <v>1073</v>
      </c>
      <c r="C454" s="823" t="s">
        <v>1547</v>
      </c>
      <c r="D454" s="823" t="s">
        <v>1035</v>
      </c>
      <c r="E454" s="824" t="s">
        <v>1549</v>
      </c>
      <c r="F454" s="658"/>
      <c r="G454" s="653"/>
    </row>
    <row r="455" spans="1:8" ht="15.75" x14ac:dyDescent="0.25">
      <c r="A455" s="665" t="s">
        <v>4818</v>
      </c>
      <c r="B455" s="769" t="s">
        <v>4790</v>
      </c>
      <c r="C455" s="779" t="s">
        <v>1649</v>
      </c>
      <c r="D455" s="668">
        <f>'AROS, CADENAS, DIJES, ETC'!C69</f>
        <v>4132</v>
      </c>
      <c r="E455" s="662">
        <f>D455</f>
        <v>4132</v>
      </c>
      <c r="F455" s="658"/>
      <c r="G455" s="653"/>
    </row>
    <row r="456" spans="1:8" ht="15.75" x14ac:dyDescent="0.25">
      <c r="A456" s="665" t="s">
        <v>1557</v>
      </c>
      <c r="B456" s="769"/>
      <c r="C456" s="779"/>
      <c r="D456" s="668"/>
      <c r="E456" s="662">
        <f>PACKAGING!E3</f>
        <v>150</v>
      </c>
      <c r="F456" s="658"/>
      <c r="G456" s="653"/>
    </row>
    <row r="457" spans="1:8" ht="15.75" x14ac:dyDescent="0.25">
      <c r="A457" s="665" t="s">
        <v>3180</v>
      </c>
      <c r="B457" s="769"/>
      <c r="C457" s="779"/>
      <c r="D457" s="668"/>
      <c r="E457" s="662">
        <f>PACKAGING!E8</f>
        <v>420</v>
      </c>
      <c r="F457" s="658"/>
      <c r="G457" s="653"/>
    </row>
    <row r="458" spans="1:8" ht="16.5" thickBot="1" x14ac:dyDescent="0.3">
      <c r="A458" s="670" t="s">
        <v>525</v>
      </c>
      <c r="B458" s="672"/>
      <c r="C458" s="780"/>
      <c r="D458" s="780"/>
      <c r="E458" s="673">
        <f>SUM(E455:E457)</f>
        <v>4702</v>
      </c>
      <c r="F458" s="658"/>
      <c r="G458" s="653"/>
    </row>
    <row r="459" spans="1:8" ht="16.5" thickBot="1" x14ac:dyDescent="0.3">
      <c r="A459" s="781" t="s">
        <v>544</v>
      </c>
      <c r="B459" s="825"/>
      <c r="C459" s="825"/>
      <c r="D459" s="825"/>
      <c r="E459" s="784">
        <f>E458*2</f>
        <v>9404</v>
      </c>
      <c r="F459" s="1374">
        <f>E459+E459*70%</f>
        <v>15986.8</v>
      </c>
      <c r="G459" s="1390">
        <v>32000</v>
      </c>
    </row>
    <row r="460" spans="1:8" ht="16.5" thickBot="1" x14ac:dyDescent="0.3">
      <c r="G460" s="1275"/>
      <c r="H460" t="s">
        <v>3687</v>
      </c>
    </row>
    <row r="461" spans="1:8" ht="15.75" thickBot="1" x14ac:dyDescent="0.3"/>
    <row r="462" spans="1:8" ht="16.5" thickBot="1" x14ac:dyDescent="0.3">
      <c r="A462" s="1775" t="s">
        <v>4820</v>
      </c>
      <c r="B462" s="1776"/>
      <c r="C462" s="1776"/>
      <c r="D462" s="1776"/>
      <c r="E462" s="1777"/>
      <c r="F462" s="804"/>
      <c r="G462" s="653"/>
    </row>
    <row r="463" spans="1:8" ht="15.75" x14ac:dyDescent="0.25">
      <c r="A463" s="821" t="s">
        <v>916</v>
      </c>
      <c r="B463" s="822" t="s">
        <v>1073</v>
      </c>
      <c r="C463" s="823" t="s">
        <v>1547</v>
      </c>
      <c r="D463" s="823" t="s">
        <v>1035</v>
      </c>
      <c r="E463" s="824" t="s">
        <v>1549</v>
      </c>
      <c r="F463" s="658"/>
      <c r="G463" s="653"/>
    </row>
    <row r="464" spans="1:8" ht="15.75" x14ac:dyDescent="0.25">
      <c r="A464" s="665" t="s">
        <v>4817</v>
      </c>
      <c r="B464" s="769" t="s">
        <v>4789</v>
      </c>
      <c r="C464" s="779" t="s">
        <v>1649</v>
      </c>
      <c r="D464" s="668">
        <f>'AROS, CADENAS, DIJES, ETC'!C68</f>
        <v>3881</v>
      </c>
      <c r="E464" s="662">
        <f>D464</f>
        <v>3881</v>
      </c>
      <c r="F464" s="658"/>
      <c r="G464" s="653"/>
    </row>
    <row r="465" spans="1:8" ht="15.75" x14ac:dyDescent="0.25">
      <c r="A465" s="665" t="s">
        <v>1557</v>
      </c>
      <c r="B465" s="769"/>
      <c r="C465" s="779"/>
      <c r="D465" s="668"/>
      <c r="E465" s="662">
        <f>PACKAGING!E12</f>
        <v>50</v>
      </c>
      <c r="F465" s="658"/>
      <c r="G465" s="653"/>
    </row>
    <row r="466" spans="1:8" ht="15.75" x14ac:dyDescent="0.25">
      <c r="A466" s="665" t="s">
        <v>3180</v>
      </c>
      <c r="B466" s="769"/>
      <c r="C466" s="779"/>
      <c r="D466" s="668"/>
      <c r="E466" s="662">
        <f>PACKAGING!E8</f>
        <v>420</v>
      </c>
      <c r="F466" s="658"/>
      <c r="G466" s="653"/>
    </row>
    <row r="467" spans="1:8" ht="16.5" thickBot="1" x14ac:dyDescent="0.3">
      <c r="A467" s="670" t="s">
        <v>525</v>
      </c>
      <c r="B467" s="672"/>
      <c r="C467" s="780"/>
      <c r="D467" s="780"/>
      <c r="E467" s="673">
        <f>SUM(E464:E466)</f>
        <v>4351</v>
      </c>
      <c r="F467" s="658"/>
      <c r="G467" s="653"/>
    </row>
    <row r="468" spans="1:8" ht="16.5" thickBot="1" x14ac:dyDescent="0.3">
      <c r="A468" s="781" t="s">
        <v>544</v>
      </c>
      <c r="B468" s="825"/>
      <c r="C468" s="825"/>
      <c r="D468" s="825"/>
      <c r="E468" s="784">
        <f>E467*2</f>
        <v>8702</v>
      </c>
      <c r="F468" s="1374">
        <f>E468+E468*70%</f>
        <v>14793.4</v>
      </c>
      <c r="G468" s="1390">
        <v>30000</v>
      </c>
    </row>
    <row r="469" spans="1:8" ht="16.5" thickBot="1" x14ac:dyDescent="0.3">
      <c r="G469" s="1275"/>
      <c r="H469" t="s">
        <v>3687</v>
      </c>
    </row>
    <row r="470" spans="1:8" ht="15.75" thickBot="1" x14ac:dyDescent="0.3"/>
    <row r="471" spans="1:8" ht="16.5" thickBot="1" x14ac:dyDescent="0.3">
      <c r="A471" s="1772" t="s">
        <v>4856</v>
      </c>
      <c r="B471" s="1773"/>
      <c r="C471" s="1773"/>
      <c r="D471" s="1773"/>
      <c r="E471" s="1774"/>
      <c r="F471" s="804"/>
      <c r="G471" s="653"/>
    </row>
    <row r="472" spans="1:8" ht="15.75" x14ac:dyDescent="0.25">
      <c r="A472" s="821" t="s">
        <v>916</v>
      </c>
      <c r="B472" s="822" t="s">
        <v>1073</v>
      </c>
      <c r="C472" s="823" t="s">
        <v>1547</v>
      </c>
      <c r="D472" s="823" t="s">
        <v>1035</v>
      </c>
      <c r="E472" s="824" t="s">
        <v>1549</v>
      </c>
      <c r="F472" s="658"/>
      <c r="G472" s="653"/>
    </row>
    <row r="473" spans="1:8" ht="15.75" x14ac:dyDescent="0.25">
      <c r="A473" s="665" t="s">
        <v>4857</v>
      </c>
      <c r="B473" s="769" t="s">
        <v>949</v>
      </c>
      <c r="C473" s="779" t="s">
        <v>1649</v>
      </c>
      <c r="D473" s="668">
        <f>'AROS, CADENAS, DIJES, ETC'!C75</f>
        <v>3310</v>
      </c>
      <c r="E473" s="662">
        <f>D473</f>
        <v>3310</v>
      </c>
      <c r="F473" s="658"/>
      <c r="G473" s="653"/>
    </row>
    <row r="474" spans="1:8" ht="15.75" x14ac:dyDescent="0.25">
      <c r="A474" s="665" t="s">
        <v>1557</v>
      </c>
      <c r="B474" s="769"/>
      <c r="C474" s="779"/>
      <c r="D474" s="668"/>
      <c r="E474" s="662">
        <f>PACKAGING!E3</f>
        <v>150</v>
      </c>
      <c r="F474" s="658"/>
      <c r="G474" s="653"/>
    </row>
    <row r="475" spans="1:8" ht="15.75" x14ac:dyDescent="0.25">
      <c r="A475" s="665" t="s">
        <v>3180</v>
      </c>
      <c r="B475" s="769"/>
      <c r="C475" s="779"/>
      <c r="D475" s="668"/>
      <c r="E475" s="662">
        <f>PACKAGING!E8</f>
        <v>420</v>
      </c>
      <c r="F475" s="658"/>
      <c r="G475" s="653"/>
    </row>
    <row r="476" spans="1:8" ht="16.5" thickBot="1" x14ac:dyDescent="0.3">
      <c r="A476" s="670" t="s">
        <v>525</v>
      </c>
      <c r="B476" s="672"/>
      <c r="C476" s="780"/>
      <c r="D476" s="780"/>
      <c r="E476" s="673">
        <f>SUM(E473:E475)</f>
        <v>3880</v>
      </c>
      <c r="F476" s="658"/>
      <c r="G476" s="653"/>
    </row>
    <row r="477" spans="1:8" ht="16.5" thickBot="1" x14ac:dyDescent="0.3">
      <c r="A477" s="781" t="s">
        <v>544</v>
      </c>
      <c r="B477" s="825"/>
      <c r="C477" s="825"/>
      <c r="D477" s="825"/>
      <c r="E477" s="784">
        <f>E476*2</f>
        <v>7760</v>
      </c>
      <c r="F477" s="1374">
        <f>E477+E477*70%</f>
        <v>13192</v>
      </c>
      <c r="G477" s="1390">
        <v>32000</v>
      </c>
    </row>
    <row r="478" spans="1:8" ht="16.5" thickBot="1" x14ac:dyDescent="0.3">
      <c r="G478" s="1275">
        <f>G477*50%</f>
        <v>16000</v>
      </c>
      <c r="H478" t="s">
        <v>3687</v>
      </c>
    </row>
    <row r="479" spans="1:8" ht="15.75" thickBot="1" x14ac:dyDescent="0.3"/>
    <row r="480" spans="1:8" ht="16.5" thickBot="1" x14ac:dyDescent="0.3">
      <c r="A480" s="1772" t="s">
        <v>264</v>
      </c>
      <c r="B480" s="1773"/>
      <c r="C480" s="1773"/>
      <c r="D480" s="1773"/>
      <c r="E480" s="1774"/>
      <c r="F480" s="804"/>
      <c r="G480" s="653"/>
    </row>
    <row r="481" spans="1:8" ht="15.75" x14ac:dyDescent="0.25">
      <c r="A481" s="821" t="s">
        <v>916</v>
      </c>
      <c r="B481" s="822" t="s">
        <v>1073</v>
      </c>
      <c r="C481" s="823" t="s">
        <v>1547</v>
      </c>
      <c r="D481" s="823" t="s">
        <v>1035</v>
      </c>
      <c r="E481" s="824" t="s">
        <v>1549</v>
      </c>
      <c r="F481" s="658"/>
      <c r="G481" s="653"/>
    </row>
    <row r="482" spans="1:8" ht="15.75" x14ac:dyDescent="0.25">
      <c r="A482" s="665" t="s">
        <v>4858</v>
      </c>
      <c r="B482" s="769" t="s">
        <v>989</v>
      </c>
      <c r="C482" s="779" t="s">
        <v>1649</v>
      </c>
      <c r="D482" s="668">
        <f>'AROS, CADENAS, DIJES, ETC'!C76</f>
        <v>4350</v>
      </c>
      <c r="E482" s="662">
        <f>D482</f>
        <v>4350</v>
      </c>
      <c r="F482" s="658"/>
      <c r="G482" s="653"/>
    </row>
    <row r="483" spans="1:8" ht="15.75" x14ac:dyDescent="0.25">
      <c r="A483" s="665" t="s">
        <v>1557</v>
      </c>
      <c r="B483" s="769"/>
      <c r="C483" s="779"/>
      <c r="D483" s="668"/>
      <c r="E483" s="662">
        <f>PACKAGING!E3</f>
        <v>150</v>
      </c>
      <c r="F483" s="658"/>
      <c r="G483" s="653"/>
    </row>
    <row r="484" spans="1:8" ht="15.75" x14ac:dyDescent="0.25">
      <c r="A484" s="665" t="s">
        <v>3180</v>
      </c>
      <c r="B484" s="769"/>
      <c r="C484" s="779"/>
      <c r="D484" s="668"/>
      <c r="E484" s="662">
        <f>PACKAGING!E8</f>
        <v>420</v>
      </c>
      <c r="F484" s="658"/>
      <c r="G484" s="653"/>
    </row>
    <row r="485" spans="1:8" ht="16.5" thickBot="1" x14ac:dyDescent="0.3">
      <c r="A485" s="670" t="s">
        <v>525</v>
      </c>
      <c r="B485" s="672"/>
      <c r="C485" s="780"/>
      <c r="D485" s="780"/>
      <c r="E485" s="673">
        <f>SUM(E482:E484)</f>
        <v>4920</v>
      </c>
      <c r="F485" s="658"/>
      <c r="G485" s="653"/>
    </row>
    <row r="486" spans="1:8" ht="16.5" thickBot="1" x14ac:dyDescent="0.3">
      <c r="A486" s="781" t="s">
        <v>544</v>
      </c>
      <c r="B486" s="825"/>
      <c r="C486" s="825"/>
      <c r="D486" s="825"/>
      <c r="E486" s="784">
        <f>E485*2</f>
        <v>9840</v>
      </c>
      <c r="F486" s="1374">
        <f>E486+E486*70%</f>
        <v>16728</v>
      </c>
      <c r="G486" s="1390">
        <v>30000</v>
      </c>
    </row>
    <row r="487" spans="1:8" ht="16.5" thickBot="1" x14ac:dyDescent="0.3">
      <c r="G487" s="1275">
        <f>G486*50%</f>
        <v>15000</v>
      </c>
      <c r="H487" t="s">
        <v>3687</v>
      </c>
    </row>
  </sheetData>
  <mergeCells count="66">
    <mergeCell ref="Y33:AC33"/>
    <mergeCell ref="N77:R77"/>
    <mergeCell ref="Y43:AC43"/>
    <mergeCell ref="A254:E254"/>
    <mergeCell ref="A185:F185"/>
    <mergeCell ref="A199:F199"/>
    <mergeCell ref="A201:A203"/>
    <mergeCell ref="A213:F213"/>
    <mergeCell ref="Y4:AC4"/>
    <mergeCell ref="Y14:AC14"/>
    <mergeCell ref="Y24:AC24"/>
    <mergeCell ref="A176:E176"/>
    <mergeCell ref="N40:R40"/>
    <mergeCell ref="N49:R49"/>
    <mergeCell ref="N58:R58"/>
    <mergeCell ref="A167:E167"/>
    <mergeCell ref="A116:F116"/>
    <mergeCell ref="A128:E128"/>
    <mergeCell ref="A104:A105"/>
    <mergeCell ref="A141:E141"/>
    <mergeCell ref="N20:R20"/>
    <mergeCell ref="N30:R30"/>
    <mergeCell ref="A158:E158"/>
    <mergeCell ref="A150:E150"/>
    <mergeCell ref="M2:X2"/>
    <mergeCell ref="N4:R4"/>
    <mergeCell ref="N12:R12"/>
    <mergeCell ref="A101:E101"/>
    <mergeCell ref="A2:K2"/>
    <mergeCell ref="A86:F86"/>
    <mergeCell ref="A89:A90"/>
    <mergeCell ref="A46:F46"/>
    <mergeCell ref="A63:F63"/>
    <mergeCell ref="A77:E77"/>
    <mergeCell ref="A4:F4"/>
    <mergeCell ref="A17:F17"/>
    <mergeCell ref="N86:R86"/>
    <mergeCell ref="N67:R67"/>
    <mergeCell ref="A32:F32"/>
    <mergeCell ref="A291:E291"/>
    <mergeCell ref="A301:F301"/>
    <mergeCell ref="A345:E345"/>
    <mergeCell ref="A462:E462"/>
    <mergeCell ref="A413:E413"/>
    <mergeCell ref="A423:E423"/>
    <mergeCell ref="A433:E433"/>
    <mergeCell ref="A443:E443"/>
    <mergeCell ref="A453:E453"/>
    <mergeCell ref="A355:E355"/>
    <mergeCell ref="A335:A336"/>
    <mergeCell ref="A471:E471"/>
    <mergeCell ref="A480:E480"/>
    <mergeCell ref="A215:A216"/>
    <mergeCell ref="A394:E394"/>
    <mergeCell ref="A227:F227"/>
    <mergeCell ref="A241:F241"/>
    <mergeCell ref="A403:E403"/>
    <mergeCell ref="A317:E317"/>
    <mergeCell ref="A306:A307"/>
    <mergeCell ref="A330:F330"/>
    <mergeCell ref="A264:E264"/>
    <mergeCell ref="A273:E273"/>
    <mergeCell ref="A282:E282"/>
    <mergeCell ref="A364:E364"/>
    <mergeCell ref="A374:E374"/>
    <mergeCell ref="A384:E384"/>
  </mergeCells>
  <pageMargins left="0.7" right="0.7" top="0.75" bottom="0.75" header="0.3" footer="0.3"/>
  <pageSetup orientation="portrait" r:id="rId1"/>
  <ignoredErrors>
    <ignoredError sqref="F35 F49 F120 E132 F188:F190 F202:F204 F216:F218 F230 F232 F235 F245" formula="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667BB-095D-4362-B6B0-813FA9A62A0C}">
  <dimension ref="A1:Q1419"/>
  <sheetViews>
    <sheetView topLeftCell="A1270" zoomScale="106" zoomScaleNormal="106" workbookViewId="0">
      <selection activeCell="A1315" sqref="A1315:I1315"/>
    </sheetView>
  </sheetViews>
  <sheetFormatPr baseColWidth="10" defaultRowHeight="15" x14ac:dyDescent="0.25"/>
  <cols>
    <col min="1" max="1" width="37.42578125" customWidth="1"/>
    <col min="2" max="2" width="16.42578125" customWidth="1"/>
    <col min="4" max="5" width="12.85546875" bestFit="1" customWidth="1"/>
    <col min="6" max="6" width="33.42578125" customWidth="1"/>
    <col min="7" max="7" width="18.5703125" bestFit="1" customWidth="1"/>
    <col min="8" max="9" width="14.140625" bestFit="1" customWidth="1"/>
    <col min="10" max="10" width="17.28515625" customWidth="1"/>
    <col min="11" max="11" width="27.140625" customWidth="1"/>
    <col min="15" max="16" width="12.85546875" bestFit="1" customWidth="1"/>
  </cols>
  <sheetData>
    <row r="1" spans="1:8" ht="16.5" thickBot="1" x14ac:dyDescent="0.3">
      <c r="A1" s="1794" t="s">
        <v>4314</v>
      </c>
      <c r="B1" s="1795"/>
      <c r="C1" s="1795"/>
      <c r="D1" s="1795"/>
      <c r="E1" s="1796"/>
      <c r="F1" s="653"/>
      <c r="G1" s="653"/>
      <c r="H1" s="653"/>
    </row>
    <row r="2" spans="1:8" ht="15.75" x14ac:dyDescent="0.25">
      <c r="A2" s="654" t="s">
        <v>916</v>
      </c>
      <c r="B2" s="655" t="s">
        <v>743</v>
      </c>
      <c r="C2" s="655" t="s">
        <v>1566</v>
      </c>
      <c r="D2" s="656" t="s">
        <v>1035</v>
      </c>
      <c r="E2" s="657" t="s">
        <v>1549</v>
      </c>
      <c r="F2" s="658"/>
      <c r="G2" s="653"/>
      <c r="H2" s="653"/>
    </row>
    <row r="3" spans="1:8" ht="15.75" x14ac:dyDescent="0.25">
      <c r="A3" s="769" t="s">
        <v>3570</v>
      </c>
      <c r="B3" s="660">
        <v>0.38</v>
      </c>
      <c r="C3" s="660">
        <v>0.38</v>
      </c>
      <c r="D3" s="661">
        <f>PIEDRAS!E46</f>
        <v>9780</v>
      </c>
      <c r="E3" s="662">
        <f>D3*C3/B3</f>
        <v>9780</v>
      </c>
      <c r="F3" s="658"/>
      <c r="G3" s="653"/>
      <c r="H3" s="653"/>
    </row>
    <row r="4" spans="1:8" ht="15.75" x14ac:dyDescent="0.25">
      <c r="A4" s="1736" t="s">
        <v>1572</v>
      </c>
      <c r="B4" s="660" t="s">
        <v>1556</v>
      </c>
      <c r="C4" s="660">
        <v>2</v>
      </c>
      <c r="D4" s="661">
        <f>FORNITURAS!D4</f>
        <v>48.7</v>
      </c>
      <c r="E4" s="662">
        <f>D4*C4</f>
        <v>97.4</v>
      </c>
      <c r="F4" s="658"/>
      <c r="G4" s="653"/>
      <c r="H4" s="653"/>
    </row>
    <row r="5" spans="1:8" ht="15.75" x14ac:dyDescent="0.25">
      <c r="A5" s="1737"/>
      <c r="B5" s="660" t="s">
        <v>1573</v>
      </c>
      <c r="C5" s="660">
        <v>1</v>
      </c>
      <c r="D5" s="661">
        <f>FORNITURAS!D7</f>
        <v>52</v>
      </c>
      <c r="E5" s="662">
        <f>D5*C5</f>
        <v>52</v>
      </c>
      <c r="F5" s="658"/>
      <c r="G5" s="653"/>
      <c r="H5" s="653"/>
    </row>
    <row r="6" spans="1:8" ht="15.75" x14ac:dyDescent="0.25">
      <c r="A6" s="666" t="s">
        <v>4250</v>
      </c>
      <c r="B6" s="660"/>
      <c r="C6" s="660">
        <v>1.4</v>
      </c>
      <c r="D6" s="661">
        <f>'HILOS-CORDONES-TANZA-CUERO'!E25</f>
        <v>25</v>
      </c>
      <c r="E6" s="662">
        <f>D6*C6</f>
        <v>35</v>
      </c>
      <c r="F6" s="658"/>
      <c r="G6" s="653"/>
      <c r="H6" s="653"/>
    </row>
    <row r="7" spans="1:8" ht="15.75" x14ac:dyDescent="0.25">
      <c r="A7" s="666" t="s">
        <v>1608</v>
      </c>
      <c r="B7" s="660"/>
      <c r="C7" s="660">
        <v>0.1</v>
      </c>
      <c r="D7" s="661">
        <f>'AROS, CADENAS, DIJES, ETC'!I38</f>
        <v>3630</v>
      </c>
      <c r="E7" s="662">
        <f>C7*D7</f>
        <v>363</v>
      </c>
      <c r="F7" s="658"/>
      <c r="G7" s="653"/>
      <c r="H7" s="653"/>
    </row>
    <row r="8" spans="1:8" ht="15.75" x14ac:dyDescent="0.25">
      <c r="A8" s="666" t="s">
        <v>1554</v>
      </c>
      <c r="B8" s="660"/>
      <c r="C8" s="660">
        <v>2</v>
      </c>
      <c r="D8" s="661">
        <f>FORNITURAS!D24</f>
        <v>34.666666666666664</v>
      </c>
      <c r="E8" s="662">
        <f>D8*C8</f>
        <v>69.333333333333329</v>
      </c>
      <c r="F8" s="658"/>
      <c r="G8" s="653"/>
      <c r="H8" s="653"/>
    </row>
    <row r="9" spans="1:8" ht="15.75" x14ac:dyDescent="0.25">
      <c r="A9" s="666" t="s">
        <v>1012</v>
      </c>
      <c r="B9" s="660"/>
      <c r="C9" s="660">
        <v>2</v>
      </c>
      <c r="D9" s="661">
        <f>FORNITURAS!D16</f>
        <v>45.05</v>
      </c>
      <c r="E9" s="662">
        <f>D9*C9</f>
        <v>90.1</v>
      </c>
      <c r="F9" s="658"/>
      <c r="G9" s="653"/>
      <c r="H9" s="653"/>
    </row>
    <row r="10" spans="1:8" ht="15.75" x14ac:dyDescent="0.25">
      <c r="A10" s="666" t="s">
        <v>1587</v>
      </c>
      <c r="B10" s="660"/>
      <c r="C10" s="660">
        <v>1</v>
      </c>
      <c r="D10" s="661">
        <f>FORNITURAS!D18</f>
        <v>363</v>
      </c>
      <c r="E10" s="662">
        <f>C10*D10</f>
        <v>363</v>
      </c>
      <c r="F10" s="658"/>
      <c r="G10" s="653"/>
      <c r="H10" s="653"/>
    </row>
    <row r="11" spans="1:8" ht="15.75" x14ac:dyDescent="0.25">
      <c r="A11" s="666" t="s">
        <v>1557</v>
      </c>
      <c r="B11" s="660"/>
      <c r="C11" s="660"/>
      <c r="D11" s="661"/>
      <c r="E11" s="667">
        <f>PACKAGING!E4</f>
        <v>80</v>
      </c>
      <c r="F11" s="653"/>
      <c r="G11" s="658"/>
      <c r="H11" s="653"/>
    </row>
    <row r="12" spans="1:8" ht="15.75" x14ac:dyDescent="0.25">
      <c r="A12" s="666" t="s">
        <v>3362</v>
      </c>
      <c r="B12" s="660"/>
      <c r="C12" s="660"/>
      <c r="D12" s="661"/>
      <c r="E12" s="667">
        <f>PACKAGING!E17</f>
        <v>7.5</v>
      </c>
      <c r="F12" s="653"/>
      <c r="G12" s="658"/>
      <c r="H12" s="653"/>
    </row>
    <row r="13" spans="1:8" ht="15.75" x14ac:dyDescent="0.25">
      <c r="A13" s="666" t="s">
        <v>1634</v>
      </c>
      <c r="B13" s="660"/>
      <c r="C13" s="660"/>
      <c r="D13" s="661"/>
      <c r="E13" s="667">
        <f>PACKAGING!E7</f>
        <v>170</v>
      </c>
      <c r="F13" s="653"/>
      <c r="G13" s="658"/>
      <c r="H13" s="653"/>
    </row>
    <row r="14" spans="1:8" ht="15.75" x14ac:dyDescent="0.25">
      <c r="A14" s="666" t="s">
        <v>3568</v>
      </c>
      <c r="B14" s="660"/>
      <c r="C14" s="660"/>
      <c r="D14" s="661"/>
      <c r="E14" s="667">
        <f>PACKAGING!I5</f>
        <v>845</v>
      </c>
      <c r="F14" s="653"/>
      <c r="G14" s="658"/>
      <c r="H14" s="653"/>
    </row>
    <row r="15" spans="1:8" ht="15.75" x14ac:dyDescent="0.25">
      <c r="A15" s="683" t="s">
        <v>1618</v>
      </c>
      <c r="B15" s="660">
        <v>60</v>
      </c>
      <c r="C15" s="660">
        <v>20</v>
      </c>
      <c r="D15" s="668">
        <f>'INSUMOS VARIOS'!B3</f>
        <v>3500</v>
      </c>
      <c r="E15" s="669">
        <f>D15*C15/B15</f>
        <v>1166.6666666666667</v>
      </c>
      <c r="F15" s="653"/>
      <c r="G15" s="658"/>
      <c r="H15" s="653"/>
    </row>
    <row r="16" spans="1:8" ht="16.5" thickBot="1" x14ac:dyDescent="0.3">
      <c r="A16" s="670" t="s">
        <v>525</v>
      </c>
      <c r="B16" s="671"/>
      <c r="C16" s="671"/>
      <c r="D16" s="672"/>
      <c r="E16" s="673">
        <f>SUM(E3:E15)</f>
        <v>13119</v>
      </c>
      <c r="F16" s="658"/>
      <c r="G16" s="653"/>
      <c r="H16" s="653"/>
    </row>
    <row r="17" spans="1:8" ht="16.5" thickBot="1" x14ac:dyDescent="0.3">
      <c r="A17" s="675" t="s">
        <v>544</v>
      </c>
      <c r="B17" s="676"/>
      <c r="C17" s="676"/>
      <c r="D17" s="677"/>
      <c r="E17" s="692">
        <f>E16*2</f>
        <v>26238</v>
      </c>
      <c r="F17" s="957">
        <f>E17+E17*70%</f>
        <v>44604.6</v>
      </c>
      <c r="G17" s="681">
        <v>48000</v>
      </c>
      <c r="H17" s="653"/>
    </row>
    <row r="18" spans="1:8" ht="16.5" thickBot="1" x14ac:dyDescent="0.3">
      <c r="A18" s="684" t="s">
        <v>1559</v>
      </c>
      <c r="B18" s="685"/>
      <c r="C18" s="685"/>
      <c r="D18" s="686"/>
      <c r="E18" s="686"/>
      <c r="F18" s="816"/>
      <c r="G18" s="1275">
        <f>G17*70%</f>
        <v>33600</v>
      </c>
      <c r="H18" s="1276" t="s">
        <v>3687</v>
      </c>
    </row>
    <row r="19" spans="1:8" ht="15.75" thickBot="1" x14ac:dyDescent="0.3"/>
    <row r="20" spans="1:8" ht="16.5" thickBot="1" x14ac:dyDescent="0.3">
      <c r="A20" s="1791" t="s">
        <v>4254</v>
      </c>
      <c r="B20" s="1792"/>
      <c r="C20" s="1792"/>
      <c r="D20" s="1792"/>
      <c r="E20" s="1793"/>
      <c r="F20" s="653"/>
      <c r="G20" s="653"/>
      <c r="H20" s="653"/>
    </row>
    <row r="21" spans="1:8" ht="15.75" x14ac:dyDescent="0.25">
      <c r="A21" s="654" t="s">
        <v>916</v>
      </c>
      <c r="B21" s="655" t="s">
        <v>743</v>
      </c>
      <c r="C21" s="655" t="s">
        <v>1566</v>
      </c>
      <c r="D21" s="656" t="s">
        <v>1035</v>
      </c>
      <c r="E21" s="657" t="s">
        <v>1549</v>
      </c>
      <c r="F21" s="658"/>
      <c r="G21" s="653"/>
      <c r="H21" s="653"/>
    </row>
    <row r="22" spans="1:8" ht="15.75" x14ac:dyDescent="0.25">
      <c r="A22" s="1734" t="s">
        <v>3456</v>
      </c>
      <c r="B22" s="660" t="s">
        <v>1022</v>
      </c>
      <c r="C22" s="660">
        <v>2</v>
      </c>
      <c r="D22" s="661">
        <f>PIEDRAS!F74</f>
        <v>103.44827586206897</v>
      </c>
      <c r="E22" s="662">
        <f t="shared" ref="E22:E32" si="0">D22*C22</f>
        <v>206.89655172413794</v>
      </c>
      <c r="F22" s="658"/>
      <c r="G22" s="653"/>
      <c r="H22" s="653"/>
    </row>
    <row r="23" spans="1:8" ht="15.75" x14ac:dyDescent="0.25">
      <c r="A23" s="1735"/>
      <c r="B23" s="660" t="s">
        <v>805</v>
      </c>
      <c r="C23" s="660">
        <v>3</v>
      </c>
      <c r="D23" s="661">
        <f>PIEDRAS!F75</f>
        <v>250.28571428571428</v>
      </c>
      <c r="E23" s="662">
        <f t="shared" si="0"/>
        <v>750.85714285714289</v>
      </c>
      <c r="F23" s="658"/>
      <c r="G23" s="653"/>
      <c r="H23" s="653"/>
    </row>
    <row r="24" spans="1:8" ht="15.75" x14ac:dyDescent="0.25">
      <c r="A24" s="683" t="s">
        <v>3719</v>
      </c>
      <c r="B24" s="660" t="s">
        <v>805</v>
      </c>
      <c r="C24" s="660">
        <v>3</v>
      </c>
      <c r="D24" s="661">
        <f>PIEDRAS!F79</f>
        <v>257.14285714285717</v>
      </c>
      <c r="E24" s="662">
        <f t="shared" si="0"/>
        <v>771.42857142857156</v>
      </c>
      <c r="F24" s="658"/>
      <c r="G24" s="653"/>
      <c r="H24" s="653"/>
    </row>
    <row r="25" spans="1:8" ht="15.75" x14ac:dyDescent="0.25">
      <c r="A25" s="683" t="s">
        <v>4187</v>
      </c>
      <c r="B25" s="660" t="s">
        <v>805</v>
      </c>
      <c r="C25" s="660">
        <v>5</v>
      </c>
      <c r="D25" s="661">
        <f>PIEDRAS!F119</f>
        <v>95.238095238095241</v>
      </c>
      <c r="E25" s="662">
        <f t="shared" si="0"/>
        <v>476.1904761904762</v>
      </c>
      <c r="F25" s="658"/>
      <c r="G25" s="653"/>
      <c r="H25" s="653"/>
    </row>
    <row r="26" spans="1:8" ht="15.75" x14ac:dyDescent="0.25">
      <c r="A26" s="683" t="s">
        <v>4130</v>
      </c>
      <c r="B26" s="660" t="s">
        <v>781</v>
      </c>
      <c r="C26" s="660">
        <v>4</v>
      </c>
      <c r="D26" s="661">
        <f>VIDRIOS!E29</f>
        <v>59.583333333333336</v>
      </c>
      <c r="E26" s="662">
        <f t="shared" si="0"/>
        <v>238.33333333333334</v>
      </c>
      <c r="F26" s="658"/>
      <c r="G26" s="653"/>
      <c r="H26" s="653"/>
    </row>
    <row r="27" spans="1:8" ht="15.75" x14ac:dyDescent="0.25">
      <c r="A27" s="683" t="s">
        <v>4131</v>
      </c>
      <c r="B27" s="660" t="s">
        <v>781</v>
      </c>
      <c r="C27" s="660">
        <v>3</v>
      </c>
      <c r="D27" s="661">
        <f>VIDRIOS!E21</f>
        <v>65</v>
      </c>
      <c r="E27" s="662">
        <f t="shared" si="0"/>
        <v>195</v>
      </c>
      <c r="F27" s="658"/>
      <c r="G27" s="653"/>
      <c r="H27" s="653"/>
    </row>
    <row r="28" spans="1:8" ht="15.75" x14ac:dyDescent="0.25">
      <c r="A28" s="683" t="s">
        <v>4132</v>
      </c>
      <c r="B28" s="660" t="s">
        <v>3521</v>
      </c>
      <c r="C28" s="660">
        <v>4</v>
      </c>
      <c r="D28" s="661">
        <f>PIEDRAS!F19</f>
        <v>102.05882352941177</v>
      </c>
      <c r="E28" s="662">
        <f t="shared" si="0"/>
        <v>408.23529411764707</v>
      </c>
      <c r="F28" s="658"/>
      <c r="G28" s="653"/>
      <c r="H28" s="653"/>
    </row>
    <row r="29" spans="1:8" ht="15.75" x14ac:dyDescent="0.25">
      <c r="A29" s="683" t="s">
        <v>4139</v>
      </c>
      <c r="B29" s="660" t="s">
        <v>989</v>
      </c>
      <c r="C29" s="660">
        <v>2</v>
      </c>
      <c r="D29" s="661">
        <f>PIEDRAS!F130</f>
        <v>96.15384615384616</v>
      </c>
      <c r="E29" s="662">
        <f t="shared" si="0"/>
        <v>192.30769230769232</v>
      </c>
      <c r="F29" s="658"/>
      <c r="G29" s="653"/>
      <c r="H29" s="653"/>
    </row>
    <row r="30" spans="1:8" ht="15.75" x14ac:dyDescent="0.25">
      <c r="A30" s="683" t="s">
        <v>4133</v>
      </c>
      <c r="B30" s="660" t="s">
        <v>781</v>
      </c>
      <c r="C30" s="660">
        <v>1</v>
      </c>
      <c r="D30" s="661">
        <f>PIEDRAS!F128</f>
        <v>85</v>
      </c>
      <c r="E30" s="662">
        <f t="shared" si="0"/>
        <v>85</v>
      </c>
      <c r="F30" s="658"/>
      <c r="G30" s="653"/>
      <c r="H30" s="653"/>
    </row>
    <row r="31" spans="1:8" ht="15.75" x14ac:dyDescent="0.25">
      <c r="A31" s="683" t="s">
        <v>4138</v>
      </c>
      <c r="B31" s="660"/>
      <c r="C31" s="660">
        <v>1</v>
      </c>
      <c r="D31" s="661">
        <f>PIEDRAS!F112</f>
        <v>307.69230769230768</v>
      </c>
      <c r="E31" s="662">
        <f t="shared" si="0"/>
        <v>307.69230769230768</v>
      </c>
      <c r="F31" s="658"/>
      <c r="G31" s="653"/>
      <c r="H31" s="653"/>
    </row>
    <row r="32" spans="1:8" ht="15.75" x14ac:dyDescent="0.25">
      <c r="A32" s="683" t="s">
        <v>4134</v>
      </c>
      <c r="B32" s="660"/>
      <c r="C32" s="660">
        <v>3</v>
      </c>
      <c r="D32" s="661">
        <f>PIEDRAS!F81</f>
        <v>181.66666666666666</v>
      </c>
      <c r="E32" s="662">
        <f t="shared" si="0"/>
        <v>545</v>
      </c>
      <c r="F32" s="658"/>
      <c r="G32" s="653"/>
      <c r="H32" s="653"/>
    </row>
    <row r="33" spans="1:9" ht="15.75" x14ac:dyDescent="0.25">
      <c r="A33" s="683" t="s">
        <v>4135</v>
      </c>
      <c r="B33" s="660">
        <v>0.6</v>
      </c>
      <c r="C33" s="660">
        <v>0.04</v>
      </c>
      <c r="D33" s="661">
        <f>PIEDRAS!E155</f>
        <v>2400</v>
      </c>
      <c r="E33" s="662">
        <f>D33*C33/B33</f>
        <v>160</v>
      </c>
      <c r="F33" s="658"/>
      <c r="G33" s="653"/>
      <c r="H33" s="653"/>
    </row>
    <row r="34" spans="1:9" ht="15.75" x14ac:dyDescent="0.25">
      <c r="A34" s="683" t="s">
        <v>4136</v>
      </c>
      <c r="B34" s="660"/>
      <c r="C34" s="660">
        <v>3</v>
      </c>
      <c r="D34" s="661">
        <f>PIEDRAS!F83</f>
        <v>253.11111111111111</v>
      </c>
      <c r="E34" s="662">
        <f t="shared" ref="E34:E39" si="1">D34*C34</f>
        <v>759.33333333333337</v>
      </c>
      <c r="F34" s="658"/>
      <c r="G34" s="653"/>
      <c r="H34" s="653"/>
    </row>
    <row r="35" spans="1:9" ht="15.75" x14ac:dyDescent="0.25">
      <c r="A35" s="683" t="s">
        <v>4137</v>
      </c>
      <c r="B35" s="660"/>
      <c r="C35" s="660">
        <v>2</v>
      </c>
      <c r="D35" s="661">
        <f>VIDRIOS!E38</f>
        <v>30.927835051546392</v>
      </c>
      <c r="E35" s="662">
        <f t="shared" si="1"/>
        <v>61.855670103092784</v>
      </c>
      <c r="F35" s="658"/>
      <c r="G35" s="653"/>
      <c r="H35" s="653"/>
    </row>
    <row r="36" spans="1:9" ht="15.75" x14ac:dyDescent="0.25">
      <c r="A36" s="683" t="s">
        <v>3117</v>
      </c>
      <c r="B36" s="660"/>
      <c r="C36" s="660">
        <v>1</v>
      </c>
      <c r="D36" s="661">
        <f>FORNITURAS!D15</f>
        <v>142</v>
      </c>
      <c r="E36" s="662">
        <f t="shared" si="1"/>
        <v>142</v>
      </c>
      <c r="F36" s="658"/>
      <c r="G36" s="653"/>
      <c r="H36" s="653"/>
    </row>
    <row r="37" spans="1:9" ht="15.75" x14ac:dyDescent="0.25">
      <c r="A37" s="683" t="s">
        <v>1424</v>
      </c>
      <c r="B37" s="660"/>
      <c r="C37" s="660">
        <v>0.42</v>
      </c>
      <c r="D37" s="661">
        <f>'HILOS-CORDONES-TANZA-CUERO'!L9</f>
        <v>30</v>
      </c>
      <c r="E37" s="662">
        <f t="shared" si="1"/>
        <v>12.6</v>
      </c>
      <c r="F37" s="658"/>
      <c r="G37" s="653"/>
      <c r="H37" s="653"/>
    </row>
    <row r="38" spans="1:9" ht="15.75" x14ac:dyDescent="0.25">
      <c r="A38" s="1736" t="s">
        <v>1572</v>
      </c>
      <c r="B38" s="660" t="s">
        <v>1556</v>
      </c>
      <c r="C38" s="660">
        <v>2</v>
      </c>
      <c r="D38" s="661">
        <f>FORNITURAS!D4</f>
        <v>48.7</v>
      </c>
      <c r="E38" s="662">
        <f t="shared" si="1"/>
        <v>97.4</v>
      </c>
      <c r="F38" s="658"/>
      <c r="G38" s="653"/>
      <c r="H38" s="653"/>
    </row>
    <row r="39" spans="1:9" ht="15.75" x14ac:dyDescent="0.25">
      <c r="A39" s="1737"/>
      <c r="B39" s="660" t="s">
        <v>1573</v>
      </c>
      <c r="C39" s="660">
        <v>1</v>
      </c>
      <c r="D39" s="661">
        <f>FORNITURAS!D7</f>
        <v>52</v>
      </c>
      <c r="E39" s="662">
        <f t="shared" si="1"/>
        <v>52</v>
      </c>
      <c r="F39" s="658"/>
      <c r="G39" s="653"/>
      <c r="H39" s="653"/>
    </row>
    <row r="40" spans="1:9" ht="15.75" x14ac:dyDescent="0.25">
      <c r="A40" s="665" t="s">
        <v>4141</v>
      </c>
      <c r="B40" s="660"/>
      <c r="C40" s="660">
        <v>0.1</v>
      </c>
      <c r="D40" s="661">
        <f>'AROS, CADENAS, DIJES, ETC'!K66</f>
        <v>0</v>
      </c>
      <c r="E40" s="662">
        <f>C40*D40</f>
        <v>0</v>
      </c>
      <c r="F40" s="658"/>
      <c r="G40" s="653"/>
      <c r="H40" s="653"/>
    </row>
    <row r="41" spans="1:9" ht="15.75" x14ac:dyDescent="0.25">
      <c r="A41" s="666" t="s">
        <v>4128</v>
      </c>
      <c r="B41" s="660" t="s">
        <v>846</v>
      </c>
      <c r="C41" s="660">
        <v>2</v>
      </c>
      <c r="D41" s="661">
        <f>FORNITURAS!I5</f>
        <v>188.85714285714286</v>
      </c>
      <c r="E41" s="662">
        <f>D41*C41</f>
        <v>377.71428571428572</v>
      </c>
      <c r="F41" s="658"/>
      <c r="G41" s="653"/>
      <c r="H41" s="653"/>
    </row>
    <row r="42" spans="1:9" ht="15.75" x14ac:dyDescent="0.25">
      <c r="A42" s="666" t="s">
        <v>1012</v>
      </c>
      <c r="B42" s="660"/>
      <c r="C42" s="660">
        <v>2</v>
      </c>
      <c r="D42" s="661">
        <f>FORNITURAS!D16</f>
        <v>45.05</v>
      </c>
      <c r="E42" s="662">
        <f>D42*C42</f>
        <v>90.1</v>
      </c>
      <c r="F42" s="658"/>
      <c r="G42" s="653"/>
      <c r="H42" s="653"/>
    </row>
    <row r="43" spans="1:9" ht="15.75" x14ac:dyDescent="0.25">
      <c r="A43" s="666" t="s">
        <v>1587</v>
      </c>
      <c r="B43" s="660"/>
      <c r="C43" s="660">
        <v>1</v>
      </c>
      <c r="D43" s="661">
        <f>FORNITURAS!D20</f>
        <v>1066</v>
      </c>
      <c r="E43" s="662">
        <f>C43*D43</f>
        <v>1066</v>
      </c>
      <c r="F43" s="658"/>
      <c r="G43" s="653"/>
      <c r="H43" s="653"/>
    </row>
    <row r="44" spans="1:9" ht="15.75" x14ac:dyDescent="0.25">
      <c r="A44" s="666" t="s">
        <v>3173</v>
      </c>
      <c r="B44" s="660"/>
      <c r="C44" s="660">
        <v>2</v>
      </c>
      <c r="D44" s="661">
        <f>FORNITURAS!D37</f>
        <v>299.5</v>
      </c>
      <c r="E44" s="667">
        <f>D44*C44</f>
        <v>599</v>
      </c>
      <c r="F44" s="658"/>
      <c r="G44" s="653"/>
      <c r="H44" s="653"/>
    </row>
    <row r="45" spans="1:9" ht="15.75" x14ac:dyDescent="0.25">
      <c r="A45" s="666" t="s">
        <v>1557</v>
      </c>
      <c r="B45" s="660"/>
      <c r="C45" s="660"/>
      <c r="D45" s="661"/>
      <c r="E45" s="667">
        <f>PACKAGING!E4</f>
        <v>80</v>
      </c>
      <c r="F45" s="653"/>
      <c r="G45" s="658"/>
      <c r="H45" s="653"/>
    </row>
    <row r="46" spans="1:9" ht="15.75" x14ac:dyDescent="0.25">
      <c r="A46" s="666" t="s">
        <v>3362</v>
      </c>
      <c r="B46" s="660"/>
      <c r="C46" s="660"/>
      <c r="D46" s="661"/>
      <c r="E46" s="667">
        <f>PACKAGING!E17</f>
        <v>7.5</v>
      </c>
      <c r="F46" s="653"/>
      <c r="G46" s="658"/>
      <c r="H46" s="653"/>
    </row>
    <row r="47" spans="1:9" ht="15.75" x14ac:dyDescent="0.25">
      <c r="A47" s="666" t="s">
        <v>1634</v>
      </c>
      <c r="B47" s="660"/>
      <c r="C47" s="660"/>
      <c r="D47" s="661"/>
      <c r="E47" s="667">
        <f>PACKAGING!E7</f>
        <v>170</v>
      </c>
      <c r="F47" s="653"/>
      <c r="G47" s="658"/>
      <c r="H47" s="653"/>
    </row>
    <row r="48" spans="1:9" ht="15.75" x14ac:dyDescent="0.25">
      <c r="A48" s="683" t="s">
        <v>1618</v>
      </c>
      <c r="B48" s="660">
        <v>60</v>
      </c>
      <c r="C48" s="660">
        <v>30</v>
      </c>
      <c r="D48" s="668">
        <f>'INSUMOS VARIOS'!B3</f>
        <v>3500</v>
      </c>
      <c r="E48" s="669">
        <f>D48*C48/B48</f>
        <v>1750</v>
      </c>
      <c r="F48" s="1" t="s">
        <v>3023</v>
      </c>
      <c r="G48" s="653"/>
      <c r="H48" s="653"/>
      <c r="I48" s="653"/>
    </row>
    <row r="49" spans="1:10" ht="15.75" thickBot="1" x14ac:dyDescent="0.3">
      <c r="A49" s="670" t="s">
        <v>525</v>
      </c>
      <c r="B49" s="671"/>
      <c r="C49" s="671"/>
      <c r="D49" s="672"/>
      <c r="E49" s="673">
        <f>SUM(E22:E48)</f>
        <v>9602.4446588020219</v>
      </c>
      <c r="F49" s="698">
        <f>(E49+G50+G51)</f>
        <v>13305.444658802022</v>
      </c>
      <c r="G49" s="658" t="s">
        <v>2028</v>
      </c>
      <c r="H49" s="674" t="s">
        <v>2029</v>
      </c>
    </row>
    <row r="50" spans="1:10" ht="16.5" thickBot="1" x14ac:dyDescent="0.3">
      <c r="A50" s="675" t="s">
        <v>544</v>
      </c>
      <c r="B50" s="676"/>
      <c r="C50" s="676"/>
      <c r="D50" s="677"/>
      <c r="E50" s="692">
        <f>E49*2</f>
        <v>19204.889317604044</v>
      </c>
      <c r="F50" s="679">
        <f>E50+E50*70%</f>
        <v>32648.311839926871</v>
      </c>
      <c r="G50" s="680">
        <f>PACKAGING!I4</f>
        <v>2633</v>
      </c>
      <c r="H50" s="681">
        <f>F50+G50+G51</f>
        <v>36351.311839926871</v>
      </c>
      <c r="I50" s="1277">
        <v>52000</v>
      </c>
    </row>
    <row r="51" spans="1:10" ht="16.5" thickBot="1" x14ac:dyDescent="0.3">
      <c r="A51" s="684" t="s">
        <v>1559</v>
      </c>
      <c r="B51" s="685"/>
      <c r="C51" s="685"/>
      <c r="D51" s="686"/>
      <c r="E51" s="686"/>
      <c r="F51" s="688"/>
      <c r="G51" s="699">
        <f>PACKAGING!I6</f>
        <v>1070</v>
      </c>
      <c r="I51" s="1275">
        <f>I50*60%</f>
        <v>31200</v>
      </c>
      <c r="J51" t="s">
        <v>3687</v>
      </c>
    </row>
    <row r="52" spans="1:10" ht="15.75" thickBot="1" x14ac:dyDescent="0.3"/>
    <row r="53" spans="1:10" ht="16.5" thickBot="1" x14ac:dyDescent="0.3">
      <c r="A53" s="1791" t="s">
        <v>4260</v>
      </c>
      <c r="B53" s="1792"/>
      <c r="C53" s="1792"/>
      <c r="D53" s="1792"/>
      <c r="E53" s="1793"/>
      <c r="F53" s="653"/>
      <c r="G53" s="653"/>
      <c r="H53" s="653"/>
    </row>
    <row r="54" spans="1:10" ht="15.75" x14ac:dyDescent="0.25">
      <c r="A54" s="654" t="s">
        <v>916</v>
      </c>
      <c r="B54" s="655" t="s">
        <v>743</v>
      </c>
      <c r="C54" s="655" t="s">
        <v>1566</v>
      </c>
      <c r="D54" s="656" t="s">
        <v>1035</v>
      </c>
      <c r="E54" s="657" t="s">
        <v>1549</v>
      </c>
      <c r="F54" s="658"/>
      <c r="G54" s="653"/>
      <c r="H54" s="653"/>
    </row>
    <row r="55" spans="1:10" ht="15.75" x14ac:dyDescent="0.25">
      <c r="A55" s="769" t="s">
        <v>4136</v>
      </c>
      <c r="B55" s="660"/>
      <c r="C55" s="660">
        <v>3</v>
      </c>
      <c r="D55" s="661">
        <f>PIEDRAS!F83</f>
        <v>253.11111111111111</v>
      </c>
      <c r="E55" s="662">
        <f>D55*C55</f>
        <v>759.33333333333337</v>
      </c>
      <c r="F55" s="658"/>
      <c r="G55" s="653"/>
      <c r="H55" s="653"/>
    </row>
    <row r="56" spans="1:10" ht="15.75" x14ac:dyDescent="0.25">
      <c r="A56" s="769" t="s">
        <v>4143</v>
      </c>
      <c r="B56" s="660">
        <v>0.8</v>
      </c>
      <c r="C56" s="660">
        <v>8.5000000000000006E-2</v>
      </c>
      <c r="D56" s="661">
        <f>PIEDRAS!E151</f>
        <v>4600</v>
      </c>
      <c r="E56" s="662">
        <f>D56*C56/B56</f>
        <v>488.75</v>
      </c>
      <c r="F56" s="658"/>
      <c r="G56" s="653"/>
      <c r="H56" s="653"/>
    </row>
    <row r="57" spans="1:10" ht="15.75" x14ac:dyDescent="0.25">
      <c r="A57" s="769" t="s">
        <v>4251</v>
      </c>
      <c r="B57" s="660">
        <v>0.375</v>
      </c>
      <c r="C57" s="660">
        <v>0.28000000000000003</v>
      </c>
      <c r="D57" s="661">
        <f>PIEDRAS!E63</f>
        <v>3950</v>
      </c>
      <c r="E57" s="662">
        <f>D57*C57/B57</f>
        <v>2949.3333333333335</v>
      </c>
      <c r="F57" s="658"/>
      <c r="G57" s="653"/>
      <c r="H57" s="653"/>
    </row>
    <row r="58" spans="1:10" ht="15.75" x14ac:dyDescent="0.25">
      <c r="A58" s="1736" t="s">
        <v>1572</v>
      </c>
      <c r="B58" s="660" t="s">
        <v>1556</v>
      </c>
      <c r="C58" s="660">
        <v>2</v>
      </c>
      <c r="D58" s="661">
        <f>FORNITURAS!D4</f>
        <v>48.7</v>
      </c>
      <c r="E58" s="662">
        <f>D58*C58</f>
        <v>97.4</v>
      </c>
      <c r="F58" s="658"/>
      <c r="G58" s="653"/>
      <c r="H58" s="653"/>
    </row>
    <row r="59" spans="1:10" ht="15.75" x14ac:dyDescent="0.25">
      <c r="A59" s="1737"/>
      <c r="B59" s="660" t="s">
        <v>1573</v>
      </c>
      <c r="C59" s="660">
        <v>1</v>
      </c>
      <c r="D59" s="661">
        <f>FORNITURAS!D7</f>
        <v>52</v>
      </c>
      <c r="E59" s="662">
        <f>D59*C59</f>
        <v>52</v>
      </c>
      <c r="F59" s="658"/>
      <c r="G59" s="653"/>
      <c r="H59" s="653"/>
    </row>
    <row r="60" spans="1:10" ht="15.75" x14ac:dyDescent="0.25">
      <c r="A60" s="666" t="s">
        <v>1424</v>
      </c>
      <c r="B60" s="660"/>
      <c r="C60" s="660">
        <v>0.42</v>
      </c>
      <c r="D60" s="661">
        <f>'HILOS-CORDONES-TANZA-CUERO'!L9</f>
        <v>30</v>
      </c>
      <c r="E60" s="662">
        <f>D60*C60</f>
        <v>12.6</v>
      </c>
      <c r="F60" s="658"/>
      <c r="G60" s="653"/>
      <c r="H60" s="653"/>
    </row>
    <row r="61" spans="1:10" ht="15.75" x14ac:dyDescent="0.25">
      <c r="A61" s="666" t="s">
        <v>1608</v>
      </c>
      <c r="B61" s="660"/>
      <c r="C61" s="660">
        <v>0.1</v>
      </c>
      <c r="D61" s="661">
        <f>'AROS, CADENAS, DIJES, ETC'!I38</f>
        <v>3630</v>
      </c>
      <c r="E61" s="662">
        <f>C61*D61</f>
        <v>363</v>
      </c>
      <c r="F61" s="658"/>
      <c r="G61" s="653"/>
      <c r="H61" s="653"/>
    </row>
    <row r="62" spans="1:10" ht="15.75" x14ac:dyDescent="0.25">
      <c r="A62" s="666" t="s">
        <v>1554</v>
      </c>
      <c r="B62" s="660"/>
      <c r="C62" s="660">
        <v>2</v>
      </c>
      <c r="D62" s="661">
        <f>FORNITURAS!D24</f>
        <v>34.666666666666664</v>
      </c>
      <c r="E62" s="662">
        <f>D62*C62</f>
        <v>69.333333333333329</v>
      </c>
      <c r="F62" s="658"/>
      <c r="G62" s="653"/>
      <c r="H62" s="653"/>
    </row>
    <row r="63" spans="1:10" ht="15.75" x14ac:dyDescent="0.25">
      <c r="A63" s="666" t="s">
        <v>1012</v>
      </c>
      <c r="B63" s="660"/>
      <c r="C63" s="660">
        <v>2</v>
      </c>
      <c r="D63" s="661">
        <f>FORNITURAS!D16</f>
        <v>45.05</v>
      </c>
      <c r="E63" s="662">
        <f>D63*C63</f>
        <v>90.1</v>
      </c>
      <c r="F63" s="658"/>
      <c r="G63" s="653"/>
      <c r="H63" s="653"/>
    </row>
    <row r="64" spans="1:10" ht="15.75" x14ac:dyDescent="0.25">
      <c r="A64" s="666" t="s">
        <v>1587</v>
      </c>
      <c r="B64" s="660"/>
      <c r="C64" s="660">
        <v>1</v>
      </c>
      <c r="D64" s="661">
        <f>FORNITURAS!H44</f>
        <v>485</v>
      </c>
      <c r="E64" s="662">
        <f>C64*D64</f>
        <v>485</v>
      </c>
      <c r="F64" s="658"/>
      <c r="G64" s="653"/>
      <c r="H64" s="653"/>
    </row>
    <row r="65" spans="1:8" ht="15.75" x14ac:dyDescent="0.25">
      <c r="A65" s="666" t="s">
        <v>1557</v>
      </c>
      <c r="B65" s="660"/>
      <c r="C65" s="660"/>
      <c r="D65" s="661"/>
      <c r="E65" s="667">
        <f>PACKAGING!E4</f>
        <v>80</v>
      </c>
      <c r="F65" s="653"/>
      <c r="G65" s="658"/>
      <c r="H65" s="653"/>
    </row>
    <row r="66" spans="1:8" ht="15.75" x14ac:dyDescent="0.25">
      <c r="A66" s="666" t="s">
        <v>3362</v>
      </c>
      <c r="B66" s="660"/>
      <c r="C66" s="660"/>
      <c r="D66" s="661"/>
      <c r="E66" s="667">
        <f>PACKAGING!E17</f>
        <v>7.5</v>
      </c>
      <c r="F66" s="653"/>
      <c r="G66" s="658"/>
      <c r="H66" s="653"/>
    </row>
    <row r="67" spans="1:8" ht="15.75" x14ac:dyDescent="0.25">
      <c r="A67" s="666" t="s">
        <v>1634</v>
      </c>
      <c r="B67" s="660"/>
      <c r="C67" s="660"/>
      <c r="D67" s="661"/>
      <c r="E67" s="667">
        <f>PACKAGING!E7</f>
        <v>170</v>
      </c>
      <c r="F67" s="653"/>
      <c r="G67" s="658"/>
      <c r="H67" s="653"/>
    </row>
    <row r="68" spans="1:8" ht="15.75" x14ac:dyDescent="0.25">
      <c r="A68" s="666" t="s">
        <v>3568</v>
      </c>
      <c r="B68" s="660"/>
      <c r="C68" s="660"/>
      <c r="D68" s="661"/>
      <c r="E68" s="667">
        <f>PACKAGING!I5</f>
        <v>845</v>
      </c>
      <c r="F68" s="653"/>
      <c r="G68" s="658"/>
      <c r="H68" s="653"/>
    </row>
    <row r="69" spans="1:8" ht="15.75" x14ac:dyDescent="0.25">
      <c r="A69" s="683" t="s">
        <v>1618</v>
      </c>
      <c r="B69" s="660">
        <v>60</v>
      </c>
      <c r="C69" s="660">
        <v>30</v>
      </c>
      <c r="D69" s="668">
        <f>'INSUMOS VARIOS'!B3</f>
        <v>3500</v>
      </c>
      <c r="E69" s="669">
        <f>D69*C69/B69</f>
        <v>1750</v>
      </c>
      <c r="F69" s="653"/>
      <c r="G69" s="658"/>
      <c r="H69" s="653"/>
    </row>
    <row r="70" spans="1:8" ht="16.5" thickBot="1" x14ac:dyDescent="0.3">
      <c r="A70" s="670" t="s">
        <v>525</v>
      </c>
      <c r="B70" s="671"/>
      <c r="C70" s="671"/>
      <c r="D70" s="672"/>
      <c r="E70" s="673">
        <f>SUM(E55:E69)</f>
        <v>8219.35</v>
      </c>
      <c r="F70" s="658"/>
      <c r="G70" s="653"/>
      <c r="H70" s="653"/>
    </row>
    <row r="71" spans="1:8" ht="16.5" thickBot="1" x14ac:dyDescent="0.3">
      <c r="A71" s="675" t="s">
        <v>544</v>
      </c>
      <c r="B71" s="676"/>
      <c r="C71" s="676"/>
      <c r="D71" s="677"/>
      <c r="E71" s="692">
        <f>E70*2</f>
        <v>16438.7</v>
      </c>
      <c r="F71" s="957">
        <f>E71+E71*70%</f>
        <v>27945.79</v>
      </c>
      <c r="G71" s="681">
        <v>38000</v>
      </c>
      <c r="H71" s="653"/>
    </row>
    <row r="72" spans="1:8" ht="16.5" thickBot="1" x14ac:dyDescent="0.3">
      <c r="A72" s="684" t="s">
        <v>1559</v>
      </c>
      <c r="B72" s="685"/>
      <c r="C72" s="685"/>
      <c r="D72" s="686"/>
      <c r="E72" s="686"/>
      <c r="F72" s="816"/>
      <c r="G72" s="1275">
        <f>G71*60%</f>
        <v>22800</v>
      </c>
      <c r="H72" s="1276" t="s">
        <v>3687</v>
      </c>
    </row>
    <row r="73" spans="1:8" ht="15.75" thickBot="1" x14ac:dyDescent="0.3"/>
    <row r="74" spans="1:8" ht="16.5" thickBot="1" x14ac:dyDescent="0.3">
      <c r="A74" s="1794" t="s">
        <v>4307</v>
      </c>
      <c r="B74" s="1795"/>
      <c r="C74" s="1795"/>
      <c r="D74" s="1795"/>
      <c r="E74" s="1796"/>
      <c r="F74" s="653"/>
      <c r="G74" s="653"/>
      <c r="H74" s="653"/>
    </row>
    <row r="75" spans="1:8" ht="15.75" x14ac:dyDescent="0.25">
      <c r="A75" s="654" t="s">
        <v>916</v>
      </c>
      <c r="B75" s="655" t="s">
        <v>743</v>
      </c>
      <c r="C75" s="655" t="s">
        <v>1566</v>
      </c>
      <c r="D75" s="656" t="s">
        <v>1035</v>
      </c>
      <c r="E75" s="657" t="s">
        <v>1549</v>
      </c>
      <c r="F75" s="658"/>
      <c r="G75" s="653"/>
      <c r="H75" s="653"/>
    </row>
    <row r="76" spans="1:8" ht="15.75" x14ac:dyDescent="0.25">
      <c r="A76" s="769" t="s">
        <v>4145</v>
      </c>
      <c r="B76" s="660" t="s">
        <v>781</v>
      </c>
      <c r="C76" s="660">
        <v>3</v>
      </c>
      <c r="D76" s="661">
        <f>VIDRIOS!E32</f>
        <v>59.583333333333336</v>
      </c>
      <c r="E76" s="662">
        <f>D76*C76</f>
        <v>178.75</v>
      </c>
      <c r="F76" s="658"/>
      <c r="G76" s="653"/>
      <c r="H76" s="653"/>
    </row>
    <row r="77" spans="1:8" ht="15.75" x14ac:dyDescent="0.25">
      <c r="A77" s="769" t="s">
        <v>4144</v>
      </c>
      <c r="B77" s="660">
        <v>0.94</v>
      </c>
      <c r="C77" s="660">
        <v>0.32</v>
      </c>
      <c r="D77" s="661">
        <f>PIEDRAS!E150</f>
        <v>3600</v>
      </c>
      <c r="E77" s="662">
        <f>D77*C77/B77</f>
        <v>1225.5319148936171</v>
      </c>
      <c r="F77" s="658"/>
      <c r="G77" s="653"/>
      <c r="H77" s="653"/>
    </row>
    <row r="78" spans="1:8" ht="15.75" x14ac:dyDescent="0.25">
      <c r="A78" s="769" t="s">
        <v>1742</v>
      </c>
      <c r="B78" s="660" t="s">
        <v>1345</v>
      </c>
      <c r="C78" s="660">
        <v>4</v>
      </c>
      <c r="D78" s="661">
        <f>'PERLAS 2'!H14</f>
        <v>324.8</v>
      </c>
      <c r="E78" s="662">
        <f t="shared" ref="E78:E84" si="2">D78*C78</f>
        <v>1299.2</v>
      </c>
      <c r="F78" s="658"/>
      <c r="G78" s="653"/>
      <c r="H78" s="653"/>
    </row>
    <row r="79" spans="1:8" ht="15.75" x14ac:dyDescent="0.25">
      <c r="A79" s="769" t="s">
        <v>4146</v>
      </c>
      <c r="B79" s="660"/>
      <c r="C79" s="660">
        <v>2</v>
      </c>
      <c r="D79" s="661">
        <f>VIDRIOS!E33</f>
        <v>8.5</v>
      </c>
      <c r="E79" s="662">
        <f t="shared" si="2"/>
        <v>17</v>
      </c>
      <c r="F79" s="658"/>
      <c r="G79" s="653"/>
      <c r="H79" s="653"/>
    </row>
    <row r="80" spans="1:8" ht="15.75" x14ac:dyDescent="0.25">
      <c r="A80" s="683" t="s">
        <v>4147</v>
      </c>
      <c r="B80" s="660"/>
      <c r="C80" s="660">
        <v>1</v>
      </c>
      <c r="D80" s="661">
        <f>'RESINA - ACRILICOS'!K8</f>
        <v>1720</v>
      </c>
      <c r="E80" s="662">
        <f t="shared" si="2"/>
        <v>1720</v>
      </c>
      <c r="F80" s="658"/>
      <c r="G80" s="653"/>
      <c r="H80" s="653"/>
    </row>
    <row r="81" spans="1:10" ht="15.75" x14ac:dyDescent="0.25">
      <c r="A81" s="1736" t="s">
        <v>1572</v>
      </c>
      <c r="B81" s="660" t="s">
        <v>1556</v>
      </c>
      <c r="C81" s="660">
        <v>2</v>
      </c>
      <c r="D81" s="661">
        <f>FORNITURAS!D4</f>
        <v>48.7</v>
      </c>
      <c r="E81" s="662">
        <f t="shared" si="2"/>
        <v>97.4</v>
      </c>
      <c r="F81" s="658"/>
      <c r="G81" s="653"/>
      <c r="H81" s="653"/>
    </row>
    <row r="82" spans="1:10" ht="15.75" x14ac:dyDescent="0.25">
      <c r="A82" s="1758"/>
      <c r="B82" s="660" t="s">
        <v>1573</v>
      </c>
      <c r="C82" s="660">
        <v>1</v>
      </c>
      <c r="D82" s="661">
        <f>FORNITURAS!D7</f>
        <v>52</v>
      </c>
      <c r="E82" s="662">
        <f t="shared" si="2"/>
        <v>52</v>
      </c>
      <c r="F82" s="658"/>
      <c r="G82" s="653"/>
      <c r="H82" s="653"/>
    </row>
    <row r="83" spans="1:10" ht="15.75" x14ac:dyDescent="0.25">
      <c r="A83" s="1737"/>
      <c r="B83" s="660" t="s">
        <v>4152</v>
      </c>
      <c r="C83" s="660">
        <v>1</v>
      </c>
      <c r="D83" s="661">
        <f>FORNITURAS!H62</f>
        <v>466.15384615384613</v>
      </c>
      <c r="E83" s="662">
        <f t="shared" si="2"/>
        <v>466.15384615384613</v>
      </c>
      <c r="F83" s="658"/>
      <c r="G83" s="653"/>
      <c r="H83" s="653"/>
    </row>
    <row r="84" spans="1:10" ht="15.75" x14ac:dyDescent="0.25">
      <c r="A84" s="666" t="s">
        <v>1424</v>
      </c>
      <c r="B84" s="660"/>
      <c r="C84" s="660">
        <v>0.42</v>
      </c>
      <c r="D84" s="661">
        <f>'HILOS-CORDONES-TANZA-CUERO'!L9</f>
        <v>30</v>
      </c>
      <c r="E84" s="662">
        <f t="shared" si="2"/>
        <v>12.6</v>
      </c>
      <c r="F84" s="658"/>
      <c r="G84" s="653"/>
      <c r="H84" s="653"/>
    </row>
    <row r="85" spans="1:10" ht="15.75" x14ac:dyDescent="0.25">
      <c r="A85" s="666" t="s">
        <v>1608</v>
      </c>
      <c r="B85" s="660"/>
      <c r="C85" s="660">
        <v>0.1</v>
      </c>
      <c r="D85" s="661">
        <f>'AROS, CADENAS, DIJES, ETC'!I38</f>
        <v>3630</v>
      </c>
      <c r="E85" s="662">
        <f>C85*D85</f>
        <v>363</v>
      </c>
      <c r="F85" s="658"/>
      <c r="G85" s="653"/>
      <c r="H85" s="653"/>
    </row>
    <row r="86" spans="1:10" ht="15.75" x14ac:dyDescent="0.25">
      <c r="A86" s="666" t="s">
        <v>1944</v>
      </c>
      <c r="B86" s="660" t="s">
        <v>777</v>
      </c>
      <c r="C86" s="660">
        <v>2</v>
      </c>
      <c r="D86" s="661">
        <f>FORNITURAS!I3</f>
        <v>66.099999999999994</v>
      </c>
      <c r="E86" s="662">
        <f>D86*C86</f>
        <v>132.19999999999999</v>
      </c>
      <c r="F86" s="658"/>
      <c r="G86" s="653"/>
      <c r="H86" s="653"/>
    </row>
    <row r="87" spans="1:10" ht="15.75" x14ac:dyDescent="0.25">
      <c r="A87" s="666" t="s">
        <v>1012</v>
      </c>
      <c r="B87" s="660"/>
      <c r="C87" s="660">
        <v>2</v>
      </c>
      <c r="D87" s="661">
        <f>FORNITURAS!D16</f>
        <v>45.05</v>
      </c>
      <c r="E87" s="662">
        <f>D87*C87</f>
        <v>90.1</v>
      </c>
      <c r="F87" s="658"/>
      <c r="G87" s="653"/>
      <c r="H87" s="653"/>
    </row>
    <row r="88" spans="1:10" ht="15.75" x14ac:dyDescent="0.25">
      <c r="A88" s="666" t="s">
        <v>1587</v>
      </c>
      <c r="B88" s="660"/>
      <c r="C88" s="660">
        <v>1</v>
      </c>
      <c r="D88" s="661">
        <f>FORNITURAS!H44</f>
        <v>485</v>
      </c>
      <c r="E88" s="662">
        <f>C88*D88</f>
        <v>485</v>
      </c>
      <c r="F88" s="658"/>
      <c r="G88" s="653"/>
      <c r="H88" s="653"/>
    </row>
    <row r="89" spans="1:10" ht="15.75" x14ac:dyDescent="0.25">
      <c r="A89" s="666" t="s">
        <v>1557</v>
      </c>
      <c r="B89" s="660"/>
      <c r="C89" s="660"/>
      <c r="D89" s="661"/>
      <c r="E89" s="667">
        <f>PACKAGING!E4</f>
        <v>80</v>
      </c>
      <c r="F89" s="653"/>
      <c r="G89" s="658"/>
      <c r="H89" s="653"/>
    </row>
    <row r="90" spans="1:10" ht="15.75" x14ac:dyDescent="0.25">
      <c r="A90" s="666" t="s">
        <v>3362</v>
      </c>
      <c r="B90" s="660"/>
      <c r="C90" s="660"/>
      <c r="D90" s="661"/>
      <c r="E90" s="667">
        <f>PACKAGING!E17</f>
        <v>7.5</v>
      </c>
      <c r="F90" s="653"/>
      <c r="G90" s="658"/>
      <c r="H90" s="653"/>
    </row>
    <row r="91" spans="1:10" ht="15.75" x14ac:dyDescent="0.25">
      <c r="A91" s="666" t="s">
        <v>1634</v>
      </c>
      <c r="B91" s="660"/>
      <c r="C91" s="660"/>
      <c r="D91" s="661"/>
      <c r="E91" s="667">
        <f>PACKAGING!E7</f>
        <v>170</v>
      </c>
      <c r="F91" s="653"/>
      <c r="G91" s="658"/>
      <c r="H91" s="653"/>
    </row>
    <row r="92" spans="1:10" ht="15.75" x14ac:dyDescent="0.25">
      <c r="A92" s="683" t="s">
        <v>1618</v>
      </c>
      <c r="B92" s="660">
        <v>60</v>
      </c>
      <c r="C92" s="660">
        <v>30</v>
      </c>
      <c r="D92" s="668">
        <f>'INSUMOS VARIOS'!B3</f>
        <v>3500</v>
      </c>
      <c r="E92" s="669">
        <f>D92*C92/B92</f>
        <v>1750</v>
      </c>
      <c r="F92" s="1" t="s">
        <v>3023</v>
      </c>
      <c r="G92" s="658"/>
      <c r="H92" s="653"/>
    </row>
    <row r="93" spans="1:10" ht="16.5" thickBot="1" x14ac:dyDescent="0.3">
      <c r="A93" s="670" t="s">
        <v>525</v>
      </c>
      <c r="B93" s="671"/>
      <c r="C93" s="671"/>
      <c r="D93" s="672"/>
      <c r="E93" s="673">
        <f>SUM(E76:E92)</f>
        <v>8146.4357610474626</v>
      </c>
      <c r="F93" s="698">
        <f>E93+G94+G95</f>
        <v>11849.435761047462</v>
      </c>
      <c r="G93" s="653" t="s">
        <v>2028</v>
      </c>
      <c r="H93" s="1276" t="s">
        <v>2029</v>
      </c>
    </row>
    <row r="94" spans="1:10" ht="16.5" thickBot="1" x14ac:dyDescent="0.3">
      <c r="A94" s="675" t="s">
        <v>544</v>
      </c>
      <c r="B94" s="676"/>
      <c r="C94" s="676"/>
      <c r="D94" s="677"/>
      <c r="E94" s="692">
        <f>E93*2</f>
        <v>16292.871522094925</v>
      </c>
      <c r="F94" s="957">
        <f>E94+E94*70%</f>
        <v>27697.881587561373</v>
      </c>
      <c r="G94" s="681">
        <f>PACKAGING!I4</f>
        <v>2633</v>
      </c>
      <c r="H94" s="681">
        <f>F94+G94+G95</f>
        <v>31400.881587561373</v>
      </c>
      <c r="I94" s="681">
        <v>38000</v>
      </c>
      <c r="J94" s="653"/>
    </row>
    <row r="95" spans="1:10" ht="16.5" thickBot="1" x14ac:dyDescent="0.3">
      <c r="A95" s="684" t="s">
        <v>1559</v>
      </c>
      <c r="B95" s="685"/>
      <c r="C95" s="685"/>
      <c r="D95" s="686"/>
      <c r="E95" s="686"/>
      <c r="F95" s="816"/>
      <c r="G95" s="702">
        <f>PACKAGING!I6</f>
        <v>1070</v>
      </c>
      <c r="H95" s="1276"/>
      <c r="I95" s="1275">
        <f>I94*60%</f>
        <v>22800</v>
      </c>
      <c r="J95" s="1276" t="s">
        <v>3687</v>
      </c>
    </row>
    <row r="96" spans="1:10" ht="15.75" thickBot="1" x14ac:dyDescent="0.3"/>
    <row r="97" spans="1:8" ht="16.5" thickBot="1" x14ac:dyDescent="0.3">
      <c r="A97" s="1791" t="s">
        <v>4256</v>
      </c>
      <c r="B97" s="1792"/>
      <c r="C97" s="1792"/>
      <c r="D97" s="1792"/>
      <c r="E97" s="1793"/>
      <c r="F97" s="653"/>
      <c r="G97" s="653"/>
      <c r="H97" s="653"/>
    </row>
    <row r="98" spans="1:8" ht="15.75" x14ac:dyDescent="0.25">
      <c r="A98" s="654" t="s">
        <v>916</v>
      </c>
      <c r="B98" s="655" t="s">
        <v>743</v>
      </c>
      <c r="C98" s="655" t="s">
        <v>1566</v>
      </c>
      <c r="D98" s="656" t="s">
        <v>1035</v>
      </c>
      <c r="E98" s="657" t="s">
        <v>1549</v>
      </c>
      <c r="F98" s="658"/>
      <c r="G98" s="653"/>
      <c r="H98" s="653"/>
    </row>
    <row r="99" spans="1:8" ht="15.75" x14ac:dyDescent="0.25">
      <c r="A99" s="769" t="s">
        <v>4154</v>
      </c>
      <c r="B99" s="660"/>
      <c r="C99" s="660">
        <v>1</v>
      </c>
      <c r="D99" s="661">
        <f>'AROS, CADENAS, DIJES, ETC'!O62</f>
        <v>2761</v>
      </c>
      <c r="E99" s="662">
        <f>D99*C99</f>
        <v>2761</v>
      </c>
      <c r="F99" s="658"/>
      <c r="G99" s="653"/>
      <c r="H99" s="653"/>
    </row>
    <row r="100" spans="1:8" ht="15.75" x14ac:dyDescent="0.25">
      <c r="A100" s="769" t="s">
        <v>4143</v>
      </c>
      <c r="B100" s="660">
        <v>0.8</v>
      </c>
      <c r="C100" s="660">
        <v>0.38</v>
      </c>
      <c r="D100" s="661">
        <f>PIEDRAS!E151</f>
        <v>4600</v>
      </c>
      <c r="E100" s="662">
        <f>D100*C100/B100</f>
        <v>2185</v>
      </c>
      <c r="F100" s="658"/>
      <c r="G100" s="653"/>
      <c r="H100" s="653"/>
    </row>
    <row r="101" spans="1:8" ht="15.75" x14ac:dyDescent="0.25">
      <c r="A101" s="1736" t="s">
        <v>1572</v>
      </c>
      <c r="B101" s="660" t="s">
        <v>1556</v>
      </c>
      <c r="C101" s="660">
        <v>2</v>
      </c>
      <c r="D101" s="661">
        <f>FORNITURAS!D4</f>
        <v>48.7</v>
      </c>
      <c r="E101" s="662">
        <f>D101*C101</f>
        <v>97.4</v>
      </c>
      <c r="F101" s="658"/>
      <c r="G101" s="653"/>
      <c r="H101" s="653"/>
    </row>
    <row r="102" spans="1:8" ht="15.75" x14ac:dyDescent="0.25">
      <c r="A102" s="1737"/>
      <c r="B102" s="660" t="s">
        <v>1573</v>
      </c>
      <c r="C102" s="660">
        <v>1</v>
      </c>
      <c r="D102" s="661">
        <f>FORNITURAS!D7</f>
        <v>52</v>
      </c>
      <c r="E102" s="662">
        <f>D102*C102</f>
        <v>52</v>
      </c>
      <c r="F102" s="658"/>
      <c r="G102" s="653"/>
      <c r="H102" s="653"/>
    </row>
    <row r="103" spans="1:8" ht="15.75" x14ac:dyDescent="0.25">
      <c r="A103" s="666" t="s">
        <v>1424</v>
      </c>
      <c r="B103" s="660"/>
      <c r="C103" s="660">
        <v>0.42</v>
      </c>
      <c r="D103" s="661">
        <f>'HILOS-CORDONES-TANZA-CUERO'!L9</f>
        <v>30</v>
      </c>
      <c r="E103" s="662">
        <f>D103*C103</f>
        <v>12.6</v>
      </c>
      <c r="F103" s="658"/>
      <c r="G103" s="653"/>
      <c r="H103" s="653"/>
    </row>
    <row r="104" spans="1:8" ht="15.75" x14ac:dyDescent="0.25">
      <c r="A104" s="666" t="s">
        <v>1608</v>
      </c>
      <c r="B104" s="660"/>
      <c r="C104" s="660">
        <v>0.1</v>
      </c>
      <c r="D104" s="661">
        <f>'AROS, CADENAS, DIJES, ETC'!I38</f>
        <v>3630</v>
      </c>
      <c r="E104" s="662">
        <f>C104*D104</f>
        <v>363</v>
      </c>
      <c r="F104" s="658"/>
      <c r="G104" s="653"/>
      <c r="H104" s="653"/>
    </row>
    <row r="105" spans="1:8" ht="15.75" x14ac:dyDescent="0.25">
      <c r="A105" s="666" t="s">
        <v>1554</v>
      </c>
      <c r="B105" s="660" t="s">
        <v>777</v>
      </c>
      <c r="C105" s="660">
        <v>2</v>
      </c>
      <c r="D105" s="661">
        <f>FORNITURAS!D24</f>
        <v>34.666666666666664</v>
      </c>
      <c r="E105" s="662">
        <f>D105*C105</f>
        <v>69.333333333333329</v>
      </c>
      <c r="F105" s="658"/>
      <c r="G105" s="653"/>
      <c r="H105" s="653"/>
    </row>
    <row r="106" spans="1:8" ht="15.75" x14ac:dyDescent="0.25">
      <c r="A106" s="666" t="s">
        <v>1012</v>
      </c>
      <c r="B106" s="660"/>
      <c r="C106" s="660">
        <v>2</v>
      </c>
      <c r="D106" s="661"/>
      <c r="E106" s="662">
        <f>FORNITURAS!D16</f>
        <v>45.05</v>
      </c>
      <c r="F106" s="658"/>
      <c r="G106" s="653"/>
      <c r="H106" s="653"/>
    </row>
    <row r="107" spans="1:8" ht="15.75" x14ac:dyDescent="0.25">
      <c r="A107" s="666" t="s">
        <v>1587</v>
      </c>
      <c r="B107" s="660"/>
      <c r="C107" s="660">
        <v>1</v>
      </c>
      <c r="D107" s="661">
        <f>FORNITURAS!H44</f>
        <v>485</v>
      </c>
      <c r="E107" s="662">
        <f>C107*D107</f>
        <v>485</v>
      </c>
      <c r="F107" s="658"/>
      <c r="G107" s="653"/>
      <c r="H107" s="653"/>
    </row>
    <row r="108" spans="1:8" ht="15.75" x14ac:dyDescent="0.25">
      <c r="A108" s="666" t="s">
        <v>1557</v>
      </c>
      <c r="B108" s="660"/>
      <c r="C108" s="660"/>
      <c r="D108" s="661"/>
      <c r="E108" s="667">
        <f>PACKAGING!E4</f>
        <v>80</v>
      </c>
      <c r="F108" s="653"/>
      <c r="G108" s="658"/>
      <c r="H108" s="653"/>
    </row>
    <row r="109" spans="1:8" ht="15.75" x14ac:dyDescent="0.25">
      <c r="A109" s="666" t="s">
        <v>3362</v>
      </c>
      <c r="B109" s="660"/>
      <c r="C109" s="660"/>
      <c r="D109" s="661"/>
      <c r="E109" s="667">
        <f>PACKAGING!E17</f>
        <v>7.5</v>
      </c>
      <c r="F109" s="653"/>
      <c r="G109" s="658"/>
      <c r="H109" s="653"/>
    </row>
    <row r="110" spans="1:8" ht="15.75" x14ac:dyDescent="0.25">
      <c r="A110" s="666" t="s">
        <v>1634</v>
      </c>
      <c r="B110" s="660"/>
      <c r="C110" s="660"/>
      <c r="D110" s="661"/>
      <c r="E110" s="667">
        <f>PACKAGING!E7</f>
        <v>170</v>
      </c>
      <c r="F110" s="653"/>
      <c r="G110" s="658"/>
      <c r="H110" s="653"/>
    </row>
    <row r="111" spans="1:8" ht="15.75" x14ac:dyDescent="0.25">
      <c r="A111" s="666" t="s">
        <v>3568</v>
      </c>
      <c r="B111" s="660"/>
      <c r="C111" s="660"/>
      <c r="D111" s="661"/>
      <c r="E111" s="667">
        <f>PACKAGING!I5</f>
        <v>845</v>
      </c>
      <c r="F111" s="653"/>
      <c r="G111" s="658"/>
      <c r="H111" s="653"/>
    </row>
    <row r="112" spans="1:8" ht="15.75" x14ac:dyDescent="0.25">
      <c r="A112" s="683" t="s">
        <v>1618</v>
      </c>
      <c r="B112" s="660">
        <v>60</v>
      </c>
      <c r="C112" s="660">
        <v>20</v>
      </c>
      <c r="D112" s="668">
        <f>'INSUMOS VARIOS'!B3</f>
        <v>3500</v>
      </c>
      <c r="E112" s="669">
        <f>D112*C112/B112</f>
        <v>1166.6666666666667</v>
      </c>
      <c r="F112" s="1" t="s">
        <v>3023</v>
      </c>
      <c r="G112" s="658"/>
      <c r="H112" s="653"/>
    </row>
    <row r="113" spans="1:10" ht="16.5" thickBot="1" x14ac:dyDescent="0.3">
      <c r="A113" s="670" t="s">
        <v>525</v>
      </c>
      <c r="B113" s="671"/>
      <c r="C113" s="671"/>
      <c r="D113" s="672"/>
      <c r="E113" s="673">
        <f>SUM(E99:E112)</f>
        <v>8339.5499999999993</v>
      </c>
      <c r="F113" s="698">
        <f>E113+G114+G115</f>
        <v>11617.55</v>
      </c>
      <c r="G113" s="653" t="s">
        <v>2028</v>
      </c>
      <c r="H113" s="1276" t="s">
        <v>2029</v>
      </c>
    </row>
    <row r="114" spans="1:10" ht="16.5" thickBot="1" x14ac:dyDescent="0.3">
      <c r="A114" s="675" t="s">
        <v>544</v>
      </c>
      <c r="B114" s="676"/>
      <c r="C114" s="676"/>
      <c r="D114" s="677"/>
      <c r="E114" s="692">
        <f>E113*2</f>
        <v>16679.099999999999</v>
      </c>
      <c r="F114" s="957">
        <f>E114+E114*70%</f>
        <v>28354.469999999998</v>
      </c>
      <c r="G114" s="681">
        <f>PACKAGING!I3</f>
        <v>2433</v>
      </c>
      <c r="H114" s="702">
        <f>F114+G114+G115</f>
        <v>31632.469999999998</v>
      </c>
      <c r="I114" s="681">
        <v>38000</v>
      </c>
    </row>
    <row r="115" spans="1:10" ht="16.5" thickBot="1" x14ac:dyDescent="0.3">
      <c r="A115" s="684" t="s">
        <v>1559</v>
      </c>
      <c r="B115" s="685"/>
      <c r="C115" s="685"/>
      <c r="D115" s="686"/>
      <c r="E115" s="686"/>
      <c r="F115" s="816"/>
      <c r="G115" s="1157">
        <f>PACKAGING!I5</f>
        <v>845</v>
      </c>
      <c r="H115" s="1276"/>
      <c r="I115" s="1275">
        <f>I114*60%</f>
        <v>22800</v>
      </c>
      <c r="J115" s="1276" t="s">
        <v>3687</v>
      </c>
    </row>
    <row r="116" spans="1:10" ht="15.75" thickBot="1" x14ac:dyDescent="0.3">
      <c r="G116" s="1253"/>
    </row>
    <row r="117" spans="1:10" ht="16.5" thickBot="1" x14ac:dyDescent="0.3">
      <c r="A117" s="1794" t="s">
        <v>4306</v>
      </c>
      <c r="B117" s="1795"/>
      <c r="C117" s="1795"/>
      <c r="D117" s="1795"/>
      <c r="E117" s="1796"/>
      <c r="F117" s="653"/>
      <c r="G117" s="653"/>
      <c r="H117" s="653"/>
    </row>
    <row r="118" spans="1:10" ht="15.75" x14ac:dyDescent="0.25">
      <c r="A118" s="654" t="s">
        <v>916</v>
      </c>
      <c r="B118" s="655" t="s">
        <v>743</v>
      </c>
      <c r="C118" s="655" t="s">
        <v>1566</v>
      </c>
      <c r="D118" s="656" t="s">
        <v>1035</v>
      </c>
      <c r="E118" s="657" t="s">
        <v>1549</v>
      </c>
      <c r="F118" s="658"/>
      <c r="G118" s="653"/>
      <c r="H118" s="653"/>
    </row>
    <row r="119" spans="1:10" ht="15.75" x14ac:dyDescent="0.25">
      <c r="A119" s="769" t="s">
        <v>4155</v>
      </c>
      <c r="B119" s="660">
        <v>0.6</v>
      </c>
      <c r="C119" s="660">
        <v>0.38</v>
      </c>
      <c r="D119" s="661">
        <f>PIEDRAS!E4</f>
        <v>4000</v>
      </c>
      <c r="E119" s="662">
        <f>D119*C119</f>
        <v>1520</v>
      </c>
      <c r="F119" s="658"/>
      <c r="G119" s="653"/>
      <c r="H119" s="653"/>
    </row>
    <row r="120" spans="1:10" ht="15.75" x14ac:dyDescent="0.25">
      <c r="A120" s="769" t="s">
        <v>4158</v>
      </c>
      <c r="B120" s="660"/>
      <c r="C120" s="660">
        <v>1</v>
      </c>
      <c r="D120" s="661">
        <f>'AROS, CADENAS, DIJES, ETC'!O64</f>
        <v>2390</v>
      </c>
      <c r="E120" s="662">
        <f>D120*C120</f>
        <v>2390</v>
      </c>
      <c r="F120" s="658"/>
      <c r="G120" s="653"/>
      <c r="H120" s="653"/>
    </row>
    <row r="121" spans="1:10" ht="15.75" x14ac:dyDescent="0.25">
      <c r="A121" s="1736" t="s">
        <v>1572</v>
      </c>
      <c r="B121" s="660" t="s">
        <v>1556</v>
      </c>
      <c r="C121" s="660">
        <v>2</v>
      </c>
      <c r="D121" s="661">
        <f>FORNITURAS!D4</f>
        <v>48.7</v>
      </c>
      <c r="E121" s="662">
        <f>D121*C121</f>
        <v>97.4</v>
      </c>
      <c r="F121" s="658"/>
      <c r="G121" s="653"/>
      <c r="H121" s="653"/>
    </row>
    <row r="122" spans="1:10" ht="15.75" x14ac:dyDescent="0.25">
      <c r="A122" s="1737"/>
      <c r="B122" s="660" t="s">
        <v>1573</v>
      </c>
      <c r="C122" s="660">
        <v>1</v>
      </c>
      <c r="D122" s="661">
        <f>FORNITURAS!D7</f>
        <v>52</v>
      </c>
      <c r="E122" s="662">
        <f>D122*C122</f>
        <v>52</v>
      </c>
      <c r="F122" s="658"/>
      <c r="G122" s="653"/>
      <c r="H122" s="653"/>
    </row>
    <row r="123" spans="1:10" ht="15.75" x14ac:dyDescent="0.25">
      <c r="A123" s="666" t="s">
        <v>1424</v>
      </c>
      <c r="B123" s="660"/>
      <c r="C123" s="660">
        <v>0.42</v>
      </c>
      <c r="D123" s="661">
        <f>'HILOS-CORDONES-TANZA-CUERO'!L9</f>
        <v>30</v>
      </c>
      <c r="E123" s="662">
        <f>D123*C123</f>
        <v>12.6</v>
      </c>
      <c r="F123" s="658"/>
      <c r="G123" s="653"/>
      <c r="H123" s="653"/>
    </row>
    <row r="124" spans="1:10" ht="15.75" x14ac:dyDescent="0.25">
      <c r="A124" s="666" t="s">
        <v>1608</v>
      </c>
      <c r="B124" s="660"/>
      <c r="C124" s="660">
        <v>0.1</v>
      </c>
      <c r="D124" s="661">
        <f>'AROS, CADENAS, DIJES, ETC'!I38</f>
        <v>3630</v>
      </c>
      <c r="E124" s="662">
        <f>C124*D124</f>
        <v>363</v>
      </c>
      <c r="F124" s="658"/>
      <c r="G124" s="653"/>
      <c r="H124" s="653"/>
    </row>
    <row r="125" spans="1:10" ht="15.75" x14ac:dyDescent="0.25">
      <c r="A125" s="666" t="s">
        <v>4156</v>
      </c>
      <c r="B125" s="660" t="s">
        <v>4157</v>
      </c>
      <c r="C125" s="660">
        <v>6</v>
      </c>
      <c r="D125" s="661">
        <f>FORNITURAS!I13</f>
        <v>274.44444444444446</v>
      </c>
      <c r="E125" s="662">
        <f>D125*C125</f>
        <v>1646.6666666666667</v>
      </c>
      <c r="F125" s="658"/>
      <c r="G125" s="653"/>
      <c r="H125" s="653"/>
    </row>
    <row r="126" spans="1:10" ht="15.75" x14ac:dyDescent="0.25">
      <c r="A126" s="666" t="s">
        <v>1554</v>
      </c>
      <c r="B126" s="660" t="s">
        <v>777</v>
      </c>
      <c r="C126" s="660">
        <v>2</v>
      </c>
      <c r="D126" s="661">
        <f>FORNITURAS!D24</f>
        <v>34.666666666666664</v>
      </c>
      <c r="E126" s="662">
        <f>D126*C126</f>
        <v>69.333333333333329</v>
      </c>
      <c r="F126" s="658"/>
      <c r="G126" s="653"/>
      <c r="H126" s="653"/>
    </row>
    <row r="127" spans="1:10" ht="15.75" x14ac:dyDescent="0.25">
      <c r="A127" s="666" t="s">
        <v>1012</v>
      </c>
      <c r="B127" s="660"/>
      <c r="C127" s="660">
        <v>2</v>
      </c>
      <c r="D127" s="661">
        <f>FORNITURAS!D16</f>
        <v>45.05</v>
      </c>
      <c r="E127" s="662">
        <f>D127*C127</f>
        <v>90.1</v>
      </c>
      <c r="F127" s="658"/>
      <c r="G127" s="653"/>
      <c r="H127" s="653"/>
    </row>
    <row r="128" spans="1:10" ht="15.75" x14ac:dyDescent="0.25">
      <c r="A128" s="666" t="s">
        <v>1587</v>
      </c>
      <c r="B128" s="660"/>
      <c r="C128" s="660">
        <v>1</v>
      </c>
      <c r="D128" s="661">
        <f>FORNITURAS!H44</f>
        <v>485</v>
      </c>
      <c r="E128" s="662">
        <f>C128*D128</f>
        <v>485</v>
      </c>
      <c r="F128" s="658"/>
      <c r="G128" s="653"/>
      <c r="H128" s="653"/>
    </row>
    <row r="129" spans="1:8" ht="15.75" x14ac:dyDescent="0.25">
      <c r="A129" s="666" t="s">
        <v>1557</v>
      </c>
      <c r="B129" s="660"/>
      <c r="C129" s="660"/>
      <c r="D129" s="661"/>
      <c r="E129" s="667">
        <f>PACKAGING!E4</f>
        <v>80</v>
      </c>
      <c r="F129" s="653"/>
      <c r="G129" s="658"/>
      <c r="H129" s="653"/>
    </row>
    <row r="130" spans="1:8" ht="15.75" x14ac:dyDescent="0.25">
      <c r="A130" s="666" t="s">
        <v>3362</v>
      </c>
      <c r="B130" s="660"/>
      <c r="C130" s="660"/>
      <c r="D130" s="661"/>
      <c r="E130" s="667">
        <f>PACKAGING!E17</f>
        <v>7.5</v>
      </c>
      <c r="F130" s="653"/>
      <c r="G130" s="658"/>
      <c r="H130" s="653"/>
    </row>
    <row r="131" spans="1:8" ht="15.75" x14ac:dyDescent="0.25">
      <c r="A131" s="666" t="s">
        <v>1634</v>
      </c>
      <c r="B131" s="660"/>
      <c r="C131" s="660"/>
      <c r="D131" s="661"/>
      <c r="E131" s="667">
        <f>PACKAGING!E7</f>
        <v>170</v>
      </c>
      <c r="F131" s="653"/>
      <c r="G131" s="658"/>
      <c r="H131" s="653"/>
    </row>
    <row r="132" spans="1:8" ht="15.75" x14ac:dyDescent="0.25">
      <c r="A132" s="666" t="s">
        <v>3568</v>
      </c>
      <c r="B132" s="660"/>
      <c r="C132" s="660"/>
      <c r="D132" s="661"/>
      <c r="E132" s="667">
        <f>PACKAGING!I5</f>
        <v>845</v>
      </c>
      <c r="F132" s="653"/>
      <c r="G132" s="658"/>
      <c r="H132" s="653"/>
    </row>
    <row r="133" spans="1:8" ht="15.75" x14ac:dyDescent="0.25">
      <c r="A133" s="683" t="s">
        <v>1618</v>
      </c>
      <c r="B133" s="660">
        <v>60</v>
      </c>
      <c r="C133" s="660">
        <v>20</v>
      </c>
      <c r="D133" s="668">
        <f>'INSUMOS VARIOS'!B3</f>
        <v>3500</v>
      </c>
      <c r="E133" s="669">
        <f>D133*C133/B133</f>
        <v>1166.6666666666667</v>
      </c>
      <c r="F133" s="653"/>
      <c r="G133" s="658"/>
      <c r="H133" s="653"/>
    </row>
    <row r="134" spans="1:8" ht="16.5" thickBot="1" x14ac:dyDescent="0.3">
      <c r="A134" s="670" t="s">
        <v>525</v>
      </c>
      <c r="B134" s="671"/>
      <c r="C134" s="671"/>
      <c r="D134" s="672"/>
      <c r="E134" s="673">
        <f>SUM(E119:E133)</f>
        <v>8995.2666666666664</v>
      </c>
      <c r="F134" s="658"/>
      <c r="G134" s="653"/>
      <c r="H134" s="653"/>
    </row>
    <row r="135" spans="1:8" ht="16.5" thickBot="1" x14ac:dyDescent="0.3">
      <c r="A135" s="675" t="s">
        <v>544</v>
      </c>
      <c r="B135" s="676"/>
      <c r="C135" s="676"/>
      <c r="D135" s="677"/>
      <c r="E135" s="692">
        <f>E134*2</f>
        <v>17990.533333333333</v>
      </c>
      <c r="F135" s="957">
        <f>E135+E135*70%</f>
        <v>30583.906666666666</v>
      </c>
      <c r="G135" s="681">
        <v>38000</v>
      </c>
      <c r="H135" s="653"/>
    </row>
    <row r="136" spans="1:8" ht="16.5" thickBot="1" x14ac:dyDescent="0.3">
      <c r="A136" s="684" t="s">
        <v>1559</v>
      </c>
      <c r="B136" s="685"/>
      <c r="C136" s="685"/>
      <c r="D136" s="686"/>
      <c r="E136" s="686"/>
      <c r="F136" s="816"/>
      <c r="G136" s="1275">
        <f>G135*60%</f>
        <v>22800</v>
      </c>
      <c r="H136" s="1276" t="s">
        <v>3687</v>
      </c>
    </row>
    <row r="137" spans="1:8" ht="15.75" thickBot="1" x14ac:dyDescent="0.3"/>
    <row r="138" spans="1:8" ht="16.5" thickBot="1" x14ac:dyDescent="0.3">
      <c r="A138" s="1791" t="s">
        <v>4258</v>
      </c>
      <c r="B138" s="1792"/>
      <c r="C138" s="1792"/>
      <c r="D138" s="1792"/>
      <c r="E138" s="1793"/>
      <c r="F138" s="653"/>
      <c r="G138" s="653"/>
      <c r="H138" s="653"/>
    </row>
    <row r="139" spans="1:8" ht="15.75" x14ac:dyDescent="0.25">
      <c r="A139" s="654" t="s">
        <v>916</v>
      </c>
      <c r="B139" s="655" t="s">
        <v>743</v>
      </c>
      <c r="C139" s="655" t="s">
        <v>1566</v>
      </c>
      <c r="D139" s="656" t="s">
        <v>1035</v>
      </c>
      <c r="E139" s="657" t="s">
        <v>1549</v>
      </c>
      <c r="F139" s="658"/>
      <c r="G139" s="653"/>
      <c r="H139" s="653"/>
    </row>
    <row r="140" spans="1:8" ht="15.75" x14ac:dyDescent="0.25">
      <c r="A140" s="769" t="s">
        <v>3510</v>
      </c>
      <c r="B140" s="660">
        <v>0.39</v>
      </c>
      <c r="C140" s="660">
        <v>0.36499999999999999</v>
      </c>
      <c r="D140" s="661">
        <f>PIEDRAS!E123</f>
        <v>4500</v>
      </c>
      <c r="E140" s="662">
        <f>D140*C140/B140</f>
        <v>4211.538461538461</v>
      </c>
      <c r="F140" s="658"/>
      <c r="G140" s="653"/>
      <c r="H140" s="653"/>
    </row>
    <row r="141" spans="1:8" ht="15.75" x14ac:dyDescent="0.25">
      <c r="A141" s="769" t="s">
        <v>1389</v>
      </c>
      <c r="B141" s="660"/>
      <c r="C141" s="660">
        <v>1</v>
      </c>
      <c r="D141" s="661">
        <f>PIEDRAS!F81</f>
        <v>181.66666666666666</v>
      </c>
      <c r="E141" s="662">
        <f t="shared" ref="E141:E146" si="3">D141*C141</f>
        <v>181.66666666666666</v>
      </c>
      <c r="F141" s="658"/>
      <c r="G141" s="653"/>
      <c r="H141" s="653"/>
    </row>
    <row r="142" spans="1:8" ht="15.75" x14ac:dyDescent="0.25">
      <c r="A142" s="769" t="s">
        <v>4247</v>
      </c>
      <c r="B142" s="660"/>
      <c r="C142" s="660">
        <v>1</v>
      </c>
      <c r="D142" s="661">
        <f>'AROS, CADENAS, DIJES, ETC'!P197</f>
        <v>2399</v>
      </c>
      <c r="E142" s="662">
        <f t="shared" si="3"/>
        <v>2399</v>
      </c>
      <c r="F142" s="658"/>
      <c r="G142" s="653"/>
      <c r="H142" s="653"/>
    </row>
    <row r="143" spans="1:8" ht="15.75" x14ac:dyDescent="0.25">
      <c r="A143" s="1736" t="s">
        <v>1572</v>
      </c>
      <c r="B143" s="660" t="s">
        <v>1556</v>
      </c>
      <c r="C143" s="660">
        <v>2</v>
      </c>
      <c r="D143" s="661">
        <f>FORNITURAS!D4</f>
        <v>48.7</v>
      </c>
      <c r="E143" s="662">
        <f t="shared" si="3"/>
        <v>97.4</v>
      </c>
      <c r="F143" s="658"/>
      <c r="G143" s="653"/>
      <c r="H143" s="653"/>
    </row>
    <row r="144" spans="1:8" ht="15.75" x14ac:dyDescent="0.25">
      <c r="A144" s="1758"/>
      <c r="B144" s="660" t="s">
        <v>1933</v>
      </c>
      <c r="C144" s="660">
        <v>2</v>
      </c>
      <c r="D144" s="661">
        <f>FORNITURAS!D5</f>
        <v>46.8</v>
      </c>
      <c r="E144" s="662">
        <f t="shared" si="3"/>
        <v>93.6</v>
      </c>
      <c r="F144" s="658"/>
      <c r="G144" s="653"/>
      <c r="H144" s="653"/>
    </row>
    <row r="145" spans="1:8" ht="15.75" x14ac:dyDescent="0.25">
      <c r="A145" s="1737"/>
      <c r="B145" s="660" t="s">
        <v>1573</v>
      </c>
      <c r="C145" s="660">
        <v>1</v>
      </c>
      <c r="D145" s="661">
        <f>FORNITURAS!D7</f>
        <v>52</v>
      </c>
      <c r="E145" s="662">
        <f t="shared" si="3"/>
        <v>52</v>
      </c>
      <c r="F145" s="658"/>
      <c r="G145" s="653"/>
      <c r="H145" s="653"/>
    </row>
    <row r="146" spans="1:8" ht="15.75" x14ac:dyDescent="0.25">
      <c r="A146" s="666" t="s">
        <v>1424</v>
      </c>
      <c r="B146" s="660"/>
      <c r="C146" s="660">
        <v>0.42</v>
      </c>
      <c r="D146" s="661">
        <f>'HILOS-CORDONES-TANZA-CUERO'!L9</f>
        <v>30</v>
      </c>
      <c r="E146" s="662">
        <f t="shared" si="3"/>
        <v>12.6</v>
      </c>
      <c r="F146" s="658"/>
      <c r="G146" s="653"/>
      <c r="H146" s="653"/>
    </row>
    <row r="147" spans="1:8" ht="15.75" x14ac:dyDescent="0.25">
      <c r="A147" s="666" t="s">
        <v>1608</v>
      </c>
      <c r="B147" s="660"/>
      <c r="C147" s="660">
        <v>0.1</v>
      </c>
      <c r="D147" s="661">
        <f>'AROS, CADENAS, DIJES, ETC'!I38</f>
        <v>3630</v>
      </c>
      <c r="E147" s="662">
        <f>C147*D147</f>
        <v>363</v>
      </c>
      <c r="F147" s="658"/>
      <c r="G147" s="653"/>
      <c r="H147" s="653"/>
    </row>
    <row r="148" spans="1:8" ht="15.75" x14ac:dyDescent="0.25">
      <c r="A148" s="666" t="s">
        <v>1944</v>
      </c>
      <c r="B148" s="660" t="s">
        <v>777</v>
      </c>
      <c r="C148" s="660">
        <v>10</v>
      </c>
      <c r="D148" s="661">
        <f>FORNITURAS!I3</f>
        <v>66.099999999999994</v>
      </c>
      <c r="E148" s="662">
        <f>D148*C148</f>
        <v>661</v>
      </c>
      <c r="F148" s="658"/>
      <c r="G148" s="653"/>
      <c r="H148" s="653"/>
    </row>
    <row r="149" spans="1:8" ht="15.75" x14ac:dyDescent="0.25">
      <c r="A149" s="666" t="s">
        <v>1012</v>
      </c>
      <c r="B149" s="660"/>
      <c r="C149" s="660">
        <v>2</v>
      </c>
      <c r="D149" s="661">
        <f>FORNITURAS!D16</f>
        <v>45.05</v>
      </c>
      <c r="E149" s="662">
        <f>D149*C149</f>
        <v>90.1</v>
      </c>
      <c r="F149" s="658"/>
      <c r="G149" s="653"/>
      <c r="H149" s="653"/>
    </row>
    <row r="150" spans="1:8" ht="15.75" x14ac:dyDescent="0.25">
      <c r="A150" s="666" t="s">
        <v>3117</v>
      </c>
      <c r="B150" s="660"/>
      <c r="C150" s="660">
        <v>1</v>
      </c>
      <c r="D150" s="661">
        <f>FORNITURAS!D14</f>
        <v>98.8</v>
      </c>
      <c r="E150" s="662">
        <f>D150*C150</f>
        <v>98.8</v>
      </c>
      <c r="F150" s="658"/>
      <c r="G150" s="653"/>
      <c r="H150" s="653"/>
    </row>
    <row r="151" spans="1:8" ht="15.75" x14ac:dyDescent="0.25">
      <c r="A151" s="666" t="s">
        <v>1587</v>
      </c>
      <c r="B151" s="660"/>
      <c r="C151" s="660">
        <v>1</v>
      </c>
      <c r="D151" s="661">
        <f>FORNITURAS!H44</f>
        <v>485</v>
      </c>
      <c r="E151" s="662">
        <f>C151*D151</f>
        <v>485</v>
      </c>
      <c r="F151" s="658"/>
      <c r="G151" s="653"/>
      <c r="H151" s="653"/>
    </row>
    <row r="152" spans="1:8" ht="15.75" x14ac:dyDescent="0.25">
      <c r="A152" s="666" t="s">
        <v>1557</v>
      </c>
      <c r="B152" s="660"/>
      <c r="C152" s="660"/>
      <c r="D152" s="661"/>
      <c r="E152" s="667">
        <f>PACKAGING!E4</f>
        <v>80</v>
      </c>
      <c r="F152" s="653"/>
      <c r="G152" s="658"/>
      <c r="H152" s="653"/>
    </row>
    <row r="153" spans="1:8" ht="15.75" x14ac:dyDescent="0.25">
      <c r="A153" s="666" t="s">
        <v>3362</v>
      </c>
      <c r="B153" s="660"/>
      <c r="C153" s="660"/>
      <c r="D153" s="661"/>
      <c r="E153" s="667">
        <f>PACKAGING!E17</f>
        <v>7.5</v>
      </c>
      <c r="F153" s="653"/>
      <c r="G153" s="658"/>
      <c r="H153" s="653"/>
    </row>
    <row r="154" spans="1:8" ht="15.75" x14ac:dyDescent="0.25">
      <c r="A154" s="666" t="s">
        <v>1634</v>
      </c>
      <c r="B154" s="660"/>
      <c r="C154" s="660"/>
      <c r="D154" s="661"/>
      <c r="E154" s="667">
        <f>PACKAGING!E7</f>
        <v>170</v>
      </c>
      <c r="F154" s="653"/>
      <c r="G154" s="658"/>
      <c r="H154" s="653"/>
    </row>
    <row r="155" spans="1:8" ht="15.75" x14ac:dyDescent="0.25">
      <c r="A155" s="666" t="s">
        <v>3568</v>
      </c>
      <c r="B155" s="660"/>
      <c r="C155" s="660"/>
      <c r="D155" s="661"/>
      <c r="E155" s="667">
        <f>PACKAGING!I5</f>
        <v>845</v>
      </c>
      <c r="F155" s="653"/>
      <c r="G155" s="658"/>
      <c r="H155" s="653"/>
    </row>
    <row r="156" spans="1:8" ht="15.75" x14ac:dyDescent="0.25">
      <c r="A156" s="683" t="s">
        <v>1618</v>
      </c>
      <c r="B156" s="660">
        <v>60</v>
      </c>
      <c r="C156" s="660">
        <v>20</v>
      </c>
      <c r="D156" s="668">
        <f>'INSUMOS VARIOS'!B3</f>
        <v>3500</v>
      </c>
      <c r="E156" s="669">
        <f>D156*C156/B156</f>
        <v>1166.6666666666667</v>
      </c>
      <c r="F156" s="653"/>
      <c r="G156" s="658"/>
      <c r="H156" s="653"/>
    </row>
    <row r="157" spans="1:8" ht="16.5" thickBot="1" x14ac:dyDescent="0.3">
      <c r="A157" s="670" t="s">
        <v>525</v>
      </c>
      <c r="B157" s="671"/>
      <c r="C157" s="671"/>
      <c r="D157" s="672"/>
      <c r="E157" s="673">
        <f>SUM(E140:E156)</f>
        <v>11014.871794871795</v>
      </c>
      <c r="F157" s="658"/>
      <c r="G157" s="653"/>
      <c r="H157" s="653"/>
    </row>
    <row r="158" spans="1:8" ht="16.5" thickBot="1" x14ac:dyDescent="0.3">
      <c r="A158" s="675" t="s">
        <v>544</v>
      </c>
      <c r="B158" s="676"/>
      <c r="C158" s="676"/>
      <c r="D158" s="677"/>
      <c r="E158" s="692">
        <f>E157*2</f>
        <v>22029.74358974359</v>
      </c>
      <c r="F158" s="957">
        <f>E158+E158*70%</f>
        <v>37450.564102564102</v>
      </c>
      <c r="G158" s="681">
        <v>42000</v>
      </c>
      <c r="H158" s="653"/>
    </row>
    <row r="159" spans="1:8" ht="16.5" thickBot="1" x14ac:dyDescent="0.3">
      <c r="A159" s="684" t="s">
        <v>1559</v>
      </c>
      <c r="B159" s="685"/>
      <c r="C159" s="685"/>
      <c r="D159" s="686"/>
      <c r="E159" s="686"/>
      <c r="F159" s="816"/>
      <c r="G159" s="1275">
        <f>G158*60%</f>
        <v>25200</v>
      </c>
      <c r="H159" s="1276" t="s">
        <v>3687</v>
      </c>
    </row>
    <row r="160" spans="1:8" ht="15.75" thickBot="1" x14ac:dyDescent="0.3"/>
    <row r="161" spans="1:8" ht="16.5" thickBot="1" x14ac:dyDescent="0.3">
      <c r="A161" s="1791" t="s">
        <v>4266</v>
      </c>
      <c r="B161" s="1792"/>
      <c r="C161" s="1792"/>
      <c r="D161" s="1792"/>
      <c r="E161" s="1793"/>
      <c r="F161" s="653"/>
      <c r="G161" s="653"/>
      <c r="H161" s="653"/>
    </row>
    <row r="162" spans="1:8" ht="15.75" x14ac:dyDescent="0.25">
      <c r="A162" s="654" t="s">
        <v>916</v>
      </c>
      <c r="B162" s="655" t="s">
        <v>743</v>
      </c>
      <c r="C162" s="655" t="s">
        <v>1566</v>
      </c>
      <c r="D162" s="656" t="s">
        <v>1035</v>
      </c>
      <c r="E162" s="657" t="s">
        <v>1549</v>
      </c>
      <c r="F162" s="658"/>
      <c r="G162" s="653"/>
      <c r="H162" s="653"/>
    </row>
    <row r="163" spans="1:8" ht="15.75" x14ac:dyDescent="0.25">
      <c r="A163" s="769" t="s">
        <v>4351</v>
      </c>
      <c r="B163" s="660">
        <v>0.93</v>
      </c>
      <c r="C163" s="660">
        <v>0.39</v>
      </c>
      <c r="D163" s="661">
        <f>PIEDRAS!E149</f>
        <v>3600</v>
      </c>
      <c r="E163" s="662">
        <f>D163*C163/B163</f>
        <v>1509.6774193548385</v>
      </c>
      <c r="F163" s="658"/>
      <c r="G163" s="653"/>
      <c r="H163" s="653"/>
    </row>
    <row r="164" spans="1:8" ht="15.75" x14ac:dyDescent="0.25">
      <c r="A164" s="769" t="s">
        <v>763</v>
      </c>
      <c r="B164" s="660"/>
      <c r="C164" s="660">
        <v>1</v>
      </c>
      <c r="D164" s="661">
        <f>PIEDRAS!K27</f>
        <v>2490</v>
      </c>
      <c r="E164" s="662">
        <f>D164*C164</f>
        <v>2490</v>
      </c>
      <c r="F164" s="658"/>
      <c r="G164" s="653"/>
      <c r="H164" s="653"/>
    </row>
    <row r="165" spans="1:8" ht="15.75" x14ac:dyDescent="0.25">
      <c r="A165" s="1736" t="s">
        <v>1572</v>
      </c>
      <c r="B165" s="660" t="s">
        <v>1556</v>
      </c>
      <c r="C165" s="660">
        <v>2</v>
      </c>
      <c r="D165" s="661">
        <f>FORNITURAS!D4</f>
        <v>48.7</v>
      </c>
      <c r="E165" s="662">
        <f>D165*C165</f>
        <v>97.4</v>
      </c>
      <c r="F165" s="658"/>
      <c r="G165" s="653"/>
      <c r="H165" s="653"/>
    </row>
    <row r="166" spans="1:8" ht="15.75" x14ac:dyDescent="0.25">
      <c r="A166" s="1758"/>
      <c r="B166" s="660" t="s">
        <v>1933</v>
      </c>
      <c r="C166" s="660">
        <v>1</v>
      </c>
      <c r="D166" s="661">
        <f>FORNITURAS!D7</f>
        <v>52</v>
      </c>
      <c r="E166" s="662">
        <f>D166*C166</f>
        <v>52</v>
      </c>
      <c r="F166" s="658"/>
      <c r="G166" s="653"/>
      <c r="H166" s="653"/>
    </row>
    <row r="167" spans="1:8" ht="15.75" x14ac:dyDescent="0.25">
      <c r="A167" s="1737"/>
      <c r="B167" s="660" t="s">
        <v>1573</v>
      </c>
      <c r="C167" s="660">
        <v>1</v>
      </c>
      <c r="D167" s="661">
        <f>FORNITURAS!D7</f>
        <v>52</v>
      </c>
      <c r="E167" s="662">
        <f>D167*C167</f>
        <v>52</v>
      </c>
      <c r="F167" s="658"/>
      <c r="G167" s="653"/>
      <c r="H167" s="653"/>
    </row>
    <row r="168" spans="1:8" ht="15.75" x14ac:dyDescent="0.25">
      <c r="A168" s="666" t="s">
        <v>1424</v>
      </c>
      <c r="B168" s="660"/>
      <c r="C168" s="660">
        <v>0.42</v>
      </c>
      <c r="D168" s="661">
        <f>'HILOS-CORDONES-TANZA-CUERO'!L9</f>
        <v>30</v>
      </c>
      <c r="E168" s="662">
        <f>D168*C168</f>
        <v>12.6</v>
      </c>
      <c r="F168" s="658"/>
      <c r="G168" s="653"/>
      <c r="H168" s="653"/>
    </row>
    <row r="169" spans="1:8" ht="15.75" x14ac:dyDescent="0.25">
      <c r="A169" s="666" t="s">
        <v>1608</v>
      </c>
      <c r="B169" s="660"/>
      <c r="C169" s="660">
        <v>0.1</v>
      </c>
      <c r="D169" s="661">
        <f>'AROS, CADENAS, DIJES, ETC'!I38</f>
        <v>3630</v>
      </c>
      <c r="E169" s="662">
        <f>C169*D169</f>
        <v>363</v>
      </c>
      <c r="F169" s="658"/>
      <c r="G169" s="653"/>
      <c r="H169" s="653"/>
    </row>
    <row r="170" spans="1:8" ht="15.75" x14ac:dyDescent="0.25">
      <c r="A170" s="666" t="s">
        <v>1554</v>
      </c>
      <c r="B170" s="660" t="s">
        <v>777</v>
      </c>
      <c r="C170" s="660">
        <v>2</v>
      </c>
      <c r="D170" s="661">
        <f>FORNITURAS!D24</f>
        <v>34.666666666666664</v>
      </c>
      <c r="E170" s="662">
        <f>D170*C170</f>
        <v>69.333333333333329</v>
      </c>
      <c r="F170" s="658"/>
      <c r="G170" s="653"/>
      <c r="H170" s="653"/>
    </row>
    <row r="171" spans="1:8" ht="15.75" x14ac:dyDescent="0.25">
      <c r="A171" s="666" t="s">
        <v>1012</v>
      </c>
      <c r="B171" s="660"/>
      <c r="C171" s="660">
        <v>2</v>
      </c>
      <c r="D171" s="661">
        <f>FORNITURAS!D16</f>
        <v>45.05</v>
      </c>
      <c r="E171" s="662">
        <f>D171*C171</f>
        <v>90.1</v>
      </c>
      <c r="F171" s="658"/>
      <c r="G171" s="653"/>
      <c r="H171" s="653"/>
    </row>
    <row r="172" spans="1:8" ht="15.75" x14ac:dyDescent="0.25">
      <c r="A172" s="666" t="s">
        <v>1587</v>
      </c>
      <c r="B172" s="660"/>
      <c r="C172" s="660">
        <v>1</v>
      </c>
      <c r="D172" s="661">
        <f>FORNITURAS!H44</f>
        <v>485</v>
      </c>
      <c r="E172" s="662">
        <f>C172*D172</f>
        <v>485</v>
      </c>
      <c r="F172" s="658"/>
      <c r="G172" s="653"/>
      <c r="H172" s="653"/>
    </row>
    <row r="173" spans="1:8" ht="15.75" x14ac:dyDescent="0.25">
      <c r="A173" s="666" t="s">
        <v>1557</v>
      </c>
      <c r="B173" s="660"/>
      <c r="C173" s="660"/>
      <c r="D173" s="661"/>
      <c r="E173" s="667">
        <f>PACKAGING!E4</f>
        <v>80</v>
      </c>
      <c r="F173" s="653"/>
      <c r="G173" s="658"/>
      <c r="H173" s="653"/>
    </row>
    <row r="174" spans="1:8" ht="15.75" x14ac:dyDescent="0.25">
      <c r="A174" s="666" t="s">
        <v>3362</v>
      </c>
      <c r="B174" s="660"/>
      <c r="C174" s="660"/>
      <c r="D174" s="661"/>
      <c r="E174" s="667">
        <f>PACKAGING!E17</f>
        <v>7.5</v>
      </c>
      <c r="F174" s="653"/>
      <c r="G174" s="658"/>
      <c r="H174" s="653"/>
    </row>
    <row r="175" spans="1:8" ht="15.75" x14ac:dyDescent="0.25">
      <c r="A175" s="666" t="s">
        <v>1634</v>
      </c>
      <c r="B175" s="660"/>
      <c r="C175" s="660"/>
      <c r="D175" s="661"/>
      <c r="E175" s="667">
        <f>PACKAGING!E7</f>
        <v>170</v>
      </c>
      <c r="F175" s="653"/>
      <c r="G175" s="658"/>
      <c r="H175" s="653"/>
    </row>
    <row r="176" spans="1:8" ht="15.75" x14ac:dyDescent="0.25">
      <c r="A176" s="666" t="s">
        <v>3568</v>
      </c>
      <c r="B176" s="660"/>
      <c r="C176" s="660"/>
      <c r="D176" s="661"/>
      <c r="E176" s="667">
        <f>PACKAGING!I5</f>
        <v>845</v>
      </c>
      <c r="F176" s="653"/>
      <c r="G176" s="658"/>
      <c r="H176" s="653"/>
    </row>
    <row r="177" spans="1:10" ht="15.75" x14ac:dyDescent="0.25">
      <c r="A177" s="683" t="s">
        <v>1618</v>
      </c>
      <c r="B177" s="660">
        <v>60</v>
      </c>
      <c r="C177" s="660">
        <v>20</v>
      </c>
      <c r="D177" s="668">
        <f>'INSUMOS VARIOS'!B3</f>
        <v>3500</v>
      </c>
      <c r="E177" s="669">
        <f>D177*C177/B177</f>
        <v>1166.6666666666667</v>
      </c>
      <c r="F177" s="1" t="s">
        <v>3023</v>
      </c>
      <c r="G177" s="658"/>
      <c r="H177" s="653"/>
    </row>
    <row r="178" spans="1:10" ht="16.5" thickBot="1" x14ac:dyDescent="0.3">
      <c r="A178" s="670" t="s">
        <v>525</v>
      </c>
      <c r="B178" s="671"/>
      <c r="C178" s="671"/>
      <c r="D178" s="672"/>
      <c r="E178" s="673">
        <f>SUM(E163:E177)</f>
        <v>7490.2774193548394</v>
      </c>
      <c r="F178" s="698">
        <f>E178+G179+G180</f>
        <v>10768.277419354839</v>
      </c>
      <c r="G178" s="653" t="s">
        <v>2028</v>
      </c>
      <c r="H178" s="1276" t="s">
        <v>2029</v>
      </c>
    </row>
    <row r="179" spans="1:10" ht="16.5" thickBot="1" x14ac:dyDescent="0.3">
      <c r="A179" s="675" t="s">
        <v>544</v>
      </c>
      <c r="B179" s="676"/>
      <c r="C179" s="676"/>
      <c r="D179" s="677"/>
      <c r="E179" s="692">
        <f>E178*2</f>
        <v>14980.554838709679</v>
      </c>
      <c r="F179" s="957">
        <f>E179+E179*70%</f>
        <v>25466.943225806455</v>
      </c>
      <c r="G179" s="1157">
        <f>PACKAGING!I3</f>
        <v>2433</v>
      </c>
      <c r="H179" s="702">
        <f>F179+G179+G180</f>
        <v>28744.943225806455</v>
      </c>
      <c r="I179" s="681">
        <v>42000</v>
      </c>
    </row>
    <row r="180" spans="1:10" ht="16.5" thickBot="1" x14ac:dyDescent="0.3">
      <c r="A180" s="684" t="s">
        <v>1559</v>
      </c>
      <c r="B180" s="685"/>
      <c r="C180" s="685"/>
      <c r="D180" s="686"/>
      <c r="E180" s="686"/>
      <c r="F180" s="816"/>
      <c r="G180" s="702">
        <f>PACKAGING!I5</f>
        <v>845</v>
      </c>
      <c r="H180" s="1276"/>
      <c r="I180" s="1275">
        <f>I179*60%</f>
        <v>25200</v>
      </c>
      <c r="J180" t="s">
        <v>3687</v>
      </c>
    </row>
    <row r="181" spans="1:10" ht="15.75" thickBot="1" x14ac:dyDescent="0.3">
      <c r="G181" s="1253"/>
      <c r="I181" s="1253"/>
    </row>
    <row r="182" spans="1:10" ht="16.5" thickBot="1" x14ac:dyDescent="0.3">
      <c r="A182" s="1791" t="s">
        <v>343</v>
      </c>
      <c r="B182" s="1792"/>
      <c r="C182" s="1792"/>
      <c r="D182" s="1792"/>
      <c r="E182" s="1793"/>
      <c r="F182" s="653"/>
      <c r="G182" s="653"/>
      <c r="H182" s="653"/>
    </row>
    <row r="183" spans="1:10" ht="15.75" x14ac:dyDescent="0.25">
      <c r="A183" s="654" t="s">
        <v>916</v>
      </c>
      <c r="B183" s="655" t="s">
        <v>743</v>
      </c>
      <c r="C183" s="655" t="s">
        <v>1566</v>
      </c>
      <c r="D183" s="656" t="s">
        <v>1035</v>
      </c>
      <c r="E183" s="657" t="s">
        <v>1549</v>
      </c>
      <c r="F183" s="658"/>
      <c r="G183" s="653"/>
      <c r="H183" s="653"/>
    </row>
    <row r="184" spans="1:10" ht="15.75" x14ac:dyDescent="0.25">
      <c r="A184" s="769" t="s">
        <v>4145</v>
      </c>
      <c r="B184" s="660" t="s">
        <v>781</v>
      </c>
      <c r="C184" s="660">
        <v>3</v>
      </c>
      <c r="D184" s="661">
        <f>VIDRIOS!E32</f>
        <v>59.583333333333336</v>
      </c>
      <c r="E184" s="662">
        <f>D184*C184</f>
        <v>178.75</v>
      </c>
      <c r="F184" s="658"/>
      <c r="G184" s="653"/>
      <c r="H184" s="653"/>
    </row>
    <row r="185" spans="1:10" ht="15.75" x14ac:dyDescent="0.25">
      <c r="A185" s="769" t="s">
        <v>4161</v>
      </c>
      <c r="B185" s="660">
        <v>0.22</v>
      </c>
      <c r="C185" s="660">
        <v>0.32</v>
      </c>
      <c r="D185" s="661">
        <f>PIEDRAS!E155</f>
        <v>2400</v>
      </c>
      <c r="E185" s="662">
        <f>D185*C185/B185</f>
        <v>3490.909090909091</v>
      </c>
      <c r="F185" s="658"/>
      <c r="G185" s="653"/>
      <c r="H185" s="653"/>
    </row>
    <row r="186" spans="1:10" ht="15.75" x14ac:dyDescent="0.25">
      <c r="A186" s="769" t="s">
        <v>1742</v>
      </c>
      <c r="B186" s="660" t="s">
        <v>1345</v>
      </c>
      <c r="C186" s="660">
        <v>4</v>
      </c>
      <c r="D186" s="661">
        <f>'PERLAS 2'!H14</f>
        <v>324.8</v>
      </c>
      <c r="E186" s="662">
        <f t="shared" ref="E186:E192" si="4">D186*C186</f>
        <v>1299.2</v>
      </c>
      <c r="F186" s="658"/>
      <c r="G186" s="653"/>
      <c r="H186" s="653"/>
    </row>
    <row r="187" spans="1:10" ht="15.75" x14ac:dyDescent="0.25">
      <c r="A187" s="769" t="s">
        <v>4146</v>
      </c>
      <c r="B187" s="660"/>
      <c r="C187" s="660">
        <v>2</v>
      </c>
      <c r="D187" s="661">
        <f>VIDRIOS!E33</f>
        <v>8.5</v>
      </c>
      <c r="E187" s="662">
        <f t="shared" si="4"/>
        <v>17</v>
      </c>
      <c r="F187" s="658"/>
      <c r="G187" s="653"/>
      <c r="H187" s="653"/>
    </row>
    <row r="188" spans="1:10" ht="15.75" x14ac:dyDescent="0.25">
      <c r="A188" s="683" t="s">
        <v>4147</v>
      </c>
      <c r="B188" s="660"/>
      <c r="C188" s="660">
        <v>1</v>
      </c>
      <c r="D188" s="661">
        <f>'RESINA - ACRILICOS'!K8</f>
        <v>1720</v>
      </c>
      <c r="E188" s="662">
        <f t="shared" si="4"/>
        <v>1720</v>
      </c>
      <c r="F188" s="658"/>
      <c r="G188" s="653"/>
      <c r="H188" s="653"/>
    </row>
    <row r="189" spans="1:10" ht="15.75" x14ac:dyDescent="0.25">
      <c r="A189" s="1736" t="s">
        <v>1572</v>
      </c>
      <c r="B189" s="660" t="s">
        <v>1556</v>
      </c>
      <c r="C189" s="660">
        <v>2</v>
      </c>
      <c r="D189" s="661">
        <f>FORNITURAS!D4</f>
        <v>48.7</v>
      </c>
      <c r="E189" s="662">
        <f t="shared" si="4"/>
        <v>97.4</v>
      </c>
      <c r="F189" s="658"/>
      <c r="G189" s="653"/>
      <c r="H189" s="653"/>
    </row>
    <row r="190" spans="1:10" ht="15.75" x14ac:dyDescent="0.25">
      <c r="A190" s="1758"/>
      <c r="B190" s="660" t="s">
        <v>1573</v>
      </c>
      <c r="C190" s="660">
        <v>1</v>
      </c>
      <c r="D190" s="661">
        <f>FORNITURAS!D5</f>
        <v>46.8</v>
      </c>
      <c r="E190" s="662">
        <f t="shared" si="4"/>
        <v>46.8</v>
      </c>
      <c r="F190" s="658"/>
      <c r="G190" s="653"/>
      <c r="H190" s="653"/>
    </row>
    <row r="191" spans="1:10" ht="15.75" x14ac:dyDescent="0.25">
      <c r="A191" s="1737"/>
      <c r="B191" s="660" t="s">
        <v>4152</v>
      </c>
      <c r="C191" s="660">
        <v>1</v>
      </c>
      <c r="D191" s="661">
        <f>FORNITURAS!H62</f>
        <v>466.15384615384613</v>
      </c>
      <c r="E191" s="662">
        <f t="shared" si="4"/>
        <v>466.15384615384613</v>
      </c>
      <c r="F191" s="658"/>
      <c r="G191" s="653"/>
      <c r="H191" s="653"/>
    </row>
    <row r="192" spans="1:10" ht="15.75" x14ac:dyDescent="0.25">
      <c r="A192" s="666" t="s">
        <v>1424</v>
      </c>
      <c r="B192" s="660"/>
      <c r="C192" s="660">
        <v>0.42</v>
      </c>
      <c r="D192" s="661">
        <f>'HILOS-CORDONES-TANZA-CUERO'!L9</f>
        <v>30</v>
      </c>
      <c r="E192" s="662">
        <f t="shared" si="4"/>
        <v>12.6</v>
      </c>
      <c r="F192" s="658"/>
      <c r="G192" s="653"/>
      <c r="H192" s="653"/>
    </row>
    <row r="193" spans="1:10" ht="15.75" x14ac:dyDescent="0.25">
      <c r="A193" s="666" t="s">
        <v>1608</v>
      </c>
      <c r="B193" s="660"/>
      <c r="C193" s="660">
        <v>0.1</v>
      </c>
      <c r="D193" s="661">
        <f>'AROS, CADENAS, DIJES, ETC'!I38</f>
        <v>3630</v>
      </c>
      <c r="E193" s="662">
        <f>C193*D193</f>
        <v>363</v>
      </c>
      <c r="F193" s="658"/>
      <c r="G193" s="653"/>
      <c r="H193" s="653"/>
    </row>
    <row r="194" spans="1:10" ht="15.75" x14ac:dyDescent="0.25">
      <c r="A194" s="666" t="s">
        <v>1944</v>
      </c>
      <c r="B194" s="660" t="s">
        <v>777</v>
      </c>
      <c r="C194" s="660">
        <v>2</v>
      </c>
      <c r="D194" s="661">
        <f>FORNITURAS!I3</f>
        <v>66.099999999999994</v>
      </c>
      <c r="E194" s="662">
        <f>D194*C194</f>
        <v>132.19999999999999</v>
      </c>
      <c r="F194" s="658"/>
      <c r="G194" s="653"/>
      <c r="H194" s="653"/>
    </row>
    <row r="195" spans="1:10" ht="15.75" x14ac:dyDescent="0.25">
      <c r="A195" s="666" t="s">
        <v>1012</v>
      </c>
      <c r="B195" s="660"/>
      <c r="C195" s="660">
        <v>2</v>
      </c>
      <c r="D195" s="661">
        <f>FORNITURAS!D16</f>
        <v>45.05</v>
      </c>
      <c r="E195" s="662">
        <f>D195*C195</f>
        <v>90.1</v>
      </c>
      <c r="F195" s="658"/>
      <c r="G195" s="653"/>
      <c r="H195" s="653"/>
    </row>
    <row r="196" spans="1:10" ht="15.75" x14ac:dyDescent="0.25">
      <c r="A196" s="666" t="s">
        <v>1587</v>
      </c>
      <c r="B196" s="660"/>
      <c r="C196" s="660">
        <v>1</v>
      </c>
      <c r="D196" s="661">
        <f>FORNITURAS!H44</f>
        <v>485</v>
      </c>
      <c r="E196" s="662">
        <f>C196*D196</f>
        <v>485</v>
      </c>
      <c r="F196" s="658"/>
      <c r="G196" s="653"/>
      <c r="H196" s="653"/>
    </row>
    <row r="197" spans="1:10" ht="15.75" x14ac:dyDescent="0.25">
      <c r="A197" s="666" t="s">
        <v>1557</v>
      </c>
      <c r="B197" s="660"/>
      <c r="C197" s="660"/>
      <c r="D197" s="661"/>
      <c r="E197" s="667">
        <f>PACKAGING!E4</f>
        <v>80</v>
      </c>
      <c r="F197" s="653"/>
      <c r="G197" s="658"/>
      <c r="H197" s="653"/>
    </row>
    <row r="198" spans="1:10" ht="15.75" x14ac:dyDescent="0.25">
      <c r="A198" s="666" t="s">
        <v>3362</v>
      </c>
      <c r="B198" s="660"/>
      <c r="C198" s="660"/>
      <c r="D198" s="661"/>
      <c r="E198" s="667">
        <f>PACKAGING!E17</f>
        <v>7.5</v>
      </c>
      <c r="F198" s="653"/>
      <c r="G198" s="658"/>
      <c r="H198" s="653"/>
    </row>
    <row r="199" spans="1:10" ht="15.75" x14ac:dyDescent="0.25">
      <c r="A199" s="666" t="s">
        <v>1634</v>
      </c>
      <c r="B199" s="660"/>
      <c r="C199" s="660"/>
      <c r="D199" s="661"/>
      <c r="E199" s="667">
        <f>PACKAGING!E7</f>
        <v>170</v>
      </c>
      <c r="F199" s="653"/>
      <c r="G199" s="658"/>
      <c r="H199" s="653"/>
    </row>
    <row r="200" spans="1:10" ht="15.75" x14ac:dyDescent="0.25">
      <c r="A200" s="683" t="s">
        <v>1618</v>
      </c>
      <c r="B200" s="660">
        <v>60</v>
      </c>
      <c r="C200" s="660">
        <v>30</v>
      </c>
      <c r="D200" s="668">
        <f>'INSUMOS VARIOS'!B3</f>
        <v>3500</v>
      </c>
      <c r="E200" s="669">
        <f>D200*C200/B200</f>
        <v>1750</v>
      </c>
      <c r="F200" s="1" t="s">
        <v>3023</v>
      </c>
      <c r="G200" s="658"/>
      <c r="H200" s="653"/>
    </row>
    <row r="201" spans="1:10" ht="16.5" thickBot="1" x14ac:dyDescent="0.3">
      <c r="A201" s="670" t="s">
        <v>525</v>
      </c>
      <c r="B201" s="671"/>
      <c r="C201" s="671"/>
      <c r="D201" s="672"/>
      <c r="E201" s="673">
        <f>SUM(E184:E200)</f>
        <v>10406.612937062937</v>
      </c>
      <c r="F201" s="698">
        <f>E201+G202+G203</f>
        <v>14109.612937062937</v>
      </c>
      <c r="G201" s="653" t="s">
        <v>2028</v>
      </c>
      <c r="H201" s="1276" t="s">
        <v>2029</v>
      </c>
    </row>
    <row r="202" spans="1:10" ht="16.5" thickBot="1" x14ac:dyDescent="0.3">
      <c r="A202" s="675" t="s">
        <v>544</v>
      </c>
      <c r="B202" s="676"/>
      <c r="C202" s="676"/>
      <c r="D202" s="677"/>
      <c r="E202" s="692">
        <f>E201*2</f>
        <v>20813.225874125874</v>
      </c>
      <c r="F202" s="957">
        <f>E202+E202*70%</f>
        <v>35382.483986013984</v>
      </c>
      <c r="G202" s="681">
        <f>PACKAGING!I4</f>
        <v>2633</v>
      </c>
      <c r="H202" s="681">
        <f>F202+G202+G203</f>
        <v>39085.483986013984</v>
      </c>
      <c r="I202" s="681">
        <v>38000</v>
      </c>
      <c r="J202" s="653"/>
    </row>
    <row r="203" spans="1:10" ht="16.5" thickBot="1" x14ac:dyDescent="0.3">
      <c r="A203" s="684" t="s">
        <v>1559</v>
      </c>
      <c r="B203" s="685"/>
      <c r="C203" s="685"/>
      <c r="D203" s="686"/>
      <c r="E203" s="686"/>
      <c r="F203" s="816"/>
      <c r="G203" s="702">
        <f>PACKAGING!I6</f>
        <v>1070</v>
      </c>
      <c r="H203" s="1276"/>
      <c r="I203" s="1275">
        <f>I202*60%</f>
        <v>22800</v>
      </c>
      <c r="J203" s="1276" t="s">
        <v>3687</v>
      </c>
    </row>
    <row r="204" spans="1:10" ht="16.5" customHeight="1" thickBot="1" x14ac:dyDescent="0.3"/>
    <row r="205" spans="1:10" ht="16.5" thickBot="1" x14ac:dyDescent="0.3">
      <c r="A205" s="1794" t="s">
        <v>4310</v>
      </c>
      <c r="B205" s="1795"/>
      <c r="C205" s="1795"/>
      <c r="D205" s="1795"/>
      <c r="E205" s="1796"/>
      <c r="F205" s="653"/>
      <c r="G205" s="653"/>
      <c r="H205" s="653"/>
    </row>
    <row r="206" spans="1:10" ht="15.75" x14ac:dyDescent="0.25">
      <c r="A206" s="654" t="s">
        <v>916</v>
      </c>
      <c r="B206" s="655" t="s">
        <v>743</v>
      </c>
      <c r="C206" s="655" t="s">
        <v>1566</v>
      </c>
      <c r="D206" s="656" t="s">
        <v>1035</v>
      </c>
      <c r="E206" s="657" t="s">
        <v>1549</v>
      </c>
      <c r="F206" s="658"/>
      <c r="G206" s="653"/>
      <c r="H206" s="653"/>
    </row>
    <row r="207" spans="1:10" ht="15.75" x14ac:dyDescent="0.25">
      <c r="A207" s="769" t="s">
        <v>4162</v>
      </c>
      <c r="B207" s="660">
        <v>0.8</v>
      </c>
      <c r="C207" s="660">
        <v>0.38</v>
      </c>
      <c r="D207" s="661">
        <f>PIEDRAS!E148</f>
        <v>3600</v>
      </c>
      <c r="E207" s="662">
        <f t="shared" ref="E207:E212" si="5">D207*C207</f>
        <v>1368</v>
      </c>
      <c r="F207" s="658"/>
      <c r="G207" s="653"/>
      <c r="H207" s="653"/>
    </row>
    <row r="208" spans="1:10" ht="15.75" x14ac:dyDescent="0.25">
      <c r="A208" s="769" t="s">
        <v>4156</v>
      </c>
      <c r="B208" s="660" t="s">
        <v>4157</v>
      </c>
      <c r="C208" s="660">
        <v>8</v>
      </c>
      <c r="D208" s="661">
        <f>FORNITURAS!I13</f>
        <v>274.44444444444446</v>
      </c>
      <c r="E208" s="662">
        <f t="shared" si="5"/>
        <v>2195.5555555555557</v>
      </c>
      <c r="F208" s="658"/>
      <c r="G208" s="653"/>
      <c r="H208" s="653"/>
    </row>
    <row r="209" spans="1:8" ht="15.75" x14ac:dyDescent="0.25">
      <c r="A209" s="683" t="s">
        <v>3905</v>
      </c>
      <c r="B209" s="660"/>
      <c r="C209" s="660">
        <v>1</v>
      </c>
      <c r="D209" s="661">
        <f>'AROS, CADENAS, DIJES, ETC'!P186</f>
        <v>3000</v>
      </c>
      <c r="E209" s="662">
        <f t="shared" si="5"/>
        <v>3000</v>
      </c>
      <c r="F209" s="658"/>
      <c r="G209" s="653"/>
      <c r="H209" s="653"/>
    </row>
    <row r="210" spans="1:8" ht="15.75" x14ac:dyDescent="0.25">
      <c r="A210" s="1736" t="s">
        <v>1572</v>
      </c>
      <c r="B210" s="660" t="s">
        <v>1556</v>
      </c>
      <c r="C210" s="660">
        <v>2</v>
      </c>
      <c r="D210" s="661">
        <f>FORNITURAS!D4</f>
        <v>48.7</v>
      </c>
      <c r="E210" s="662">
        <f t="shared" si="5"/>
        <v>97.4</v>
      </c>
      <c r="F210" s="658"/>
      <c r="G210" s="653"/>
      <c r="H210" s="653"/>
    </row>
    <row r="211" spans="1:8" ht="15.75" x14ac:dyDescent="0.25">
      <c r="A211" s="1737"/>
      <c r="B211" s="660" t="s">
        <v>1573</v>
      </c>
      <c r="C211" s="660">
        <v>1</v>
      </c>
      <c r="D211" s="661">
        <f>FORNITURAS!D7</f>
        <v>52</v>
      </c>
      <c r="E211" s="662">
        <f t="shared" si="5"/>
        <v>52</v>
      </c>
      <c r="F211" s="658"/>
      <c r="G211" s="653"/>
      <c r="H211" s="653"/>
    </row>
    <row r="212" spans="1:8" ht="15.75" x14ac:dyDescent="0.25">
      <c r="A212" s="666" t="s">
        <v>1424</v>
      </c>
      <c r="B212" s="660"/>
      <c r="C212" s="660">
        <v>0.42</v>
      </c>
      <c r="D212" s="661">
        <f>'HILOS-CORDONES-TANZA-CUERO'!L9</f>
        <v>30</v>
      </c>
      <c r="E212" s="662">
        <f t="shared" si="5"/>
        <v>12.6</v>
      </c>
      <c r="F212" s="658"/>
      <c r="G212" s="653"/>
      <c r="H212" s="653"/>
    </row>
    <row r="213" spans="1:8" ht="15.75" x14ac:dyDescent="0.25">
      <c r="A213" s="666" t="s">
        <v>1608</v>
      </c>
      <c r="B213" s="660"/>
      <c r="C213" s="660">
        <v>0.1</v>
      </c>
      <c r="D213" s="661">
        <f>'AROS, CADENAS, DIJES, ETC'!I38</f>
        <v>3630</v>
      </c>
      <c r="E213" s="662">
        <f>C213*D213</f>
        <v>363</v>
      </c>
      <c r="F213" s="658"/>
      <c r="G213" s="653"/>
      <c r="H213" s="653"/>
    </row>
    <row r="214" spans="1:8" ht="15.75" x14ac:dyDescent="0.25">
      <c r="A214" s="666" t="s">
        <v>1554</v>
      </c>
      <c r="B214" s="660" t="s">
        <v>777</v>
      </c>
      <c r="C214" s="660">
        <v>2</v>
      </c>
      <c r="D214" s="661">
        <f>FORNITURAS!D24</f>
        <v>34.666666666666664</v>
      </c>
      <c r="E214" s="662">
        <f>D214*C214</f>
        <v>69.333333333333329</v>
      </c>
      <c r="F214" s="658"/>
      <c r="G214" s="653"/>
      <c r="H214" s="653"/>
    </row>
    <row r="215" spans="1:8" ht="15.75" x14ac:dyDescent="0.25">
      <c r="A215" s="666" t="s">
        <v>1012</v>
      </c>
      <c r="B215" s="660"/>
      <c r="C215" s="660">
        <v>2</v>
      </c>
      <c r="D215" s="661">
        <f>FORNITURAS!D16</f>
        <v>45.05</v>
      </c>
      <c r="E215" s="662">
        <f>D215*C215</f>
        <v>90.1</v>
      </c>
      <c r="F215" s="658"/>
      <c r="G215" s="653"/>
      <c r="H215" s="653"/>
    </row>
    <row r="216" spans="1:8" ht="15.75" x14ac:dyDescent="0.25">
      <c r="A216" s="666" t="s">
        <v>1587</v>
      </c>
      <c r="B216" s="660"/>
      <c r="C216" s="660">
        <v>1</v>
      </c>
      <c r="D216" s="661">
        <f>FORNITURAS!H44</f>
        <v>485</v>
      </c>
      <c r="E216" s="662">
        <f>C216*D216</f>
        <v>485</v>
      </c>
      <c r="F216" s="658"/>
      <c r="G216" s="653"/>
      <c r="H216" s="653"/>
    </row>
    <row r="217" spans="1:8" ht="15.75" x14ac:dyDescent="0.25">
      <c r="A217" s="666" t="s">
        <v>1557</v>
      </c>
      <c r="B217" s="660"/>
      <c r="C217" s="660"/>
      <c r="D217" s="661"/>
      <c r="E217" s="667">
        <f>PACKAGING!E4</f>
        <v>80</v>
      </c>
      <c r="F217" s="653"/>
      <c r="G217" s="658"/>
      <c r="H217" s="653"/>
    </row>
    <row r="218" spans="1:8" ht="15.75" x14ac:dyDescent="0.25">
      <c r="A218" s="666" t="s">
        <v>3362</v>
      </c>
      <c r="B218" s="660"/>
      <c r="C218" s="660"/>
      <c r="D218" s="661"/>
      <c r="E218" s="667">
        <f>PACKAGING!E17</f>
        <v>7.5</v>
      </c>
      <c r="F218" s="653"/>
      <c r="G218" s="658"/>
      <c r="H218" s="653"/>
    </row>
    <row r="219" spans="1:8" ht="15.75" x14ac:dyDescent="0.25">
      <c r="A219" s="666" t="s">
        <v>1634</v>
      </c>
      <c r="B219" s="660"/>
      <c r="C219" s="660"/>
      <c r="D219" s="661"/>
      <c r="E219" s="667">
        <f>PACKAGING!E7</f>
        <v>170</v>
      </c>
      <c r="F219" s="653"/>
      <c r="G219" s="658"/>
      <c r="H219" s="653"/>
    </row>
    <row r="220" spans="1:8" ht="15.75" x14ac:dyDescent="0.25">
      <c r="A220" s="666" t="s">
        <v>3568</v>
      </c>
      <c r="B220" s="660"/>
      <c r="C220" s="660"/>
      <c r="D220" s="661"/>
      <c r="E220" s="667">
        <f>PACKAGING!I5</f>
        <v>845</v>
      </c>
      <c r="F220" s="653"/>
      <c r="G220" s="658"/>
      <c r="H220" s="653"/>
    </row>
    <row r="221" spans="1:8" ht="15.75" x14ac:dyDescent="0.25">
      <c r="A221" s="683" t="s">
        <v>1618</v>
      </c>
      <c r="B221" s="660">
        <v>60</v>
      </c>
      <c r="C221" s="660">
        <v>30</v>
      </c>
      <c r="D221" s="668">
        <f>'INSUMOS VARIOS'!B3</f>
        <v>3500</v>
      </c>
      <c r="E221" s="669">
        <f>D221*C221/B221</f>
        <v>1750</v>
      </c>
      <c r="F221" s="653"/>
      <c r="G221" s="658"/>
      <c r="H221" s="653"/>
    </row>
    <row r="222" spans="1:8" ht="16.5" thickBot="1" x14ac:dyDescent="0.3">
      <c r="A222" s="670" t="s">
        <v>525</v>
      </c>
      <c r="B222" s="671"/>
      <c r="C222" s="671"/>
      <c r="D222" s="672"/>
      <c r="E222" s="673">
        <f>SUM(E207:E221)</f>
        <v>10585.488888888889</v>
      </c>
      <c r="F222" s="658"/>
      <c r="G222" s="653"/>
      <c r="H222" s="653"/>
    </row>
    <row r="223" spans="1:8" ht="16.5" thickBot="1" x14ac:dyDescent="0.3">
      <c r="A223" s="675" t="s">
        <v>544</v>
      </c>
      <c r="B223" s="676"/>
      <c r="C223" s="676"/>
      <c r="D223" s="677"/>
      <c r="E223" s="692">
        <f>E222*2</f>
        <v>21170.977777777778</v>
      </c>
      <c r="F223" s="957">
        <f>E223+E223*70%</f>
        <v>35990.662222222221</v>
      </c>
      <c r="G223" s="681">
        <v>38000</v>
      </c>
      <c r="H223" s="653"/>
    </row>
    <row r="224" spans="1:8" ht="16.5" thickBot="1" x14ac:dyDescent="0.3">
      <c r="A224" s="684" t="s">
        <v>1559</v>
      </c>
      <c r="B224" s="685"/>
      <c r="C224" s="685"/>
      <c r="D224" s="686"/>
      <c r="E224" s="686"/>
      <c r="F224" s="816"/>
      <c r="G224" s="1275">
        <f>G223*60%</f>
        <v>22800</v>
      </c>
      <c r="H224" s="1276" t="s">
        <v>3687</v>
      </c>
    </row>
    <row r="225" spans="1:8" ht="15.75" thickBot="1" x14ac:dyDescent="0.3"/>
    <row r="226" spans="1:8" ht="16.5" thickBot="1" x14ac:dyDescent="0.3">
      <c r="A226" s="1791" t="s">
        <v>4271</v>
      </c>
      <c r="B226" s="1792"/>
      <c r="C226" s="1792"/>
      <c r="D226" s="1792"/>
      <c r="E226" s="1793"/>
      <c r="F226" s="653"/>
      <c r="G226" s="653"/>
      <c r="H226" s="653"/>
    </row>
    <row r="227" spans="1:8" ht="15.75" x14ac:dyDescent="0.25">
      <c r="A227" s="654" t="s">
        <v>916</v>
      </c>
      <c r="B227" s="655" t="s">
        <v>743</v>
      </c>
      <c r="C227" s="655" t="s">
        <v>1566</v>
      </c>
      <c r="D227" s="656" t="s">
        <v>1035</v>
      </c>
      <c r="E227" s="657" t="s">
        <v>1549</v>
      </c>
      <c r="F227" s="658"/>
      <c r="G227" s="653"/>
      <c r="H227" s="653"/>
    </row>
    <row r="228" spans="1:8" ht="15.75" x14ac:dyDescent="0.25">
      <c r="A228" s="769" t="s">
        <v>4163</v>
      </c>
      <c r="B228" s="660">
        <v>0.39</v>
      </c>
      <c r="C228" s="660">
        <v>0.37</v>
      </c>
      <c r="D228" s="661">
        <f>PIEDRAS!E5</f>
        <v>4000</v>
      </c>
      <c r="E228" s="662">
        <f>D228*C228/B228</f>
        <v>3794.8717948717949</v>
      </c>
      <c r="F228" s="658"/>
      <c r="G228" s="653"/>
      <c r="H228" s="653"/>
    </row>
    <row r="229" spans="1:8" ht="15.75" x14ac:dyDescent="0.25">
      <c r="A229" s="1736" t="s">
        <v>1572</v>
      </c>
      <c r="B229" s="660" t="s">
        <v>1556</v>
      </c>
      <c r="C229" s="660">
        <v>2</v>
      </c>
      <c r="D229" s="661">
        <f>FORNITURAS!D4</f>
        <v>48.7</v>
      </c>
      <c r="E229" s="662">
        <f>D229*C229</f>
        <v>97.4</v>
      </c>
      <c r="F229" s="658"/>
      <c r="G229" s="653"/>
      <c r="H229" s="653"/>
    </row>
    <row r="230" spans="1:8" ht="15.75" x14ac:dyDescent="0.25">
      <c r="A230" s="1737"/>
      <c r="B230" s="660" t="s">
        <v>1573</v>
      </c>
      <c r="C230" s="660">
        <v>1</v>
      </c>
      <c r="D230" s="661">
        <f>FORNITURAS!D7</f>
        <v>52</v>
      </c>
      <c r="E230" s="662">
        <f>D230*C230</f>
        <v>52</v>
      </c>
      <c r="F230" s="658"/>
      <c r="G230" s="653"/>
      <c r="H230" s="653"/>
    </row>
    <row r="231" spans="1:8" ht="15.75" x14ac:dyDescent="0.25">
      <c r="A231" s="666" t="s">
        <v>1424</v>
      </c>
      <c r="B231" s="660"/>
      <c r="C231" s="660">
        <v>0.42</v>
      </c>
      <c r="D231" s="661">
        <f>'HILOS-CORDONES-TANZA-CUERO'!L9</f>
        <v>30</v>
      </c>
      <c r="E231" s="662">
        <f>D231*C231</f>
        <v>12.6</v>
      </c>
      <c r="F231" s="658"/>
      <c r="G231" s="653"/>
      <c r="H231" s="653"/>
    </row>
    <row r="232" spans="1:8" ht="15.75" x14ac:dyDescent="0.25">
      <c r="A232" s="666" t="s">
        <v>1608</v>
      </c>
      <c r="B232" s="660"/>
      <c r="C232" s="660">
        <v>0.1</v>
      </c>
      <c r="D232" s="661">
        <f>'AROS, CADENAS, DIJES, ETC'!I38</f>
        <v>3630</v>
      </c>
      <c r="E232" s="662">
        <f>C232*D232</f>
        <v>363</v>
      </c>
      <c r="F232" s="658"/>
      <c r="G232" s="653"/>
      <c r="H232" s="653"/>
    </row>
    <row r="233" spans="1:8" ht="15.75" x14ac:dyDescent="0.25">
      <c r="A233" s="666" t="s">
        <v>1554</v>
      </c>
      <c r="B233" s="660" t="s">
        <v>777</v>
      </c>
      <c r="C233" s="660">
        <v>13</v>
      </c>
      <c r="D233" s="661">
        <f>FORNITURAS!D24</f>
        <v>34.666666666666664</v>
      </c>
      <c r="E233" s="662">
        <f>D233*C233</f>
        <v>450.66666666666663</v>
      </c>
      <c r="F233" s="658"/>
      <c r="G233" s="653"/>
      <c r="H233" s="653"/>
    </row>
    <row r="234" spans="1:8" ht="15.75" x14ac:dyDescent="0.25">
      <c r="A234" s="666" t="s">
        <v>1012</v>
      </c>
      <c r="B234" s="660"/>
      <c r="C234" s="660">
        <v>2</v>
      </c>
      <c r="D234" s="661">
        <f>FORNITURAS!D16</f>
        <v>45.05</v>
      </c>
      <c r="E234" s="662">
        <f>D234*C234</f>
        <v>90.1</v>
      </c>
      <c r="F234" s="658"/>
      <c r="G234" s="653"/>
      <c r="H234" s="653"/>
    </row>
    <row r="235" spans="1:8" ht="15.75" x14ac:dyDescent="0.25">
      <c r="A235" s="666" t="s">
        <v>1587</v>
      </c>
      <c r="B235" s="660"/>
      <c r="C235" s="660">
        <v>1</v>
      </c>
      <c r="D235" s="661">
        <f>FORNITURAS!H44</f>
        <v>485</v>
      </c>
      <c r="E235" s="662">
        <f>C235*D235</f>
        <v>485</v>
      </c>
      <c r="F235" s="658"/>
      <c r="G235" s="653"/>
      <c r="H235" s="653"/>
    </row>
    <row r="236" spans="1:8" ht="15.75" x14ac:dyDescent="0.25">
      <c r="A236" s="666" t="s">
        <v>1557</v>
      </c>
      <c r="B236" s="660"/>
      <c r="C236" s="660"/>
      <c r="D236" s="661"/>
      <c r="E236" s="667">
        <f>PACKAGING!E4</f>
        <v>80</v>
      </c>
      <c r="F236" s="653"/>
      <c r="G236" s="658"/>
      <c r="H236" s="653"/>
    </row>
    <row r="237" spans="1:8" ht="15.75" x14ac:dyDescent="0.25">
      <c r="A237" s="666" t="s">
        <v>3362</v>
      </c>
      <c r="B237" s="660"/>
      <c r="C237" s="660"/>
      <c r="D237" s="661"/>
      <c r="E237" s="667">
        <f>PACKAGING!E17</f>
        <v>7.5</v>
      </c>
      <c r="F237" s="653"/>
      <c r="G237" s="658"/>
      <c r="H237" s="653"/>
    </row>
    <row r="238" spans="1:8" ht="15.75" x14ac:dyDescent="0.25">
      <c r="A238" s="666" t="s">
        <v>1634</v>
      </c>
      <c r="B238" s="660"/>
      <c r="C238" s="660"/>
      <c r="D238" s="661"/>
      <c r="E238" s="667">
        <f>PACKAGING!E7</f>
        <v>170</v>
      </c>
      <c r="F238" s="653"/>
      <c r="G238" s="658"/>
      <c r="H238" s="653"/>
    </row>
    <row r="239" spans="1:8" ht="15.75" x14ac:dyDescent="0.25">
      <c r="A239" s="666" t="s">
        <v>3568</v>
      </c>
      <c r="B239" s="660"/>
      <c r="C239" s="660"/>
      <c r="D239" s="661"/>
      <c r="E239" s="667">
        <f>PACKAGING!I5</f>
        <v>845</v>
      </c>
      <c r="F239" s="653"/>
      <c r="G239" s="658"/>
      <c r="H239" s="653"/>
    </row>
    <row r="240" spans="1:8" ht="15.75" x14ac:dyDescent="0.25">
      <c r="A240" s="683" t="s">
        <v>1618</v>
      </c>
      <c r="B240" s="660">
        <v>60</v>
      </c>
      <c r="C240" s="660">
        <v>30</v>
      </c>
      <c r="D240" s="668">
        <f>'INSUMOS VARIOS'!B3</f>
        <v>3500</v>
      </c>
      <c r="E240" s="669">
        <f>D240*C240/B240</f>
        <v>1750</v>
      </c>
      <c r="F240" s="653"/>
      <c r="G240" s="658"/>
      <c r="H240" s="653"/>
    </row>
    <row r="241" spans="1:8" ht="16.5" thickBot="1" x14ac:dyDescent="0.3">
      <c r="A241" s="670" t="s">
        <v>525</v>
      </c>
      <c r="B241" s="671"/>
      <c r="C241" s="671"/>
      <c r="D241" s="672"/>
      <c r="E241" s="673">
        <f>SUM(E228:E240)</f>
        <v>8198.1384615384632</v>
      </c>
      <c r="F241" s="658"/>
      <c r="G241" s="653"/>
      <c r="H241" s="653"/>
    </row>
    <row r="242" spans="1:8" ht="16.5" thickBot="1" x14ac:dyDescent="0.3">
      <c r="A242" s="675" t="s">
        <v>544</v>
      </c>
      <c r="B242" s="676"/>
      <c r="C242" s="676"/>
      <c r="D242" s="677"/>
      <c r="E242" s="692">
        <f>E241*2</f>
        <v>16396.276923076926</v>
      </c>
      <c r="F242" s="957">
        <f>E242+E242*70%</f>
        <v>27873.670769230775</v>
      </c>
      <c r="G242" s="681">
        <v>30000</v>
      </c>
      <c r="H242" s="653"/>
    </row>
    <row r="243" spans="1:8" ht="16.5" thickBot="1" x14ac:dyDescent="0.3">
      <c r="A243" s="684" t="s">
        <v>1559</v>
      </c>
      <c r="B243" s="685"/>
      <c r="C243" s="685"/>
      <c r="D243" s="686"/>
      <c r="E243" s="686"/>
      <c r="F243" s="816"/>
      <c r="G243" s="1275">
        <f>G242*60%</f>
        <v>18000</v>
      </c>
      <c r="H243" s="1276" t="s">
        <v>3687</v>
      </c>
    </row>
    <row r="244" spans="1:8" ht="15.75" thickBot="1" x14ac:dyDescent="0.3"/>
    <row r="245" spans="1:8" ht="16.5" thickBot="1" x14ac:dyDescent="0.3">
      <c r="A245" s="1794" t="s">
        <v>4313</v>
      </c>
      <c r="B245" s="1795"/>
      <c r="C245" s="1795"/>
      <c r="D245" s="1795"/>
      <c r="E245" s="1796"/>
      <c r="F245" s="653"/>
      <c r="G245" s="653"/>
      <c r="H245" s="653"/>
    </row>
    <row r="246" spans="1:8" ht="15.75" x14ac:dyDescent="0.25">
      <c r="A246" s="654" t="s">
        <v>916</v>
      </c>
      <c r="B246" s="655" t="s">
        <v>743</v>
      </c>
      <c r="C246" s="655" t="s">
        <v>1566</v>
      </c>
      <c r="D246" s="656" t="s">
        <v>1035</v>
      </c>
      <c r="E246" s="657" t="s">
        <v>1549</v>
      </c>
      <c r="F246" s="658"/>
      <c r="G246" s="653"/>
      <c r="H246" s="653"/>
    </row>
    <row r="247" spans="1:8" ht="15.75" x14ac:dyDescent="0.25">
      <c r="A247" s="769" t="s">
        <v>1936</v>
      </c>
      <c r="B247" s="660">
        <v>0.38</v>
      </c>
      <c r="C247" s="660">
        <v>0.42</v>
      </c>
      <c r="D247" s="661">
        <f>PIEDRAS!E31</f>
        <v>5244</v>
      </c>
      <c r="E247" s="662">
        <f>D247*C247/B247</f>
        <v>5796</v>
      </c>
      <c r="F247" s="658"/>
      <c r="G247" s="653"/>
      <c r="H247" s="653"/>
    </row>
    <row r="248" spans="1:8" ht="15.75" x14ac:dyDescent="0.25">
      <c r="A248" s="666" t="s">
        <v>1554</v>
      </c>
      <c r="B248" s="660" t="s">
        <v>777</v>
      </c>
      <c r="C248" s="660">
        <v>2</v>
      </c>
      <c r="D248" s="661">
        <f>FORNITURAS!D24</f>
        <v>34.666666666666664</v>
      </c>
      <c r="E248" s="662">
        <f>D248*C248</f>
        <v>69.333333333333329</v>
      </c>
      <c r="F248" s="658"/>
      <c r="G248" s="653"/>
      <c r="H248" s="653"/>
    </row>
    <row r="249" spans="1:8" ht="15.75" x14ac:dyDescent="0.25">
      <c r="A249" s="666" t="s">
        <v>4278</v>
      </c>
      <c r="B249" s="660">
        <v>40</v>
      </c>
      <c r="C249" s="660">
        <v>1.4</v>
      </c>
      <c r="D249" s="661">
        <f>'HILOS-CORDONES-TANZA-CUERO'!D25</f>
        <v>1000</v>
      </c>
      <c r="E249" s="662">
        <f>D249*C249/B249</f>
        <v>35</v>
      </c>
      <c r="F249" s="658"/>
      <c r="G249" s="653"/>
      <c r="H249" s="653"/>
    </row>
    <row r="250" spans="1:8" ht="15.75" x14ac:dyDescent="0.25">
      <c r="A250" s="666" t="s">
        <v>4156</v>
      </c>
      <c r="B250" s="660" t="s">
        <v>4157</v>
      </c>
      <c r="C250" s="660">
        <v>2</v>
      </c>
      <c r="D250" s="661">
        <f>FORNITURAS!I13</f>
        <v>274.44444444444446</v>
      </c>
      <c r="E250" s="662">
        <f>D250*C250</f>
        <v>548.88888888888891</v>
      </c>
      <c r="F250" s="658"/>
      <c r="G250" s="653"/>
      <c r="H250" s="653"/>
    </row>
    <row r="251" spans="1:8" ht="15.75" x14ac:dyDescent="0.25">
      <c r="A251" s="666" t="s">
        <v>4164</v>
      </c>
      <c r="B251" s="660"/>
      <c r="C251" s="660">
        <v>1</v>
      </c>
      <c r="D251" s="661">
        <f>FORNITURAS!O9</f>
        <v>1800</v>
      </c>
      <c r="E251" s="662">
        <f>C251*D251</f>
        <v>1800</v>
      </c>
      <c r="F251" s="658"/>
      <c r="G251" s="653"/>
      <c r="H251" s="653"/>
    </row>
    <row r="252" spans="1:8" ht="15.75" x14ac:dyDescent="0.25">
      <c r="A252" s="666" t="s">
        <v>1557</v>
      </c>
      <c r="B252" s="660"/>
      <c r="C252" s="660"/>
      <c r="D252" s="661"/>
      <c r="E252" s="667">
        <f>PACKAGING!E4</f>
        <v>80</v>
      </c>
      <c r="F252" s="653"/>
      <c r="G252" s="658"/>
      <c r="H252" s="653"/>
    </row>
    <row r="253" spans="1:8" ht="15.75" x14ac:dyDescent="0.25">
      <c r="A253" s="666" t="s">
        <v>3362</v>
      </c>
      <c r="B253" s="660"/>
      <c r="C253" s="660"/>
      <c r="D253" s="661"/>
      <c r="E253" s="667">
        <f>PACKAGING!E17</f>
        <v>7.5</v>
      </c>
      <c r="F253" s="653"/>
      <c r="G253" s="658"/>
      <c r="H253" s="653"/>
    </row>
    <row r="254" spans="1:8" ht="15.75" x14ac:dyDescent="0.25">
      <c r="A254" s="666" t="s">
        <v>1746</v>
      </c>
      <c r="B254" s="660"/>
      <c r="C254" s="660"/>
      <c r="D254" s="661"/>
      <c r="E254" s="667">
        <v>60</v>
      </c>
      <c r="F254" s="653"/>
      <c r="G254" s="658"/>
      <c r="H254" s="653"/>
    </row>
    <row r="255" spans="1:8" ht="15.75" x14ac:dyDescent="0.25">
      <c r="A255" s="666" t="s">
        <v>3568</v>
      </c>
      <c r="B255" s="660"/>
      <c r="C255" s="660"/>
      <c r="D255" s="661"/>
      <c r="E255" s="667">
        <f>PACKAGING!I5</f>
        <v>845</v>
      </c>
      <c r="F255" s="653"/>
      <c r="G255" s="658"/>
      <c r="H255" s="653"/>
    </row>
    <row r="256" spans="1:8" ht="15.75" x14ac:dyDescent="0.25">
      <c r="A256" s="683" t="s">
        <v>1618</v>
      </c>
      <c r="B256" s="660">
        <v>60</v>
      </c>
      <c r="C256" s="660">
        <v>30</v>
      </c>
      <c r="D256" s="668">
        <f>'INSUMOS VARIOS'!B3</f>
        <v>3500</v>
      </c>
      <c r="E256" s="669">
        <f>D256*C256/B256</f>
        <v>1750</v>
      </c>
      <c r="F256" s="653"/>
      <c r="G256" s="658"/>
      <c r="H256" s="653"/>
    </row>
    <row r="257" spans="1:8" ht="16.5" thickBot="1" x14ac:dyDescent="0.3">
      <c r="A257" s="670" t="s">
        <v>525</v>
      </c>
      <c r="B257" s="671"/>
      <c r="C257" s="671"/>
      <c r="D257" s="672"/>
      <c r="E257" s="673">
        <f>SUM(E247:E256)</f>
        <v>10991.722222222223</v>
      </c>
      <c r="F257" s="658"/>
      <c r="G257" s="653"/>
      <c r="H257" s="653"/>
    </row>
    <row r="258" spans="1:8" ht="16.5" thickBot="1" x14ac:dyDescent="0.3">
      <c r="A258" s="675" t="s">
        <v>544</v>
      </c>
      <c r="B258" s="676"/>
      <c r="C258" s="676"/>
      <c r="D258" s="677"/>
      <c r="E258" s="692">
        <f>E257*2</f>
        <v>21983.444444444445</v>
      </c>
      <c r="F258" s="957">
        <f>E258+E258*70%</f>
        <v>37371.855555555558</v>
      </c>
      <c r="G258" s="681">
        <v>42000</v>
      </c>
      <c r="H258" s="653"/>
    </row>
    <row r="259" spans="1:8" ht="16.5" thickBot="1" x14ac:dyDescent="0.3">
      <c r="A259" s="684" t="s">
        <v>1559</v>
      </c>
      <c r="B259" s="685"/>
      <c r="C259" s="685"/>
      <c r="D259" s="686"/>
      <c r="E259" s="686"/>
      <c r="F259" s="816"/>
      <c r="G259" s="1275">
        <f>G258*60%</f>
        <v>25200</v>
      </c>
      <c r="H259" s="1276" t="s">
        <v>3687</v>
      </c>
    </row>
    <row r="261" spans="1:8" ht="15.75" thickBot="1" x14ac:dyDescent="0.3"/>
    <row r="262" spans="1:8" ht="16.5" thickBot="1" x14ac:dyDescent="0.3">
      <c r="A262" s="1791" t="s">
        <v>4265</v>
      </c>
      <c r="B262" s="1792"/>
      <c r="C262" s="1792"/>
      <c r="D262" s="1792"/>
      <c r="E262" s="1793"/>
      <c r="F262" s="653"/>
      <c r="G262" s="653"/>
      <c r="H262" s="653"/>
    </row>
    <row r="263" spans="1:8" ht="15.75" x14ac:dyDescent="0.25">
      <c r="A263" s="654" t="s">
        <v>916</v>
      </c>
      <c r="B263" s="655" t="s">
        <v>743</v>
      </c>
      <c r="C263" s="655" t="s">
        <v>1566</v>
      </c>
      <c r="D263" s="656" t="s">
        <v>1035</v>
      </c>
      <c r="E263" s="657" t="s">
        <v>1549</v>
      </c>
      <c r="F263" s="658"/>
      <c r="G263" s="653"/>
      <c r="H263" s="653"/>
    </row>
    <row r="264" spans="1:8" ht="15.75" x14ac:dyDescent="0.25">
      <c r="A264" s="769" t="s">
        <v>4168</v>
      </c>
      <c r="B264" s="660">
        <v>0.8</v>
      </c>
      <c r="C264" s="660">
        <v>0.4</v>
      </c>
      <c r="D264" s="661">
        <f>PIEDRAS!E153</f>
        <v>6000</v>
      </c>
      <c r="E264" s="662">
        <f>D264*C264/B264</f>
        <v>3000</v>
      </c>
      <c r="F264" s="658"/>
      <c r="G264" s="653"/>
      <c r="H264" s="653"/>
    </row>
    <row r="265" spans="1:8" ht="15.75" x14ac:dyDescent="0.25">
      <c r="A265" s="683" t="s">
        <v>1748</v>
      </c>
      <c r="B265" s="769" t="s">
        <v>1267</v>
      </c>
      <c r="C265" s="769">
        <v>2</v>
      </c>
      <c r="D265" s="661">
        <f>'PERLAS 2'!H31</f>
        <v>804.77419354838707</v>
      </c>
      <c r="E265" s="668">
        <f>D265*C265</f>
        <v>1609.5483870967741</v>
      </c>
      <c r="F265" s="1185"/>
      <c r="G265" s="653"/>
      <c r="H265" s="653"/>
    </row>
    <row r="266" spans="1:8" ht="15.75" x14ac:dyDescent="0.25">
      <c r="A266" s="683" t="s">
        <v>1176</v>
      </c>
      <c r="B266" s="660"/>
      <c r="C266" s="660">
        <v>1</v>
      </c>
      <c r="D266" s="661">
        <f>'INSUMOS VARIOS'!E44</f>
        <v>300</v>
      </c>
      <c r="E266" s="662">
        <f>D266*C266</f>
        <v>300</v>
      </c>
      <c r="F266" s="658"/>
      <c r="G266" s="653"/>
      <c r="H266" s="653"/>
    </row>
    <row r="267" spans="1:8" ht="15.75" x14ac:dyDescent="0.25">
      <c r="A267" s="1736" t="s">
        <v>1572</v>
      </c>
      <c r="B267" s="660" t="s">
        <v>1556</v>
      </c>
      <c r="C267" s="660">
        <v>2</v>
      </c>
      <c r="D267" s="661">
        <f>FORNITURAS!D4</f>
        <v>48.7</v>
      </c>
      <c r="E267" s="662">
        <f>D267*C267</f>
        <v>97.4</v>
      </c>
      <c r="F267" s="658"/>
      <c r="G267" s="653"/>
      <c r="H267" s="653"/>
    </row>
    <row r="268" spans="1:8" ht="15.75" x14ac:dyDescent="0.25">
      <c r="A268" s="1737"/>
      <c r="B268" s="660" t="s">
        <v>1573</v>
      </c>
      <c r="C268" s="660">
        <v>1</v>
      </c>
      <c r="D268" s="661">
        <f>FORNITURAS!D7</f>
        <v>52</v>
      </c>
      <c r="E268" s="662">
        <f>D268*C268</f>
        <v>52</v>
      </c>
      <c r="F268" s="658"/>
      <c r="G268" s="653"/>
      <c r="H268" s="653"/>
    </row>
    <row r="269" spans="1:8" ht="15.75" x14ac:dyDescent="0.25">
      <c r="A269" s="666" t="s">
        <v>1424</v>
      </c>
      <c r="B269" s="660"/>
      <c r="C269" s="660">
        <v>0.42</v>
      </c>
      <c r="D269" s="661">
        <f>'HILOS-CORDONES-TANZA-CUERO'!L9</f>
        <v>30</v>
      </c>
      <c r="E269" s="662">
        <f>D269*C269</f>
        <v>12.6</v>
      </c>
      <c r="F269" s="658"/>
      <c r="G269" s="653"/>
      <c r="H269" s="653"/>
    </row>
    <row r="270" spans="1:8" ht="15.75" x14ac:dyDescent="0.25">
      <c r="A270" s="666" t="s">
        <v>1608</v>
      </c>
      <c r="B270" s="660"/>
      <c r="C270" s="660">
        <v>0.1</v>
      </c>
      <c r="D270" s="661">
        <f>'AROS, CADENAS, DIJES, ETC'!I38</f>
        <v>3630</v>
      </c>
      <c r="E270" s="662">
        <f>C270*D270</f>
        <v>363</v>
      </c>
      <c r="F270" s="658"/>
      <c r="G270" s="653"/>
      <c r="H270" s="653"/>
    </row>
    <row r="271" spans="1:8" ht="15.75" x14ac:dyDescent="0.25">
      <c r="A271" s="666" t="s">
        <v>1554</v>
      </c>
      <c r="B271" s="660" t="s">
        <v>777</v>
      </c>
      <c r="C271" s="660">
        <v>13</v>
      </c>
      <c r="D271" s="661">
        <f>FORNITURAS!D24</f>
        <v>34.666666666666664</v>
      </c>
      <c r="E271" s="662">
        <f>D271*C271</f>
        <v>450.66666666666663</v>
      </c>
      <c r="F271" s="658"/>
      <c r="G271" s="653"/>
      <c r="H271" s="653"/>
    </row>
    <row r="272" spans="1:8" ht="15.75" x14ac:dyDescent="0.25">
      <c r="A272" s="666" t="s">
        <v>1012</v>
      </c>
      <c r="B272" s="660"/>
      <c r="C272" s="660">
        <v>2</v>
      </c>
      <c r="D272" s="661">
        <f>FORNITURAS!D16</f>
        <v>45.05</v>
      </c>
      <c r="E272" s="662">
        <f>D272*C272</f>
        <v>90.1</v>
      </c>
      <c r="F272" s="658"/>
      <c r="G272" s="653"/>
      <c r="H272" s="653"/>
    </row>
    <row r="273" spans="1:8" ht="15.75" x14ac:dyDescent="0.25">
      <c r="A273" s="666" t="s">
        <v>1587</v>
      </c>
      <c r="B273" s="660"/>
      <c r="C273" s="660">
        <v>1</v>
      </c>
      <c r="D273" s="661">
        <f>FORNITURAS!H44</f>
        <v>485</v>
      </c>
      <c r="E273" s="662">
        <f>C273*D273</f>
        <v>485</v>
      </c>
      <c r="F273" s="658"/>
      <c r="G273" s="653"/>
      <c r="H273" s="653"/>
    </row>
    <row r="274" spans="1:8" ht="15.75" x14ac:dyDescent="0.25">
      <c r="A274" s="666" t="s">
        <v>1746</v>
      </c>
      <c r="B274" s="660"/>
      <c r="C274" s="660"/>
      <c r="D274" s="661"/>
      <c r="E274" s="667">
        <v>20</v>
      </c>
      <c r="F274" s="658"/>
      <c r="G274" s="653"/>
      <c r="H274" s="653"/>
    </row>
    <row r="275" spans="1:8" ht="15.75" x14ac:dyDescent="0.25">
      <c r="A275" s="666" t="s">
        <v>1557</v>
      </c>
      <c r="B275" s="660"/>
      <c r="C275" s="660"/>
      <c r="D275" s="661"/>
      <c r="E275" s="667">
        <f>PACKAGING!E4</f>
        <v>80</v>
      </c>
      <c r="F275" s="653"/>
      <c r="G275" s="658"/>
      <c r="H275" s="653"/>
    </row>
    <row r="276" spans="1:8" ht="15.75" x14ac:dyDescent="0.25">
      <c r="A276" s="666" t="s">
        <v>3362</v>
      </c>
      <c r="B276" s="660"/>
      <c r="C276" s="660"/>
      <c r="D276" s="661"/>
      <c r="E276" s="667">
        <f>PACKAGING!E17</f>
        <v>7.5</v>
      </c>
      <c r="F276" s="653"/>
      <c r="G276" s="658"/>
      <c r="H276" s="653"/>
    </row>
    <row r="277" spans="1:8" ht="15.75" x14ac:dyDescent="0.25">
      <c r="A277" s="666" t="s">
        <v>1634</v>
      </c>
      <c r="B277" s="660"/>
      <c r="C277" s="660"/>
      <c r="D277" s="661"/>
      <c r="E277" s="667">
        <f>PACKAGING!E7</f>
        <v>170</v>
      </c>
      <c r="F277" s="653"/>
      <c r="G277" s="658"/>
      <c r="H277" s="653"/>
    </row>
    <row r="278" spans="1:8" ht="15.75" x14ac:dyDescent="0.25">
      <c r="A278" s="666" t="s">
        <v>4153</v>
      </c>
      <c r="B278" s="660"/>
      <c r="C278" s="660"/>
      <c r="D278" s="661"/>
      <c r="E278" s="667">
        <f>PACKAGING!I6</f>
        <v>1070</v>
      </c>
      <c r="F278" s="653"/>
      <c r="G278" s="658"/>
      <c r="H278" s="653"/>
    </row>
    <row r="279" spans="1:8" ht="15.75" x14ac:dyDescent="0.25">
      <c r="A279" s="683" t="s">
        <v>1618</v>
      </c>
      <c r="B279" s="660">
        <v>60</v>
      </c>
      <c r="C279" s="660">
        <v>40</v>
      </c>
      <c r="D279" s="668">
        <f>'INSUMOS VARIOS'!B3</f>
        <v>3500</v>
      </c>
      <c r="E279" s="669">
        <f>D279*C279/B279</f>
        <v>2333.3333333333335</v>
      </c>
      <c r="F279" s="653"/>
      <c r="G279" s="658"/>
      <c r="H279" s="653"/>
    </row>
    <row r="280" spans="1:8" ht="16.5" thickBot="1" x14ac:dyDescent="0.3">
      <c r="A280" s="670" t="s">
        <v>525</v>
      </c>
      <c r="B280" s="671"/>
      <c r="C280" s="671"/>
      <c r="D280" s="672"/>
      <c r="E280" s="673">
        <f>SUM(E264:E279)</f>
        <v>10141.148387096775</v>
      </c>
      <c r="F280" s="658"/>
      <c r="G280" s="653"/>
      <c r="H280" s="653"/>
    </row>
    <row r="281" spans="1:8" ht="16.5" thickBot="1" x14ac:dyDescent="0.3">
      <c r="A281" s="675" t="s">
        <v>544</v>
      </c>
      <c r="B281" s="676"/>
      <c r="C281" s="676"/>
      <c r="D281" s="677"/>
      <c r="E281" s="692">
        <f>E280*2</f>
        <v>20282.29677419355</v>
      </c>
      <c r="F281" s="957">
        <f>E281+E281*70%</f>
        <v>34479.904516129034</v>
      </c>
      <c r="G281" s="681">
        <v>38000</v>
      </c>
      <c r="H281" s="653"/>
    </row>
    <row r="282" spans="1:8" ht="16.5" thickBot="1" x14ac:dyDescent="0.3">
      <c r="A282" s="684" t="s">
        <v>1559</v>
      </c>
      <c r="B282" s="685"/>
      <c r="C282" s="685"/>
      <c r="D282" s="686"/>
      <c r="E282" s="686"/>
      <c r="F282" s="816"/>
      <c r="G282" s="1275">
        <f>G281*60%</f>
        <v>22800</v>
      </c>
      <c r="H282" s="1276" t="s">
        <v>3687</v>
      </c>
    </row>
    <row r="283" spans="1:8" ht="15.75" thickBot="1" x14ac:dyDescent="0.3"/>
    <row r="284" spans="1:8" ht="16.5" thickBot="1" x14ac:dyDescent="0.3">
      <c r="A284" s="1794" t="s">
        <v>4311</v>
      </c>
      <c r="B284" s="1795"/>
      <c r="C284" s="1795"/>
      <c r="D284" s="1795"/>
      <c r="E284" s="1796"/>
      <c r="F284" s="653"/>
      <c r="G284" s="653"/>
      <c r="H284" s="653"/>
    </row>
    <row r="285" spans="1:8" ht="15.75" x14ac:dyDescent="0.25">
      <c r="A285" s="654" t="s">
        <v>916</v>
      </c>
      <c r="B285" s="655" t="s">
        <v>743</v>
      </c>
      <c r="C285" s="655" t="s">
        <v>1566</v>
      </c>
      <c r="D285" s="656" t="s">
        <v>1035</v>
      </c>
      <c r="E285" s="657" t="s">
        <v>1549</v>
      </c>
      <c r="F285" s="658"/>
      <c r="G285" s="653"/>
      <c r="H285" s="653"/>
    </row>
    <row r="286" spans="1:8" ht="15.75" x14ac:dyDescent="0.25">
      <c r="A286" s="769" t="s">
        <v>4135</v>
      </c>
      <c r="B286" s="660">
        <v>0.22</v>
      </c>
      <c r="C286" s="660">
        <v>0.13500000000000001</v>
      </c>
      <c r="D286" s="661">
        <f>PIEDRAS!E155</f>
        <v>2400</v>
      </c>
      <c r="E286" s="662">
        <f>D286*C286/B286</f>
        <v>1472.7272727272727</v>
      </c>
      <c r="F286" s="658"/>
      <c r="G286" s="653"/>
      <c r="H286" s="653"/>
    </row>
    <row r="287" spans="1:8" ht="15.75" x14ac:dyDescent="0.25">
      <c r="A287" s="683" t="s">
        <v>4169</v>
      </c>
      <c r="B287" s="660"/>
      <c r="C287" s="660">
        <v>171</v>
      </c>
      <c r="D287" s="661">
        <f>'PALAIS DU BIJOU'!O17</f>
        <v>3.4375</v>
      </c>
      <c r="E287" s="662">
        <f>D287*C287</f>
        <v>587.8125</v>
      </c>
      <c r="F287" s="658"/>
      <c r="G287" s="653"/>
      <c r="H287" s="653"/>
    </row>
    <row r="288" spans="1:8" ht="15.75" x14ac:dyDescent="0.25">
      <c r="A288" s="1736" t="s">
        <v>1572</v>
      </c>
      <c r="B288" s="660" t="s">
        <v>1556</v>
      </c>
      <c r="C288" s="660">
        <v>2</v>
      </c>
      <c r="D288" s="661">
        <f>FORNITURAS!D4</f>
        <v>48.7</v>
      </c>
      <c r="E288" s="662">
        <f>D288*C288</f>
        <v>97.4</v>
      </c>
      <c r="F288" s="658"/>
      <c r="G288" s="653"/>
      <c r="H288" s="653"/>
    </row>
    <row r="289" spans="1:8" ht="15.75" x14ac:dyDescent="0.25">
      <c r="A289" s="1737"/>
      <c r="B289" s="660" t="s">
        <v>1573</v>
      </c>
      <c r="C289" s="660">
        <v>1</v>
      </c>
      <c r="D289" s="661">
        <f>FORNITURAS!D7</f>
        <v>52</v>
      </c>
      <c r="E289" s="662">
        <f>D289*C289</f>
        <v>52</v>
      </c>
      <c r="F289" s="658"/>
      <c r="G289" s="653"/>
      <c r="H289" s="653"/>
    </row>
    <row r="290" spans="1:8" ht="15.75" x14ac:dyDescent="0.25">
      <c r="A290" s="666" t="s">
        <v>1424</v>
      </c>
      <c r="B290" s="660"/>
      <c r="C290" s="660">
        <v>0.42</v>
      </c>
      <c r="D290" s="661">
        <f>'HILOS-CORDONES-TANZA-CUERO'!L9</f>
        <v>30</v>
      </c>
      <c r="E290" s="662">
        <f>D290*C290</f>
        <v>12.6</v>
      </c>
      <c r="F290" s="658"/>
      <c r="G290" s="653"/>
      <c r="H290" s="653"/>
    </row>
    <row r="291" spans="1:8" ht="15.75" x14ac:dyDescent="0.25">
      <c r="A291" s="666" t="s">
        <v>1608</v>
      </c>
      <c r="B291" s="660"/>
      <c r="C291" s="660">
        <v>0.1</v>
      </c>
      <c r="D291" s="661">
        <f>'AROS, CADENAS, DIJES, ETC'!I38</f>
        <v>3630</v>
      </c>
      <c r="E291" s="662">
        <f>C291*D291</f>
        <v>363</v>
      </c>
      <c r="F291" s="658"/>
      <c r="G291" s="653"/>
      <c r="H291" s="653"/>
    </row>
    <row r="292" spans="1:8" ht="15.75" x14ac:dyDescent="0.25">
      <c r="A292" s="666" t="s">
        <v>1554</v>
      </c>
      <c r="B292" s="660" t="s">
        <v>777</v>
      </c>
      <c r="C292" s="660">
        <v>13</v>
      </c>
      <c r="D292" s="661">
        <f>FORNITURAS!D24</f>
        <v>34.666666666666664</v>
      </c>
      <c r="E292" s="662">
        <f>D292*C292</f>
        <v>450.66666666666663</v>
      </c>
      <c r="F292" s="658"/>
      <c r="G292" s="653"/>
      <c r="H292" s="653"/>
    </row>
    <row r="293" spans="1:8" ht="15.75" x14ac:dyDescent="0.25">
      <c r="A293" s="666" t="s">
        <v>1012</v>
      </c>
      <c r="B293" s="660"/>
      <c r="C293" s="660">
        <v>2</v>
      </c>
      <c r="D293" s="661">
        <f>FORNITURAS!D16</f>
        <v>45.05</v>
      </c>
      <c r="E293" s="662">
        <f>D293*C293</f>
        <v>90.1</v>
      </c>
      <c r="F293" s="658"/>
      <c r="G293" s="653"/>
      <c r="H293" s="653"/>
    </row>
    <row r="294" spans="1:8" ht="15.75" x14ac:dyDescent="0.25">
      <c r="A294" s="666" t="s">
        <v>1587</v>
      </c>
      <c r="B294" s="660"/>
      <c r="C294" s="660">
        <v>1</v>
      </c>
      <c r="D294" s="661">
        <f>FORNITURAS!H44</f>
        <v>485</v>
      </c>
      <c r="E294" s="662">
        <f>C294*D294</f>
        <v>485</v>
      </c>
      <c r="F294" s="658"/>
      <c r="G294" s="653"/>
      <c r="H294" s="653"/>
    </row>
    <row r="295" spans="1:8" ht="15.75" x14ac:dyDescent="0.25">
      <c r="A295" s="666" t="s">
        <v>1557</v>
      </c>
      <c r="B295" s="660"/>
      <c r="C295" s="660"/>
      <c r="D295" s="661"/>
      <c r="E295" s="667">
        <f>PACKAGING!E4</f>
        <v>80</v>
      </c>
      <c r="F295" s="653"/>
      <c r="G295" s="658"/>
      <c r="H295" s="653"/>
    </row>
    <row r="296" spans="1:8" ht="15.75" x14ac:dyDescent="0.25">
      <c r="A296" s="666" t="s">
        <v>3362</v>
      </c>
      <c r="B296" s="660"/>
      <c r="C296" s="660"/>
      <c r="D296" s="661"/>
      <c r="E296" s="667">
        <f>PACKAGING!E17</f>
        <v>7.5</v>
      </c>
      <c r="F296" s="653"/>
      <c r="G296" s="658"/>
      <c r="H296" s="653"/>
    </row>
    <row r="297" spans="1:8" ht="15.75" x14ac:dyDescent="0.25">
      <c r="A297" s="666" t="s">
        <v>1634</v>
      </c>
      <c r="B297" s="660"/>
      <c r="C297" s="660"/>
      <c r="D297" s="661"/>
      <c r="E297" s="667">
        <f>PACKAGING!E7</f>
        <v>170</v>
      </c>
      <c r="F297" s="653"/>
      <c r="G297" s="658"/>
      <c r="H297" s="653"/>
    </row>
    <row r="298" spans="1:8" ht="15.75" x14ac:dyDescent="0.25">
      <c r="A298" s="666" t="s">
        <v>3568</v>
      </c>
      <c r="B298" s="660"/>
      <c r="C298" s="660"/>
      <c r="D298" s="661"/>
      <c r="E298" s="667">
        <f>PACKAGING!I5</f>
        <v>845</v>
      </c>
      <c r="F298" s="653"/>
      <c r="G298" s="658"/>
      <c r="H298" s="653"/>
    </row>
    <row r="299" spans="1:8" ht="15.75" x14ac:dyDescent="0.25">
      <c r="A299" s="683" t="s">
        <v>1618</v>
      </c>
      <c r="B299" s="660">
        <v>60</v>
      </c>
      <c r="C299" s="660">
        <v>40</v>
      </c>
      <c r="D299" s="668">
        <f>'INSUMOS VARIOS'!B3</f>
        <v>3500</v>
      </c>
      <c r="E299" s="669">
        <f>D299*C299/B299</f>
        <v>2333.3333333333335</v>
      </c>
      <c r="F299" s="653"/>
      <c r="G299" s="658"/>
      <c r="H299" s="653"/>
    </row>
    <row r="300" spans="1:8" ht="16.5" thickBot="1" x14ac:dyDescent="0.3">
      <c r="A300" s="670" t="s">
        <v>525</v>
      </c>
      <c r="B300" s="671"/>
      <c r="C300" s="671"/>
      <c r="D300" s="672"/>
      <c r="E300" s="673">
        <f>SUM(E286:E299)</f>
        <v>7047.1397727272724</v>
      </c>
      <c r="F300" s="658"/>
      <c r="G300" s="653"/>
      <c r="H300" s="653"/>
    </row>
    <row r="301" spans="1:8" ht="16.5" thickBot="1" x14ac:dyDescent="0.3">
      <c r="A301" s="675" t="s">
        <v>544</v>
      </c>
      <c r="B301" s="676"/>
      <c r="C301" s="676"/>
      <c r="D301" s="677"/>
      <c r="E301" s="692">
        <f>E300*2</f>
        <v>14094.279545454545</v>
      </c>
      <c r="F301" s="957">
        <f>E301+E301*70%</f>
        <v>23960.275227272723</v>
      </c>
      <c r="G301" s="681">
        <v>30000</v>
      </c>
      <c r="H301" s="653"/>
    </row>
    <row r="302" spans="1:8" ht="16.5" thickBot="1" x14ac:dyDescent="0.3">
      <c r="A302" s="684" t="s">
        <v>1559</v>
      </c>
      <c r="B302" s="685"/>
      <c r="C302" s="685"/>
      <c r="D302" s="686"/>
      <c r="E302" s="686"/>
      <c r="F302" s="816"/>
      <c r="G302" s="1275">
        <f>G301*60%</f>
        <v>18000</v>
      </c>
      <c r="H302" s="1276" t="s">
        <v>3687</v>
      </c>
    </row>
    <row r="303" spans="1:8" ht="15.75" thickBot="1" x14ac:dyDescent="0.3"/>
    <row r="304" spans="1:8" ht="16.5" thickBot="1" x14ac:dyDescent="0.3">
      <c r="A304" s="1794" t="s">
        <v>4309</v>
      </c>
      <c r="B304" s="1795"/>
      <c r="C304" s="1795"/>
      <c r="D304" s="1795"/>
      <c r="E304" s="1796"/>
      <c r="F304" s="653"/>
      <c r="G304" s="653"/>
      <c r="H304" s="653"/>
    </row>
    <row r="305" spans="1:8" ht="15.75" x14ac:dyDescent="0.25">
      <c r="A305" s="654" t="s">
        <v>916</v>
      </c>
      <c r="B305" s="655" t="s">
        <v>743</v>
      </c>
      <c r="C305" s="655" t="s">
        <v>1566</v>
      </c>
      <c r="D305" s="656" t="s">
        <v>1035</v>
      </c>
      <c r="E305" s="657" t="s">
        <v>1549</v>
      </c>
      <c r="F305" s="658"/>
      <c r="G305" s="653"/>
      <c r="H305" s="653"/>
    </row>
    <row r="306" spans="1:8" ht="15.75" x14ac:dyDescent="0.25">
      <c r="A306" s="769" t="s">
        <v>4170</v>
      </c>
      <c r="B306" s="660">
        <v>0.39</v>
      </c>
      <c r="C306" s="660">
        <v>0.42</v>
      </c>
      <c r="D306" s="661">
        <f>PIEDRAS!E36</f>
        <v>5000</v>
      </c>
      <c r="E306" s="662">
        <f>D306*C306/B306</f>
        <v>5384.6153846153848</v>
      </c>
      <c r="F306" s="658"/>
      <c r="G306" s="653"/>
      <c r="H306" s="653"/>
    </row>
    <row r="307" spans="1:8" ht="15.75" x14ac:dyDescent="0.25">
      <c r="A307" s="666" t="s">
        <v>1554</v>
      </c>
      <c r="B307" s="660" t="s">
        <v>777</v>
      </c>
      <c r="C307" s="660">
        <v>2</v>
      </c>
      <c r="D307" s="661">
        <f>FORNITURAS!D24</f>
        <v>34.666666666666664</v>
      </c>
      <c r="E307" s="662">
        <f>D307*C307</f>
        <v>69.333333333333329</v>
      </c>
      <c r="F307" s="658"/>
      <c r="G307" s="653"/>
      <c r="H307" s="653"/>
    </row>
    <row r="308" spans="1:8" ht="15.75" x14ac:dyDescent="0.25">
      <c r="A308" s="666" t="s">
        <v>4279</v>
      </c>
      <c r="B308" s="660">
        <v>30</v>
      </c>
      <c r="C308" s="660">
        <v>1.2</v>
      </c>
      <c r="D308" s="661">
        <f>'HILOS-CORDONES-TANZA-CUERO'!D26</f>
        <v>1000</v>
      </c>
      <c r="E308" s="662">
        <f>D308*C308/B308</f>
        <v>40</v>
      </c>
      <c r="F308" s="658"/>
      <c r="G308" s="653"/>
      <c r="H308" s="653"/>
    </row>
    <row r="309" spans="1:8" ht="15.75" x14ac:dyDescent="0.25">
      <c r="A309" s="666" t="s">
        <v>4156</v>
      </c>
      <c r="B309" s="660" t="s">
        <v>4157</v>
      </c>
      <c r="C309" s="660">
        <v>2</v>
      </c>
      <c r="D309" s="661">
        <f>FORNITURAS!I13</f>
        <v>274.44444444444446</v>
      </c>
      <c r="E309" s="662">
        <f>D309*C309</f>
        <v>548.88888888888891</v>
      </c>
      <c r="F309" s="658"/>
      <c r="G309" s="653"/>
      <c r="H309" s="653"/>
    </row>
    <row r="310" spans="1:8" ht="15.75" x14ac:dyDescent="0.25">
      <c r="A310" s="666" t="s">
        <v>4171</v>
      </c>
      <c r="B310" s="660"/>
      <c r="C310" s="660">
        <v>1</v>
      </c>
      <c r="D310" s="661">
        <f>'AROS, CADENAS, DIJES, ETC'!O54</f>
        <v>2920</v>
      </c>
      <c r="E310" s="662">
        <f>C310*D310</f>
        <v>2920</v>
      </c>
      <c r="F310" s="658"/>
      <c r="G310" s="653"/>
      <c r="H310" s="653"/>
    </row>
    <row r="311" spans="1:8" ht="15.75" x14ac:dyDescent="0.25">
      <c r="A311" s="666" t="s">
        <v>1557</v>
      </c>
      <c r="B311" s="660"/>
      <c r="C311" s="660"/>
      <c r="D311" s="661"/>
      <c r="E311" s="667">
        <f>PACKAGING!E4</f>
        <v>80</v>
      </c>
      <c r="F311" s="653"/>
      <c r="G311" s="658"/>
      <c r="H311" s="653"/>
    </row>
    <row r="312" spans="1:8" ht="15.75" x14ac:dyDescent="0.25">
      <c r="A312" s="666" t="s">
        <v>3362</v>
      </c>
      <c r="B312" s="660"/>
      <c r="C312" s="660"/>
      <c r="D312" s="661"/>
      <c r="E312" s="667">
        <f>PACKAGING!E17</f>
        <v>7.5</v>
      </c>
      <c r="F312" s="653"/>
      <c r="G312" s="658"/>
      <c r="H312" s="653"/>
    </row>
    <row r="313" spans="1:8" ht="15.75" x14ac:dyDescent="0.25">
      <c r="A313" s="666" t="s">
        <v>1746</v>
      </c>
      <c r="B313" s="660"/>
      <c r="C313" s="660"/>
      <c r="D313" s="661"/>
      <c r="E313" s="667">
        <v>60</v>
      </c>
      <c r="F313" s="653"/>
      <c r="G313" s="658"/>
      <c r="H313" s="653"/>
    </row>
    <row r="314" spans="1:8" ht="15.75" x14ac:dyDescent="0.25">
      <c r="A314" s="666" t="s">
        <v>3568</v>
      </c>
      <c r="B314" s="660"/>
      <c r="C314" s="660"/>
      <c r="D314" s="661"/>
      <c r="E314" s="667">
        <f>PACKAGING!I5</f>
        <v>845</v>
      </c>
      <c r="F314" s="653"/>
      <c r="G314" s="658"/>
      <c r="H314" s="653"/>
    </row>
    <row r="315" spans="1:8" ht="15.75" x14ac:dyDescent="0.25">
      <c r="A315" s="683" t="s">
        <v>1618</v>
      </c>
      <c r="B315" s="660">
        <v>60</v>
      </c>
      <c r="C315" s="660">
        <v>30</v>
      </c>
      <c r="D315" s="668">
        <f>'INSUMOS VARIOS'!B3</f>
        <v>3500</v>
      </c>
      <c r="E315" s="669">
        <f>D315*C315/B315</f>
        <v>1750</v>
      </c>
      <c r="F315" s="653"/>
      <c r="G315" s="658"/>
      <c r="H315" s="653"/>
    </row>
    <row r="316" spans="1:8" ht="16.5" thickBot="1" x14ac:dyDescent="0.3">
      <c r="A316" s="670" t="s">
        <v>525</v>
      </c>
      <c r="B316" s="671"/>
      <c r="C316" s="671"/>
      <c r="D316" s="672"/>
      <c r="E316" s="673">
        <f>SUM(E306:E315)</f>
        <v>11705.337606837606</v>
      </c>
      <c r="F316" s="658"/>
      <c r="G316" s="653"/>
      <c r="H316" s="653"/>
    </row>
    <row r="317" spans="1:8" ht="16.5" thickBot="1" x14ac:dyDescent="0.3">
      <c r="A317" s="675" t="s">
        <v>544</v>
      </c>
      <c r="B317" s="676"/>
      <c r="C317" s="676"/>
      <c r="D317" s="677"/>
      <c r="E317" s="692">
        <f>E316*2</f>
        <v>23410.675213675211</v>
      </c>
      <c r="F317" s="957">
        <f>E317+E317*70%</f>
        <v>39798.147863247854</v>
      </c>
      <c r="G317" s="681">
        <v>42000</v>
      </c>
      <c r="H317" s="653"/>
    </row>
    <row r="318" spans="1:8" ht="16.5" thickBot="1" x14ac:dyDescent="0.3">
      <c r="A318" s="684" t="s">
        <v>1559</v>
      </c>
      <c r="B318" s="685"/>
      <c r="C318" s="685"/>
      <c r="D318" s="686"/>
      <c r="E318" s="686"/>
      <c r="F318" s="816"/>
      <c r="G318" s="1275">
        <f>G317*60%</f>
        <v>25200</v>
      </c>
      <c r="H318" s="1276" t="s">
        <v>3687</v>
      </c>
    </row>
    <row r="319" spans="1:8" ht="15.75" thickBot="1" x14ac:dyDescent="0.3"/>
    <row r="320" spans="1:8" ht="16.5" thickBot="1" x14ac:dyDescent="0.3">
      <c r="A320" s="1794" t="s">
        <v>4312</v>
      </c>
      <c r="B320" s="1795"/>
      <c r="C320" s="1795"/>
      <c r="D320" s="1795"/>
      <c r="E320" s="1796"/>
      <c r="F320" s="653"/>
      <c r="G320" s="653"/>
      <c r="H320" s="653"/>
    </row>
    <row r="321" spans="1:8" ht="15.75" x14ac:dyDescent="0.25">
      <c r="A321" s="654" t="s">
        <v>916</v>
      </c>
      <c r="B321" s="655" t="s">
        <v>743</v>
      </c>
      <c r="C321" s="655" t="s">
        <v>1566</v>
      </c>
      <c r="D321" s="656" t="s">
        <v>1035</v>
      </c>
      <c r="E321" s="657" t="s">
        <v>1549</v>
      </c>
      <c r="F321" s="658"/>
      <c r="G321" s="653"/>
      <c r="H321" s="653"/>
    </row>
    <row r="322" spans="1:8" ht="15.75" x14ac:dyDescent="0.25">
      <c r="A322" s="769" t="s">
        <v>4252</v>
      </c>
      <c r="B322" s="660">
        <v>0.375</v>
      </c>
      <c r="C322" s="660">
        <v>0.35</v>
      </c>
      <c r="D322" s="661">
        <f>PIEDRAS!E45</f>
        <v>9780</v>
      </c>
      <c r="E322" s="662">
        <f>D322*C322/B322</f>
        <v>9128</v>
      </c>
      <c r="F322" s="658"/>
      <c r="G322" s="653"/>
      <c r="H322" s="653"/>
    </row>
    <row r="323" spans="1:8" ht="15.75" x14ac:dyDescent="0.25">
      <c r="A323" s="1807" t="s">
        <v>3099</v>
      </c>
      <c r="B323" s="769" t="s">
        <v>1316</v>
      </c>
      <c r="C323" s="1226">
        <v>4</v>
      </c>
      <c r="D323" s="1363">
        <f>'PERLAS 2'!H34</f>
        <v>421.05263157894734</v>
      </c>
      <c r="E323" s="1338">
        <f>D323*C323</f>
        <v>1684.2105263157894</v>
      </c>
      <c r="F323" s="658"/>
      <c r="G323" s="653"/>
      <c r="H323" s="653"/>
    </row>
    <row r="324" spans="1:8" ht="15.75" x14ac:dyDescent="0.25">
      <c r="A324" s="1808"/>
      <c r="B324" s="1226" t="s">
        <v>1357</v>
      </c>
      <c r="C324" s="1226">
        <v>2</v>
      </c>
      <c r="D324" s="1363">
        <f>'PERLAS 2'!H15</f>
        <v>680.16666666666663</v>
      </c>
      <c r="E324" s="1338">
        <f>D324*C324</f>
        <v>1360.3333333333333</v>
      </c>
      <c r="F324" s="658"/>
      <c r="G324" s="653"/>
      <c r="H324" s="653"/>
    </row>
    <row r="325" spans="1:8" ht="15.75" x14ac:dyDescent="0.25">
      <c r="A325" s="769" t="s">
        <v>4156</v>
      </c>
      <c r="B325" s="660" t="s">
        <v>4157</v>
      </c>
      <c r="C325" s="660">
        <v>2</v>
      </c>
      <c r="D325" s="661">
        <f>FORNITURAS!I13</f>
        <v>274.44444444444446</v>
      </c>
      <c r="E325" s="662">
        <f>D325*C325</f>
        <v>548.88888888888891</v>
      </c>
      <c r="F325" s="658"/>
      <c r="G325" s="653"/>
      <c r="H325" s="653"/>
    </row>
    <row r="326" spans="1:8" ht="15.75" x14ac:dyDescent="0.25">
      <c r="A326" s="769" t="s">
        <v>4172</v>
      </c>
      <c r="B326" s="660">
        <v>0.6</v>
      </c>
      <c r="C326" s="660">
        <v>1.4999999999999999E-2</v>
      </c>
      <c r="D326" s="661">
        <f>PIEDRAS!E155</f>
        <v>2400</v>
      </c>
      <c r="E326" s="662">
        <f>D326*C326/B326</f>
        <v>60</v>
      </c>
      <c r="F326" s="658"/>
      <c r="G326" s="653"/>
      <c r="H326" s="653"/>
    </row>
    <row r="327" spans="1:8" ht="15.75" x14ac:dyDescent="0.25">
      <c r="A327" s="1736" t="s">
        <v>1572</v>
      </c>
      <c r="B327" s="660" t="s">
        <v>1556</v>
      </c>
      <c r="C327" s="660">
        <v>2</v>
      </c>
      <c r="D327" s="661">
        <f>FORNITURAS!D4</f>
        <v>48.7</v>
      </c>
      <c r="E327" s="662">
        <f>D327*C327</f>
        <v>97.4</v>
      </c>
      <c r="F327" s="658"/>
      <c r="G327" s="653"/>
      <c r="H327" s="653"/>
    </row>
    <row r="328" spans="1:8" ht="15.75" x14ac:dyDescent="0.25">
      <c r="A328" s="1737"/>
      <c r="B328" s="660" t="s">
        <v>1573</v>
      </c>
      <c r="C328" s="660">
        <v>1</v>
      </c>
      <c r="D328" s="661">
        <f>FORNITURAS!D7</f>
        <v>52</v>
      </c>
      <c r="E328" s="662">
        <f>D328*C328</f>
        <v>52</v>
      </c>
      <c r="F328" s="658"/>
      <c r="G328" s="653"/>
      <c r="H328" s="653"/>
    </row>
    <row r="329" spans="1:8" ht="15.75" x14ac:dyDescent="0.25">
      <c r="A329" s="666" t="s">
        <v>1424</v>
      </c>
      <c r="B329" s="660"/>
      <c r="C329" s="660">
        <v>0.42</v>
      </c>
      <c r="D329" s="661">
        <f>'HILOS-CORDONES-TANZA-CUERO'!L9</f>
        <v>30</v>
      </c>
      <c r="E329" s="662">
        <f>D329*C329</f>
        <v>12.6</v>
      </c>
      <c r="F329" s="658"/>
      <c r="G329" s="653"/>
      <c r="H329" s="653"/>
    </row>
    <row r="330" spans="1:8" ht="15.75" x14ac:dyDescent="0.25">
      <c r="A330" s="666" t="s">
        <v>1608</v>
      </c>
      <c r="B330" s="660"/>
      <c r="C330" s="660">
        <v>0.1</v>
      </c>
      <c r="D330" s="661">
        <f>'AROS, CADENAS, DIJES, ETC'!I38</f>
        <v>3630</v>
      </c>
      <c r="E330" s="662">
        <f>C330*D330</f>
        <v>363</v>
      </c>
      <c r="F330" s="658"/>
      <c r="G330" s="653"/>
      <c r="H330" s="653"/>
    </row>
    <row r="331" spans="1:8" ht="15.75" x14ac:dyDescent="0.25">
      <c r="A331" s="666" t="s">
        <v>1554</v>
      </c>
      <c r="B331" s="660" t="s">
        <v>777</v>
      </c>
      <c r="C331" s="660">
        <v>2</v>
      </c>
      <c r="D331" s="661">
        <f>FORNITURAS!D24</f>
        <v>34.666666666666664</v>
      </c>
      <c r="E331" s="662">
        <f>D331*C331</f>
        <v>69.333333333333329</v>
      </c>
      <c r="F331" s="658"/>
      <c r="G331" s="653"/>
      <c r="H331" s="653"/>
    </row>
    <row r="332" spans="1:8" ht="15.75" x14ac:dyDescent="0.25">
      <c r="A332" s="666" t="s">
        <v>1012</v>
      </c>
      <c r="B332" s="660"/>
      <c r="C332" s="660">
        <v>2</v>
      </c>
      <c r="D332" s="661">
        <f>FORNITURAS!D16</f>
        <v>45.05</v>
      </c>
      <c r="E332" s="662">
        <f>D332*C332</f>
        <v>90.1</v>
      </c>
      <c r="F332" s="658"/>
      <c r="G332" s="653"/>
      <c r="H332" s="653"/>
    </row>
    <row r="333" spans="1:8" ht="15.75" x14ac:dyDescent="0.25">
      <c r="A333" s="666" t="s">
        <v>1587</v>
      </c>
      <c r="B333" s="660"/>
      <c r="C333" s="660">
        <v>1</v>
      </c>
      <c r="D333" s="661">
        <f>FORNITURAS!H44</f>
        <v>485</v>
      </c>
      <c r="E333" s="662">
        <f>C333*D333</f>
        <v>485</v>
      </c>
      <c r="F333" s="658"/>
      <c r="G333" s="653"/>
      <c r="H333" s="653"/>
    </row>
    <row r="334" spans="1:8" ht="15.75" x14ac:dyDescent="0.25">
      <c r="A334" s="666" t="s">
        <v>1557</v>
      </c>
      <c r="B334" s="660"/>
      <c r="C334" s="660"/>
      <c r="D334" s="661"/>
      <c r="E334" s="667">
        <f>PACKAGING!E4</f>
        <v>80</v>
      </c>
      <c r="F334" s="653"/>
      <c r="G334" s="658"/>
      <c r="H334" s="653"/>
    </row>
    <row r="335" spans="1:8" ht="15.75" x14ac:dyDescent="0.25">
      <c r="A335" s="666" t="s">
        <v>3362</v>
      </c>
      <c r="B335" s="660"/>
      <c r="C335" s="660"/>
      <c r="D335" s="661"/>
      <c r="E335" s="667">
        <f>PACKAGING!E17</f>
        <v>7.5</v>
      </c>
      <c r="F335" s="653"/>
      <c r="G335" s="658"/>
      <c r="H335" s="653"/>
    </row>
    <row r="336" spans="1:8" ht="15.75" x14ac:dyDescent="0.25">
      <c r="A336" s="666" t="s">
        <v>1634</v>
      </c>
      <c r="B336" s="660"/>
      <c r="C336" s="660"/>
      <c r="D336" s="661"/>
      <c r="E336" s="667">
        <f>PACKAGING!E7</f>
        <v>170</v>
      </c>
      <c r="F336" s="653"/>
      <c r="G336" s="658"/>
      <c r="H336" s="653"/>
    </row>
    <row r="337" spans="1:8" ht="15.75" x14ac:dyDescent="0.25">
      <c r="A337" s="666" t="s">
        <v>3568</v>
      </c>
      <c r="B337" s="660"/>
      <c r="C337" s="660"/>
      <c r="D337" s="661"/>
      <c r="E337" s="667">
        <f>PACKAGING!I5</f>
        <v>845</v>
      </c>
      <c r="F337" s="653"/>
      <c r="G337" s="658"/>
      <c r="H337" s="653"/>
    </row>
    <row r="338" spans="1:8" ht="15.75" x14ac:dyDescent="0.25">
      <c r="A338" s="683" t="s">
        <v>1618</v>
      </c>
      <c r="B338" s="660">
        <v>60</v>
      </c>
      <c r="C338" s="660">
        <v>20</v>
      </c>
      <c r="D338" s="668">
        <f>'INSUMOS VARIOS'!B3</f>
        <v>3500</v>
      </c>
      <c r="E338" s="669">
        <f>D338*C338/B338</f>
        <v>1166.6666666666667</v>
      </c>
      <c r="F338" s="653"/>
      <c r="G338" s="658"/>
      <c r="H338" s="653"/>
    </row>
    <row r="339" spans="1:8" ht="16.5" thickBot="1" x14ac:dyDescent="0.3">
      <c r="A339" s="670" t="s">
        <v>525</v>
      </c>
      <c r="B339" s="671"/>
      <c r="C339" s="671"/>
      <c r="D339" s="672"/>
      <c r="E339" s="673">
        <f>SUM(E322:E338)</f>
        <v>16220.032748538013</v>
      </c>
      <c r="F339" s="658"/>
      <c r="G339" s="653"/>
      <c r="H339" s="653"/>
    </row>
    <row r="340" spans="1:8" ht="16.5" thickBot="1" x14ac:dyDescent="0.3">
      <c r="A340" s="675" t="s">
        <v>544</v>
      </c>
      <c r="B340" s="676"/>
      <c r="C340" s="676"/>
      <c r="D340" s="677"/>
      <c r="E340" s="692">
        <f>E339*2</f>
        <v>32440.065497076026</v>
      </c>
      <c r="F340" s="957">
        <f>E340+E340*60%</f>
        <v>51904.10479532164</v>
      </c>
      <c r="G340" s="681">
        <v>52000</v>
      </c>
      <c r="H340" s="653"/>
    </row>
    <row r="341" spans="1:8" ht="16.5" thickBot="1" x14ac:dyDescent="0.3">
      <c r="A341" s="684" t="s">
        <v>1559</v>
      </c>
      <c r="B341" s="685"/>
      <c r="C341" s="685"/>
      <c r="D341" s="686"/>
      <c r="E341" s="686"/>
      <c r="F341" s="816"/>
      <c r="G341" s="1275">
        <f>G340*70%</f>
        <v>36400</v>
      </c>
      <c r="H341" s="1276" t="s">
        <v>3687</v>
      </c>
    </row>
    <row r="342" spans="1:8" ht="15.75" thickBot="1" x14ac:dyDescent="0.3"/>
    <row r="343" spans="1:8" ht="16.5" thickBot="1" x14ac:dyDescent="0.3">
      <c r="A343" s="1791" t="s">
        <v>4272</v>
      </c>
      <c r="B343" s="1792"/>
      <c r="C343" s="1792"/>
      <c r="D343" s="1792"/>
      <c r="E343" s="1793"/>
      <c r="F343" s="1294"/>
      <c r="G343" s="653"/>
      <c r="H343" s="653"/>
    </row>
    <row r="344" spans="1:8" ht="15.75" x14ac:dyDescent="0.25">
      <c r="A344" s="654" t="s">
        <v>916</v>
      </c>
      <c r="B344" s="655" t="s">
        <v>743</v>
      </c>
      <c r="C344" s="655" t="s">
        <v>1566</v>
      </c>
      <c r="D344" s="656" t="s">
        <v>1035</v>
      </c>
      <c r="E344" s="657" t="s">
        <v>1549</v>
      </c>
      <c r="F344" s="658"/>
      <c r="G344" s="653"/>
      <c r="H344" s="653"/>
    </row>
    <row r="345" spans="1:8" ht="15.75" x14ac:dyDescent="0.25">
      <c r="A345" s="659" t="s">
        <v>1585</v>
      </c>
      <c r="B345" s="660"/>
      <c r="C345" s="660">
        <v>57</v>
      </c>
      <c r="D345" s="661">
        <f>'PALAIS DU BIJOU'!O18</f>
        <v>2.625</v>
      </c>
      <c r="E345" s="662">
        <f t="shared" ref="E345:E349" si="6">D345*C345</f>
        <v>149.625</v>
      </c>
      <c r="F345" s="658"/>
      <c r="G345" s="653"/>
      <c r="H345" s="653"/>
    </row>
    <row r="346" spans="1:8" ht="15.75" x14ac:dyDescent="0.25">
      <c r="A346" s="769" t="s">
        <v>3570</v>
      </c>
      <c r="B346" s="660"/>
      <c r="C346" s="660">
        <v>59</v>
      </c>
      <c r="D346" s="661">
        <f>PIEDRAS!F23</f>
        <v>102.05882352941177</v>
      </c>
      <c r="E346" s="662">
        <f t="shared" si="6"/>
        <v>6021.4705882352946</v>
      </c>
      <c r="F346" s="658"/>
      <c r="G346" s="653"/>
      <c r="H346" s="653"/>
    </row>
    <row r="347" spans="1:8" ht="15.75" x14ac:dyDescent="0.25">
      <c r="A347" s="1736" t="s">
        <v>1572</v>
      </c>
      <c r="B347" s="660" t="s">
        <v>1556</v>
      </c>
      <c r="C347" s="660">
        <v>2</v>
      </c>
      <c r="D347" s="661">
        <f>FORNITURAS!D4</f>
        <v>48.7</v>
      </c>
      <c r="E347" s="662">
        <f t="shared" si="6"/>
        <v>97.4</v>
      </c>
      <c r="F347" s="658"/>
      <c r="G347" s="653"/>
      <c r="H347" s="653"/>
    </row>
    <row r="348" spans="1:8" ht="15.75" x14ac:dyDescent="0.25">
      <c r="A348" s="1737"/>
      <c r="B348" s="660" t="s">
        <v>1573</v>
      </c>
      <c r="C348" s="660">
        <v>1</v>
      </c>
      <c r="D348" s="661">
        <f>FORNITURAS!D7</f>
        <v>52</v>
      </c>
      <c r="E348" s="662">
        <f t="shared" si="6"/>
        <v>52</v>
      </c>
      <c r="F348" s="658"/>
      <c r="G348" s="653"/>
      <c r="H348" s="653"/>
    </row>
    <row r="349" spans="1:8" ht="15.75" x14ac:dyDescent="0.25">
      <c r="A349" s="666" t="s">
        <v>1424</v>
      </c>
      <c r="B349" s="660"/>
      <c r="C349" s="660">
        <v>0.42</v>
      </c>
      <c r="D349" s="661">
        <f>'HILOS-CORDONES-TANZA-CUERO'!L9</f>
        <v>30</v>
      </c>
      <c r="E349" s="662">
        <f t="shared" si="6"/>
        <v>12.6</v>
      </c>
      <c r="F349" s="658"/>
      <c r="G349" s="653"/>
      <c r="H349" s="653"/>
    </row>
    <row r="350" spans="1:8" ht="15.75" x14ac:dyDescent="0.25">
      <c r="A350" s="666" t="s">
        <v>1608</v>
      </c>
      <c r="B350" s="660"/>
      <c r="C350" s="660">
        <v>0.1</v>
      </c>
      <c r="D350" s="661">
        <f>'AROS, CADENAS, DIJES, ETC'!I38</f>
        <v>3630</v>
      </c>
      <c r="E350" s="662">
        <f>C350*D350</f>
        <v>363</v>
      </c>
      <c r="F350" s="658"/>
      <c r="G350" s="653"/>
      <c r="H350" s="653"/>
    </row>
    <row r="351" spans="1:8" ht="15.75" x14ac:dyDescent="0.25">
      <c r="A351" s="666" t="s">
        <v>1554</v>
      </c>
      <c r="B351" s="660"/>
      <c r="C351" s="660">
        <v>2</v>
      </c>
      <c r="D351" s="661">
        <f>FORNITURAS!D24</f>
        <v>34.666666666666664</v>
      </c>
      <c r="E351" s="662">
        <f>D351*C351</f>
        <v>69.333333333333329</v>
      </c>
      <c r="F351" s="658"/>
      <c r="G351" s="653"/>
      <c r="H351" s="653"/>
    </row>
    <row r="352" spans="1:8" ht="15.75" x14ac:dyDescent="0.25">
      <c r="A352" s="666" t="s">
        <v>1012</v>
      </c>
      <c r="B352" s="660"/>
      <c r="C352" s="660">
        <v>2</v>
      </c>
      <c r="D352" s="661">
        <f>FORNITURAS!D16</f>
        <v>45.05</v>
      </c>
      <c r="E352" s="662">
        <f>D352*C352</f>
        <v>90.1</v>
      </c>
      <c r="F352" s="658"/>
      <c r="G352" s="653"/>
      <c r="H352" s="653"/>
    </row>
    <row r="353" spans="1:10" ht="15.75" x14ac:dyDescent="0.25">
      <c r="A353" s="666" t="s">
        <v>1587</v>
      </c>
      <c r="B353" s="660"/>
      <c r="C353" s="660">
        <v>1</v>
      </c>
      <c r="D353" s="661">
        <f>FORNITURAS!H44</f>
        <v>485</v>
      </c>
      <c r="E353" s="662">
        <f>C353*D353</f>
        <v>485</v>
      </c>
      <c r="F353" s="658"/>
      <c r="G353" s="653"/>
      <c r="H353" s="653"/>
    </row>
    <row r="354" spans="1:10" ht="15.75" x14ac:dyDescent="0.25">
      <c r="A354" s="666" t="s">
        <v>1557</v>
      </c>
      <c r="B354" s="660"/>
      <c r="C354" s="660"/>
      <c r="D354" s="661"/>
      <c r="E354" s="667">
        <f>PACKAGING!E4</f>
        <v>80</v>
      </c>
      <c r="F354" s="653"/>
      <c r="G354" s="658"/>
      <c r="H354" s="653"/>
    </row>
    <row r="355" spans="1:10" ht="15.75" x14ac:dyDescent="0.25">
      <c r="A355" s="666" t="s">
        <v>3362</v>
      </c>
      <c r="B355" s="660"/>
      <c r="C355" s="660"/>
      <c r="D355" s="661"/>
      <c r="E355" s="667">
        <f>PACKAGING!E17</f>
        <v>7.5</v>
      </c>
      <c r="F355" s="653"/>
      <c r="G355" s="658"/>
      <c r="H355" s="653"/>
    </row>
    <row r="356" spans="1:10" ht="15.75" x14ac:dyDescent="0.25">
      <c r="A356" s="666" t="s">
        <v>1634</v>
      </c>
      <c r="B356" s="660"/>
      <c r="C356" s="660"/>
      <c r="D356" s="661"/>
      <c r="E356" s="667">
        <f>PACKAGING!E7</f>
        <v>170</v>
      </c>
      <c r="F356" s="653"/>
      <c r="G356" s="658"/>
      <c r="H356" s="653"/>
    </row>
    <row r="357" spans="1:10" ht="15.75" x14ac:dyDescent="0.25">
      <c r="A357" s="683" t="s">
        <v>1618</v>
      </c>
      <c r="B357" s="660">
        <v>60</v>
      </c>
      <c r="C357" s="660">
        <v>30</v>
      </c>
      <c r="D357" s="668">
        <f>'INSUMOS VARIOS'!B3</f>
        <v>3500</v>
      </c>
      <c r="E357" s="669">
        <f>D357*C357/B357</f>
        <v>1750</v>
      </c>
      <c r="F357" s="1" t="s">
        <v>3023</v>
      </c>
      <c r="G357" s="658"/>
      <c r="H357" s="653"/>
    </row>
    <row r="358" spans="1:10" ht="16.5" thickBot="1" x14ac:dyDescent="0.3">
      <c r="A358" s="670" t="s">
        <v>525</v>
      </c>
      <c r="B358" s="671"/>
      <c r="C358" s="671"/>
      <c r="D358" s="672"/>
      <c r="E358" s="673">
        <f>SUM(E345:E357)</f>
        <v>9348.028921568628</v>
      </c>
      <c r="F358" s="1382">
        <f>E358+G359+G360</f>
        <v>12626.028921568628</v>
      </c>
      <c r="G358" s="653" t="s">
        <v>2028</v>
      </c>
      <c r="H358" s="1276" t="s">
        <v>2029</v>
      </c>
    </row>
    <row r="359" spans="1:10" ht="16.5" thickBot="1" x14ac:dyDescent="0.3">
      <c r="A359" s="675" t="s">
        <v>544</v>
      </c>
      <c r="B359" s="676"/>
      <c r="C359" s="676"/>
      <c r="D359" s="677"/>
      <c r="E359" s="692">
        <f>E358*2</f>
        <v>18696.057843137256</v>
      </c>
      <c r="F359" s="957">
        <f>E359+E359*70%</f>
        <v>31783.298333333332</v>
      </c>
      <c r="G359" s="680">
        <f>PACKAGING!I3</f>
        <v>2433</v>
      </c>
      <c r="H359" s="680">
        <f>F359+G359+G360</f>
        <v>35061.298333333332</v>
      </c>
      <c r="I359" s="681">
        <v>50000</v>
      </c>
      <c r="J359" s="1273" t="s">
        <v>3688</v>
      </c>
    </row>
    <row r="360" spans="1:10" ht="16.5" thickBot="1" x14ac:dyDescent="0.3">
      <c r="A360" s="684" t="s">
        <v>1559</v>
      </c>
      <c r="B360" s="685"/>
      <c r="C360" s="685"/>
      <c r="D360" s="686"/>
      <c r="E360" s="686"/>
      <c r="F360" s="816"/>
      <c r="G360" s="701">
        <f>PACKAGING!I5</f>
        <v>845</v>
      </c>
      <c r="H360" s="1276"/>
      <c r="I360" s="1275">
        <f>I359*50%</f>
        <v>25000</v>
      </c>
    </row>
    <row r="361" spans="1:10" ht="15.75" thickBot="1" x14ac:dyDescent="0.3"/>
    <row r="362" spans="1:10" ht="16.5" thickBot="1" x14ac:dyDescent="0.3">
      <c r="A362" s="1791" t="s">
        <v>4263</v>
      </c>
      <c r="B362" s="1792"/>
      <c r="C362" s="1792"/>
      <c r="D362" s="1792"/>
      <c r="E362" s="1793"/>
      <c r="F362" s="1294"/>
      <c r="G362" s="653"/>
      <c r="H362" s="653"/>
    </row>
    <row r="363" spans="1:10" ht="15.75" x14ac:dyDescent="0.25">
      <c r="A363" s="654" t="s">
        <v>916</v>
      </c>
      <c r="B363" s="655" t="s">
        <v>743</v>
      </c>
      <c r="C363" s="655" t="s">
        <v>1566</v>
      </c>
      <c r="D363" s="656" t="s">
        <v>1035</v>
      </c>
      <c r="E363" s="657" t="s">
        <v>1549</v>
      </c>
      <c r="F363" s="658"/>
      <c r="G363" s="653"/>
      <c r="H363" s="653"/>
    </row>
    <row r="364" spans="1:10" ht="15.75" x14ac:dyDescent="0.25">
      <c r="A364" s="659" t="s">
        <v>4203</v>
      </c>
      <c r="B364" s="660">
        <v>11</v>
      </c>
      <c r="C364" s="660">
        <v>0.39</v>
      </c>
      <c r="D364" s="661">
        <f>'HILOS-CORDONES-TANZA-CUERO'!D44</f>
        <v>5632</v>
      </c>
      <c r="E364" s="662">
        <f>D364*C364/B364</f>
        <v>199.68</v>
      </c>
      <c r="F364" s="658"/>
      <c r="G364" s="653"/>
      <c r="H364" s="653"/>
    </row>
    <row r="365" spans="1:10" ht="15.75" x14ac:dyDescent="0.25">
      <c r="A365" s="769" t="s">
        <v>4204</v>
      </c>
      <c r="B365" s="660"/>
      <c r="C365" s="660">
        <v>1</v>
      </c>
      <c r="D365" s="661">
        <f>'AROS, CADENAS, DIJES, ETC'!P182</f>
        <v>4255</v>
      </c>
      <c r="E365" s="662">
        <f t="shared" ref="E365:E368" si="7">D365*C365</f>
        <v>4255</v>
      </c>
      <c r="F365" s="658"/>
      <c r="G365" s="653"/>
      <c r="H365" s="653"/>
    </row>
    <row r="366" spans="1:10" ht="15.75" x14ac:dyDescent="0.25">
      <c r="A366" s="1736" t="s">
        <v>1572</v>
      </c>
      <c r="B366" s="660" t="s">
        <v>1573</v>
      </c>
      <c r="C366" s="660">
        <v>2</v>
      </c>
      <c r="D366" s="661">
        <f>FORNITURAS!D7</f>
        <v>52</v>
      </c>
      <c r="E366" s="662">
        <f t="shared" si="7"/>
        <v>104</v>
      </c>
      <c r="F366" s="658"/>
      <c r="G366" s="653"/>
      <c r="H366" s="653"/>
    </row>
    <row r="367" spans="1:10" ht="15.75" x14ac:dyDescent="0.25">
      <c r="A367" s="1737"/>
      <c r="B367" s="660" t="s">
        <v>4206</v>
      </c>
      <c r="C367" s="660">
        <v>1</v>
      </c>
      <c r="D367" s="661">
        <f>FORNITURAS!H63</f>
        <v>466.95652173913044</v>
      </c>
      <c r="E367" s="662">
        <f t="shared" si="7"/>
        <v>466.95652173913044</v>
      </c>
      <c r="F367" s="658"/>
      <c r="G367" s="653"/>
      <c r="H367" s="653"/>
    </row>
    <row r="368" spans="1:10" ht="15.75" x14ac:dyDescent="0.25">
      <c r="A368" s="666" t="s">
        <v>4205</v>
      </c>
      <c r="B368" s="660"/>
      <c r="C368" s="660">
        <v>2</v>
      </c>
      <c r="D368" s="661">
        <f>FORNITURAS!H52</f>
        <v>824.5</v>
      </c>
      <c r="E368" s="662">
        <f t="shared" si="7"/>
        <v>1649</v>
      </c>
      <c r="F368" s="658"/>
      <c r="G368" s="653"/>
      <c r="H368" s="653"/>
    </row>
    <row r="369" spans="1:8" ht="15.75" x14ac:dyDescent="0.25">
      <c r="A369" s="666" t="s">
        <v>1608</v>
      </c>
      <c r="B369" s="660"/>
      <c r="C369" s="660">
        <v>0.1</v>
      </c>
      <c r="D369" s="661">
        <f>'AROS, CADENAS, DIJES, ETC'!K71</f>
        <v>7187</v>
      </c>
      <c r="E369" s="662">
        <f>C369*D369</f>
        <v>718.7</v>
      </c>
      <c r="F369" s="658"/>
      <c r="G369" s="653"/>
      <c r="H369" s="653"/>
    </row>
    <row r="370" spans="1:8" ht="15.75" x14ac:dyDescent="0.25">
      <c r="A370" s="666" t="s">
        <v>1746</v>
      </c>
      <c r="B370" s="660"/>
      <c r="C370" s="660"/>
      <c r="D370" s="661"/>
      <c r="E370" s="662">
        <v>60</v>
      </c>
      <c r="F370" s="658"/>
      <c r="G370" s="653"/>
      <c r="H370" s="653"/>
    </row>
    <row r="371" spans="1:8" ht="15.75" x14ac:dyDescent="0.25">
      <c r="A371" s="666" t="s">
        <v>1587</v>
      </c>
      <c r="B371" s="660"/>
      <c r="C371" s="660">
        <v>1</v>
      </c>
      <c r="D371" s="661">
        <f>FORNITURAS!D20</f>
        <v>1066</v>
      </c>
      <c r="E371" s="662">
        <f>C371*D371</f>
        <v>1066</v>
      </c>
      <c r="F371" s="658"/>
      <c r="G371" s="653"/>
      <c r="H371" s="653"/>
    </row>
    <row r="372" spans="1:8" ht="15.75" x14ac:dyDescent="0.25">
      <c r="A372" s="666" t="s">
        <v>1557</v>
      </c>
      <c r="B372" s="660"/>
      <c r="C372" s="660"/>
      <c r="D372" s="661"/>
      <c r="E372" s="667">
        <f>PACKAGING!E4</f>
        <v>80</v>
      </c>
      <c r="F372" s="653"/>
      <c r="G372" s="658"/>
      <c r="H372" s="653"/>
    </row>
    <row r="373" spans="1:8" ht="15.75" x14ac:dyDescent="0.25">
      <c r="A373" s="666" t="s">
        <v>3362</v>
      </c>
      <c r="B373" s="660"/>
      <c r="C373" s="660"/>
      <c r="D373" s="661"/>
      <c r="E373" s="667">
        <f>PACKAGING!E17</f>
        <v>7.5</v>
      </c>
      <c r="F373" s="653"/>
      <c r="G373" s="658"/>
      <c r="H373" s="653"/>
    </row>
    <row r="374" spans="1:8" ht="15.75" x14ac:dyDescent="0.25">
      <c r="A374" s="666" t="s">
        <v>1634</v>
      </c>
      <c r="B374" s="660"/>
      <c r="C374" s="660"/>
      <c r="D374" s="661"/>
      <c r="E374" s="667">
        <f>PACKAGING!E7</f>
        <v>170</v>
      </c>
      <c r="F374" s="1457"/>
      <c r="G374" s="658"/>
      <c r="H374" s="653"/>
    </row>
    <row r="375" spans="1:8" ht="15.75" x14ac:dyDescent="0.25">
      <c r="A375" s="666" t="s">
        <v>4153</v>
      </c>
      <c r="B375" s="660"/>
      <c r="C375" s="660"/>
      <c r="D375" s="661"/>
      <c r="E375" s="667">
        <f>PACKAGING!I6</f>
        <v>1070</v>
      </c>
      <c r="F375" s="653"/>
      <c r="G375" s="658"/>
      <c r="H375" s="653"/>
    </row>
    <row r="376" spans="1:8" ht="15.75" x14ac:dyDescent="0.25">
      <c r="A376" s="683" t="s">
        <v>1618</v>
      </c>
      <c r="B376" s="660">
        <v>60</v>
      </c>
      <c r="C376" s="660">
        <v>25</v>
      </c>
      <c r="D376" s="668">
        <f>'INSUMOS VARIOS'!B3</f>
        <v>3500</v>
      </c>
      <c r="E376" s="669">
        <f>D376*C376/B376</f>
        <v>1458.3333333333333</v>
      </c>
      <c r="F376" s="653"/>
      <c r="G376" s="658"/>
      <c r="H376" s="653"/>
    </row>
    <row r="377" spans="1:8" ht="16.5" thickBot="1" x14ac:dyDescent="0.3">
      <c r="A377" s="670" t="s">
        <v>525</v>
      </c>
      <c r="B377" s="671"/>
      <c r="C377" s="671"/>
      <c r="D377" s="672"/>
      <c r="E377" s="673">
        <f>SUM(E364:E376)</f>
        <v>11305.169855072463</v>
      </c>
      <c r="F377" s="658"/>
      <c r="G377" s="653"/>
      <c r="H377" s="653"/>
    </row>
    <row r="378" spans="1:8" ht="16.5" thickBot="1" x14ac:dyDescent="0.3">
      <c r="A378" s="675" t="s">
        <v>544</v>
      </c>
      <c r="B378" s="676"/>
      <c r="C378" s="676"/>
      <c r="D378" s="677"/>
      <c r="E378" s="692">
        <f>E377*2</f>
        <v>22610.339710144926</v>
      </c>
      <c r="F378" s="957">
        <f>E378+E378*70%</f>
        <v>38437.577507246373</v>
      </c>
      <c r="G378" s="681">
        <v>40000</v>
      </c>
      <c r="H378" s="653"/>
    </row>
    <row r="379" spans="1:8" ht="16.5" thickBot="1" x14ac:dyDescent="0.3">
      <c r="A379" s="684" t="s">
        <v>1559</v>
      </c>
      <c r="B379" s="685"/>
      <c r="C379" s="685"/>
      <c r="D379" s="686"/>
      <c r="E379" s="686"/>
      <c r="F379" s="816"/>
      <c r="G379" s="1275">
        <f>G378*60%</f>
        <v>24000</v>
      </c>
      <c r="H379" s="1276" t="s">
        <v>3687</v>
      </c>
    </row>
    <row r="380" spans="1:8" ht="15.75" thickBot="1" x14ac:dyDescent="0.3"/>
    <row r="381" spans="1:8" ht="16.5" thickBot="1" x14ac:dyDescent="0.3">
      <c r="A381" s="1791" t="s">
        <v>4267</v>
      </c>
      <c r="B381" s="1792"/>
      <c r="C381" s="1792"/>
      <c r="D381" s="1792"/>
      <c r="E381" s="1793"/>
      <c r="F381" s="1294"/>
      <c r="G381" s="653"/>
      <c r="H381" s="653"/>
    </row>
    <row r="382" spans="1:8" ht="15.75" x14ac:dyDescent="0.25">
      <c r="A382" s="654" t="s">
        <v>916</v>
      </c>
      <c r="B382" s="655" t="s">
        <v>743</v>
      </c>
      <c r="C382" s="655" t="s">
        <v>1566</v>
      </c>
      <c r="D382" s="656" t="s">
        <v>1035</v>
      </c>
      <c r="E382" s="657" t="s">
        <v>1549</v>
      </c>
      <c r="F382" s="658"/>
      <c r="G382" s="653"/>
      <c r="H382" s="653"/>
    </row>
    <row r="383" spans="1:8" ht="15.75" x14ac:dyDescent="0.25">
      <c r="A383" s="659" t="s">
        <v>4213</v>
      </c>
      <c r="B383" s="660">
        <v>11</v>
      </c>
      <c r="C383" s="660">
        <v>0.39</v>
      </c>
      <c r="D383" s="661">
        <f>'HILOS-CORDONES-TANZA-CUERO'!D44</f>
        <v>5632</v>
      </c>
      <c r="E383" s="662">
        <f>D383*C383/B383</f>
        <v>199.68</v>
      </c>
      <c r="F383" s="658"/>
      <c r="G383" s="653"/>
      <c r="H383" s="653"/>
    </row>
    <row r="384" spans="1:8" ht="15.75" x14ac:dyDescent="0.25">
      <c r="A384" s="1155" t="s">
        <v>3099</v>
      </c>
      <c r="B384" s="660" t="s">
        <v>3534</v>
      </c>
      <c r="C384" s="660">
        <v>5</v>
      </c>
      <c r="D384" s="661">
        <f>'PERLAS 2'!O4</f>
        <v>171.05263157894737</v>
      </c>
      <c r="E384" s="662">
        <f>D384*C384</f>
        <v>855.26315789473688</v>
      </c>
      <c r="F384" s="658"/>
      <c r="G384" s="653"/>
      <c r="H384" s="653"/>
    </row>
    <row r="385" spans="1:8" ht="15.75" x14ac:dyDescent="0.25">
      <c r="A385" s="1155" t="s">
        <v>1050</v>
      </c>
      <c r="B385" s="660" t="s">
        <v>1062</v>
      </c>
      <c r="C385" s="660">
        <v>0.2</v>
      </c>
      <c r="D385" s="661">
        <f>FORNITURAS!W6</f>
        <v>541.13207547169816</v>
      </c>
      <c r="E385" s="662">
        <f>D385*C385</f>
        <v>108.22641509433964</v>
      </c>
      <c r="F385" s="658"/>
      <c r="G385" s="653"/>
      <c r="H385" s="653"/>
    </row>
    <row r="386" spans="1:8" ht="15.75" x14ac:dyDescent="0.25">
      <c r="A386" s="769" t="s">
        <v>4214</v>
      </c>
      <c r="B386" s="660"/>
      <c r="C386" s="660">
        <v>1</v>
      </c>
      <c r="D386" s="661">
        <f>'AROS, CADENAS, DIJES, ETC'!P185</f>
        <v>3846</v>
      </c>
      <c r="E386" s="662">
        <f t="shared" ref="E386:E389" si="8">D386*C386</f>
        <v>3846</v>
      </c>
      <c r="F386" s="658"/>
      <c r="G386" s="653"/>
      <c r="H386" s="653"/>
    </row>
    <row r="387" spans="1:8" ht="15.75" x14ac:dyDescent="0.25">
      <c r="A387" s="1736" t="s">
        <v>1572</v>
      </c>
      <c r="B387" s="660" t="s">
        <v>1573</v>
      </c>
      <c r="C387" s="660">
        <v>2</v>
      </c>
      <c r="D387" s="661">
        <f>FORNITURAS!D7</f>
        <v>52</v>
      </c>
      <c r="E387" s="662">
        <f t="shared" si="8"/>
        <v>104</v>
      </c>
      <c r="F387" s="658"/>
      <c r="G387" s="653"/>
      <c r="H387" s="653"/>
    </row>
    <row r="388" spans="1:8" ht="15.75" x14ac:dyDescent="0.25">
      <c r="A388" s="1737"/>
      <c r="B388" s="660" t="s">
        <v>4206</v>
      </c>
      <c r="C388" s="660">
        <v>1</v>
      </c>
      <c r="D388" s="661">
        <f>FORNITURAS!H63</f>
        <v>466.95652173913044</v>
      </c>
      <c r="E388" s="662">
        <f t="shared" si="8"/>
        <v>466.95652173913044</v>
      </c>
      <c r="F388" s="658"/>
      <c r="G388" s="653"/>
      <c r="H388" s="653"/>
    </row>
    <row r="389" spans="1:8" ht="15.75" x14ac:dyDescent="0.25">
      <c r="A389" s="666" t="s">
        <v>4205</v>
      </c>
      <c r="B389" s="660"/>
      <c r="C389" s="660">
        <v>2</v>
      </c>
      <c r="D389" s="661">
        <f>FORNITURAS!H52</f>
        <v>824.5</v>
      </c>
      <c r="E389" s="662">
        <f t="shared" si="8"/>
        <v>1649</v>
      </c>
      <c r="F389" s="658"/>
      <c r="G389" s="653"/>
      <c r="H389" s="653"/>
    </row>
    <row r="390" spans="1:8" ht="15.75" x14ac:dyDescent="0.25">
      <c r="A390" s="666" t="s">
        <v>1608</v>
      </c>
      <c r="B390" s="660"/>
      <c r="C390" s="660">
        <v>0.1</v>
      </c>
      <c r="D390" s="661">
        <f>'AROS, CADENAS, DIJES, ETC'!K71</f>
        <v>7187</v>
      </c>
      <c r="E390" s="662">
        <f>C390*D390</f>
        <v>718.7</v>
      </c>
      <c r="F390" s="658"/>
      <c r="G390" s="653"/>
      <c r="H390" s="653"/>
    </row>
    <row r="391" spans="1:8" ht="15.75" x14ac:dyDescent="0.25">
      <c r="A391" s="666" t="s">
        <v>1746</v>
      </c>
      <c r="B391" s="660"/>
      <c r="C391" s="660"/>
      <c r="D391" s="661"/>
      <c r="E391" s="662">
        <v>60</v>
      </c>
      <c r="F391" s="658"/>
      <c r="G391" s="653"/>
      <c r="H391" s="653"/>
    </row>
    <row r="392" spans="1:8" ht="15.75" x14ac:dyDescent="0.25">
      <c r="A392" s="666" t="s">
        <v>1587</v>
      </c>
      <c r="B392" s="660"/>
      <c r="C392" s="660">
        <v>1</v>
      </c>
      <c r="D392" s="661">
        <f>FORNITURAS!D20</f>
        <v>1066</v>
      </c>
      <c r="E392" s="662">
        <f>C392*D392</f>
        <v>1066</v>
      </c>
      <c r="F392" s="658"/>
      <c r="G392" s="653"/>
      <c r="H392" s="653"/>
    </row>
    <row r="393" spans="1:8" ht="15.75" x14ac:dyDescent="0.25">
      <c r="A393" s="666" t="s">
        <v>1557</v>
      </c>
      <c r="B393" s="660"/>
      <c r="C393" s="660"/>
      <c r="D393" s="661"/>
      <c r="E393" s="667">
        <f>PACKAGING!E4</f>
        <v>80</v>
      </c>
      <c r="F393" s="653"/>
      <c r="G393" s="658"/>
      <c r="H393" s="653"/>
    </row>
    <row r="394" spans="1:8" ht="15.75" x14ac:dyDescent="0.25">
      <c r="A394" s="666" t="s">
        <v>3362</v>
      </c>
      <c r="B394" s="660"/>
      <c r="C394" s="660"/>
      <c r="D394" s="661"/>
      <c r="E394" s="667">
        <f>PACKAGING!E17</f>
        <v>7.5</v>
      </c>
      <c r="F394" s="653"/>
      <c r="G394" s="658"/>
      <c r="H394" s="653"/>
    </row>
    <row r="395" spans="1:8" ht="15.75" x14ac:dyDescent="0.25">
      <c r="A395" s="666" t="s">
        <v>1634</v>
      </c>
      <c r="B395" s="660"/>
      <c r="C395" s="660"/>
      <c r="D395" s="661"/>
      <c r="E395" s="667">
        <f>PACKAGING!E7</f>
        <v>170</v>
      </c>
      <c r="F395" s="653"/>
      <c r="G395" s="658"/>
      <c r="H395" s="653"/>
    </row>
    <row r="396" spans="1:8" ht="15.75" x14ac:dyDescent="0.25">
      <c r="A396" s="666" t="s">
        <v>4153</v>
      </c>
      <c r="B396" s="660"/>
      <c r="C396" s="660"/>
      <c r="D396" s="661"/>
      <c r="E396" s="667">
        <f>PACKAGING!I6</f>
        <v>1070</v>
      </c>
      <c r="F396" s="653"/>
      <c r="G396" s="658"/>
      <c r="H396" s="653"/>
    </row>
    <row r="397" spans="1:8" ht="15.75" x14ac:dyDescent="0.25">
      <c r="A397" s="683" t="s">
        <v>1618</v>
      </c>
      <c r="B397" s="660">
        <v>60</v>
      </c>
      <c r="C397" s="660">
        <v>50</v>
      </c>
      <c r="D397" s="668">
        <f>'INSUMOS VARIOS'!B3</f>
        <v>3500</v>
      </c>
      <c r="E397" s="669">
        <f>D397*C397/B397</f>
        <v>2916.6666666666665</v>
      </c>
      <c r="F397" s="653"/>
      <c r="G397" s="658"/>
      <c r="H397" s="653"/>
    </row>
    <row r="398" spans="1:8" ht="16.5" thickBot="1" x14ac:dyDescent="0.3">
      <c r="A398" s="670" t="s">
        <v>525</v>
      </c>
      <c r="B398" s="671"/>
      <c r="C398" s="671"/>
      <c r="D398" s="672"/>
      <c r="E398" s="673">
        <f>SUM(E383:E397)</f>
        <v>13317.992761394873</v>
      </c>
      <c r="F398" s="658"/>
      <c r="G398" s="653"/>
      <c r="H398" s="653"/>
    </row>
    <row r="399" spans="1:8" ht="16.5" thickBot="1" x14ac:dyDescent="0.3">
      <c r="A399" s="675" t="s">
        <v>544</v>
      </c>
      <c r="B399" s="676"/>
      <c r="C399" s="676"/>
      <c r="D399" s="677"/>
      <c r="E399" s="692">
        <f>E398*2</f>
        <v>26635.985522789746</v>
      </c>
      <c r="F399" s="957">
        <f>E399+E399*60%</f>
        <v>42617.576836463595</v>
      </c>
      <c r="G399" s="681">
        <v>44000</v>
      </c>
      <c r="H399" s="653"/>
    </row>
    <row r="400" spans="1:8" ht="16.5" thickBot="1" x14ac:dyDescent="0.3">
      <c r="A400" s="684" t="s">
        <v>1559</v>
      </c>
      <c r="B400" s="685"/>
      <c r="C400" s="685"/>
      <c r="D400" s="686"/>
      <c r="E400" s="686"/>
      <c r="F400" s="816"/>
      <c r="G400" s="1275">
        <f>G399*60%</f>
        <v>26400</v>
      </c>
      <c r="H400" s="1276" t="s">
        <v>3687</v>
      </c>
    </row>
    <row r="403" spans="1:10" ht="15.75" thickBot="1" x14ac:dyDescent="0.3"/>
    <row r="404" spans="1:10" ht="16.5" thickBot="1" x14ac:dyDescent="0.3">
      <c r="A404" s="1791" t="s">
        <v>4261</v>
      </c>
      <c r="B404" s="1792"/>
      <c r="C404" s="1792"/>
      <c r="D404" s="1792"/>
      <c r="E404" s="1793"/>
      <c r="F404" s="1294"/>
      <c r="G404" s="653"/>
      <c r="H404" s="653"/>
    </row>
    <row r="405" spans="1:10" ht="15.75" x14ac:dyDescent="0.25">
      <c r="A405" s="654" t="s">
        <v>916</v>
      </c>
      <c r="B405" s="655" t="s">
        <v>743</v>
      </c>
      <c r="C405" s="655" t="s">
        <v>1566</v>
      </c>
      <c r="D405" s="656" t="s">
        <v>1035</v>
      </c>
      <c r="E405" s="657" t="s">
        <v>1549</v>
      </c>
      <c r="F405" s="658"/>
      <c r="G405" s="653"/>
      <c r="H405" s="653"/>
    </row>
    <row r="406" spans="1:10" ht="15.75" x14ac:dyDescent="0.25">
      <c r="A406" s="666" t="s">
        <v>3126</v>
      </c>
      <c r="B406" s="660">
        <v>0.41</v>
      </c>
      <c r="C406" s="660">
        <v>0.35</v>
      </c>
      <c r="D406" s="661">
        <f>PIEDRAS!E59</f>
        <v>3300</v>
      </c>
      <c r="E406" s="662">
        <f>D406*C406/B406</f>
        <v>2817.0731707317077</v>
      </c>
      <c r="F406" s="658"/>
      <c r="G406" s="653"/>
      <c r="H406" s="653"/>
    </row>
    <row r="407" spans="1:10" ht="15.75" x14ac:dyDescent="0.25">
      <c r="A407" s="1736" t="s">
        <v>3340</v>
      </c>
      <c r="B407" s="660"/>
      <c r="C407" s="660">
        <v>0.8</v>
      </c>
      <c r="D407" s="661">
        <f>'HILOS-CORDONES-TANZA-CUERO'!E7</f>
        <v>50.35</v>
      </c>
      <c r="E407" s="662">
        <f t="shared" ref="E407:E408" si="9">D407*C407</f>
        <v>40.28</v>
      </c>
      <c r="F407" s="658"/>
      <c r="G407" s="653"/>
      <c r="H407" s="653"/>
    </row>
    <row r="408" spans="1:10" ht="15.75" x14ac:dyDescent="0.25">
      <c r="A408" s="1737"/>
      <c r="B408" s="660"/>
      <c r="C408" s="660">
        <v>0.5</v>
      </c>
      <c r="D408" s="661">
        <f>'HILOS-CORDONES-TANZA-CUERO'!E7</f>
        <v>50.35</v>
      </c>
      <c r="E408" s="662">
        <f t="shared" si="9"/>
        <v>25.175000000000001</v>
      </c>
      <c r="F408" s="658"/>
      <c r="G408" s="653"/>
      <c r="H408" s="653"/>
      <c r="I408" s="653"/>
      <c r="J408" s="653"/>
    </row>
    <row r="409" spans="1:10" ht="15.75" x14ac:dyDescent="0.25">
      <c r="A409" s="666" t="s">
        <v>1424</v>
      </c>
      <c r="B409" s="660"/>
      <c r="C409" s="660">
        <v>0.39</v>
      </c>
      <c r="D409" s="661">
        <f>'HILOS-CORDONES-TANZA-CUERO'!L9</f>
        <v>30</v>
      </c>
      <c r="E409" s="662">
        <f>C409*D409</f>
        <v>11.700000000000001</v>
      </c>
      <c r="F409" s="658"/>
      <c r="G409" s="653"/>
      <c r="H409" s="653"/>
      <c r="I409" s="653"/>
      <c r="J409" s="653"/>
    </row>
    <row r="410" spans="1:10" ht="15.75" x14ac:dyDescent="0.25">
      <c r="A410" s="666" t="s">
        <v>1554</v>
      </c>
      <c r="B410" s="660" t="s">
        <v>777</v>
      </c>
      <c r="C410" s="660">
        <v>2</v>
      </c>
      <c r="D410" s="661">
        <f>FORNITURAS!D24</f>
        <v>34.666666666666664</v>
      </c>
      <c r="E410" s="662">
        <f>D410*C410</f>
        <v>69.333333333333329</v>
      </c>
      <c r="F410" s="658"/>
      <c r="G410" s="653"/>
      <c r="H410" s="653"/>
      <c r="I410" s="653"/>
      <c r="J410" s="653"/>
    </row>
    <row r="411" spans="1:10" ht="15.75" x14ac:dyDescent="0.25">
      <c r="A411" s="666" t="s">
        <v>1012</v>
      </c>
      <c r="B411" s="660"/>
      <c r="C411" s="660">
        <v>2</v>
      </c>
      <c r="D411" s="661">
        <f>FORNITURAS!D16</f>
        <v>45.05</v>
      </c>
      <c r="E411" s="662">
        <f>D411*C411</f>
        <v>90.1</v>
      </c>
      <c r="F411" s="658"/>
      <c r="G411" s="653"/>
      <c r="H411" s="653"/>
      <c r="I411" s="653"/>
      <c r="J411" s="653"/>
    </row>
    <row r="412" spans="1:10" ht="15.75" x14ac:dyDescent="0.25">
      <c r="A412" s="666" t="s">
        <v>4163</v>
      </c>
      <c r="B412" s="660"/>
      <c r="C412" s="660">
        <v>7</v>
      </c>
      <c r="D412" s="661">
        <f>'INSUMOS VARIOS'!E65</f>
        <v>44.2</v>
      </c>
      <c r="E412" s="662">
        <f>D412*C412</f>
        <v>309.40000000000003</v>
      </c>
      <c r="F412" s="658"/>
      <c r="G412" s="653"/>
      <c r="H412" s="653"/>
      <c r="I412" s="653"/>
      <c r="J412" s="653"/>
    </row>
    <row r="413" spans="1:10" ht="15.75" x14ac:dyDescent="0.25">
      <c r="A413" s="666" t="s">
        <v>4216</v>
      </c>
      <c r="B413" s="660">
        <v>0.8</v>
      </c>
      <c r="C413" s="660">
        <v>0.01</v>
      </c>
      <c r="D413" s="661">
        <f>PIEDRAS!E148</f>
        <v>3600</v>
      </c>
      <c r="E413" s="667">
        <f>D413*C413/B413</f>
        <v>45</v>
      </c>
      <c r="F413" s="658"/>
      <c r="G413" s="653"/>
      <c r="H413" s="653"/>
      <c r="I413" s="653"/>
      <c r="J413" s="653"/>
    </row>
    <row r="414" spans="1:10" ht="15.75" x14ac:dyDescent="0.25">
      <c r="A414" s="666" t="s">
        <v>1557</v>
      </c>
      <c r="B414" s="660"/>
      <c r="C414" s="660"/>
      <c r="D414" s="661"/>
      <c r="E414" s="667">
        <f>PACKAGING!E4</f>
        <v>80</v>
      </c>
      <c r="F414" s="653"/>
      <c r="G414" s="653"/>
      <c r="H414" s="653"/>
      <c r="I414" s="653"/>
      <c r="J414" s="653"/>
    </row>
    <row r="415" spans="1:10" ht="15.75" x14ac:dyDescent="0.25">
      <c r="A415" s="666" t="s">
        <v>3362</v>
      </c>
      <c r="B415" s="660"/>
      <c r="C415" s="660"/>
      <c r="D415" s="661"/>
      <c r="E415" s="667">
        <f>PACKAGING!E17</f>
        <v>7.5</v>
      </c>
      <c r="F415" s="653"/>
      <c r="G415" s="658"/>
      <c r="H415" s="653"/>
    </row>
    <row r="416" spans="1:10" ht="15.75" x14ac:dyDescent="0.25">
      <c r="A416" s="666" t="s">
        <v>1555</v>
      </c>
      <c r="B416" s="660" t="s">
        <v>1573</v>
      </c>
      <c r="C416" s="660">
        <v>1</v>
      </c>
      <c r="D416" s="661">
        <f>FORNITURAS!D7</f>
        <v>52</v>
      </c>
      <c r="E416" s="667">
        <f>D416*C416</f>
        <v>52</v>
      </c>
      <c r="F416" s="653"/>
      <c r="G416" s="658"/>
      <c r="H416" s="653"/>
    </row>
    <row r="417" spans="1:12" ht="15.75" x14ac:dyDescent="0.25">
      <c r="A417" s="666" t="s">
        <v>1634</v>
      </c>
      <c r="B417" s="660"/>
      <c r="C417" s="660"/>
      <c r="D417" s="661"/>
      <c r="E417" s="667">
        <f>PACKAGING!E7</f>
        <v>170</v>
      </c>
      <c r="F417" s="653"/>
      <c r="G417" s="658"/>
      <c r="H417" s="653"/>
    </row>
    <row r="418" spans="1:12" ht="15.75" x14ac:dyDescent="0.25">
      <c r="A418" s="666" t="s">
        <v>3568</v>
      </c>
      <c r="B418" s="660"/>
      <c r="C418" s="660"/>
      <c r="D418" s="661"/>
      <c r="E418" s="667">
        <f>PACKAGING!I5</f>
        <v>845</v>
      </c>
      <c r="F418" s="653"/>
      <c r="G418" s="658"/>
      <c r="H418" s="653"/>
    </row>
    <row r="419" spans="1:12" ht="15.75" x14ac:dyDescent="0.25">
      <c r="A419" s="683" t="s">
        <v>1618</v>
      </c>
      <c r="B419" s="660">
        <v>60</v>
      </c>
      <c r="C419" s="660">
        <v>50</v>
      </c>
      <c r="D419" s="668">
        <f>'INSUMOS VARIOS'!B3</f>
        <v>3500</v>
      </c>
      <c r="E419" s="669">
        <f>D419*C419/B419</f>
        <v>2916.6666666666665</v>
      </c>
      <c r="F419" s="653"/>
      <c r="G419" s="658"/>
      <c r="H419" s="653"/>
    </row>
    <row r="420" spans="1:12" ht="16.5" thickBot="1" x14ac:dyDescent="0.3">
      <c r="A420" s="670" t="s">
        <v>525</v>
      </c>
      <c r="B420" s="671"/>
      <c r="C420" s="671"/>
      <c r="D420" s="672"/>
      <c r="E420" s="673">
        <f>SUM(E406:E419)</f>
        <v>7479.228170731707</v>
      </c>
      <c r="F420" s="658"/>
      <c r="G420" s="653"/>
      <c r="H420" s="653"/>
    </row>
    <row r="421" spans="1:12" ht="16.5" thickBot="1" x14ac:dyDescent="0.3">
      <c r="A421" s="675" t="s">
        <v>544</v>
      </c>
      <c r="B421" s="676"/>
      <c r="C421" s="676"/>
      <c r="D421" s="677"/>
      <c r="E421" s="692">
        <f>E420*2</f>
        <v>14958.456341463414</v>
      </c>
      <c r="F421" s="957">
        <f>E421+E421*70%</f>
        <v>25429.375780487804</v>
      </c>
      <c r="G421" s="681">
        <v>32000</v>
      </c>
      <c r="H421" s="653"/>
    </row>
    <row r="422" spans="1:12" ht="16.5" thickBot="1" x14ac:dyDescent="0.3">
      <c r="A422" s="684" t="s">
        <v>1559</v>
      </c>
      <c r="B422" s="685"/>
      <c r="C422" s="685"/>
      <c r="D422" s="686"/>
      <c r="E422" s="686"/>
      <c r="F422" s="816"/>
      <c r="G422" s="1275">
        <f>G421*60%</f>
        <v>19200</v>
      </c>
      <c r="H422" s="1276" t="s">
        <v>3687</v>
      </c>
    </row>
    <row r="423" spans="1:12" ht="15.75" thickBot="1" x14ac:dyDescent="0.3"/>
    <row r="424" spans="1:12" ht="16.5" thickBot="1" x14ac:dyDescent="0.3">
      <c r="A424" s="1791" t="s">
        <v>4257</v>
      </c>
      <c r="B424" s="1792"/>
      <c r="C424" s="1792"/>
      <c r="D424" s="1792"/>
      <c r="E424" s="1793"/>
      <c r="F424" s="1294"/>
      <c r="G424" s="653"/>
      <c r="H424" s="653"/>
      <c r="K424" s="653"/>
      <c r="L424" s="653"/>
    </row>
    <row r="425" spans="1:12" ht="15.75" x14ac:dyDescent="0.25">
      <c r="A425" s="654" t="s">
        <v>916</v>
      </c>
      <c r="B425" s="655" t="s">
        <v>743</v>
      </c>
      <c r="C425" s="655" t="s">
        <v>1566</v>
      </c>
      <c r="D425" s="656" t="s">
        <v>1035</v>
      </c>
      <c r="E425" s="657" t="s">
        <v>1549</v>
      </c>
      <c r="F425" s="658"/>
      <c r="G425" s="653"/>
      <c r="H425" s="653"/>
      <c r="K425" s="653"/>
      <c r="L425" s="653"/>
    </row>
    <row r="426" spans="1:12" ht="15.75" x14ac:dyDescent="0.25">
      <c r="A426" s="666" t="s">
        <v>4143</v>
      </c>
      <c r="B426" s="660">
        <v>0.8</v>
      </c>
      <c r="C426" s="660">
        <v>0.23</v>
      </c>
      <c r="D426" s="661">
        <f>PIEDRAS!E151</f>
        <v>4600</v>
      </c>
      <c r="E426" s="662">
        <f>D426*C426/B426</f>
        <v>1322.5</v>
      </c>
      <c r="F426" s="658"/>
      <c r="G426" s="653"/>
      <c r="H426" s="653"/>
      <c r="K426" s="653"/>
      <c r="L426" s="653"/>
    </row>
    <row r="427" spans="1:12" ht="15.75" x14ac:dyDescent="0.25">
      <c r="A427" s="666" t="s">
        <v>4217</v>
      </c>
      <c r="B427" s="660" t="s">
        <v>777</v>
      </c>
      <c r="C427" s="660">
        <v>8</v>
      </c>
      <c r="D427" s="661">
        <f>PIEDRAS!F123</f>
        <v>40.909090909090907</v>
      </c>
      <c r="E427" s="662">
        <f t="shared" ref="E427:E428" si="10">D427*C427</f>
        <v>327.27272727272725</v>
      </c>
      <c r="F427" s="658"/>
      <c r="G427" s="653"/>
      <c r="H427" s="653"/>
      <c r="K427" s="653"/>
      <c r="L427" s="653"/>
    </row>
    <row r="428" spans="1:12" ht="15.75" x14ac:dyDescent="0.25">
      <c r="A428" s="666" t="s">
        <v>4218</v>
      </c>
      <c r="B428" s="660"/>
      <c r="C428" s="660">
        <v>16</v>
      </c>
      <c r="D428" s="661">
        <f>'PALAIS DU BIJOU'!O17</f>
        <v>3.4375</v>
      </c>
      <c r="E428" s="662">
        <f t="shared" si="10"/>
        <v>55</v>
      </c>
      <c r="F428" s="658"/>
      <c r="G428" s="653"/>
      <c r="H428" s="653"/>
      <c r="K428" s="653"/>
      <c r="L428" s="653"/>
    </row>
    <row r="429" spans="1:12" ht="15.75" x14ac:dyDescent="0.25">
      <c r="A429" s="666" t="s">
        <v>4229</v>
      </c>
      <c r="B429" s="660"/>
      <c r="C429" s="660">
        <v>14</v>
      </c>
      <c r="D429" s="661">
        <f>'INSUMOS VARIOS'!E77</f>
        <v>200</v>
      </c>
      <c r="E429" s="662">
        <f>D429*C429</f>
        <v>2800</v>
      </c>
      <c r="F429" s="658"/>
      <c r="G429" s="653"/>
      <c r="H429" s="653"/>
      <c r="K429" s="653"/>
      <c r="L429" s="653"/>
    </row>
    <row r="430" spans="1:12" ht="15.75" x14ac:dyDescent="0.25">
      <c r="A430" s="666" t="s">
        <v>1424</v>
      </c>
      <c r="B430" s="660"/>
      <c r="C430" s="660">
        <v>0.42</v>
      </c>
      <c r="D430" s="661">
        <f>'HILOS-CORDONES-TANZA-CUERO'!L9</f>
        <v>30</v>
      </c>
      <c r="E430" s="662">
        <f>C430*D430</f>
        <v>12.6</v>
      </c>
      <c r="F430" s="658"/>
      <c r="G430" s="653"/>
      <c r="H430" s="653"/>
      <c r="K430" s="653"/>
      <c r="L430" s="653"/>
    </row>
    <row r="431" spans="1:12" ht="15.75" x14ac:dyDescent="0.25">
      <c r="A431" s="666" t="s">
        <v>1554</v>
      </c>
      <c r="B431" s="660" t="s">
        <v>777</v>
      </c>
      <c r="C431" s="660">
        <v>2</v>
      </c>
      <c r="D431" s="661">
        <f>FORNITURAS!D24</f>
        <v>34.666666666666664</v>
      </c>
      <c r="E431" s="662">
        <f>D431*C431</f>
        <v>69.333333333333329</v>
      </c>
      <c r="F431" s="658"/>
      <c r="G431" s="653"/>
      <c r="H431" s="653"/>
    </row>
    <row r="432" spans="1:12" ht="15.75" x14ac:dyDescent="0.25">
      <c r="A432" s="666" t="s">
        <v>1012</v>
      </c>
      <c r="B432" s="660"/>
      <c r="C432" s="660">
        <v>2</v>
      </c>
      <c r="D432" s="661">
        <f>FORNITURAS!D16</f>
        <v>45.05</v>
      </c>
      <c r="E432" s="662">
        <f>D432*C432</f>
        <v>90.1</v>
      </c>
      <c r="F432" s="658"/>
      <c r="G432" s="653"/>
      <c r="H432" s="653"/>
    </row>
    <row r="433" spans="1:8" ht="15.75" x14ac:dyDescent="0.25">
      <c r="A433" s="666" t="s">
        <v>4525</v>
      </c>
      <c r="B433" s="660"/>
      <c r="C433" s="660">
        <v>0.1</v>
      </c>
      <c r="D433" s="661">
        <f>'AROS, CADENAS, DIJES, ETC'!I38</f>
        <v>3630</v>
      </c>
      <c r="E433" s="667">
        <f>D433*C433</f>
        <v>363</v>
      </c>
      <c r="F433" s="658"/>
      <c r="G433" s="653"/>
      <c r="H433" s="653"/>
    </row>
    <row r="434" spans="1:8" ht="15.75" x14ac:dyDescent="0.25">
      <c r="A434" s="666" t="s">
        <v>3096</v>
      </c>
      <c r="B434" s="660"/>
      <c r="C434" s="660"/>
      <c r="D434" s="661">
        <f>FORNITURAS!H44</f>
        <v>485</v>
      </c>
      <c r="E434" s="667">
        <f>D434</f>
        <v>485</v>
      </c>
      <c r="F434" s="658"/>
      <c r="G434" s="653"/>
      <c r="H434" s="653"/>
    </row>
    <row r="435" spans="1:8" ht="15.75" x14ac:dyDescent="0.25">
      <c r="A435" s="666" t="s">
        <v>1557</v>
      </c>
      <c r="B435" s="660"/>
      <c r="C435" s="660"/>
      <c r="D435" s="661"/>
      <c r="E435" s="667">
        <f>PACKAGING!E4</f>
        <v>80</v>
      </c>
      <c r="F435" s="653"/>
      <c r="G435" s="658"/>
      <c r="H435" s="653"/>
    </row>
    <row r="436" spans="1:8" ht="15.75" x14ac:dyDescent="0.25">
      <c r="A436" s="666" t="s">
        <v>3362</v>
      </c>
      <c r="B436" s="660"/>
      <c r="C436" s="660"/>
      <c r="D436" s="661"/>
      <c r="E436" s="667">
        <f>PACKAGING!E17</f>
        <v>7.5</v>
      </c>
      <c r="F436" s="653"/>
      <c r="G436" s="658"/>
      <c r="H436" s="653"/>
    </row>
    <row r="437" spans="1:8" ht="15.75" x14ac:dyDescent="0.25">
      <c r="A437" s="666" t="s">
        <v>1634</v>
      </c>
      <c r="B437" s="660"/>
      <c r="C437" s="660"/>
      <c r="D437" s="661"/>
      <c r="E437" s="667">
        <f>PACKAGING!E7</f>
        <v>170</v>
      </c>
      <c r="F437" s="653"/>
      <c r="G437" s="658"/>
      <c r="H437" s="653"/>
    </row>
    <row r="438" spans="1:8" ht="15.75" x14ac:dyDescent="0.25">
      <c r="A438" s="666" t="s">
        <v>4153</v>
      </c>
      <c r="B438" s="660"/>
      <c r="C438" s="660"/>
      <c r="D438" s="661"/>
      <c r="E438" s="667">
        <f>PACKAGING!I6</f>
        <v>1070</v>
      </c>
      <c r="F438" s="653"/>
      <c r="G438" s="658"/>
      <c r="H438" s="653"/>
    </row>
    <row r="439" spans="1:8" ht="15.75" x14ac:dyDescent="0.25">
      <c r="A439" s="683" t="s">
        <v>1618</v>
      </c>
      <c r="B439" s="660">
        <v>60</v>
      </c>
      <c r="C439" s="660">
        <v>30</v>
      </c>
      <c r="D439" s="668">
        <f>'INSUMOS VARIOS'!B3</f>
        <v>3500</v>
      </c>
      <c r="E439" s="669">
        <f>D439*C439/B439</f>
        <v>1750</v>
      </c>
      <c r="F439" s="653"/>
      <c r="G439" s="658"/>
      <c r="H439" s="653"/>
    </row>
    <row r="440" spans="1:8" ht="16.5" thickBot="1" x14ac:dyDescent="0.3">
      <c r="A440" s="670" t="s">
        <v>525</v>
      </c>
      <c r="B440" s="671"/>
      <c r="C440" s="671"/>
      <c r="D440" s="672"/>
      <c r="E440" s="673">
        <f>SUM(E426:E439)</f>
        <v>8602.3060606060608</v>
      </c>
      <c r="F440" s="658"/>
      <c r="G440" s="653"/>
      <c r="H440" s="653"/>
    </row>
    <row r="441" spans="1:8" ht="16.5" thickBot="1" x14ac:dyDescent="0.3">
      <c r="A441" s="675" t="s">
        <v>544</v>
      </c>
      <c r="B441" s="676"/>
      <c r="C441" s="676"/>
      <c r="D441" s="677"/>
      <c r="E441" s="692">
        <f>E440*2</f>
        <v>17204.612121212122</v>
      </c>
      <c r="F441" s="957">
        <f>E441+E441*70%</f>
        <v>29247.840606060607</v>
      </c>
      <c r="G441" s="681">
        <v>32000</v>
      </c>
      <c r="H441" s="653"/>
    </row>
    <row r="442" spans="1:8" ht="16.5" thickBot="1" x14ac:dyDescent="0.3">
      <c r="A442" s="684" t="s">
        <v>1559</v>
      </c>
      <c r="B442" s="685"/>
      <c r="C442" s="685"/>
      <c r="D442" s="686"/>
      <c r="E442" s="686"/>
      <c r="F442" s="816"/>
      <c r="G442" s="1275">
        <f>G441*60%</f>
        <v>19200</v>
      </c>
      <c r="H442" s="1276" t="s">
        <v>3687</v>
      </c>
    </row>
    <row r="443" spans="1:8" ht="15.75" thickBot="1" x14ac:dyDescent="0.3"/>
    <row r="444" spans="1:8" ht="16.5" thickBot="1" x14ac:dyDescent="0.3">
      <c r="A444" s="1791" t="s">
        <v>4275</v>
      </c>
      <c r="B444" s="1792"/>
      <c r="C444" s="1792"/>
      <c r="D444" s="1792"/>
      <c r="E444" s="1793"/>
      <c r="F444" s="1294"/>
      <c r="G444" s="653"/>
      <c r="H444" s="653"/>
    </row>
    <row r="445" spans="1:8" ht="15.75" x14ac:dyDescent="0.25">
      <c r="A445" s="654" t="s">
        <v>916</v>
      </c>
      <c r="B445" s="655" t="s">
        <v>743</v>
      </c>
      <c r="C445" s="655" t="s">
        <v>1566</v>
      </c>
      <c r="D445" s="656" t="s">
        <v>1035</v>
      </c>
      <c r="E445" s="657" t="s">
        <v>1549</v>
      </c>
      <c r="F445" s="658"/>
      <c r="G445" s="653"/>
      <c r="H445" s="653"/>
    </row>
    <row r="446" spans="1:8" ht="15.75" x14ac:dyDescent="0.25">
      <c r="A446" s="666" t="s">
        <v>1424</v>
      </c>
      <c r="B446" s="660"/>
      <c r="C446" s="660">
        <v>0.78</v>
      </c>
      <c r="D446" s="661">
        <f>'HILOS-CORDONES-TANZA-CUERO'!L9</f>
        <v>30</v>
      </c>
      <c r="E446" s="662">
        <f>C446*D446</f>
        <v>23.400000000000002</v>
      </c>
      <c r="F446" s="658"/>
      <c r="G446" s="653"/>
      <c r="H446" s="653"/>
    </row>
    <row r="447" spans="1:8" ht="15.75" x14ac:dyDescent="0.25">
      <c r="A447" s="666" t="s">
        <v>1554</v>
      </c>
      <c r="B447" s="660" t="s">
        <v>777</v>
      </c>
      <c r="C447" s="660">
        <v>22</v>
      </c>
      <c r="D447" s="661">
        <f>FORNITURAS!D24</f>
        <v>34.666666666666664</v>
      </c>
      <c r="E447" s="662">
        <f>D447*C447</f>
        <v>762.66666666666663</v>
      </c>
      <c r="F447" s="658"/>
      <c r="G447" s="653"/>
      <c r="H447" s="653"/>
    </row>
    <row r="448" spans="1:8" ht="15.75" x14ac:dyDescent="0.25">
      <c r="A448" s="666" t="s">
        <v>1608</v>
      </c>
      <c r="B448" s="660"/>
      <c r="C448" s="660">
        <v>0.17</v>
      </c>
      <c r="D448" s="661">
        <f>'AROS, CADENAS, DIJES, ETC'!I38</f>
        <v>3630</v>
      </c>
      <c r="E448" s="662">
        <f>D448*C448</f>
        <v>617.1</v>
      </c>
      <c r="F448" s="658"/>
      <c r="G448" s="653"/>
      <c r="H448" s="653"/>
    </row>
    <row r="449" spans="1:9" ht="15.75" x14ac:dyDescent="0.25">
      <c r="A449" s="666" t="s">
        <v>1012</v>
      </c>
      <c r="B449" s="660"/>
      <c r="C449" s="660">
        <v>6</v>
      </c>
      <c r="D449" s="661">
        <f>FORNITURAS!D16</f>
        <v>45.05</v>
      </c>
      <c r="E449" s="662">
        <f>D449*C449</f>
        <v>270.29999999999995</v>
      </c>
      <c r="F449" s="658"/>
      <c r="G449" s="653"/>
      <c r="H449" s="653"/>
    </row>
    <row r="450" spans="1:9" ht="15.75" x14ac:dyDescent="0.25">
      <c r="A450" s="1736" t="s">
        <v>1971</v>
      </c>
      <c r="B450" s="660" t="s">
        <v>1556</v>
      </c>
      <c r="C450" s="660">
        <v>6</v>
      </c>
      <c r="D450" s="661">
        <f>FORNITURAS!D4</f>
        <v>48.7</v>
      </c>
      <c r="E450" s="667">
        <f>D450*C450</f>
        <v>292.20000000000005</v>
      </c>
      <c r="F450" s="653"/>
      <c r="G450" s="658"/>
      <c r="H450" s="653"/>
    </row>
    <row r="451" spans="1:9" ht="15.75" x14ac:dyDescent="0.25">
      <c r="A451" s="1737"/>
      <c r="B451" s="660" t="s">
        <v>1573</v>
      </c>
      <c r="C451" s="660">
        <v>3</v>
      </c>
      <c r="D451" s="661">
        <f>FORNITURAS!D7</f>
        <v>52</v>
      </c>
      <c r="E451" s="667">
        <f>D451*C451</f>
        <v>156</v>
      </c>
      <c r="F451" s="653"/>
      <c r="G451" s="658"/>
      <c r="H451" s="653"/>
    </row>
    <row r="452" spans="1:9" ht="15.75" x14ac:dyDescent="0.25">
      <c r="A452" s="666" t="s">
        <v>4276</v>
      </c>
      <c r="B452" s="660"/>
      <c r="C452" s="660">
        <v>2</v>
      </c>
      <c r="D452" s="661">
        <f>PACKAGING!E8</f>
        <v>420</v>
      </c>
      <c r="E452" s="667">
        <f>D452*2</f>
        <v>840</v>
      </c>
      <c r="F452" s="653"/>
      <c r="G452" s="658"/>
      <c r="H452" s="653"/>
    </row>
    <row r="453" spans="1:9" ht="15.75" x14ac:dyDescent="0.25">
      <c r="A453" s="666" t="s">
        <v>1979</v>
      </c>
      <c r="B453" s="660"/>
      <c r="C453" s="660">
        <v>1</v>
      </c>
      <c r="D453" s="661">
        <f>PACKAGING!E9</f>
        <v>450</v>
      </c>
      <c r="E453" s="667">
        <f>D453*C453</f>
        <v>450</v>
      </c>
      <c r="F453" s="653"/>
      <c r="G453" s="658"/>
      <c r="H453" s="653"/>
    </row>
    <row r="454" spans="1:9" ht="15.75" x14ac:dyDescent="0.25">
      <c r="A454" s="666" t="s">
        <v>1634</v>
      </c>
      <c r="B454" s="660"/>
      <c r="C454" s="660">
        <v>3</v>
      </c>
      <c r="D454" s="661">
        <f>PACKAGING!E7</f>
        <v>170</v>
      </c>
      <c r="E454" s="667">
        <f>D454*C454</f>
        <v>510</v>
      </c>
      <c r="F454" s="653"/>
      <c r="G454" s="658"/>
      <c r="H454" s="653"/>
    </row>
    <row r="455" spans="1:9" ht="15.75" x14ac:dyDescent="0.25">
      <c r="A455" s="683" t="s">
        <v>1618</v>
      </c>
      <c r="B455" s="660">
        <v>60</v>
      </c>
      <c r="C455" s="660">
        <v>90</v>
      </c>
      <c r="D455" s="668">
        <f>'INSUMOS VARIOS'!B3</f>
        <v>3500</v>
      </c>
      <c r="E455" s="669">
        <f>D455*C455/B455</f>
        <v>5250</v>
      </c>
      <c r="F455" s="653"/>
      <c r="G455" s="658"/>
      <c r="H455" s="653"/>
    </row>
    <row r="456" spans="1:9" ht="16.5" thickBot="1" x14ac:dyDescent="0.3">
      <c r="A456" s="670" t="s">
        <v>525</v>
      </c>
      <c r="B456" s="671"/>
      <c r="C456" s="671"/>
      <c r="D456" s="672"/>
      <c r="E456" s="673">
        <f>SUM(E446:E455)</f>
        <v>9171.6666666666661</v>
      </c>
      <c r="F456" s="658"/>
      <c r="G456" s="653"/>
      <c r="H456" s="653"/>
    </row>
    <row r="457" spans="1:9" ht="16.5" thickBot="1" x14ac:dyDescent="0.3">
      <c r="A457" s="675" t="s">
        <v>544</v>
      </c>
      <c r="B457" s="676"/>
      <c r="C457" s="676"/>
      <c r="D457" s="677"/>
      <c r="E457" s="692">
        <f>E456*2</f>
        <v>18343.333333333332</v>
      </c>
      <c r="F457" s="957">
        <f>E457+E457*70%</f>
        <v>31183.666666666664</v>
      </c>
      <c r="G457" s="681">
        <v>25000</v>
      </c>
      <c r="H457" s="653"/>
    </row>
    <row r="458" spans="1:9" ht="16.5" thickBot="1" x14ac:dyDescent="0.3">
      <c r="A458" s="684" t="s">
        <v>1559</v>
      </c>
      <c r="B458" s="685"/>
      <c r="C458" s="685"/>
      <c r="D458" s="686"/>
      <c r="E458" s="686"/>
      <c r="F458" s="816"/>
      <c r="G458" s="1275"/>
      <c r="H458" s="1276"/>
    </row>
    <row r="459" spans="1:9" ht="15.75" thickBot="1" x14ac:dyDescent="0.3"/>
    <row r="460" spans="1:9" ht="16.5" thickBot="1" x14ac:dyDescent="0.3">
      <c r="A460" s="1794" t="s">
        <v>4308</v>
      </c>
      <c r="B460" s="1795"/>
      <c r="C460" s="1795"/>
      <c r="D460" s="1795"/>
      <c r="E460" s="1795"/>
      <c r="F460" s="1796"/>
      <c r="G460" s="653"/>
      <c r="H460" s="653"/>
      <c r="I460" s="652"/>
    </row>
    <row r="461" spans="1:9" ht="15.75" x14ac:dyDescent="0.25">
      <c r="A461" s="654" t="s">
        <v>916</v>
      </c>
      <c r="B461" s="655" t="s">
        <v>743</v>
      </c>
      <c r="C461" s="655" t="s">
        <v>1089</v>
      </c>
      <c r="D461" s="655" t="s">
        <v>1566</v>
      </c>
      <c r="E461" s="656" t="s">
        <v>1035</v>
      </c>
      <c r="F461" s="657" t="s">
        <v>1549</v>
      </c>
      <c r="G461" s="658"/>
      <c r="H461" s="653"/>
      <c r="I461" s="652"/>
    </row>
    <row r="462" spans="1:9" ht="15.75" x14ac:dyDescent="0.25">
      <c r="A462" s="659" t="s">
        <v>3175</v>
      </c>
      <c r="B462" s="660"/>
      <c r="C462" s="660"/>
      <c r="D462" s="660">
        <v>7</v>
      </c>
      <c r="E462" s="661">
        <f>'INSUMOS VARIOS'!D32</f>
        <v>20</v>
      </c>
      <c r="F462" s="662">
        <f t="shared" ref="F462:F467" si="11">E462*D462</f>
        <v>140</v>
      </c>
      <c r="G462" s="658"/>
      <c r="H462" s="653"/>
      <c r="I462" s="652"/>
    </row>
    <row r="463" spans="1:9" ht="15.75" x14ac:dyDescent="0.25">
      <c r="A463" s="769" t="s">
        <v>3265</v>
      </c>
      <c r="B463" s="660"/>
      <c r="C463" s="660"/>
      <c r="D463" s="660">
        <v>6</v>
      </c>
      <c r="E463" s="661">
        <f>'INSUMOS VARIOS'!E25</f>
        <v>52</v>
      </c>
      <c r="F463" s="664">
        <f t="shared" si="11"/>
        <v>312</v>
      </c>
      <c r="G463" s="658"/>
      <c r="H463" s="653"/>
      <c r="I463" s="652"/>
    </row>
    <row r="464" spans="1:9" ht="15.75" x14ac:dyDescent="0.25">
      <c r="A464" s="820" t="s">
        <v>3266</v>
      </c>
      <c r="B464" s="660"/>
      <c r="C464" s="660"/>
      <c r="D464" s="660">
        <v>7</v>
      </c>
      <c r="E464" s="661">
        <f>'INSUMOS VARIOS'!E24</f>
        <v>59.090909090909093</v>
      </c>
      <c r="F464" s="664">
        <f t="shared" si="11"/>
        <v>413.63636363636363</v>
      </c>
      <c r="G464" s="658"/>
      <c r="H464" s="653"/>
      <c r="I464" s="652"/>
    </row>
    <row r="465" spans="1:10" ht="15.75" x14ac:dyDescent="0.25">
      <c r="A465" s="820" t="s">
        <v>3267</v>
      </c>
      <c r="B465" s="660"/>
      <c r="C465" s="660"/>
      <c r="D465" s="660">
        <v>3</v>
      </c>
      <c r="E465" s="661">
        <f>'INSUMOS VARIOS'!E27</f>
        <v>86.666666666666671</v>
      </c>
      <c r="F465" s="664">
        <f t="shared" si="11"/>
        <v>260</v>
      </c>
      <c r="G465" s="658"/>
      <c r="H465" s="653"/>
      <c r="I465" s="652"/>
    </row>
    <row r="466" spans="1:10" ht="15.75" x14ac:dyDescent="0.25">
      <c r="A466" s="820" t="s">
        <v>4128</v>
      </c>
      <c r="B466" s="660" t="s">
        <v>846</v>
      </c>
      <c r="C466" s="660"/>
      <c r="D466" s="660">
        <v>2</v>
      </c>
      <c r="E466" s="661">
        <f>FORNITURAS!I5</f>
        <v>188.85714285714286</v>
      </c>
      <c r="F466" s="664">
        <f t="shared" si="11"/>
        <v>377.71428571428572</v>
      </c>
      <c r="G466" s="658"/>
      <c r="H466" s="653"/>
      <c r="I466" s="652"/>
    </row>
    <row r="467" spans="1:10" ht="15.75" x14ac:dyDescent="0.25">
      <c r="A467" s="820" t="s">
        <v>4280</v>
      </c>
      <c r="B467" s="660"/>
      <c r="C467" s="660"/>
      <c r="D467" s="660">
        <v>2</v>
      </c>
      <c r="E467" s="661">
        <f>FORNITURAS!I9</f>
        <v>60.526315789473685</v>
      </c>
      <c r="F467" s="664">
        <f t="shared" si="11"/>
        <v>121.05263157894737</v>
      </c>
      <c r="G467" s="658"/>
      <c r="H467" s="653"/>
      <c r="I467" s="652"/>
    </row>
    <row r="468" spans="1:10" ht="15.75" x14ac:dyDescent="0.25">
      <c r="A468" s="820" t="s">
        <v>2001</v>
      </c>
      <c r="B468" s="660"/>
      <c r="C468" s="660">
        <v>0.5</v>
      </c>
      <c r="D468" s="660">
        <v>0.1</v>
      </c>
      <c r="E468" s="661">
        <f>'AROS, CADENAS, DIJES, ETC'!I56</f>
        <v>2614</v>
      </c>
      <c r="F468" s="662">
        <f>E468*D468/C468</f>
        <v>522.80000000000007</v>
      </c>
      <c r="G468" s="658"/>
      <c r="H468" s="653"/>
      <c r="I468" s="652"/>
    </row>
    <row r="469" spans="1:10" ht="15.75" x14ac:dyDescent="0.25">
      <c r="A469" s="820" t="s">
        <v>1587</v>
      </c>
      <c r="B469" s="660"/>
      <c r="C469" s="660"/>
      <c r="D469" s="660">
        <v>1</v>
      </c>
      <c r="E469" s="661">
        <f>FORNITURAS!D20</f>
        <v>1066</v>
      </c>
      <c r="F469" s="662">
        <f>E469*D469</f>
        <v>1066</v>
      </c>
      <c r="G469" s="658"/>
      <c r="H469" s="653"/>
      <c r="I469" s="652"/>
    </row>
    <row r="470" spans="1:10" ht="15.75" x14ac:dyDescent="0.25">
      <c r="A470" s="1734" t="s">
        <v>3109</v>
      </c>
      <c r="B470" s="660" t="s">
        <v>1933</v>
      </c>
      <c r="C470" s="660"/>
      <c r="D470" s="660">
        <v>2</v>
      </c>
      <c r="E470" s="661">
        <f>FORNITURAS!D5</f>
        <v>46.8</v>
      </c>
      <c r="F470" s="662">
        <f>E470*D470</f>
        <v>93.6</v>
      </c>
      <c r="G470" s="658"/>
      <c r="H470" s="653"/>
      <c r="I470" s="652"/>
    </row>
    <row r="471" spans="1:10" ht="15.75" x14ac:dyDescent="0.25">
      <c r="A471" s="1735"/>
      <c r="B471" s="660" t="s">
        <v>1573</v>
      </c>
      <c r="C471" s="660"/>
      <c r="D471" s="660">
        <v>1</v>
      </c>
      <c r="E471" s="661">
        <f>FORNITURAS!D7</f>
        <v>52</v>
      </c>
      <c r="F471" s="662">
        <f>E471</f>
        <v>52</v>
      </c>
      <c r="G471" s="658"/>
      <c r="H471" s="653"/>
      <c r="I471" s="652"/>
    </row>
    <row r="472" spans="1:10" ht="15.75" x14ac:dyDescent="0.25">
      <c r="A472" s="820" t="s">
        <v>1537</v>
      </c>
      <c r="B472" s="660"/>
      <c r="C472" s="660"/>
      <c r="D472" s="660"/>
      <c r="E472" s="661"/>
      <c r="F472" s="662">
        <f>PACKAGING!E7</f>
        <v>170</v>
      </c>
      <c r="G472" s="658"/>
      <c r="H472" s="653"/>
      <c r="I472" s="652"/>
    </row>
    <row r="473" spans="1:10" ht="15.75" x14ac:dyDescent="0.25">
      <c r="A473" s="820" t="s">
        <v>3362</v>
      </c>
      <c r="B473" s="660"/>
      <c r="C473" s="660"/>
      <c r="D473" s="660"/>
      <c r="E473" s="661"/>
      <c r="F473" s="662">
        <f>PACKAGING!E17</f>
        <v>7.5</v>
      </c>
      <c r="G473" s="658"/>
      <c r="H473" s="653"/>
      <c r="I473" s="652"/>
    </row>
    <row r="474" spans="1:10" ht="15.75" x14ac:dyDescent="0.25">
      <c r="A474" s="666" t="s">
        <v>1557</v>
      </c>
      <c r="B474" s="660"/>
      <c r="C474" s="660"/>
      <c r="D474" s="660"/>
      <c r="E474" s="661"/>
      <c r="F474" s="662">
        <f>PACKAGING!E4</f>
        <v>80</v>
      </c>
      <c r="G474" s="653"/>
      <c r="H474" s="653"/>
      <c r="I474" s="653"/>
      <c r="J474" s="653"/>
    </row>
    <row r="475" spans="1:10" ht="15.75" x14ac:dyDescent="0.25">
      <c r="A475" s="663" t="s">
        <v>1618</v>
      </c>
      <c r="B475" s="660"/>
      <c r="C475" s="660">
        <v>60</v>
      </c>
      <c r="D475" s="660">
        <v>30</v>
      </c>
      <c r="E475" s="668">
        <f>'INSUMOS VARIOS'!B3</f>
        <v>3500</v>
      </c>
      <c r="F475" s="669">
        <f>E475*D475/C475</f>
        <v>1750</v>
      </c>
      <c r="G475" s="1" t="s">
        <v>3023</v>
      </c>
      <c r="H475" s="653"/>
      <c r="I475" s="652"/>
    </row>
    <row r="476" spans="1:10" ht="15.75" thickBot="1" x14ac:dyDescent="0.3">
      <c r="A476" s="670" t="s">
        <v>525</v>
      </c>
      <c r="B476" s="671"/>
      <c r="C476" s="671"/>
      <c r="D476" s="671"/>
      <c r="E476" s="672"/>
      <c r="F476" s="673">
        <f>SUM(F462:F475)</f>
        <v>5366.3032809295964</v>
      </c>
      <c r="G476" s="698">
        <f>(F476+H477+H478)</f>
        <v>9069.3032809295964</v>
      </c>
      <c r="H476" s="658" t="s">
        <v>2028</v>
      </c>
      <c r="I476" s="674" t="s">
        <v>2029</v>
      </c>
    </row>
    <row r="477" spans="1:10" ht="16.5" thickBot="1" x14ac:dyDescent="0.3">
      <c r="A477" s="675" t="s">
        <v>544</v>
      </c>
      <c r="B477" s="676"/>
      <c r="C477" s="676"/>
      <c r="D477" s="676"/>
      <c r="E477" s="677"/>
      <c r="F477" s="678">
        <f>F476*2</f>
        <v>10732.606561859193</v>
      </c>
      <c r="G477" s="679">
        <f>F477+F477*70%</f>
        <v>18245.431155160626</v>
      </c>
      <c r="H477" s="680">
        <f>PACKAGING!I4</f>
        <v>2633</v>
      </c>
      <c r="I477" s="681">
        <f>G477+H477+H478</f>
        <v>21948.431155160626</v>
      </c>
      <c r="J477" s="1275">
        <v>21000</v>
      </c>
    </row>
    <row r="478" spans="1:10" ht="16.5" thickBot="1" x14ac:dyDescent="0.3">
      <c r="A478" s="684" t="s">
        <v>1559</v>
      </c>
      <c r="B478" s="685"/>
      <c r="C478" s="685"/>
      <c r="D478" s="685"/>
      <c r="E478" s="686"/>
      <c r="F478" s="687"/>
      <c r="G478" s="688"/>
      <c r="H478" s="699">
        <f>PACKAGING!I6</f>
        <v>1070</v>
      </c>
      <c r="J478" s="1278">
        <f>J477*2</f>
        <v>42000</v>
      </c>
    </row>
    <row r="479" spans="1:10" ht="16.5" thickBot="1" x14ac:dyDescent="0.3">
      <c r="A479" s="653"/>
      <c r="B479" s="653"/>
      <c r="C479" s="653"/>
      <c r="D479" s="653"/>
      <c r="E479" s="653"/>
      <c r="F479" s="653"/>
      <c r="G479" s="653"/>
      <c r="H479" s="653"/>
      <c r="I479" s="653"/>
      <c r="J479" s="653"/>
    </row>
    <row r="480" spans="1:10" ht="16.5" thickBot="1" x14ac:dyDescent="0.3">
      <c r="A480" s="1794" t="s">
        <v>381</v>
      </c>
      <c r="B480" s="1795"/>
      <c r="C480" s="1795"/>
      <c r="D480" s="1795"/>
      <c r="E480" s="1795"/>
      <c r="F480" s="1796"/>
      <c r="G480" s="653"/>
      <c r="H480" s="653"/>
      <c r="I480" s="652"/>
    </row>
    <row r="481" spans="1:11" ht="15.75" x14ac:dyDescent="0.25">
      <c r="A481" s="654" t="s">
        <v>916</v>
      </c>
      <c r="B481" s="655" t="s">
        <v>743</v>
      </c>
      <c r="C481" s="655" t="s">
        <v>1089</v>
      </c>
      <c r="D481" s="655" t="s">
        <v>1566</v>
      </c>
      <c r="E481" s="656" t="s">
        <v>1035</v>
      </c>
      <c r="F481" s="657" t="s">
        <v>1549</v>
      </c>
      <c r="G481" s="658"/>
      <c r="H481" s="653"/>
      <c r="I481" s="652"/>
    </row>
    <row r="482" spans="1:11" ht="15.75" x14ac:dyDescent="0.25">
      <c r="A482" s="659" t="s">
        <v>3174</v>
      </c>
      <c r="B482" s="660"/>
      <c r="C482" s="660"/>
      <c r="D482" s="660">
        <v>0.8</v>
      </c>
      <c r="E482" s="661">
        <f>'HILOS-CORDONES-TANZA-CUERO'!E23</f>
        <v>81.599999999999994</v>
      </c>
      <c r="F482" s="662">
        <f>E482*D482</f>
        <v>65.28</v>
      </c>
      <c r="G482" s="658"/>
      <c r="H482" s="653"/>
      <c r="I482" s="652"/>
    </row>
    <row r="483" spans="1:11" ht="15.75" x14ac:dyDescent="0.25">
      <c r="A483" s="769" t="s">
        <v>3175</v>
      </c>
      <c r="B483" s="660"/>
      <c r="C483" s="660"/>
      <c r="D483" s="660">
        <v>23</v>
      </c>
      <c r="E483" s="661">
        <f>'INSUMOS VARIOS'!D32</f>
        <v>20</v>
      </c>
      <c r="F483" s="664">
        <f>E483*D483</f>
        <v>460</v>
      </c>
      <c r="G483" s="658"/>
      <c r="H483" s="653"/>
      <c r="I483" s="652"/>
    </row>
    <row r="484" spans="1:11" ht="15.75" x14ac:dyDescent="0.25">
      <c r="A484" s="820" t="s">
        <v>2001</v>
      </c>
      <c r="B484" s="660"/>
      <c r="C484" s="660">
        <v>0.5</v>
      </c>
      <c r="D484" s="660">
        <v>0.1</v>
      </c>
      <c r="E484" s="661">
        <f>'AROS, CADENAS, DIJES, ETC'!I56</f>
        <v>2614</v>
      </c>
      <c r="F484" s="662">
        <f>E484*D484/C484</f>
        <v>522.80000000000007</v>
      </c>
      <c r="G484" s="658"/>
      <c r="H484" s="653"/>
      <c r="I484" s="652"/>
    </row>
    <row r="485" spans="1:11" ht="15.75" x14ac:dyDescent="0.25">
      <c r="A485" s="820" t="s">
        <v>1587</v>
      </c>
      <c r="B485" s="660"/>
      <c r="C485" s="660"/>
      <c r="D485" s="660">
        <v>1</v>
      </c>
      <c r="E485" s="661">
        <f>FORNITURAS!D20</f>
        <v>1066</v>
      </c>
      <c r="F485" s="662">
        <f>E485*D485</f>
        <v>1066</v>
      </c>
      <c r="G485" s="658"/>
      <c r="H485" s="653"/>
      <c r="I485" s="652"/>
    </row>
    <row r="486" spans="1:11" ht="15.75" x14ac:dyDescent="0.25">
      <c r="A486" s="820" t="s">
        <v>3109</v>
      </c>
      <c r="B486" s="660" t="s">
        <v>1573</v>
      </c>
      <c r="C486" s="660"/>
      <c r="D486" s="660">
        <v>3</v>
      </c>
      <c r="E486" s="661">
        <f>FORNITURAS!D7</f>
        <v>52</v>
      </c>
      <c r="F486" s="662">
        <f>E486*D486</f>
        <v>156</v>
      </c>
      <c r="G486" s="658"/>
      <c r="H486" s="653"/>
      <c r="I486" s="652"/>
    </row>
    <row r="487" spans="1:11" ht="15.75" x14ac:dyDescent="0.25">
      <c r="A487" s="820" t="s">
        <v>1537</v>
      </c>
      <c r="B487" s="660"/>
      <c r="C487" s="660"/>
      <c r="D487" s="660"/>
      <c r="E487" s="661"/>
      <c r="F487" s="662">
        <f>PACKAGING!E7</f>
        <v>170</v>
      </c>
      <c r="G487" s="658"/>
      <c r="H487" s="653"/>
      <c r="I487" s="652"/>
    </row>
    <row r="488" spans="1:11" ht="15.75" x14ac:dyDescent="0.25">
      <c r="A488" s="820" t="s">
        <v>3362</v>
      </c>
      <c r="B488" s="660"/>
      <c r="C488" s="660"/>
      <c r="D488" s="660"/>
      <c r="E488" s="661"/>
      <c r="F488" s="662">
        <f>PACKAGING!E17</f>
        <v>7.5</v>
      </c>
      <c r="G488" s="658"/>
      <c r="H488" s="653"/>
      <c r="I488" s="652"/>
    </row>
    <row r="489" spans="1:11" ht="15.75" x14ac:dyDescent="0.25">
      <c r="A489" s="666" t="s">
        <v>1557</v>
      </c>
      <c r="B489" s="660"/>
      <c r="C489" s="660"/>
      <c r="D489" s="660"/>
      <c r="E489" s="661"/>
      <c r="F489" s="662">
        <f>PACKAGING!E4</f>
        <v>80</v>
      </c>
      <c r="G489" s="658"/>
      <c r="H489" s="653"/>
      <c r="I489" s="652"/>
    </row>
    <row r="490" spans="1:11" ht="15.75" x14ac:dyDescent="0.25">
      <c r="A490" s="663" t="s">
        <v>1618</v>
      </c>
      <c r="B490" s="660"/>
      <c r="C490" s="660">
        <v>60</v>
      </c>
      <c r="D490" s="660">
        <v>30</v>
      </c>
      <c r="E490" s="668">
        <f>'INSUMOS VARIOS'!B3</f>
        <v>3500</v>
      </c>
      <c r="F490" s="669">
        <f>E490*D490/C490</f>
        <v>1750</v>
      </c>
      <c r="G490" s="1" t="s">
        <v>3023</v>
      </c>
      <c r="H490" s="653"/>
      <c r="I490" s="652"/>
    </row>
    <row r="491" spans="1:11" ht="15.75" thickBot="1" x14ac:dyDescent="0.3">
      <c r="A491" s="670" t="s">
        <v>525</v>
      </c>
      <c r="B491" s="671"/>
      <c r="C491" s="671"/>
      <c r="D491" s="671"/>
      <c r="E491" s="672"/>
      <c r="F491" s="673">
        <f>SUM(F482:F490)</f>
        <v>4277.58</v>
      </c>
      <c r="G491" s="698">
        <f>(F491+H492+H493)</f>
        <v>7980.58</v>
      </c>
      <c r="H491" s="658" t="s">
        <v>2028</v>
      </c>
      <c r="I491" s="674" t="s">
        <v>2029</v>
      </c>
    </row>
    <row r="492" spans="1:11" ht="16.5" thickBot="1" x14ac:dyDescent="0.3">
      <c r="A492" s="675" t="s">
        <v>544</v>
      </c>
      <c r="B492" s="676"/>
      <c r="C492" s="676"/>
      <c r="D492" s="676"/>
      <c r="E492" s="677"/>
      <c r="F492" s="678">
        <f>F491*2</f>
        <v>8555.16</v>
      </c>
      <c r="G492" s="679">
        <f>F492+F492*70%</f>
        <v>14543.771999999999</v>
      </c>
      <c r="H492" s="680">
        <f>PACKAGING!I4</f>
        <v>2633</v>
      </c>
      <c r="I492" s="681">
        <f>G492+H492+H493</f>
        <v>18246.771999999997</v>
      </c>
      <c r="J492" s="1275">
        <v>18000</v>
      </c>
    </row>
    <row r="493" spans="1:11" ht="16.5" thickBot="1" x14ac:dyDescent="0.3">
      <c r="A493" s="684" t="s">
        <v>1559</v>
      </c>
      <c r="B493" s="685"/>
      <c r="C493" s="685"/>
      <c r="D493" s="685"/>
      <c r="E493" s="686"/>
      <c r="F493" s="687"/>
      <c r="G493" s="688"/>
      <c r="H493" s="680">
        <f>PACKAGING!I6</f>
        <v>1070</v>
      </c>
      <c r="J493" s="1278">
        <f>J492*2</f>
        <v>36000</v>
      </c>
      <c r="K493" s="1276" t="s">
        <v>3687</v>
      </c>
    </row>
    <row r="494" spans="1:11" ht="15.75" thickBot="1" x14ac:dyDescent="0.3"/>
    <row r="495" spans="1:11" ht="16.5" thickBot="1" x14ac:dyDescent="0.3">
      <c r="A495" s="1794" t="s">
        <v>4315</v>
      </c>
      <c r="B495" s="1795"/>
      <c r="C495" s="1795"/>
      <c r="D495" s="1795"/>
      <c r="E495" s="1796"/>
      <c r="F495" s="1294"/>
      <c r="G495" s="653"/>
      <c r="H495" s="653"/>
    </row>
    <row r="496" spans="1:11" ht="15.75" x14ac:dyDescent="0.25">
      <c r="A496" s="654" t="s">
        <v>916</v>
      </c>
      <c r="B496" s="655" t="s">
        <v>743</v>
      </c>
      <c r="C496" s="655" t="s">
        <v>1566</v>
      </c>
      <c r="D496" s="656" t="s">
        <v>1035</v>
      </c>
      <c r="E496" s="657" t="s">
        <v>1549</v>
      </c>
      <c r="F496" s="658"/>
      <c r="G496" s="653"/>
      <c r="H496" s="653"/>
    </row>
    <row r="497" spans="1:11" ht="15.75" x14ac:dyDescent="0.25">
      <c r="A497" s="659" t="s">
        <v>4213</v>
      </c>
      <c r="B497" s="660">
        <v>11</v>
      </c>
      <c r="C497" s="660">
        <v>0.39</v>
      </c>
      <c r="D497" s="661">
        <f>'HILOS-CORDONES-TANZA-CUERO'!D44</f>
        <v>5632</v>
      </c>
      <c r="E497" s="662">
        <f>D497*C497/B497</f>
        <v>199.68</v>
      </c>
      <c r="F497" s="658"/>
      <c r="G497" s="653"/>
      <c r="H497" s="653"/>
    </row>
    <row r="498" spans="1:11" ht="15.75" x14ac:dyDescent="0.25">
      <c r="A498" s="1155" t="s">
        <v>3099</v>
      </c>
      <c r="B498" s="660" t="s">
        <v>3534</v>
      </c>
      <c r="C498" s="660">
        <v>1</v>
      </c>
      <c r="D498" s="661">
        <f>'PERLAS 2'!O4</f>
        <v>171.05263157894737</v>
      </c>
      <c r="E498" s="662">
        <f>D498*C498</f>
        <v>171.05263157894737</v>
      </c>
      <c r="F498" s="658"/>
      <c r="G498" s="653"/>
      <c r="H498" s="653"/>
    </row>
    <row r="499" spans="1:11" ht="15.75" x14ac:dyDescent="0.25">
      <c r="A499" s="1155" t="s">
        <v>1050</v>
      </c>
      <c r="B499" s="660" t="s">
        <v>1056</v>
      </c>
      <c r="C499" s="660">
        <v>0.01</v>
      </c>
      <c r="D499" s="661">
        <f>FORNITURAS!W4</f>
        <v>1404.9107142857144</v>
      </c>
      <c r="E499" s="662">
        <f>D499*C499</f>
        <v>14.049107142857144</v>
      </c>
      <c r="F499" s="658"/>
      <c r="G499" s="653"/>
      <c r="H499" s="653"/>
    </row>
    <row r="500" spans="1:11" ht="15.75" x14ac:dyDescent="0.25">
      <c r="A500" s="769" t="s">
        <v>4281</v>
      </c>
      <c r="B500" s="660"/>
      <c r="C500" s="660">
        <v>1</v>
      </c>
      <c r="D500" s="661">
        <f>'INSUMOS VARIOS'!E72</f>
        <v>1500</v>
      </c>
      <c r="E500" s="662">
        <f t="shared" ref="E500:E502" si="12">D500*C500</f>
        <v>1500</v>
      </c>
      <c r="F500" s="658" t="s">
        <v>4283</v>
      </c>
      <c r="G500" s="653"/>
      <c r="H500" s="653"/>
    </row>
    <row r="501" spans="1:11" ht="15.75" x14ac:dyDescent="0.25">
      <c r="A501" s="769" t="s">
        <v>1572</v>
      </c>
      <c r="B501" s="660" t="s">
        <v>1573</v>
      </c>
      <c r="C501" s="660">
        <v>3</v>
      </c>
      <c r="D501" s="661">
        <f>FORNITURAS!D7</f>
        <v>52</v>
      </c>
      <c r="E501" s="662">
        <f t="shared" si="12"/>
        <v>156</v>
      </c>
      <c r="F501" s="658" t="s">
        <v>4282</v>
      </c>
      <c r="G501" s="653"/>
      <c r="H501" s="653"/>
    </row>
    <row r="502" spans="1:11" ht="15.75" x14ac:dyDescent="0.25">
      <c r="A502" s="666" t="s">
        <v>4205</v>
      </c>
      <c r="B502" s="660"/>
      <c r="C502" s="660">
        <v>2</v>
      </c>
      <c r="D502" s="661">
        <f>FORNITURAS!H52</f>
        <v>824.5</v>
      </c>
      <c r="E502" s="662">
        <f t="shared" si="12"/>
        <v>1649</v>
      </c>
      <c r="F502" s="658"/>
      <c r="G502" s="653"/>
      <c r="H502" s="653"/>
    </row>
    <row r="503" spans="1:11" ht="15.75" x14ac:dyDescent="0.25">
      <c r="A503" s="666" t="s">
        <v>4164</v>
      </c>
      <c r="B503" s="660"/>
      <c r="C503" s="660">
        <v>1</v>
      </c>
      <c r="D503" s="661">
        <f>FORNITURAS!O11</f>
        <v>1800</v>
      </c>
      <c r="E503" s="662">
        <f>D503*C503</f>
        <v>1800</v>
      </c>
      <c r="F503" s="658"/>
      <c r="G503" s="653"/>
      <c r="H503" s="653"/>
    </row>
    <row r="504" spans="1:11" ht="15.75" x14ac:dyDescent="0.25">
      <c r="A504" s="666" t="s">
        <v>1608</v>
      </c>
      <c r="B504" s="660"/>
      <c r="C504" s="660">
        <v>0.1</v>
      </c>
      <c r="D504" s="661">
        <f>'AROS, CADENAS, DIJES, ETC'!K71</f>
        <v>7187</v>
      </c>
      <c r="E504" s="662">
        <f>C504*D504</f>
        <v>718.7</v>
      </c>
      <c r="F504" s="658"/>
      <c r="G504" s="653"/>
      <c r="H504" s="653"/>
    </row>
    <row r="505" spans="1:11" ht="15.75" x14ac:dyDescent="0.25">
      <c r="A505" s="666" t="s">
        <v>1746</v>
      </c>
      <c r="B505" s="660"/>
      <c r="C505" s="660"/>
      <c r="D505" s="661"/>
      <c r="E505" s="662">
        <v>60</v>
      </c>
      <c r="F505" s="658"/>
      <c r="G505" s="653"/>
      <c r="H505" s="653"/>
    </row>
    <row r="506" spans="1:11" ht="15.75" x14ac:dyDescent="0.25">
      <c r="A506" s="666" t="s">
        <v>1587</v>
      </c>
      <c r="B506" s="660"/>
      <c r="C506" s="660">
        <v>1</v>
      </c>
      <c r="D506" s="661">
        <f>FORNITURAS!D20</f>
        <v>1066</v>
      </c>
      <c r="E506" s="662">
        <f>C506*D506</f>
        <v>1066</v>
      </c>
      <c r="F506" s="658"/>
      <c r="G506" s="653"/>
      <c r="H506" s="653"/>
    </row>
    <row r="507" spans="1:11" ht="15.75" x14ac:dyDescent="0.25">
      <c r="A507" s="666" t="s">
        <v>1557</v>
      </c>
      <c r="B507" s="660"/>
      <c r="C507" s="660"/>
      <c r="D507" s="661"/>
      <c r="E507" s="667">
        <f>PACKAGING!E4</f>
        <v>80</v>
      </c>
      <c r="F507" s="653"/>
      <c r="G507" s="658"/>
      <c r="H507" s="653"/>
    </row>
    <row r="508" spans="1:11" ht="15.75" x14ac:dyDescent="0.25">
      <c r="A508" s="666" t="s">
        <v>3362</v>
      </c>
      <c r="B508" s="660"/>
      <c r="C508" s="660"/>
      <c r="D508" s="661"/>
      <c r="E508" s="667">
        <f>PACKAGING!E17</f>
        <v>7.5</v>
      </c>
      <c r="F508" s="653"/>
      <c r="G508" s="658"/>
      <c r="H508" s="653"/>
      <c r="K508" s="1276" t="s">
        <v>3687</v>
      </c>
    </row>
    <row r="509" spans="1:11" ht="15.75" x14ac:dyDescent="0.25">
      <c r="A509" s="666" t="s">
        <v>1634</v>
      </c>
      <c r="B509" s="660"/>
      <c r="C509" s="660"/>
      <c r="D509" s="661"/>
      <c r="E509" s="667">
        <f>PACKAGING!E7</f>
        <v>170</v>
      </c>
      <c r="F509" s="653"/>
      <c r="G509" s="658"/>
      <c r="H509" s="653"/>
    </row>
    <row r="510" spans="1:11" ht="15.75" x14ac:dyDescent="0.25">
      <c r="A510" s="666" t="s">
        <v>4153</v>
      </c>
      <c r="B510" s="660"/>
      <c r="C510" s="660"/>
      <c r="D510" s="661"/>
      <c r="E510" s="667">
        <f>PACKAGING!I6</f>
        <v>1070</v>
      </c>
      <c r="F510" s="653"/>
      <c r="G510" s="658"/>
      <c r="H510" s="653"/>
    </row>
    <row r="511" spans="1:11" ht="15.75" x14ac:dyDescent="0.25">
      <c r="A511" s="683" t="s">
        <v>1618</v>
      </c>
      <c r="B511" s="660">
        <v>60</v>
      </c>
      <c r="C511" s="660">
        <v>40</v>
      </c>
      <c r="D511" s="668">
        <f>'INSUMOS VARIOS'!B3</f>
        <v>3500</v>
      </c>
      <c r="E511" s="669">
        <f>D511*C511/B511</f>
        <v>2333.3333333333335</v>
      </c>
      <c r="F511" s="653"/>
      <c r="G511" s="658"/>
      <c r="H511" s="653"/>
    </row>
    <row r="512" spans="1:11" ht="16.5" thickBot="1" x14ac:dyDescent="0.3">
      <c r="A512" s="670" t="s">
        <v>525</v>
      </c>
      <c r="B512" s="671"/>
      <c r="C512" s="671"/>
      <c r="D512" s="672"/>
      <c r="E512" s="673">
        <f>SUM(E497:E511)</f>
        <v>10995.315072055138</v>
      </c>
      <c r="F512" s="658"/>
      <c r="G512" s="653"/>
      <c r="H512" s="653"/>
    </row>
    <row r="513" spans="1:8" ht="16.5" thickBot="1" x14ac:dyDescent="0.3">
      <c r="A513" s="675" t="s">
        <v>544</v>
      </c>
      <c r="B513" s="676"/>
      <c r="C513" s="676"/>
      <c r="D513" s="677"/>
      <c r="E513" s="692">
        <f>E512*2</f>
        <v>21990.630144110277</v>
      </c>
      <c r="F513" s="957">
        <f>E513+E513*70%</f>
        <v>37384.07124498747</v>
      </c>
      <c r="G513" s="681">
        <v>40000</v>
      </c>
      <c r="H513" s="653"/>
    </row>
    <row r="514" spans="1:8" ht="16.5" thickBot="1" x14ac:dyDescent="0.3">
      <c r="A514" s="684" t="s">
        <v>1559</v>
      </c>
      <c r="B514" s="685"/>
      <c r="C514" s="685"/>
      <c r="D514" s="686"/>
      <c r="E514" s="686"/>
      <c r="F514" s="816"/>
      <c r="G514" s="1275">
        <f>G513*60%</f>
        <v>24000</v>
      </c>
      <c r="H514" s="1276" t="s">
        <v>3687</v>
      </c>
    </row>
    <row r="515" spans="1:8" ht="15.75" thickBot="1" x14ac:dyDescent="0.3"/>
    <row r="516" spans="1:8" ht="16.5" thickBot="1" x14ac:dyDescent="0.3">
      <c r="A516" s="1778" t="s">
        <v>4405</v>
      </c>
      <c r="B516" s="1779"/>
      <c r="C516" s="1779"/>
      <c r="D516" s="1779"/>
      <c r="E516" s="1780"/>
      <c r="F516" s="1294"/>
      <c r="G516" s="653"/>
      <c r="H516" s="653"/>
    </row>
    <row r="517" spans="1:8" ht="15.75" x14ac:dyDescent="0.25">
      <c r="A517" s="654" t="s">
        <v>916</v>
      </c>
      <c r="B517" s="655" t="s">
        <v>743</v>
      </c>
      <c r="C517" s="655" t="s">
        <v>1566</v>
      </c>
      <c r="D517" s="656" t="s">
        <v>1035</v>
      </c>
      <c r="E517" s="657" t="s">
        <v>1549</v>
      </c>
      <c r="F517" s="658"/>
      <c r="G517" s="653"/>
      <c r="H517" s="653"/>
    </row>
    <row r="518" spans="1:8" ht="15.75" x14ac:dyDescent="0.25">
      <c r="A518" s="659" t="s">
        <v>4406</v>
      </c>
      <c r="B518" s="660">
        <v>0.375</v>
      </c>
      <c r="C518" s="660">
        <v>0.36499999999999999</v>
      </c>
      <c r="D518" s="661">
        <f>PIEDRAS!E91</f>
        <v>4375</v>
      </c>
      <c r="E518" s="662">
        <f>D518*C518/B518</f>
        <v>4258.333333333333</v>
      </c>
      <c r="F518" s="658"/>
      <c r="G518" s="653"/>
      <c r="H518" s="653"/>
    </row>
    <row r="519" spans="1:8" ht="15.75" x14ac:dyDescent="0.25">
      <c r="A519" s="1736" t="s">
        <v>1572</v>
      </c>
      <c r="B519" s="660" t="s">
        <v>1556</v>
      </c>
      <c r="C519" s="660">
        <v>2</v>
      </c>
      <c r="D519" s="661">
        <f>FORNITURAS!D4</f>
        <v>48.7</v>
      </c>
      <c r="E519" s="662">
        <f t="shared" ref="E519:E520" si="13">D519*C519</f>
        <v>97.4</v>
      </c>
      <c r="F519" s="658"/>
      <c r="G519" s="653"/>
      <c r="H519" s="653"/>
    </row>
    <row r="520" spans="1:8" ht="15.75" x14ac:dyDescent="0.25">
      <c r="A520" s="1737"/>
      <c r="B520" s="660" t="s">
        <v>1573</v>
      </c>
      <c r="C520" s="660">
        <v>1</v>
      </c>
      <c r="D520" s="661">
        <f>FORNITURAS!D7</f>
        <v>52</v>
      </c>
      <c r="E520" s="662">
        <f t="shared" si="13"/>
        <v>52</v>
      </c>
      <c r="F520" s="658"/>
      <c r="G520" s="653"/>
      <c r="H520" s="653"/>
    </row>
    <row r="521" spans="1:8" ht="15.75" x14ac:dyDescent="0.25">
      <c r="A521" s="666" t="s">
        <v>1608</v>
      </c>
      <c r="B521" s="660"/>
      <c r="C521" s="660">
        <v>0.1</v>
      </c>
      <c r="D521" s="661">
        <f>'AROS, CADENAS, DIJES, ETC'!I38</f>
        <v>3630</v>
      </c>
      <c r="E521" s="662">
        <f>C521*D521</f>
        <v>363</v>
      </c>
      <c r="F521" s="658"/>
      <c r="G521" s="653"/>
      <c r="H521" s="653"/>
    </row>
    <row r="522" spans="1:8" ht="15.75" x14ac:dyDescent="0.25">
      <c r="A522" s="666" t="s">
        <v>1554</v>
      </c>
      <c r="B522" s="660" t="s">
        <v>777</v>
      </c>
      <c r="C522" s="660">
        <v>24</v>
      </c>
      <c r="D522" s="661">
        <f>FORNITURAS!D24</f>
        <v>34.666666666666664</v>
      </c>
      <c r="E522" s="662">
        <f>D522*C522</f>
        <v>832</v>
      </c>
      <c r="F522" s="658"/>
      <c r="G522" s="653"/>
      <c r="H522" s="653"/>
    </row>
    <row r="523" spans="1:8" ht="15.75" x14ac:dyDescent="0.25">
      <c r="A523" s="666" t="s">
        <v>1424</v>
      </c>
      <c r="B523" s="660"/>
      <c r="C523" s="660">
        <v>0.42</v>
      </c>
      <c r="D523" s="661">
        <f>'HILOS-CORDONES-TANZA-CUERO'!L9</f>
        <v>30</v>
      </c>
      <c r="E523" s="662">
        <f>D523*C523</f>
        <v>12.6</v>
      </c>
      <c r="F523" s="658"/>
      <c r="G523" s="653"/>
      <c r="H523" s="653"/>
    </row>
    <row r="524" spans="1:8" ht="15.75" x14ac:dyDescent="0.25">
      <c r="A524" s="666" t="s">
        <v>1012</v>
      </c>
      <c r="B524" s="660"/>
      <c r="C524" s="660">
        <v>2</v>
      </c>
      <c r="D524" s="661">
        <f>FORNITURAS!D16</f>
        <v>45.05</v>
      </c>
      <c r="E524" s="662">
        <f>D524*C524</f>
        <v>90.1</v>
      </c>
      <c r="F524" s="658"/>
      <c r="G524" s="653"/>
      <c r="H524" s="653"/>
    </row>
    <row r="525" spans="1:8" ht="15.75" x14ac:dyDescent="0.25">
      <c r="A525" s="666" t="s">
        <v>1587</v>
      </c>
      <c r="B525" s="660"/>
      <c r="C525" s="660">
        <v>1</v>
      </c>
      <c r="D525" s="661">
        <f>FORNITURAS!D19</f>
        <v>855</v>
      </c>
      <c r="E525" s="662">
        <f>C525*D525</f>
        <v>855</v>
      </c>
      <c r="F525" s="658"/>
      <c r="G525" s="653"/>
      <c r="H525" s="653"/>
    </row>
    <row r="526" spans="1:8" ht="15.75" x14ac:dyDescent="0.25">
      <c r="A526" s="666" t="s">
        <v>1557</v>
      </c>
      <c r="B526" s="660"/>
      <c r="C526" s="660"/>
      <c r="D526" s="661"/>
      <c r="E526" s="667">
        <f>PACKAGING!E4</f>
        <v>80</v>
      </c>
      <c r="F526" s="653"/>
      <c r="G526" s="658"/>
      <c r="H526" s="653"/>
    </row>
    <row r="527" spans="1:8" ht="15.75" x14ac:dyDescent="0.25">
      <c r="A527" s="666" t="s">
        <v>3362</v>
      </c>
      <c r="B527" s="660"/>
      <c r="C527" s="660"/>
      <c r="D527" s="661"/>
      <c r="E527" s="667">
        <f>PACKAGING!E17</f>
        <v>7.5</v>
      </c>
      <c r="F527" s="653"/>
      <c r="G527" s="658"/>
      <c r="H527" s="653"/>
    </row>
    <row r="528" spans="1:8" ht="15.75" x14ac:dyDescent="0.25">
      <c r="A528" s="666" t="s">
        <v>1634</v>
      </c>
      <c r="B528" s="660"/>
      <c r="C528" s="660"/>
      <c r="D528" s="661"/>
      <c r="E528" s="667">
        <f>PACKAGING!E7</f>
        <v>170</v>
      </c>
      <c r="F528" s="653"/>
      <c r="G528" s="658"/>
      <c r="H528" s="653"/>
    </row>
    <row r="529" spans="1:8" ht="15.75" x14ac:dyDescent="0.25">
      <c r="A529" s="1339" t="s">
        <v>3484</v>
      </c>
      <c r="B529" s="660"/>
      <c r="C529" s="660"/>
      <c r="D529" s="668"/>
      <c r="E529" s="667">
        <f>PACKAGING!I5</f>
        <v>845</v>
      </c>
      <c r="F529" s="653"/>
      <c r="G529" s="658"/>
      <c r="H529" s="653"/>
    </row>
    <row r="530" spans="1:8" ht="15.75" x14ac:dyDescent="0.25">
      <c r="A530" s="683" t="s">
        <v>1618</v>
      </c>
      <c r="B530" s="660">
        <v>60</v>
      </c>
      <c r="C530" s="660">
        <v>20</v>
      </c>
      <c r="D530" s="668">
        <f>'INSUMOS VARIOS'!B3</f>
        <v>3500</v>
      </c>
      <c r="E530" s="669">
        <f>D530*C530/B530</f>
        <v>1166.6666666666667</v>
      </c>
      <c r="F530" s="1"/>
      <c r="G530" s="658"/>
      <c r="H530" s="653"/>
    </row>
    <row r="531" spans="1:8" ht="16.5" thickBot="1" x14ac:dyDescent="0.3">
      <c r="A531" s="670" t="s">
        <v>525</v>
      </c>
      <c r="B531" s="671"/>
      <c r="C531" s="671"/>
      <c r="D531" s="672"/>
      <c r="E531" s="673">
        <f>SUM(E518:E530)</f>
        <v>8829.6</v>
      </c>
      <c r="F531" s="698"/>
      <c r="G531" s="653"/>
      <c r="H531" s="1276"/>
    </row>
    <row r="532" spans="1:8" ht="16.5" thickBot="1" x14ac:dyDescent="0.3">
      <c r="A532" s="675" t="s">
        <v>544</v>
      </c>
      <c r="B532" s="676"/>
      <c r="C532" s="676"/>
      <c r="D532" s="677"/>
      <c r="E532" s="692">
        <f>E531*2</f>
        <v>17659.2</v>
      </c>
      <c r="F532" s="957">
        <f>E532+E532*70%</f>
        <v>30020.639999999999</v>
      </c>
      <c r="G532" s="681">
        <v>46000</v>
      </c>
    </row>
    <row r="533" spans="1:8" ht="16.5" thickBot="1" x14ac:dyDescent="0.3">
      <c r="A533" s="684" t="s">
        <v>1559</v>
      </c>
      <c r="B533" s="685"/>
      <c r="C533" s="685"/>
      <c r="D533" s="686"/>
      <c r="E533" s="686"/>
      <c r="F533" s="816"/>
      <c r="G533" s="1275"/>
      <c r="H533" s="1273" t="s">
        <v>3688</v>
      </c>
    </row>
    <row r="534" spans="1:8" ht="15.75" thickBot="1" x14ac:dyDescent="0.3"/>
    <row r="535" spans="1:8" ht="16.5" thickBot="1" x14ac:dyDescent="0.3">
      <c r="A535" s="1778" t="s">
        <v>4407</v>
      </c>
      <c r="B535" s="1779"/>
      <c r="C535" s="1779"/>
      <c r="D535" s="1779"/>
      <c r="E535" s="1780"/>
      <c r="F535" s="1294"/>
      <c r="G535" s="653"/>
      <c r="H535" s="653"/>
    </row>
    <row r="536" spans="1:8" ht="15.75" x14ac:dyDescent="0.25">
      <c r="A536" s="654" t="s">
        <v>916</v>
      </c>
      <c r="B536" s="655" t="s">
        <v>743</v>
      </c>
      <c r="C536" s="655" t="s">
        <v>1566</v>
      </c>
      <c r="D536" s="656" t="s">
        <v>1035</v>
      </c>
      <c r="E536" s="657" t="s">
        <v>1549</v>
      </c>
      <c r="F536" s="658"/>
      <c r="G536" s="653"/>
      <c r="H536" s="653"/>
    </row>
    <row r="537" spans="1:8" ht="15.75" x14ac:dyDescent="0.25">
      <c r="A537" s="659" t="s">
        <v>4410</v>
      </c>
      <c r="B537" s="660">
        <v>0.41</v>
      </c>
      <c r="C537" s="660">
        <v>0.37</v>
      </c>
      <c r="D537" s="661">
        <f>PIEDRAS!E92</f>
        <v>2763</v>
      </c>
      <c r="E537" s="662">
        <f>D537*C537/B537</f>
        <v>2493.439024390244</v>
      </c>
      <c r="F537" s="658"/>
      <c r="G537" s="653"/>
      <c r="H537" s="653"/>
    </row>
    <row r="538" spans="1:8" ht="15.75" x14ac:dyDescent="0.25">
      <c r="A538" s="1736" t="s">
        <v>1572</v>
      </c>
      <c r="B538" s="660" t="s">
        <v>1556</v>
      </c>
      <c r="C538" s="660">
        <v>2</v>
      </c>
      <c r="D538" s="661">
        <f>FORNITURAS!D4</f>
        <v>48.7</v>
      </c>
      <c r="E538" s="662">
        <f t="shared" ref="E538:E539" si="14">D538*C538</f>
        <v>97.4</v>
      </c>
      <c r="F538" s="658"/>
      <c r="G538" s="653"/>
      <c r="H538" s="653"/>
    </row>
    <row r="539" spans="1:8" ht="15.75" x14ac:dyDescent="0.25">
      <c r="A539" s="1737"/>
      <c r="B539" s="660" t="s">
        <v>1573</v>
      </c>
      <c r="C539" s="660">
        <v>1</v>
      </c>
      <c r="D539" s="661">
        <f>FORNITURAS!D7</f>
        <v>52</v>
      </c>
      <c r="E539" s="662">
        <f t="shared" si="14"/>
        <v>52</v>
      </c>
      <c r="F539" s="658"/>
      <c r="G539" s="653"/>
      <c r="H539" s="653"/>
    </row>
    <row r="540" spans="1:8" ht="15.75" x14ac:dyDescent="0.25">
      <c r="A540" s="666" t="s">
        <v>4408</v>
      </c>
      <c r="B540" s="660"/>
      <c r="C540" s="660">
        <v>1</v>
      </c>
      <c r="D540" s="661">
        <f>'AROS, CADENAS, DIJES, ETC'!O69</f>
        <v>3331</v>
      </c>
      <c r="E540" s="662">
        <f>D540</f>
        <v>3331</v>
      </c>
      <c r="F540" s="658"/>
      <c r="G540" s="653"/>
      <c r="H540" s="653"/>
    </row>
    <row r="541" spans="1:8" ht="15.75" x14ac:dyDescent="0.25">
      <c r="A541" s="666" t="s">
        <v>1608</v>
      </c>
      <c r="B541" s="660"/>
      <c r="C541" s="660">
        <v>0.1</v>
      </c>
      <c r="D541" s="661">
        <f>'AROS, CADENAS, DIJES, ETC'!I38</f>
        <v>3630</v>
      </c>
      <c r="E541" s="662">
        <f>C541*D541</f>
        <v>363</v>
      </c>
      <c r="F541" s="658"/>
      <c r="G541" s="653"/>
      <c r="H541" s="653"/>
    </row>
    <row r="542" spans="1:8" ht="15.75" x14ac:dyDescent="0.25">
      <c r="A542" s="666" t="s">
        <v>1554</v>
      </c>
      <c r="B542" s="660" t="s">
        <v>777</v>
      </c>
      <c r="C542" s="660">
        <v>2</v>
      </c>
      <c r="D542" s="661">
        <f>FORNITURAS!D24</f>
        <v>34.666666666666664</v>
      </c>
      <c r="E542" s="662">
        <f>D542*C542</f>
        <v>69.333333333333329</v>
      </c>
      <c r="F542" s="658"/>
      <c r="G542" s="653"/>
      <c r="H542" s="653"/>
    </row>
    <row r="543" spans="1:8" ht="15.75" x14ac:dyDescent="0.25">
      <c r="A543" s="666" t="s">
        <v>1424</v>
      </c>
      <c r="B543" s="660"/>
      <c r="C543" s="660">
        <v>0.42</v>
      </c>
      <c r="D543" s="661">
        <f>'HILOS-CORDONES-TANZA-CUERO'!L9</f>
        <v>30</v>
      </c>
      <c r="E543" s="662">
        <f>D543*C543</f>
        <v>12.6</v>
      </c>
      <c r="F543" s="658"/>
      <c r="G543" s="653"/>
      <c r="H543" s="653"/>
    </row>
    <row r="544" spans="1:8" ht="15.75" x14ac:dyDescent="0.25">
      <c r="A544" s="666" t="s">
        <v>1012</v>
      </c>
      <c r="B544" s="660"/>
      <c r="C544" s="660">
        <v>2</v>
      </c>
      <c r="D544" s="661">
        <f>FORNITURAS!D16</f>
        <v>45.05</v>
      </c>
      <c r="E544" s="662">
        <f>D544*C544</f>
        <v>90.1</v>
      </c>
      <c r="F544" s="658"/>
      <c r="G544" s="653"/>
      <c r="H544" s="653"/>
    </row>
    <row r="545" spans="1:8" ht="15.75" x14ac:dyDescent="0.25">
      <c r="A545" s="666" t="s">
        <v>1587</v>
      </c>
      <c r="B545" s="660"/>
      <c r="C545" s="660">
        <v>1</v>
      </c>
      <c r="D545" s="661">
        <f>FORNITURAS!D19</f>
        <v>855</v>
      </c>
      <c r="E545" s="662">
        <f>C545*D545</f>
        <v>855</v>
      </c>
      <c r="F545" s="658"/>
      <c r="G545" s="653"/>
      <c r="H545" s="653"/>
    </row>
    <row r="546" spans="1:8" ht="15.75" x14ac:dyDescent="0.25">
      <c r="A546" s="666" t="s">
        <v>1557</v>
      </c>
      <c r="B546" s="660"/>
      <c r="C546" s="660"/>
      <c r="D546" s="661"/>
      <c r="E546" s="667">
        <f>PACKAGING!E4</f>
        <v>80</v>
      </c>
      <c r="F546" s="653"/>
      <c r="G546" s="658"/>
      <c r="H546" s="653"/>
    </row>
    <row r="547" spans="1:8" ht="15.75" x14ac:dyDescent="0.25">
      <c r="A547" s="666" t="s">
        <v>3362</v>
      </c>
      <c r="B547" s="660"/>
      <c r="C547" s="660"/>
      <c r="D547" s="661"/>
      <c r="E547" s="667">
        <f>PACKAGING!E17</f>
        <v>7.5</v>
      </c>
      <c r="F547" s="653"/>
      <c r="G547" s="658"/>
      <c r="H547" s="653"/>
    </row>
    <row r="548" spans="1:8" ht="15.75" x14ac:dyDescent="0.25">
      <c r="A548" s="666" t="s">
        <v>1634</v>
      </c>
      <c r="B548" s="660"/>
      <c r="C548" s="660"/>
      <c r="D548" s="661"/>
      <c r="E548" s="667">
        <f>PACKAGING!E7</f>
        <v>170</v>
      </c>
      <c r="F548" s="653"/>
      <c r="G548" s="658"/>
      <c r="H548" s="653"/>
    </row>
    <row r="549" spans="1:8" ht="15.75" x14ac:dyDescent="0.25">
      <c r="A549" s="1339" t="s">
        <v>3568</v>
      </c>
      <c r="B549" s="660"/>
      <c r="C549" s="660"/>
      <c r="D549" s="668"/>
      <c r="E549" s="667">
        <f>PACKAGING!I5</f>
        <v>845</v>
      </c>
      <c r="F549" s="653"/>
      <c r="G549" s="658"/>
    </row>
    <row r="550" spans="1:8" ht="15.75" x14ac:dyDescent="0.25">
      <c r="A550" s="683" t="s">
        <v>1618</v>
      </c>
      <c r="B550" s="660">
        <v>60</v>
      </c>
      <c r="C550" s="660">
        <v>20</v>
      </c>
      <c r="D550" s="668">
        <f>'INSUMOS VARIOS'!B3</f>
        <v>3500</v>
      </c>
      <c r="E550" s="669">
        <f>D550*C550/B550</f>
        <v>1166.6666666666667</v>
      </c>
      <c r="F550" s="1"/>
      <c r="G550" s="658"/>
    </row>
    <row r="551" spans="1:8" ht="16.5" thickBot="1" x14ac:dyDescent="0.3">
      <c r="A551" s="670" t="s">
        <v>525</v>
      </c>
      <c r="B551" s="671"/>
      <c r="C551" s="671"/>
      <c r="D551" s="672"/>
      <c r="E551" s="673">
        <f>SUM(E537:E550)</f>
        <v>9633.0390243902439</v>
      </c>
      <c r="F551" s="698"/>
      <c r="G551" s="653"/>
      <c r="H551" s="1276"/>
    </row>
    <row r="552" spans="1:8" ht="16.5" thickBot="1" x14ac:dyDescent="0.3">
      <c r="A552" s="675" t="s">
        <v>544</v>
      </c>
      <c r="B552" s="676"/>
      <c r="C552" s="676"/>
      <c r="D552" s="677"/>
      <c r="E552" s="692">
        <f>E551*2</f>
        <v>19266.078048780488</v>
      </c>
      <c r="F552" s="957">
        <f>E552+E552*70%</f>
        <v>32752.332682926826</v>
      </c>
      <c r="G552" s="681">
        <v>46000</v>
      </c>
    </row>
    <row r="553" spans="1:8" ht="16.5" thickBot="1" x14ac:dyDescent="0.3">
      <c r="A553" s="684" t="s">
        <v>1559</v>
      </c>
      <c r="B553" s="685"/>
      <c r="C553" s="685"/>
      <c r="D553" s="686"/>
      <c r="E553" s="686"/>
      <c r="F553" s="816"/>
      <c r="G553" s="1275"/>
      <c r="H553" s="1273" t="s">
        <v>3687</v>
      </c>
    </row>
    <row r="554" spans="1:8" ht="15.75" thickBot="1" x14ac:dyDescent="0.3"/>
    <row r="555" spans="1:8" ht="16.5" thickBot="1" x14ac:dyDescent="0.3">
      <c r="A555" s="1778" t="s">
        <v>4412</v>
      </c>
      <c r="B555" s="1779"/>
      <c r="C555" s="1779"/>
      <c r="D555" s="1779"/>
      <c r="E555" s="1780"/>
      <c r="F555" s="1294"/>
      <c r="G555" s="653"/>
    </row>
    <row r="556" spans="1:8" ht="15.75" x14ac:dyDescent="0.25">
      <c r="A556" s="654" t="s">
        <v>916</v>
      </c>
      <c r="B556" s="655" t="s">
        <v>743</v>
      </c>
      <c r="C556" s="655" t="s">
        <v>1566</v>
      </c>
      <c r="D556" s="656" t="s">
        <v>1035</v>
      </c>
      <c r="E556" s="657" t="s">
        <v>1549</v>
      </c>
      <c r="F556" s="658"/>
      <c r="G556" s="653"/>
    </row>
    <row r="557" spans="1:8" ht="15.75" x14ac:dyDescent="0.25">
      <c r="A557" s="659" t="s">
        <v>4413</v>
      </c>
      <c r="B557" s="660">
        <v>0.41</v>
      </c>
      <c r="C557" s="660">
        <v>0.37</v>
      </c>
      <c r="D557" s="661">
        <f>PIEDRAS!E135</f>
        <v>6000</v>
      </c>
      <c r="E557" s="662">
        <f>D557*C557/B557</f>
        <v>5414.6341463414637</v>
      </c>
      <c r="F557" s="658"/>
      <c r="G557" s="653"/>
      <c r="H557" s="653"/>
    </row>
    <row r="558" spans="1:8" ht="15.75" x14ac:dyDescent="0.25">
      <c r="A558" s="1736" t="s">
        <v>1572</v>
      </c>
      <c r="B558" s="660" t="s">
        <v>1556</v>
      </c>
      <c r="C558" s="660">
        <v>2</v>
      </c>
      <c r="D558" s="661">
        <f>FORNITURAS!D4</f>
        <v>48.7</v>
      </c>
      <c r="E558" s="662">
        <f t="shared" ref="E558:E559" si="15">D558*C558</f>
        <v>97.4</v>
      </c>
      <c r="F558" s="658"/>
      <c r="G558" s="653"/>
      <c r="H558" s="653"/>
    </row>
    <row r="559" spans="1:8" ht="15.75" x14ac:dyDescent="0.25">
      <c r="A559" s="1737"/>
      <c r="B559" s="660" t="s">
        <v>1573</v>
      </c>
      <c r="C559" s="660">
        <v>1</v>
      </c>
      <c r="D559" s="661">
        <f>FORNITURAS!D7</f>
        <v>52</v>
      </c>
      <c r="E559" s="662">
        <f t="shared" si="15"/>
        <v>52</v>
      </c>
      <c r="F559" s="658"/>
      <c r="G559" s="653"/>
      <c r="H559" s="653"/>
    </row>
    <row r="560" spans="1:8" ht="15.75" x14ac:dyDescent="0.25">
      <c r="A560" s="666" t="s">
        <v>4414</v>
      </c>
      <c r="B560" s="660"/>
      <c r="C560" s="660">
        <v>1</v>
      </c>
      <c r="D560" s="661">
        <f>PIEDRAS!K84</f>
        <v>3750</v>
      </c>
      <c r="E560" s="662">
        <f>D560</f>
        <v>3750</v>
      </c>
      <c r="F560" s="658"/>
      <c r="G560" s="653"/>
      <c r="H560" s="653"/>
    </row>
    <row r="561" spans="1:10" ht="15.75" x14ac:dyDescent="0.25">
      <c r="A561" s="666" t="s">
        <v>1608</v>
      </c>
      <c r="B561" s="660"/>
      <c r="C561" s="660">
        <v>0.1</v>
      </c>
      <c r="D561" s="661">
        <f>'AROS, CADENAS, DIJES, ETC'!I38</f>
        <v>3630</v>
      </c>
      <c r="E561" s="662">
        <f>C561*D561</f>
        <v>363</v>
      </c>
      <c r="F561" s="658"/>
      <c r="G561" s="653"/>
      <c r="H561" s="653"/>
    </row>
    <row r="562" spans="1:10" ht="15.75" x14ac:dyDescent="0.25">
      <c r="A562" s="666" t="s">
        <v>1554</v>
      </c>
      <c r="B562" s="660" t="s">
        <v>777</v>
      </c>
      <c r="C562" s="660">
        <v>2</v>
      </c>
      <c r="D562" s="661">
        <f>FORNITURAS!D24</f>
        <v>34.666666666666664</v>
      </c>
      <c r="E562" s="662">
        <f>D562*C562</f>
        <v>69.333333333333329</v>
      </c>
      <c r="F562" s="658"/>
      <c r="G562" s="653"/>
      <c r="H562" s="653"/>
    </row>
    <row r="563" spans="1:10" ht="15.75" x14ac:dyDescent="0.25">
      <c r="A563" s="666" t="s">
        <v>1424</v>
      </c>
      <c r="B563" s="660"/>
      <c r="C563" s="660">
        <v>0.42</v>
      </c>
      <c r="D563" s="661">
        <f>'HILOS-CORDONES-TANZA-CUERO'!L9</f>
        <v>30</v>
      </c>
      <c r="E563" s="662">
        <f>D563*C563</f>
        <v>12.6</v>
      </c>
      <c r="F563" s="658"/>
      <c r="G563" s="653"/>
      <c r="H563" s="653"/>
    </row>
    <row r="564" spans="1:10" ht="15.75" x14ac:dyDescent="0.25">
      <c r="A564" s="666" t="s">
        <v>1012</v>
      </c>
      <c r="B564" s="660"/>
      <c r="C564" s="660">
        <v>4</v>
      </c>
      <c r="D564" s="661">
        <f>FORNITURAS!D16</f>
        <v>45.05</v>
      </c>
      <c r="E564" s="662">
        <f>D564*C564</f>
        <v>180.2</v>
      </c>
      <c r="F564" s="658"/>
      <c r="G564" s="653"/>
      <c r="H564" s="653"/>
    </row>
    <row r="565" spans="1:10" ht="15.75" x14ac:dyDescent="0.25">
      <c r="A565" s="666" t="s">
        <v>1587</v>
      </c>
      <c r="B565" s="660"/>
      <c r="C565" s="660">
        <v>1</v>
      </c>
      <c r="D565" s="661">
        <f>FORNITURAS!D19</f>
        <v>855</v>
      </c>
      <c r="E565" s="662">
        <f>C565*D565</f>
        <v>855</v>
      </c>
      <c r="F565" s="658"/>
      <c r="G565" s="653"/>
      <c r="H565" s="653"/>
    </row>
    <row r="566" spans="1:10" ht="15.75" x14ac:dyDescent="0.25">
      <c r="A566" s="666" t="s">
        <v>1557</v>
      </c>
      <c r="B566" s="660"/>
      <c r="C566" s="660"/>
      <c r="D566" s="661"/>
      <c r="E566" s="667">
        <f>PACKAGING!E4</f>
        <v>80</v>
      </c>
      <c r="F566" s="653"/>
      <c r="G566" s="658"/>
      <c r="H566" s="653"/>
    </row>
    <row r="567" spans="1:10" ht="15.75" x14ac:dyDescent="0.25">
      <c r="A567" s="666" t="s">
        <v>3362</v>
      </c>
      <c r="B567" s="660"/>
      <c r="C567" s="660"/>
      <c r="D567" s="661"/>
      <c r="E567" s="667">
        <f>PACKAGING!E17</f>
        <v>7.5</v>
      </c>
      <c r="F567" s="653"/>
      <c r="G567" s="658"/>
      <c r="H567" s="653"/>
    </row>
    <row r="568" spans="1:10" ht="15.75" x14ac:dyDescent="0.25">
      <c r="A568" s="666" t="s">
        <v>1634</v>
      </c>
      <c r="B568" s="660"/>
      <c r="C568" s="660"/>
      <c r="D568" s="661"/>
      <c r="E568" s="667">
        <f>PACKAGING!E7</f>
        <v>170</v>
      </c>
      <c r="F568" s="653"/>
      <c r="G568" s="658"/>
      <c r="H568" s="653"/>
    </row>
    <row r="569" spans="1:10" ht="15.75" x14ac:dyDescent="0.25">
      <c r="A569" s="683" t="s">
        <v>1618</v>
      </c>
      <c r="B569" s="660">
        <v>60</v>
      </c>
      <c r="C569" s="660">
        <v>20</v>
      </c>
      <c r="D569" s="668">
        <f>'INSUMOS VARIOS'!B3</f>
        <v>3500</v>
      </c>
      <c r="E569" s="669">
        <f>D569*C569/B569</f>
        <v>1166.6666666666667</v>
      </c>
      <c r="F569" s="1" t="s">
        <v>3023</v>
      </c>
      <c r="G569" s="658"/>
      <c r="H569" s="653"/>
    </row>
    <row r="570" spans="1:10" ht="16.5" thickBot="1" x14ac:dyDescent="0.3">
      <c r="A570" s="670" t="s">
        <v>525</v>
      </c>
      <c r="B570" s="671"/>
      <c r="C570" s="671"/>
      <c r="D570" s="672"/>
      <c r="E570" s="673">
        <f>SUM(E557:E569)</f>
        <v>12218.334146341464</v>
      </c>
      <c r="F570" s="698">
        <f>E570+G571+G572</f>
        <v>15496.334146341464</v>
      </c>
      <c r="G570" s="653" t="s">
        <v>2028</v>
      </c>
      <c r="H570" s="1276" t="s">
        <v>2029</v>
      </c>
    </row>
    <row r="571" spans="1:10" ht="16.5" thickBot="1" x14ac:dyDescent="0.3">
      <c r="A571" s="675" t="s">
        <v>544</v>
      </c>
      <c r="B571" s="676"/>
      <c r="C571" s="676"/>
      <c r="D571" s="677"/>
      <c r="E571" s="692">
        <f>E570*2</f>
        <v>24436.668292682927</v>
      </c>
      <c r="F571" s="957">
        <f>E571+E571*70%</f>
        <v>41542.336097560976</v>
      </c>
      <c r="G571" s="680">
        <f>PACKAGING!I3</f>
        <v>2433</v>
      </c>
      <c r="H571" s="681">
        <f>F571+G571+G572</f>
        <v>44820.336097560976</v>
      </c>
      <c r="I571" s="681">
        <v>52000</v>
      </c>
    </row>
    <row r="572" spans="1:10" ht="16.5" customHeight="1" thickBot="1" x14ac:dyDescent="0.3">
      <c r="A572" s="684" t="s">
        <v>1559</v>
      </c>
      <c r="B572" s="685"/>
      <c r="C572" s="685"/>
      <c r="D572" s="686"/>
      <c r="E572" s="686"/>
      <c r="F572" s="816"/>
      <c r="G572" s="701">
        <f>PACKAGING!I5</f>
        <v>845</v>
      </c>
      <c r="H572" s="1276"/>
      <c r="I572" s="1275">
        <f>I571*60%</f>
        <v>31200</v>
      </c>
      <c r="J572" s="1273" t="s">
        <v>3688</v>
      </c>
    </row>
    <row r="573" spans="1:10" ht="15.75" thickBot="1" x14ac:dyDescent="0.3"/>
    <row r="574" spans="1:10" ht="16.5" thickBot="1" x14ac:dyDescent="0.3">
      <c r="A574" s="1778" t="s">
        <v>4418</v>
      </c>
      <c r="B574" s="1779"/>
      <c r="C574" s="1779"/>
      <c r="D574" s="1779"/>
      <c r="E574" s="1780"/>
      <c r="F574" s="1294"/>
      <c r="G574" s="653"/>
      <c r="H574" s="653"/>
    </row>
    <row r="575" spans="1:10" ht="15.75" x14ac:dyDescent="0.25">
      <c r="A575" s="654" t="s">
        <v>916</v>
      </c>
      <c r="B575" s="655" t="s">
        <v>743</v>
      </c>
      <c r="C575" s="655" t="s">
        <v>1566</v>
      </c>
      <c r="D575" s="656" t="s">
        <v>1035</v>
      </c>
      <c r="E575" s="657" t="s">
        <v>1549</v>
      </c>
      <c r="F575" s="658"/>
      <c r="G575" s="653"/>
      <c r="H575" s="653"/>
    </row>
    <row r="576" spans="1:10" ht="15.75" x14ac:dyDescent="0.25">
      <c r="A576" s="659" t="s">
        <v>4419</v>
      </c>
      <c r="B576" s="660"/>
      <c r="C576" s="660">
        <v>57</v>
      </c>
      <c r="D576" s="661">
        <f>PIEDRAS!F32</f>
        <v>49.55294117647059</v>
      </c>
      <c r="E576" s="662">
        <f>D576*C576</f>
        <v>2824.5176470588235</v>
      </c>
      <c r="F576" s="658"/>
      <c r="G576" s="653"/>
      <c r="H576" s="653"/>
    </row>
    <row r="577" spans="1:10" ht="15.75" x14ac:dyDescent="0.25">
      <c r="A577" s="659" t="s">
        <v>4413</v>
      </c>
      <c r="B577" s="660"/>
      <c r="C577" s="660">
        <v>59</v>
      </c>
      <c r="D577" s="661">
        <f>PIEDRAS!F135</f>
        <v>37.974683544303801</v>
      </c>
      <c r="E577" s="662">
        <f>D577*C577</f>
        <v>2240.506329113924</v>
      </c>
      <c r="F577" s="658"/>
      <c r="G577" s="653"/>
      <c r="H577" s="653"/>
    </row>
    <row r="578" spans="1:10" ht="15.75" x14ac:dyDescent="0.25">
      <c r="A578" s="1736" t="s">
        <v>1572</v>
      </c>
      <c r="B578" s="660" t="s">
        <v>1556</v>
      </c>
      <c r="C578" s="660">
        <v>2</v>
      </c>
      <c r="D578" s="661">
        <f>FORNITURAS!D4</f>
        <v>48.7</v>
      </c>
      <c r="E578" s="662">
        <f t="shared" ref="E578:E579" si="16">D578*C578</f>
        <v>97.4</v>
      </c>
      <c r="F578" s="658"/>
      <c r="G578" s="653"/>
      <c r="H578" s="653"/>
    </row>
    <row r="579" spans="1:10" ht="15.75" x14ac:dyDescent="0.25">
      <c r="A579" s="1737"/>
      <c r="B579" s="660" t="s">
        <v>1573</v>
      </c>
      <c r="C579" s="660">
        <v>1</v>
      </c>
      <c r="D579" s="661">
        <f>FORNITURAS!D7</f>
        <v>52</v>
      </c>
      <c r="E579" s="662">
        <f t="shared" si="16"/>
        <v>52</v>
      </c>
      <c r="F579" s="658"/>
      <c r="G579" s="653"/>
      <c r="H579" s="653"/>
    </row>
    <row r="580" spans="1:10" ht="15.75" x14ac:dyDescent="0.25">
      <c r="A580" s="666" t="s">
        <v>4414</v>
      </c>
      <c r="B580" s="660"/>
      <c r="C580" s="660">
        <v>1</v>
      </c>
      <c r="D580" s="661">
        <f>PIEDRAS!K84</f>
        <v>3750</v>
      </c>
      <c r="E580" s="662">
        <f>D580</f>
        <v>3750</v>
      </c>
      <c r="F580" s="658"/>
      <c r="G580" s="653"/>
      <c r="H580" s="653"/>
    </row>
    <row r="581" spans="1:10" ht="15.75" x14ac:dyDescent="0.25">
      <c r="A581" s="666" t="s">
        <v>1608</v>
      </c>
      <c r="B581" s="660"/>
      <c r="C581" s="660">
        <v>0.1</v>
      </c>
      <c r="D581" s="661">
        <f>'AROS, CADENAS, DIJES, ETC'!I38</f>
        <v>3630</v>
      </c>
      <c r="E581" s="662">
        <f>C581*D581</f>
        <v>363</v>
      </c>
      <c r="F581" s="658"/>
      <c r="G581" s="653"/>
      <c r="H581" s="653"/>
    </row>
    <row r="582" spans="1:10" ht="15.75" x14ac:dyDescent="0.25">
      <c r="A582" s="666" t="s">
        <v>1554</v>
      </c>
      <c r="B582" s="660" t="s">
        <v>777</v>
      </c>
      <c r="C582" s="660">
        <v>2</v>
      </c>
      <c r="D582" s="661">
        <f>FORNITURAS!D24</f>
        <v>34.666666666666664</v>
      </c>
      <c r="E582" s="662">
        <f>D582*C582</f>
        <v>69.333333333333329</v>
      </c>
      <c r="F582" s="658"/>
      <c r="G582" s="653"/>
      <c r="H582" s="653"/>
    </row>
    <row r="583" spans="1:10" ht="15.75" x14ac:dyDescent="0.25">
      <c r="A583" s="666" t="s">
        <v>1424</v>
      </c>
      <c r="B583" s="660"/>
      <c r="C583" s="660">
        <v>0.42</v>
      </c>
      <c r="D583" s="661">
        <f>'HILOS-CORDONES-TANZA-CUERO'!L9</f>
        <v>30</v>
      </c>
      <c r="E583" s="662">
        <f>D583*C583</f>
        <v>12.6</v>
      </c>
      <c r="F583" s="658"/>
      <c r="G583" s="653"/>
      <c r="H583" s="653"/>
    </row>
    <row r="584" spans="1:10" ht="15.75" x14ac:dyDescent="0.25">
      <c r="A584" s="666" t="s">
        <v>1012</v>
      </c>
      <c r="B584" s="660"/>
      <c r="C584" s="660">
        <v>4</v>
      </c>
      <c r="D584" s="661">
        <f>FORNITURAS!D16</f>
        <v>45.05</v>
      </c>
      <c r="E584" s="662">
        <f>D584*C584</f>
        <v>180.2</v>
      </c>
      <c r="F584" s="658"/>
      <c r="G584" s="653"/>
      <c r="H584" s="653"/>
    </row>
    <row r="585" spans="1:10" ht="15.75" x14ac:dyDescent="0.25">
      <c r="A585" s="666" t="s">
        <v>1587</v>
      </c>
      <c r="B585" s="660"/>
      <c r="C585" s="660">
        <v>1</v>
      </c>
      <c r="D585" s="661">
        <f>FORNITURAS!D19</f>
        <v>855</v>
      </c>
      <c r="E585" s="662">
        <f>C585*D585</f>
        <v>855</v>
      </c>
      <c r="F585" s="658"/>
      <c r="G585" s="653"/>
      <c r="H585" s="653"/>
    </row>
    <row r="586" spans="1:10" ht="15.75" x14ac:dyDescent="0.25">
      <c r="A586" s="666" t="s">
        <v>1557</v>
      </c>
      <c r="B586" s="660"/>
      <c r="C586" s="660"/>
      <c r="D586" s="661"/>
      <c r="E586" s="667">
        <f>PACKAGING!E4</f>
        <v>80</v>
      </c>
      <c r="F586" s="653"/>
      <c r="G586" s="658"/>
      <c r="H586" s="653"/>
    </row>
    <row r="587" spans="1:10" ht="15.75" x14ac:dyDescent="0.25">
      <c r="A587" s="666" t="s">
        <v>3362</v>
      </c>
      <c r="B587" s="660"/>
      <c r="C587" s="660"/>
      <c r="D587" s="661"/>
      <c r="E587" s="667">
        <f>PACKAGING!E17</f>
        <v>7.5</v>
      </c>
      <c r="F587" s="653"/>
      <c r="G587" s="658"/>
      <c r="H587" s="653"/>
    </row>
    <row r="588" spans="1:10" ht="15.75" x14ac:dyDescent="0.25">
      <c r="A588" s="666" t="s">
        <v>1634</v>
      </c>
      <c r="B588" s="660"/>
      <c r="C588" s="660"/>
      <c r="D588" s="661"/>
      <c r="E588" s="667">
        <f>PACKAGING!E7</f>
        <v>170</v>
      </c>
      <c r="F588" s="653"/>
      <c r="G588" s="658"/>
      <c r="H588" s="653"/>
    </row>
    <row r="589" spans="1:10" ht="15.75" x14ac:dyDescent="0.25">
      <c r="A589" s="683" t="s">
        <v>1618</v>
      </c>
      <c r="B589" s="660">
        <v>60</v>
      </c>
      <c r="C589" s="660">
        <v>30</v>
      </c>
      <c r="D589" s="668">
        <f>'INSUMOS VARIOS'!B3</f>
        <v>3500</v>
      </c>
      <c r="E589" s="669">
        <f>D589*C589/B589</f>
        <v>1750</v>
      </c>
      <c r="F589" s="1" t="s">
        <v>3023</v>
      </c>
      <c r="G589" s="658"/>
      <c r="H589" s="653"/>
    </row>
    <row r="590" spans="1:10" ht="16.5" thickBot="1" x14ac:dyDescent="0.3">
      <c r="A590" s="670" t="s">
        <v>525</v>
      </c>
      <c r="B590" s="671"/>
      <c r="C590" s="671"/>
      <c r="D590" s="672"/>
      <c r="E590" s="673">
        <f>SUM(E576:E589)</f>
        <v>12452.057309506083</v>
      </c>
      <c r="F590" s="698">
        <f>E590+G591+G592</f>
        <v>15730.057309506083</v>
      </c>
      <c r="G590" s="653" t="s">
        <v>2028</v>
      </c>
      <c r="H590" s="1276" t="s">
        <v>2029</v>
      </c>
    </row>
    <row r="591" spans="1:10" ht="16.5" thickBot="1" x14ac:dyDescent="0.3">
      <c r="A591" s="675" t="s">
        <v>544</v>
      </c>
      <c r="B591" s="676"/>
      <c r="C591" s="676"/>
      <c r="D591" s="677"/>
      <c r="E591" s="692">
        <f>E590*2</f>
        <v>24904.114619012165</v>
      </c>
      <c r="F591" s="957">
        <f>E591+E591*70%</f>
        <v>42336.994852320684</v>
      </c>
      <c r="G591" s="680">
        <f>PACKAGING!I3</f>
        <v>2433</v>
      </c>
      <c r="H591" s="681">
        <f>F591+G591+G592</f>
        <v>45614.994852320684</v>
      </c>
      <c r="I591" s="681">
        <v>52000</v>
      </c>
    </row>
    <row r="592" spans="1:10" ht="16.5" thickBot="1" x14ac:dyDescent="0.3">
      <c r="A592" s="684" t="s">
        <v>1559</v>
      </c>
      <c r="B592" s="685"/>
      <c r="C592" s="685"/>
      <c r="D592" s="686"/>
      <c r="E592" s="686"/>
      <c r="F592" s="816"/>
      <c r="G592" s="701">
        <f>PACKAGING!I5</f>
        <v>845</v>
      </c>
      <c r="H592" s="1276"/>
      <c r="I592" s="1275">
        <f>I591*60%</f>
        <v>31200</v>
      </c>
      <c r="J592" s="1273" t="s">
        <v>3688</v>
      </c>
    </row>
    <row r="593" spans="1:8" ht="15.75" thickBot="1" x14ac:dyDescent="0.3"/>
    <row r="594" spans="1:8" ht="16.5" thickBot="1" x14ac:dyDescent="0.3">
      <c r="A594" s="1778" t="s">
        <v>4421</v>
      </c>
      <c r="B594" s="1779"/>
      <c r="C594" s="1779"/>
      <c r="D594" s="1779"/>
      <c r="E594" s="1780"/>
      <c r="F594" s="1294"/>
      <c r="G594" s="653"/>
      <c r="H594" s="653"/>
    </row>
    <row r="595" spans="1:8" ht="15.75" x14ac:dyDescent="0.25">
      <c r="A595" s="654" t="s">
        <v>916</v>
      </c>
      <c r="B595" s="655" t="s">
        <v>743</v>
      </c>
      <c r="C595" s="655" t="s">
        <v>1566</v>
      </c>
      <c r="D595" s="656" t="s">
        <v>1035</v>
      </c>
      <c r="E595" s="657" t="s">
        <v>1549</v>
      </c>
      <c r="F595" s="658"/>
      <c r="G595" s="653"/>
      <c r="H595" s="653"/>
    </row>
    <row r="596" spans="1:8" ht="15.75" x14ac:dyDescent="0.25">
      <c r="A596" s="659" t="s">
        <v>4423</v>
      </c>
      <c r="B596" s="660"/>
      <c r="C596" s="660">
        <v>57</v>
      </c>
      <c r="D596" s="661">
        <f>PIEDRAS!F93</f>
        <v>42.613636363636367</v>
      </c>
      <c r="E596" s="662">
        <f>D596*C596</f>
        <v>2428.977272727273</v>
      </c>
      <c r="F596" s="658"/>
      <c r="G596" s="653"/>
      <c r="H596" s="653"/>
    </row>
    <row r="597" spans="1:8" ht="15.75" x14ac:dyDescent="0.25">
      <c r="A597" s="659" t="s">
        <v>4422</v>
      </c>
      <c r="B597" s="660"/>
      <c r="C597" s="660">
        <v>56</v>
      </c>
      <c r="D597" s="661">
        <f>PIEDRAS!F94</f>
        <v>13.513513513513514</v>
      </c>
      <c r="E597" s="662">
        <f>D597*C597</f>
        <v>756.75675675675677</v>
      </c>
      <c r="F597" s="658"/>
      <c r="G597" s="653"/>
      <c r="H597" s="653"/>
    </row>
    <row r="598" spans="1:8" ht="15.75" x14ac:dyDescent="0.25">
      <c r="A598" s="1736" t="s">
        <v>1572</v>
      </c>
      <c r="B598" s="660" t="s">
        <v>1556</v>
      </c>
      <c r="C598" s="660">
        <v>2</v>
      </c>
      <c r="D598" s="661">
        <f>FORNITURAS!D4</f>
        <v>48.7</v>
      </c>
      <c r="E598" s="662">
        <f t="shared" ref="E598:E599" si="17">D598*C598</f>
        <v>97.4</v>
      </c>
      <c r="F598" s="658"/>
      <c r="G598" s="653"/>
      <c r="H598" s="653"/>
    </row>
    <row r="599" spans="1:8" ht="15.75" x14ac:dyDescent="0.25">
      <c r="A599" s="1737"/>
      <c r="B599" s="660" t="s">
        <v>1573</v>
      </c>
      <c r="C599" s="660">
        <v>1</v>
      </c>
      <c r="D599" s="661">
        <f>FORNITURAS!D7</f>
        <v>52</v>
      </c>
      <c r="E599" s="662">
        <f t="shared" si="17"/>
        <v>52</v>
      </c>
      <c r="F599" s="658"/>
      <c r="G599" s="653"/>
      <c r="H599" s="653"/>
    </row>
    <row r="600" spans="1:8" ht="15.75" x14ac:dyDescent="0.25">
      <c r="A600" s="666" t="s">
        <v>1608</v>
      </c>
      <c r="B600" s="660"/>
      <c r="C600" s="660">
        <v>0.1</v>
      </c>
      <c r="D600" s="661">
        <f>'AROS, CADENAS, DIJES, ETC'!I38</f>
        <v>3630</v>
      </c>
      <c r="E600" s="662">
        <f>C600*D600</f>
        <v>363</v>
      </c>
      <c r="F600" s="658"/>
      <c r="G600" s="653"/>
      <c r="H600" s="653"/>
    </row>
    <row r="601" spans="1:8" ht="15.75" x14ac:dyDescent="0.25">
      <c r="A601" s="666" t="s">
        <v>1554</v>
      </c>
      <c r="B601" s="660" t="s">
        <v>777</v>
      </c>
      <c r="C601" s="660">
        <v>2</v>
      </c>
      <c r="D601" s="661">
        <f>FORNITURAS!D24</f>
        <v>34.666666666666664</v>
      </c>
      <c r="E601" s="662">
        <f>D601*C601</f>
        <v>69.333333333333329</v>
      </c>
      <c r="F601" s="658"/>
      <c r="G601" s="653"/>
      <c r="H601" s="653"/>
    </row>
    <row r="602" spans="1:8" ht="15.75" x14ac:dyDescent="0.25">
      <c r="A602" s="666" t="s">
        <v>1424</v>
      </c>
      <c r="B602" s="660"/>
      <c r="C602" s="660">
        <v>0.42</v>
      </c>
      <c r="D602" s="661">
        <f>'HILOS-CORDONES-TANZA-CUERO'!L9</f>
        <v>30</v>
      </c>
      <c r="E602" s="662">
        <f>D602*C602</f>
        <v>12.6</v>
      </c>
      <c r="F602" s="658"/>
      <c r="G602" s="653"/>
      <c r="H602" s="653"/>
    </row>
    <row r="603" spans="1:8" ht="15.75" x14ac:dyDescent="0.25">
      <c r="A603" s="666" t="s">
        <v>1012</v>
      </c>
      <c r="B603" s="660"/>
      <c r="C603" s="660">
        <v>2</v>
      </c>
      <c r="D603" s="661">
        <f>FORNITURAS!D16</f>
        <v>45.05</v>
      </c>
      <c r="E603" s="662">
        <f>D603*C603</f>
        <v>90.1</v>
      </c>
      <c r="F603" s="658"/>
      <c r="G603" s="653"/>
    </row>
    <row r="604" spans="1:8" ht="15.75" x14ac:dyDescent="0.25">
      <c r="A604" s="666" t="s">
        <v>1587</v>
      </c>
      <c r="B604" s="660"/>
      <c r="C604" s="660">
        <v>1</v>
      </c>
      <c r="D604" s="661">
        <f>FORNITURAS!D19</f>
        <v>855</v>
      </c>
      <c r="E604" s="662">
        <f>C604*D604</f>
        <v>855</v>
      </c>
      <c r="F604" s="658"/>
      <c r="G604" s="653"/>
    </row>
    <row r="605" spans="1:8" ht="15.75" x14ac:dyDescent="0.25">
      <c r="A605" s="666" t="s">
        <v>1557</v>
      </c>
      <c r="B605" s="660"/>
      <c r="C605" s="660"/>
      <c r="D605" s="661"/>
      <c r="E605" s="667">
        <f>PACKAGING!E4</f>
        <v>80</v>
      </c>
      <c r="F605" s="653"/>
      <c r="G605" s="658"/>
    </row>
    <row r="606" spans="1:8" ht="15.75" x14ac:dyDescent="0.25">
      <c r="A606" s="666" t="s">
        <v>3362</v>
      </c>
      <c r="B606" s="660"/>
      <c r="C606" s="660"/>
      <c r="D606" s="661"/>
      <c r="E606" s="667">
        <f>PACKAGING!E17</f>
        <v>7.5</v>
      </c>
      <c r="F606" s="653"/>
      <c r="G606" s="658"/>
    </row>
    <row r="607" spans="1:8" ht="15.75" x14ac:dyDescent="0.25">
      <c r="A607" s="666" t="s">
        <v>1634</v>
      </c>
      <c r="B607" s="660"/>
      <c r="C607" s="660"/>
      <c r="D607" s="661"/>
      <c r="E607" s="667">
        <f>PACKAGING!E7</f>
        <v>170</v>
      </c>
      <c r="F607" s="653"/>
      <c r="G607" s="658"/>
    </row>
    <row r="608" spans="1:8" ht="15.75" x14ac:dyDescent="0.25">
      <c r="A608" s="1339" t="s">
        <v>1979</v>
      </c>
      <c r="B608" s="660"/>
      <c r="C608" s="660"/>
      <c r="D608" s="668"/>
      <c r="E608" s="667">
        <f>PACKAGING!E9</f>
        <v>450</v>
      </c>
      <c r="F608" s="653"/>
      <c r="G608" s="658"/>
    </row>
    <row r="609" spans="1:8" ht="15.75" x14ac:dyDescent="0.25">
      <c r="A609" s="683" t="s">
        <v>1618</v>
      </c>
      <c r="B609" s="660">
        <v>60</v>
      </c>
      <c r="C609" s="660">
        <v>30</v>
      </c>
      <c r="D609" s="668">
        <f>'INSUMOS VARIOS'!B3</f>
        <v>3500</v>
      </c>
      <c r="E609" s="669">
        <f>D609*C609/B609</f>
        <v>1750</v>
      </c>
      <c r="F609" s="1"/>
      <c r="G609" s="658"/>
    </row>
    <row r="610" spans="1:8" ht="16.5" thickBot="1" x14ac:dyDescent="0.3">
      <c r="A610" s="670" t="s">
        <v>525</v>
      </c>
      <c r="B610" s="671"/>
      <c r="C610" s="671"/>
      <c r="D610" s="672"/>
      <c r="E610" s="673">
        <f>SUM(E596:E609)</f>
        <v>7182.667362817363</v>
      </c>
      <c r="F610" s="698"/>
      <c r="G610" s="653"/>
    </row>
    <row r="611" spans="1:8" ht="16.5" thickBot="1" x14ac:dyDescent="0.3">
      <c r="A611" s="675" t="s">
        <v>544</v>
      </c>
      <c r="B611" s="676"/>
      <c r="C611" s="676"/>
      <c r="D611" s="677"/>
      <c r="E611" s="692">
        <f>E610*2</f>
        <v>14365.334725634726</v>
      </c>
      <c r="F611" s="957">
        <f>E611+E611*70%</f>
        <v>24421.069033579035</v>
      </c>
      <c r="G611" s="681">
        <v>36000</v>
      </c>
    </row>
    <row r="612" spans="1:8" ht="16.5" thickBot="1" x14ac:dyDescent="0.3">
      <c r="A612" s="684" t="s">
        <v>1559</v>
      </c>
      <c r="B612" s="685"/>
      <c r="C612" s="685"/>
      <c r="D612" s="686"/>
      <c r="E612" s="686"/>
      <c r="F612" s="816"/>
      <c r="G612" s="1275">
        <f>G611*60%</f>
        <v>21600</v>
      </c>
      <c r="H612" t="s">
        <v>3688</v>
      </c>
    </row>
    <row r="613" spans="1:8" ht="15.75" thickBot="1" x14ac:dyDescent="0.3"/>
    <row r="614" spans="1:8" ht="16.5" thickBot="1" x14ac:dyDescent="0.3">
      <c r="A614" s="1778" t="s">
        <v>4424</v>
      </c>
      <c r="B614" s="1779"/>
      <c r="C614" s="1779"/>
      <c r="D614" s="1779"/>
      <c r="E614" s="1780"/>
      <c r="F614" s="1294"/>
      <c r="G614" s="653"/>
      <c r="H614" s="653"/>
    </row>
    <row r="615" spans="1:8" ht="15.75" x14ac:dyDescent="0.25">
      <c r="A615" s="654" t="s">
        <v>916</v>
      </c>
      <c r="B615" s="655" t="s">
        <v>743</v>
      </c>
      <c r="C615" s="655" t="s">
        <v>1566</v>
      </c>
      <c r="D615" s="656" t="s">
        <v>1035</v>
      </c>
      <c r="E615" s="657" t="s">
        <v>1549</v>
      </c>
      <c r="F615" s="658"/>
      <c r="G615" s="653"/>
      <c r="H615" s="653"/>
    </row>
    <row r="616" spans="1:8" ht="15.75" x14ac:dyDescent="0.25">
      <c r="A616" s="659" t="s">
        <v>4425</v>
      </c>
      <c r="B616" s="660"/>
      <c r="C616" s="660">
        <v>37</v>
      </c>
      <c r="D616" s="661">
        <f>PIEDRAS!F9</f>
        <v>63.636363636363633</v>
      </c>
      <c r="E616" s="662">
        <f>D616*C616</f>
        <v>2354.5454545454545</v>
      </c>
      <c r="F616" s="658"/>
      <c r="G616" s="653"/>
      <c r="H616" s="653"/>
    </row>
    <row r="617" spans="1:8" ht="15.75" x14ac:dyDescent="0.25">
      <c r="A617" s="659" t="s">
        <v>4413</v>
      </c>
      <c r="B617" s="660"/>
      <c r="C617" s="660">
        <v>39</v>
      </c>
      <c r="D617" s="661">
        <f>PIEDRAS!F135</f>
        <v>37.974683544303801</v>
      </c>
      <c r="E617" s="662">
        <f>D617*C617</f>
        <v>1481.0126582278483</v>
      </c>
      <c r="F617" s="658"/>
      <c r="G617" s="653"/>
      <c r="H617" s="653"/>
    </row>
    <row r="618" spans="1:8" ht="15.75" x14ac:dyDescent="0.25">
      <c r="A618" s="1736" t="s">
        <v>1572</v>
      </c>
      <c r="B618" s="660" t="s">
        <v>1556</v>
      </c>
      <c r="C618" s="660">
        <v>2</v>
      </c>
      <c r="D618" s="661">
        <f>FORNITURAS!D4</f>
        <v>48.7</v>
      </c>
      <c r="E618" s="662">
        <f t="shared" ref="E618:E619" si="18">D618*C618</f>
        <v>97.4</v>
      </c>
      <c r="F618" s="658"/>
      <c r="G618" s="653"/>
      <c r="H618" s="653"/>
    </row>
    <row r="619" spans="1:8" ht="15.75" x14ac:dyDescent="0.25">
      <c r="A619" s="1737"/>
      <c r="B619" s="660" t="s">
        <v>1573</v>
      </c>
      <c r="C619" s="660">
        <v>2</v>
      </c>
      <c r="D619" s="661">
        <f>FORNITURAS!D7</f>
        <v>52</v>
      </c>
      <c r="E619" s="662">
        <f t="shared" si="18"/>
        <v>104</v>
      </c>
      <c r="F619" s="658"/>
      <c r="G619" s="653"/>
      <c r="H619" s="653"/>
    </row>
    <row r="620" spans="1:8" ht="15.75" x14ac:dyDescent="0.25">
      <c r="A620" s="666" t="s">
        <v>4426</v>
      </c>
      <c r="B620" s="660"/>
      <c r="C620" s="660">
        <v>1</v>
      </c>
      <c r="D620" s="661">
        <f>VIDRIOS!J65</f>
        <v>2100</v>
      </c>
      <c r="E620" s="662">
        <f>D620</f>
        <v>2100</v>
      </c>
      <c r="F620" s="658"/>
      <c r="G620" s="653"/>
      <c r="H620" s="653"/>
    </row>
    <row r="621" spans="1:8" ht="15.75" x14ac:dyDescent="0.25">
      <c r="A621" s="666" t="s">
        <v>1608</v>
      </c>
      <c r="B621" s="660"/>
      <c r="C621" s="660">
        <v>0.1</v>
      </c>
      <c r="D621" s="661">
        <f>'AROS, CADENAS, DIJES, ETC'!I38</f>
        <v>3630</v>
      </c>
      <c r="E621" s="662">
        <f>C621*D621</f>
        <v>363</v>
      </c>
      <c r="F621" s="658"/>
      <c r="G621" s="653"/>
      <c r="H621" s="653"/>
    </row>
    <row r="622" spans="1:8" ht="15.75" x14ac:dyDescent="0.25">
      <c r="A622" s="666" t="s">
        <v>1554</v>
      </c>
      <c r="B622" s="660" t="s">
        <v>777</v>
      </c>
      <c r="C622" s="660">
        <v>2</v>
      </c>
      <c r="D622" s="661">
        <f>FORNITURAS!D24</f>
        <v>34.666666666666664</v>
      </c>
      <c r="E622" s="662">
        <f>D622*C622</f>
        <v>69.333333333333329</v>
      </c>
      <c r="F622" s="658"/>
      <c r="G622" s="653"/>
      <c r="H622" s="653"/>
    </row>
    <row r="623" spans="1:8" ht="15.75" x14ac:dyDescent="0.25">
      <c r="A623" s="666" t="s">
        <v>1424</v>
      </c>
      <c r="B623" s="660"/>
      <c r="C623" s="660">
        <v>0.42</v>
      </c>
      <c r="D623" s="661">
        <f>'HILOS-CORDONES-TANZA-CUERO'!L9</f>
        <v>30</v>
      </c>
      <c r="E623" s="662">
        <f>D623*C623</f>
        <v>12.6</v>
      </c>
      <c r="F623" s="658"/>
      <c r="G623" s="653"/>
      <c r="H623" s="653"/>
    </row>
    <row r="624" spans="1:8" ht="15.75" x14ac:dyDescent="0.25">
      <c r="A624" s="666" t="s">
        <v>1012</v>
      </c>
      <c r="B624" s="660"/>
      <c r="C624" s="660">
        <v>4</v>
      </c>
      <c r="D624" s="661">
        <f>FORNITURAS!D16</f>
        <v>45.05</v>
      </c>
      <c r="E624" s="662">
        <f>D624*C624</f>
        <v>180.2</v>
      </c>
      <c r="F624" s="658"/>
      <c r="G624" s="653"/>
      <c r="H624" s="653"/>
    </row>
    <row r="625" spans="1:10" ht="15.75" x14ac:dyDescent="0.25">
      <c r="A625" s="666" t="s">
        <v>1587</v>
      </c>
      <c r="B625" s="660"/>
      <c r="C625" s="660">
        <v>1</v>
      </c>
      <c r="D625" s="661">
        <f>FORNITURAS!D19</f>
        <v>855</v>
      </c>
      <c r="E625" s="662">
        <f>C625*D625</f>
        <v>855</v>
      </c>
      <c r="F625" s="658"/>
      <c r="G625" s="653"/>
      <c r="H625" s="653"/>
    </row>
    <row r="626" spans="1:10" ht="15.75" x14ac:dyDescent="0.25">
      <c r="A626" s="666" t="s">
        <v>1557</v>
      </c>
      <c r="B626" s="660"/>
      <c r="C626" s="660"/>
      <c r="D626" s="661"/>
      <c r="E626" s="667">
        <f>PACKAGING!E4</f>
        <v>80</v>
      </c>
      <c r="F626" s="653"/>
      <c r="G626" s="658"/>
      <c r="H626" s="653"/>
    </row>
    <row r="627" spans="1:10" ht="15.75" x14ac:dyDescent="0.25">
      <c r="A627" s="666" t="s">
        <v>3362</v>
      </c>
      <c r="B627" s="660"/>
      <c r="C627" s="660"/>
      <c r="D627" s="661"/>
      <c r="E627" s="667">
        <f>PACKAGING!E17</f>
        <v>7.5</v>
      </c>
      <c r="F627" s="653"/>
      <c r="G627" s="658"/>
      <c r="H627" s="653"/>
    </row>
    <row r="628" spans="1:10" ht="15.75" x14ac:dyDescent="0.25">
      <c r="A628" s="666" t="s">
        <v>1634</v>
      </c>
      <c r="B628" s="660"/>
      <c r="C628" s="660"/>
      <c r="D628" s="661"/>
      <c r="E628" s="667">
        <f>PACKAGING!E7</f>
        <v>170</v>
      </c>
      <c r="F628" s="653"/>
      <c r="G628" s="658"/>
      <c r="H628" s="653"/>
    </row>
    <row r="629" spans="1:10" ht="15.75" x14ac:dyDescent="0.25">
      <c r="A629" s="683" t="s">
        <v>1618</v>
      </c>
      <c r="B629" s="660">
        <v>60</v>
      </c>
      <c r="C629" s="660">
        <v>30</v>
      </c>
      <c r="D629" s="668">
        <f>'INSUMOS VARIOS'!B3</f>
        <v>3500</v>
      </c>
      <c r="E629" s="669">
        <f>D629*C629/B629</f>
        <v>1750</v>
      </c>
      <c r="F629" s="1" t="s">
        <v>3023</v>
      </c>
      <c r="G629" s="658"/>
      <c r="H629" s="653"/>
    </row>
    <row r="630" spans="1:10" ht="16.5" customHeight="1" thickBot="1" x14ac:dyDescent="0.3">
      <c r="A630" s="670" t="s">
        <v>525</v>
      </c>
      <c r="B630" s="671"/>
      <c r="C630" s="671"/>
      <c r="D630" s="672"/>
      <c r="E630" s="673">
        <f>SUM(E616:E629)</f>
        <v>9624.5914461066368</v>
      </c>
      <c r="F630" s="698">
        <f>E630+G631+G632</f>
        <v>12902.591446106637</v>
      </c>
      <c r="G630" s="653" t="s">
        <v>2028</v>
      </c>
      <c r="H630" s="1276" t="s">
        <v>2029</v>
      </c>
    </row>
    <row r="631" spans="1:10" ht="16.5" thickBot="1" x14ac:dyDescent="0.3">
      <c r="A631" s="675" t="s">
        <v>544</v>
      </c>
      <c r="B631" s="676"/>
      <c r="C631" s="676"/>
      <c r="D631" s="677"/>
      <c r="E631" s="692">
        <f>E630*2</f>
        <v>19249.182892213274</v>
      </c>
      <c r="F631" s="957">
        <f>E631+E631*70%</f>
        <v>32723.610916762562</v>
      </c>
      <c r="G631" s="680">
        <f>PACKAGING!I3</f>
        <v>2433</v>
      </c>
      <c r="H631" s="681">
        <f>F631+G631+G632</f>
        <v>36001.610916762562</v>
      </c>
      <c r="I631" s="681">
        <v>46000</v>
      </c>
    </row>
    <row r="632" spans="1:10" ht="16.5" thickBot="1" x14ac:dyDescent="0.3">
      <c r="A632" s="684" t="s">
        <v>1559</v>
      </c>
      <c r="B632" s="685"/>
      <c r="C632" s="685"/>
      <c r="D632" s="686"/>
      <c r="E632" s="686"/>
      <c r="F632" s="816"/>
      <c r="G632" s="701">
        <f>PACKAGING!I5</f>
        <v>845</v>
      </c>
      <c r="H632" s="1276"/>
      <c r="I632" s="1275">
        <f>I631*60%</f>
        <v>27600</v>
      </c>
      <c r="J632" s="1273" t="s">
        <v>3688</v>
      </c>
    </row>
    <row r="633" spans="1:10" ht="15.75" thickBot="1" x14ac:dyDescent="0.3"/>
    <row r="634" spans="1:10" ht="16.5" thickBot="1" x14ac:dyDescent="0.3">
      <c r="A634" s="1778" t="s">
        <v>4432</v>
      </c>
      <c r="B634" s="1779"/>
      <c r="C634" s="1779"/>
      <c r="D634" s="1779"/>
      <c r="E634" s="1780"/>
      <c r="F634" s="1294"/>
      <c r="G634" s="653"/>
      <c r="H634" s="653"/>
    </row>
    <row r="635" spans="1:10" ht="15.75" x14ac:dyDescent="0.25">
      <c r="A635" s="654" t="s">
        <v>916</v>
      </c>
      <c r="B635" s="655" t="s">
        <v>743</v>
      </c>
      <c r="C635" s="655" t="s">
        <v>1566</v>
      </c>
      <c r="D635" s="656" t="s">
        <v>1035</v>
      </c>
      <c r="E635" s="657" t="s">
        <v>1549</v>
      </c>
      <c r="F635" s="658"/>
      <c r="G635" s="653"/>
      <c r="H635" s="653"/>
    </row>
    <row r="636" spans="1:10" ht="15.75" x14ac:dyDescent="0.25">
      <c r="A636" s="659" t="s">
        <v>4425</v>
      </c>
      <c r="B636" s="660"/>
      <c r="C636" s="660">
        <v>42</v>
      </c>
      <c r="D636" s="661">
        <f>PIEDRAS!F9</f>
        <v>63.636363636363633</v>
      </c>
      <c r="E636" s="662">
        <f>D636*C636</f>
        <v>2672.7272727272725</v>
      </c>
      <c r="F636" s="658"/>
      <c r="G636" s="653"/>
      <c r="H636" s="653"/>
    </row>
    <row r="637" spans="1:10" ht="15.75" x14ac:dyDescent="0.25">
      <c r="A637" s="659" t="s">
        <v>4427</v>
      </c>
      <c r="B637" s="660"/>
      <c r="C637" s="660">
        <v>42</v>
      </c>
      <c r="D637" s="661">
        <f>'PALAIS DU BIJOU'!O17</f>
        <v>3.4375</v>
      </c>
      <c r="E637" s="662">
        <f>D637*C637</f>
        <v>144.375</v>
      </c>
      <c r="F637" s="658"/>
      <c r="G637" s="653"/>
      <c r="H637" s="653"/>
    </row>
    <row r="638" spans="1:10" ht="15.75" x14ac:dyDescent="0.25">
      <c r="A638" s="1736" t="s">
        <v>1572</v>
      </c>
      <c r="B638" s="660" t="s">
        <v>1556</v>
      </c>
      <c r="C638" s="660">
        <v>2</v>
      </c>
      <c r="D638" s="661">
        <f>FORNITURAS!D4</f>
        <v>48.7</v>
      </c>
      <c r="E638" s="662">
        <f t="shared" ref="E638:E639" si="19">D638*C638</f>
        <v>97.4</v>
      </c>
      <c r="F638" s="658"/>
      <c r="G638" s="653"/>
      <c r="H638" s="653"/>
    </row>
    <row r="639" spans="1:10" ht="15.75" x14ac:dyDescent="0.25">
      <c r="A639" s="1737"/>
      <c r="B639" s="660" t="s">
        <v>1573</v>
      </c>
      <c r="C639" s="660">
        <v>2</v>
      </c>
      <c r="D639" s="661">
        <f>FORNITURAS!D7</f>
        <v>52</v>
      </c>
      <c r="E639" s="662">
        <f t="shared" si="19"/>
        <v>104</v>
      </c>
      <c r="F639" s="658"/>
      <c r="G639" s="653"/>
      <c r="H639" s="653"/>
    </row>
    <row r="640" spans="1:10" ht="15.75" x14ac:dyDescent="0.25">
      <c r="A640" s="666" t="s">
        <v>4428</v>
      </c>
      <c r="B640" s="660"/>
      <c r="C640" s="660">
        <v>1</v>
      </c>
      <c r="D640" s="661">
        <f>VIDRIOS!J64</f>
        <v>2100</v>
      </c>
      <c r="E640" s="662">
        <f>D640</f>
        <v>2100</v>
      </c>
      <c r="F640" s="658"/>
      <c r="G640" s="653"/>
      <c r="H640" s="653"/>
    </row>
    <row r="641" spans="1:10" ht="15.75" x14ac:dyDescent="0.25">
      <c r="A641" s="666" t="s">
        <v>1608</v>
      </c>
      <c r="B641" s="660"/>
      <c r="C641" s="660">
        <v>0.1</v>
      </c>
      <c r="D641" s="661">
        <f>'AROS, CADENAS, DIJES, ETC'!I38</f>
        <v>3630</v>
      </c>
      <c r="E641" s="662">
        <f>C641*D641</f>
        <v>363</v>
      </c>
      <c r="F641" s="658"/>
      <c r="G641" s="653"/>
      <c r="H641" s="653"/>
    </row>
    <row r="642" spans="1:10" ht="15.75" x14ac:dyDescent="0.25">
      <c r="A642" s="666" t="s">
        <v>1554</v>
      </c>
      <c r="B642" s="660" t="s">
        <v>777</v>
      </c>
      <c r="C642" s="660">
        <v>2</v>
      </c>
      <c r="D642" s="661">
        <f>FORNITURAS!D24</f>
        <v>34.666666666666664</v>
      </c>
      <c r="E642" s="662">
        <f>D642*C642</f>
        <v>69.333333333333329</v>
      </c>
      <c r="F642" s="658"/>
      <c r="G642" s="653"/>
      <c r="H642" s="653"/>
    </row>
    <row r="643" spans="1:10" ht="15.75" x14ac:dyDescent="0.25">
      <c r="A643" s="666" t="s">
        <v>1424</v>
      </c>
      <c r="B643" s="660"/>
      <c r="C643" s="660">
        <v>0.42</v>
      </c>
      <c r="D643" s="661">
        <f>'HILOS-CORDONES-TANZA-CUERO'!L9</f>
        <v>30</v>
      </c>
      <c r="E643" s="662">
        <f>D643*C643</f>
        <v>12.6</v>
      </c>
      <c r="F643" s="658"/>
      <c r="G643" s="653"/>
      <c r="H643" s="653"/>
    </row>
    <row r="644" spans="1:10" ht="15.75" x14ac:dyDescent="0.25">
      <c r="A644" s="666" t="s">
        <v>1012</v>
      </c>
      <c r="B644" s="660"/>
      <c r="C644" s="660">
        <v>2</v>
      </c>
      <c r="D644" s="661">
        <f>FORNITURAS!D16</f>
        <v>45.05</v>
      </c>
      <c r="E644" s="662">
        <f>D644*C644</f>
        <v>90.1</v>
      </c>
      <c r="F644" s="658"/>
      <c r="G644" s="653"/>
      <c r="H644" s="653"/>
    </row>
    <row r="645" spans="1:10" ht="15.75" x14ac:dyDescent="0.25">
      <c r="A645" s="666" t="s">
        <v>1587</v>
      </c>
      <c r="B645" s="660"/>
      <c r="C645" s="660">
        <v>1</v>
      </c>
      <c r="D645" s="661"/>
      <c r="E645" s="662">
        <f>FORNITURAS!D19</f>
        <v>855</v>
      </c>
      <c r="F645" s="658"/>
      <c r="G645" s="653"/>
      <c r="H645" s="653"/>
    </row>
    <row r="646" spans="1:10" ht="15.75" x14ac:dyDescent="0.25">
      <c r="A646" s="666" t="s">
        <v>1557</v>
      </c>
      <c r="B646" s="660"/>
      <c r="C646" s="660"/>
      <c r="D646" s="661"/>
      <c r="E646" s="667">
        <f>PACKAGING!E4</f>
        <v>80</v>
      </c>
      <c r="F646" s="653"/>
      <c r="G646" s="658"/>
      <c r="H646" s="653"/>
    </row>
    <row r="647" spans="1:10" ht="15.75" x14ac:dyDescent="0.25">
      <c r="A647" s="666" t="s">
        <v>3362</v>
      </c>
      <c r="B647" s="660"/>
      <c r="C647" s="660"/>
      <c r="D647" s="661"/>
      <c r="E647" s="667">
        <f>PACKAGING!E17</f>
        <v>7.5</v>
      </c>
      <c r="F647" s="653"/>
      <c r="G647" s="658"/>
      <c r="H647" s="653"/>
    </row>
    <row r="648" spans="1:10" ht="15.75" x14ac:dyDescent="0.25">
      <c r="A648" s="666" t="s">
        <v>1634</v>
      </c>
      <c r="B648" s="660"/>
      <c r="C648" s="660"/>
      <c r="D648" s="661"/>
      <c r="E648" s="667">
        <f>PACKAGING!E7</f>
        <v>170</v>
      </c>
      <c r="F648" s="653"/>
      <c r="G648" s="658"/>
      <c r="H648" s="653"/>
    </row>
    <row r="649" spans="1:10" ht="15.75" x14ac:dyDescent="0.25">
      <c r="A649" s="683" t="s">
        <v>1618</v>
      </c>
      <c r="B649" s="660">
        <v>60</v>
      </c>
      <c r="C649" s="660">
        <v>30</v>
      </c>
      <c r="D649" s="668">
        <f>'INSUMOS VARIOS'!B3</f>
        <v>3500</v>
      </c>
      <c r="E649" s="669">
        <f>D649*C649/B649</f>
        <v>1750</v>
      </c>
      <c r="F649" s="1" t="s">
        <v>3023</v>
      </c>
      <c r="G649" s="658"/>
      <c r="H649" s="653"/>
    </row>
    <row r="650" spans="1:10" ht="16.5" thickBot="1" x14ac:dyDescent="0.3">
      <c r="A650" s="670" t="s">
        <v>525</v>
      </c>
      <c r="B650" s="671"/>
      <c r="C650" s="671"/>
      <c r="D650" s="672"/>
      <c r="E650" s="673">
        <f>SUM(E636:E649)</f>
        <v>8516.0356060606064</v>
      </c>
      <c r="F650" s="698">
        <f>E650+G651+G652</f>
        <v>11794.035606060606</v>
      </c>
      <c r="G650" s="653" t="s">
        <v>2028</v>
      </c>
      <c r="H650" s="1276" t="s">
        <v>2029</v>
      </c>
    </row>
    <row r="651" spans="1:10" ht="16.5" thickBot="1" x14ac:dyDescent="0.3">
      <c r="A651" s="675" t="s">
        <v>544</v>
      </c>
      <c r="B651" s="676"/>
      <c r="C651" s="676"/>
      <c r="D651" s="677"/>
      <c r="E651" s="692">
        <f>E650*2</f>
        <v>17032.071212121213</v>
      </c>
      <c r="F651" s="957">
        <f>E651+E651*70%</f>
        <v>28954.521060606061</v>
      </c>
      <c r="G651" s="680">
        <f>PACKAGING!I3</f>
        <v>2433</v>
      </c>
      <c r="H651" s="681">
        <f>F651+G651+G652</f>
        <v>32232.521060606061</v>
      </c>
      <c r="I651" s="681">
        <v>46000</v>
      </c>
    </row>
    <row r="652" spans="1:10" ht="16.5" thickBot="1" x14ac:dyDescent="0.3">
      <c r="A652" s="684" t="s">
        <v>1559</v>
      </c>
      <c r="B652" s="685"/>
      <c r="C652" s="685"/>
      <c r="D652" s="686"/>
      <c r="E652" s="686"/>
      <c r="F652" s="816"/>
      <c r="G652" s="701">
        <f>PACKAGING!I5</f>
        <v>845</v>
      </c>
      <c r="H652" s="1276"/>
      <c r="I652" s="1275">
        <f>I651*60%</f>
        <v>27600</v>
      </c>
      <c r="J652" s="1273" t="s">
        <v>3688</v>
      </c>
    </row>
    <row r="653" spans="1:10" ht="15.75" thickBot="1" x14ac:dyDescent="0.3"/>
    <row r="654" spans="1:10" ht="16.5" thickBot="1" x14ac:dyDescent="0.3">
      <c r="A654" s="1778" t="s">
        <v>4429</v>
      </c>
      <c r="B654" s="1779"/>
      <c r="C654" s="1779"/>
      <c r="D654" s="1779"/>
      <c r="E654" s="1780"/>
      <c r="F654" s="1294"/>
      <c r="G654" s="653"/>
      <c r="H654" s="653"/>
    </row>
    <row r="655" spans="1:10" ht="15.75" x14ac:dyDescent="0.25">
      <c r="A655" s="654" t="s">
        <v>916</v>
      </c>
      <c r="B655" s="655" t="s">
        <v>743</v>
      </c>
      <c r="C655" s="655" t="s">
        <v>1566</v>
      </c>
      <c r="D655" s="656" t="s">
        <v>1035</v>
      </c>
      <c r="E655" s="657" t="s">
        <v>1549</v>
      </c>
      <c r="F655" s="658"/>
      <c r="G655" s="653"/>
      <c r="H655" s="653"/>
    </row>
    <row r="656" spans="1:10" ht="15.75" x14ac:dyDescent="0.25">
      <c r="A656" s="659" t="s">
        <v>4430</v>
      </c>
      <c r="B656" s="660"/>
      <c r="C656" s="660">
        <v>88</v>
      </c>
      <c r="D656" s="661">
        <f>PIEDRAS!F10</f>
        <v>26.923076923076923</v>
      </c>
      <c r="E656" s="662">
        <f>D656*C656</f>
        <v>2369.2307692307691</v>
      </c>
      <c r="F656" s="658"/>
      <c r="G656" s="653"/>
      <c r="H656" s="653"/>
    </row>
    <row r="657" spans="1:9" ht="15.75" x14ac:dyDescent="0.25">
      <c r="A657" s="1741" t="s">
        <v>1691</v>
      </c>
      <c r="B657" s="660" t="s">
        <v>4394</v>
      </c>
      <c r="C657" s="660">
        <v>8</v>
      </c>
      <c r="D657" s="661">
        <f>'PERLAS 2'!O14</f>
        <v>186.66666666666666</v>
      </c>
      <c r="E657" s="662">
        <f>D657*C657</f>
        <v>1493.3333333333333</v>
      </c>
      <c r="F657" s="658"/>
      <c r="G657" s="653"/>
      <c r="H657" s="653"/>
    </row>
    <row r="658" spans="1:9" ht="15.75" x14ac:dyDescent="0.25">
      <c r="A658" s="1742"/>
      <c r="B658" s="660" t="s">
        <v>4431</v>
      </c>
      <c r="C658" s="660">
        <v>2</v>
      </c>
      <c r="D658" s="661">
        <f>'PERLAS 2'!O17</f>
        <v>1118.75</v>
      </c>
      <c r="E658" s="662">
        <f>D658*C658</f>
        <v>2237.5</v>
      </c>
      <c r="F658" s="658"/>
      <c r="G658" s="653"/>
      <c r="H658" s="653"/>
    </row>
    <row r="659" spans="1:9" ht="15.75" x14ac:dyDescent="0.25">
      <c r="A659" s="1417" t="s">
        <v>1585</v>
      </c>
      <c r="B659" s="660"/>
      <c r="C659" s="660">
        <v>10</v>
      </c>
      <c r="D659" s="661">
        <f>'PALAIS DU BIJOU'!O17</f>
        <v>3.4375</v>
      </c>
      <c r="E659" s="662">
        <f>D659*C659</f>
        <v>34.375</v>
      </c>
      <c r="F659" s="658"/>
      <c r="G659" s="653"/>
      <c r="H659" s="653"/>
    </row>
    <row r="660" spans="1:9" ht="15.75" x14ac:dyDescent="0.25">
      <c r="A660" s="1736" t="s">
        <v>1572</v>
      </c>
      <c r="B660" s="660" t="s">
        <v>1556</v>
      </c>
      <c r="C660" s="660">
        <v>2</v>
      </c>
      <c r="D660" s="661">
        <f>FORNITURAS!D4</f>
        <v>48.7</v>
      </c>
      <c r="E660" s="662">
        <f t="shared" ref="E660:E661" si="20">D660*C660</f>
        <v>97.4</v>
      </c>
      <c r="F660" s="658"/>
      <c r="G660" s="653"/>
      <c r="H660" s="653"/>
    </row>
    <row r="661" spans="1:9" ht="15.75" x14ac:dyDescent="0.25">
      <c r="A661" s="1737"/>
      <c r="B661" s="660" t="s">
        <v>1573</v>
      </c>
      <c r="C661" s="660">
        <v>2</v>
      </c>
      <c r="D661" s="661">
        <f>FORNITURAS!D7</f>
        <v>52</v>
      </c>
      <c r="E661" s="662">
        <f t="shared" si="20"/>
        <v>104</v>
      </c>
      <c r="F661" s="658"/>
      <c r="G661" s="653"/>
      <c r="H661" s="653"/>
    </row>
    <row r="662" spans="1:9" ht="15.75" x14ac:dyDescent="0.25">
      <c r="A662" s="666" t="s">
        <v>1608</v>
      </c>
      <c r="B662" s="660"/>
      <c r="C662" s="660">
        <v>0.1</v>
      </c>
      <c r="D662" s="661">
        <f>'AROS, CADENAS, DIJES, ETC'!I38</f>
        <v>3630</v>
      </c>
      <c r="E662" s="662">
        <f>C662*D662</f>
        <v>363</v>
      </c>
      <c r="F662" s="658"/>
      <c r="G662" s="653"/>
      <c r="H662" s="653"/>
    </row>
    <row r="663" spans="1:9" ht="15.75" x14ac:dyDescent="0.25">
      <c r="A663" s="666" t="s">
        <v>1554</v>
      </c>
      <c r="B663" s="660" t="s">
        <v>777</v>
      </c>
      <c r="C663" s="660">
        <v>2</v>
      </c>
      <c r="D663" s="661">
        <f>FORNITURAS!D24</f>
        <v>34.666666666666664</v>
      </c>
      <c r="E663" s="662">
        <f>D663*C663</f>
        <v>69.333333333333329</v>
      </c>
      <c r="F663" s="658"/>
      <c r="G663" s="653"/>
      <c r="H663" s="653"/>
    </row>
    <row r="664" spans="1:9" ht="15.75" x14ac:dyDescent="0.25">
      <c r="A664" s="666" t="s">
        <v>1424</v>
      </c>
      <c r="B664" s="660"/>
      <c r="C664" s="660">
        <v>0.42</v>
      </c>
      <c r="D664" s="661">
        <f>'HILOS-CORDONES-TANZA-CUERO'!L9</f>
        <v>30</v>
      </c>
      <c r="E664" s="662">
        <f>D664*C664</f>
        <v>12.6</v>
      </c>
      <c r="F664" s="658"/>
      <c r="G664" s="653"/>
      <c r="H664" s="653"/>
    </row>
    <row r="665" spans="1:9" ht="15.75" x14ac:dyDescent="0.25">
      <c r="A665" s="666" t="s">
        <v>1012</v>
      </c>
      <c r="B665" s="660"/>
      <c r="C665" s="660">
        <v>2</v>
      </c>
      <c r="D665" s="661">
        <f>FORNITURAS!D16</f>
        <v>45.05</v>
      </c>
      <c r="E665" s="662">
        <f>D665*C665</f>
        <v>90.1</v>
      </c>
      <c r="F665" s="658"/>
      <c r="G665" s="653"/>
      <c r="H665" s="653"/>
    </row>
    <row r="666" spans="1:9" ht="15.75" x14ac:dyDescent="0.25">
      <c r="A666" s="666" t="s">
        <v>1587</v>
      </c>
      <c r="B666" s="660"/>
      <c r="C666" s="660">
        <v>1</v>
      </c>
      <c r="D666" s="661">
        <f>FORNITURAS!D19</f>
        <v>855</v>
      </c>
      <c r="E666" s="662">
        <f>D666*C666</f>
        <v>855</v>
      </c>
      <c r="F666" s="658"/>
      <c r="G666" s="653"/>
      <c r="H666" s="653"/>
    </row>
    <row r="667" spans="1:9" ht="15.75" x14ac:dyDescent="0.25">
      <c r="A667" s="666" t="s">
        <v>1557</v>
      </c>
      <c r="B667" s="660"/>
      <c r="C667" s="660"/>
      <c r="D667" s="661"/>
      <c r="E667" s="667">
        <f>PACKAGING!E4</f>
        <v>80</v>
      </c>
      <c r="F667" s="653"/>
      <c r="G667" s="658"/>
      <c r="H667" s="653"/>
    </row>
    <row r="668" spans="1:9" ht="15.75" x14ac:dyDescent="0.25">
      <c r="A668" s="666" t="s">
        <v>3362</v>
      </c>
      <c r="B668" s="660"/>
      <c r="C668" s="660"/>
      <c r="D668" s="661"/>
      <c r="E668" s="667">
        <f>PACKAGING!E17</f>
        <v>7.5</v>
      </c>
      <c r="F668" s="653"/>
      <c r="G668" s="658"/>
      <c r="H668" s="653"/>
    </row>
    <row r="669" spans="1:9" ht="15.75" x14ac:dyDescent="0.25">
      <c r="A669" s="666" t="s">
        <v>1634</v>
      </c>
      <c r="B669" s="660"/>
      <c r="C669" s="660"/>
      <c r="D669" s="661"/>
      <c r="E669" s="667">
        <f>PACKAGING!E7</f>
        <v>170</v>
      </c>
      <c r="F669" s="653"/>
      <c r="G669" s="658"/>
      <c r="H669" s="653"/>
    </row>
    <row r="670" spans="1:9" ht="15.75" x14ac:dyDescent="0.25">
      <c r="A670" s="683" t="s">
        <v>1618</v>
      </c>
      <c r="B670" s="660">
        <v>60</v>
      </c>
      <c r="C670" s="660">
        <v>30</v>
      </c>
      <c r="D670" s="668">
        <f>'INSUMOS VARIOS'!B3</f>
        <v>3500</v>
      </c>
      <c r="E670" s="669">
        <f>D670*C670/B670</f>
        <v>1750</v>
      </c>
      <c r="F670" s="1" t="s">
        <v>3023</v>
      </c>
      <c r="G670" s="658"/>
      <c r="H670" s="653"/>
    </row>
    <row r="671" spans="1:9" ht="16.5" thickBot="1" x14ac:dyDescent="0.3">
      <c r="A671" s="670" t="s">
        <v>525</v>
      </c>
      <c r="B671" s="671"/>
      <c r="C671" s="671"/>
      <c r="D671" s="672"/>
      <c r="E671" s="673">
        <f>SUM(E656:E670)</f>
        <v>9733.3724358974359</v>
      </c>
      <c r="F671" s="698">
        <f>E671+G672+G673</f>
        <v>13011.372435897436</v>
      </c>
      <c r="G671" s="653" t="s">
        <v>2028</v>
      </c>
      <c r="H671" s="1276" t="s">
        <v>2029</v>
      </c>
    </row>
    <row r="672" spans="1:9" ht="16.5" thickBot="1" x14ac:dyDescent="0.3">
      <c r="A672" s="675" t="s">
        <v>544</v>
      </c>
      <c r="B672" s="676"/>
      <c r="C672" s="676"/>
      <c r="D672" s="677"/>
      <c r="E672" s="692">
        <f>E671*2</f>
        <v>19466.744871794872</v>
      </c>
      <c r="F672" s="957">
        <f>E672+E672*70%</f>
        <v>33093.466282051282</v>
      </c>
      <c r="G672" s="680">
        <f>PACKAGING!I3</f>
        <v>2433</v>
      </c>
      <c r="H672" s="681">
        <f>F672+G672+G673</f>
        <v>36371.466282051282</v>
      </c>
      <c r="I672" s="681">
        <v>46000</v>
      </c>
    </row>
    <row r="673" spans="1:10" ht="16.5" thickBot="1" x14ac:dyDescent="0.3">
      <c r="A673" s="684" t="s">
        <v>1559</v>
      </c>
      <c r="B673" s="685"/>
      <c r="C673" s="685"/>
      <c r="D673" s="686"/>
      <c r="E673" s="686"/>
      <c r="F673" s="816"/>
      <c r="G673" s="701">
        <f>PACKAGING!I5</f>
        <v>845</v>
      </c>
      <c r="H673" s="1276"/>
      <c r="I673" s="1275">
        <f>I672*60%</f>
        <v>27600</v>
      </c>
      <c r="J673" s="1273" t="s">
        <v>3688</v>
      </c>
    </row>
    <row r="674" spans="1:10" ht="15.75" thickBot="1" x14ac:dyDescent="0.3"/>
    <row r="675" spans="1:10" ht="16.5" thickBot="1" x14ac:dyDescent="0.3">
      <c r="A675" s="1778" t="s">
        <v>4433</v>
      </c>
      <c r="B675" s="1779"/>
      <c r="C675" s="1779"/>
      <c r="D675" s="1779"/>
      <c r="E675" s="1780"/>
      <c r="F675" s="1294"/>
      <c r="G675" s="653"/>
      <c r="H675" s="653"/>
    </row>
    <row r="676" spans="1:10" ht="15.75" x14ac:dyDescent="0.25">
      <c r="A676" s="654" t="s">
        <v>916</v>
      </c>
      <c r="B676" s="655" t="s">
        <v>743</v>
      </c>
      <c r="C676" s="655" t="s">
        <v>1566</v>
      </c>
      <c r="D676" s="656" t="s">
        <v>1035</v>
      </c>
      <c r="E676" s="657" t="s">
        <v>1549</v>
      </c>
      <c r="F676" s="658"/>
      <c r="G676" s="653"/>
      <c r="H676" s="653"/>
    </row>
    <row r="677" spans="1:10" ht="15.75" x14ac:dyDescent="0.25">
      <c r="A677" s="1241" t="s">
        <v>4389</v>
      </c>
      <c r="B677" s="660"/>
      <c r="C677" s="660">
        <v>55</v>
      </c>
      <c r="D677" s="661">
        <f>PIEDRAS!F90</f>
        <v>109.09090909090909</v>
      </c>
      <c r="E677" s="662">
        <f>D677*C677</f>
        <v>6000</v>
      </c>
      <c r="F677" s="658"/>
      <c r="G677" s="653"/>
      <c r="H677" s="653"/>
    </row>
    <row r="678" spans="1:10" ht="15.75" x14ac:dyDescent="0.25">
      <c r="A678" s="1417" t="s">
        <v>4434</v>
      </c>
      <c r="B678" s="660">
        <v>40</v>
      </c>
      <c r="C678" s="660">
        <v>1.1000000000000001</v>
      </c>
      <c r="D678" s="661">
        <f>'HILOS-CORDONES-TANZA-CUERO'!D27</f>
        <v>1000</v>
      </c>
      <c r="E678" s="662">
        <f>D678*C678/B678</f>
        <v>27.5</v>
      </c>
      <c r="F678" s="658"/>
      <c r="G678" s="653"/>
      <c r="H678" s="653"/>
    </row>
    <row r="679" spans="1:10" ht="15.75" x14ac:dyDescent="0.25">
      <c r="A679" s="1736" t="s">
        <v>1572</v>
      </c>
      <c r="B679" s="660" t="s">
        <v>1556</v>
      </c>
      <c r="C679" s="660">
        <v>2</v>
      </c>
      <c r="D679" s="661">
        <f>FORNITURAS!D4</f>
        <v>48.7</v>
      </c>
      <c r="E679" s="662">
        <f t="shared" ref="E679:E680" si="21">D679*C679</f>
        <v>97.4</v>
      </c>
      <c r="F679" s="658"/>
      <c r="G679" s="653"/>
      <c r="H679" s="653"/>
    </row>
    <row r="680" spans="1:10" ht="15.75" x14ac:dyDescent="0.25">
      <c r="A680" s="1737"/>
      <c r="B680" s="660" t="s">
        <v>1573</v>
      </c>
      <c r="C680" s="660">
        <v>1</v>
      </c>
      <c r="D680" s="661">
        <f>FORNITURAS!D7</f>
        <v>52</v>
      </c>
      <c r="E680" s="662">
        <f t="shared" si="21"/>
        <v>52</v>
      </c>
      <c r="F680" s="658"/>
      <c r="G680" s="653"/>
      <c r="H680" s="653"/>
    </row>
    <row r="681" spans="1:10" ht="15.75" x14ac:dyDescent="0.25">
      <c r="A681" s="666" t="s">
        <v>1608</v>
      </c>
      <c r="B681" s="660"/>
      <c r="C681" s="660">
        <v>0.1</v>
      </c>
      <c r="D681" s="661">
        <f>'AROS, CADENAS, DIJES, ETC'!I38</f>
        <v>3630</v>
      </c>
      <c r="E681" s="662">
        <f>C681*D681</f>
        <v>363</v>
      </c>
      <c r="F681" s="658"/>
      <c r="G681" s="653"/>
      <c r="H681" s="653"/>
    </row>
    <row r="682" spans="1:10" ht="15.75" x14ac:dyDescent="0.25">
      <c r="A682" s="666" t="s">
        <v>1554</v>
      </c>
      <c r="B682" s="660" t="s">
        <v>777</v>
      </c>
      <c r="C682" s="660">
        <v>2</v>
      </c>
      <c r="D682" s="661">
        <f>FORNITURAS!D24</f>
        <v>34.666666666666664</v>
      </c>
      <c r="E682" s="662">
        <f>D682*C682</f>
        <v>69.333333333333329</v>
      </c>
      <c r="F682" s="658"/>
      <c r="G682" s="653"/>
      <c r="H682" s="653"/>
    </row>
    <row r="683" spans="1:10" ht="15.75" x14ac:dyDescent="0.25">
      <c r="A683" s="666" t="s">
        <v>1587</v>
      </c>
      <c r="B683" s="660"/>
      <c r="C683" s="660">
        <v>1</v>
      </c>
      <c r="D683" s="661">
        <f>FORNITURAS!D19</f>
        <v>855</v>
      </c>
      <c r="E683" s="662">
        <f>D683*C683</f>
        <v>855</v>
      </c>
      <c r="F683" s="658"/>
      <c r="G683" s="653"/>
      <c r="H683" s="653"/>
      <c r="I683" s="653"/>
      <c r="J683" s="653"/>
    </row>
    <row r="684" spans="1:10" ht="15.75" x14ac:dyDescent="0.25">
      <c r="A684" s="666" t="s">
        <v>1557</v>
      </c>
      <c r="B684" s="660"/>
      <c r="C684" s="660"/>
      <c r="D684" s="661"/>
      <c r="E684" s="667">
        <f>PACKAGING!E4</f>
        <v>80</v>
      </c>
      <c r="F684" s="653"/>
      <c r="G684" s="658"/>
      <c r="H684" s="653"/>
      <c r="I684" s="653"/>
      <c r="J684" s="653"/>
    </row>
    <row r="685" spans="1:10" ht="15.75" x14ac:dyDescent="0.25">
      <c r="A685" s="666" t="s">
        <v>3362</v>
      </c>
      <c r="B685" s="660"/>
      <c r="C685" s="660"/>
      <c r="D685" s="661"/>
      <c r="E685" s="667">
        <f>PACKAGING!E17</f>
        <v>7.5</v>
      </c>
      <c r="F685" s="653"/>
      <c r="G685" s="658"/>
      <c r="H685" s="653"/>
      <c r="I685" s="653"/>
      <c r="J685" s="653"/>
    </row>
    <row r="686" spans="1:10" ht="15.75" x14ac:dyDescent="0.25">
      <c r="A686" s="666" t="s">
        <v>1634</v>
      </c>
      <c r="B686" s="660"/>
      <c r="C686" s="660"/>
      <c r="D686" s="661"/>
      <c r="E686" s="667">
        <f>PACKAGING!E7</f>
        <v>170</v>
      </c>
      <c r="F686" s="653"/>
      <c r="G686" s="658"/>
      <c r="H686" s="653"/>
      <c r="I686" s="653"/>
      <c r="J686" s="653"/>
    </row>
    <row r="687" spans="1:10" ht="15.75" x14ac:dyDescent="0.25">
      <c r="A687" s="1339" t="s">
        <v>3568</v>
      </c>
      <c r="B687" s="660"/>
      <c r="C687" s="660"/>
      <c r="D687" s="668"/>
      <c r="E687" s="667">
        <f>PACKAGING!I5</f>
        <v>845</v>
      </c>
      <c r="F687" s="653"/>
      <c r="G687" s="658"/>
      <c r="H687" s="653"/>
      <c r="I687" s="653"/>
      <c r="J687" s="653"/>
    </row>
    <row r="688" spans="1:10" ht="15.75" x14ac:dyDescent="0.25">
      <c r="A688" s="683" t="s">
        <v>1618</v>
      </c>
      <c r="B688" s="660">
        <v>60</v>
      </c>
      <c r="C688" s="660">
        <v>20</v>
      </c>
      <c r="D688" s="668">
        <f>'INSUMOS VARIOS'!B3</f>
        <v>3500</v>
      </c>
      <c r="E688" s="669">
        <f>D688*C688/B688</f>
        <v>1166.6666666666667</v>
      </c>
      <c r="F688" s="1"/>
      <c r="G688" s="658"/>
      <c r="H688" s="653"/>
      <c r="I688" s="653"/>
      <c r="J688" s="653"/>
    </row>
    <row r="689" spans="1:10" ht="16.5" thickBot="1" x14ac:dyDescent="0.3">
      <c r="A689" s="670" t="s">
        <v>525</v>
      </c>
      <c r="B689" s="671"/>
      <c r="C689" s="671"/>
      <c r="D689" s="672"/>
      <c r="E689" s="673">
        <f>SUM(E677:E688)</f>
        <v>9733.4</v>
      </c>
      <c r="F689" s="698"/>
      <c r="I689" s="653"/>
      <c r="J689" s="653"/>
    </row>
    <row r="690" spans="1:10" ht="16.5" thickBot="1" x14ac:dyDescent="0.3">
      <c r="A690" s="675" t="s">
        <v>544</v>
      </c>
      <c r="B690" s="676"/>
      <c r="C690" s="676"/>
      <c r="D690" s="677"/>
      <c r="E690" s="692">
        <f>E689*2</f>
        <v>19466.8</v>
      </c>
      <c r="F690" s="957">
        <f>E690+E690*70%</f>
        <v>33093.56</v>
      </c>
      <c r="G690" s="681">
        <v>46000</v>
      </c>
      <c r="H690" s="1273"/>
      <c r="I690" s="653"/>
      <c r="J690" s="653"/>
    </row>
    <row r="691" spans="1:10" ht="16.5" thickBot="1" x14ac:dyDescent="0.3">
      <c r="A691" s="684" t="s">
        <v>1559</v>
      </c>
      <c r="B691" s="685"/>
      <c r="C691" s="685"/>
      <c r="D691" s="686"/>
      <c r="E691" s="686"/>
      <c r="F691" s="816"/>
      <c r="G691" s="1275"/>
      <c r="H691" t="s">
        <v>3688</v>
      </c>
      <c r="I691" s="653"/>
      <c r="J691" s="653"/>
    </row>
    <row r="692" spans="1:10" ht="16.5" thickBot="1" x14ac:dyDescent="0.3">
      <c r="H692" s="653"/>
      <c r="I692" s="653"/>
      <c r="J692" s="653"/>
    </row>
    <row r="693" spans="1:10" ht="16.5" thickBot="1" x14ac:dyDescent="0.3">
      <c r="A693" s="1778" t="s">
        <v>4435</v>
      </c>
      <c r="B693" s="1779"/>
      <c r="C693" s="1779"/>
      <c r="D693" s="1779"/>
      <c r="E693" s="1780"/>
      <c r="F693" s="1294"/>
      <c r="G693" s="653"/>
      <c r="H693" s="653"/>
      <c r="I693" s="653"/>
      <c r="J693" s="653"/>
    </row>
    <row r="694" spans="1:10" ht="15.75" x14ac:dyDescent="0.25">
      <c r="A694" s="654" t="s">
        <v>916</v>
      </c>
      <c r="B694" s="655" t="s">
        <v>743</v>
      </c>
      <c r="C694" s="655" t="s">
        <v>1566</v>
      </c>
      <c r="D694" s="656" t="s">
        <v>1035</v>
      </c>
      <c r="E694" s="657" t="s">
        <v>1549</v>
      </c>
      <c r="F694" s="658"/>
      <c r="G694" s="653"/>
      <c r="H694" s="653"/>
    </row>
    <row r="695" spans="1:10" ht="15.75" x14ac:dyDescent="0.25">
      <c r="A695" s="659" t="s">
        <v>4436</v>
      </c>
      <c r="B695" s="660">
        <v>0.60499999999999998</v>
      </c>
      <c r="C695" s="660">
        <v>0.38</v>
      </c>
      <c r="D695" s="661">
        <f>PIEDRAS!E11</f>
        <v>4200</v>
      </c>
      <c r="E695" s="662">
        <f>D695*C695/B695</f>
        <v>2638.0165289256197</v>
      </c>
      <c r="F695" s="658"/>
      <c r="G695" s="653"/>
      <c r="H695" s="653"/>
    </row>
    <row r="696" spans="1:10" ht="15.75" x14ac:dyDescent="0.25">
      <c r="A696" s="1736" t="s">
        <v>1572</v>
      </c>
      <c r="B696" s="660" t="s">
        <v>1556</v>
      </c>
      <c r="C696" s="660">
        <v>2</v>
      </c>
      <c r="D696" s="661">
        <f>FORNITURAS!D4</f>
        <v>48.7</v>
      </c>
      <c r="E696" s="662">
        <f t="shared" ref="E696:E697" si="22">D696*C696</f>
        <v>97.4</v>
      </c>
      <c r="F696" s="658"/>
      <c r="G696" s="653"/>
      <c r="H696" s="653"/>
    </row>
    <row r="697" spans="1:10" ht="15.75" x14ac:dyDescent="0.25">
      <c r="A697" s="1737"/>
      <c r="B697" s="660" t="s">
        <v>1573</v>
      </c>
      <c r="C697" s="660">
        <v>1</v>
      </c>
      <c r="D697" s="661">
        <f>FORNITURAS!D7</f>
        <v>52</v>
      </c>
      <c r="E697" s="662">
        <f t="shared" si="22"/>
        <v>52</v>
      </c>
      <c r="F697" s="658"/>
      <c r="G697" s="653"/>
      <c r="H697" s="653"/>
    </row>
    <row r="698" spans="1:10" ht="15.75" x14ac:dyDescent="0.25">
      <c r="A698" s="666" t="s">
        <v>4414</v>
      </c>
      <c r="B698" s="660"/>
      <c r="C698" s="660">
        <v>1</v>
      </c>
      <c r="D698" s="661">
        <f>PIEDRAS!K84</f>
        <v>3750</v>
      </c>
      <c r="E698" s="662">
        <f>D698</f>
        <v>3750</v>
      </c>
      <c r="F698" s="658"/>
      <c r="G698" s="653"/>
      <c r="H698" s="653"/>
    </row>
    <row r="699" spans="1:10" ht="15.75" x14ac:dyDescent="0.25">
      <c r="A699" s="666" t="s">
        <v>1608</v>
      </c>
      <c r="B699" s="660"/>
      <c r="C699" s="660">
        <v>0.1</v>
      </c>
      <c r="D699" s="661">
        <f>'AROS, CADENAS, DIJES, ETC'!I38</f>
        <v>3630</v>
      </c>
      <c r="E699" s="662">
        <f>C699*D699</f>
        <v>363</v>
      </c>
      <c r="F699" s="658"/>
      <c r="G699" s="653"/>
      <c r="H699" s="653"/>
    </row>
    <row r="700" spans="1:10" ht="15.75" x14ac:dyDescent="0.25">
      <c r="A700" s="666" t="s">
        <v>1554</v>
      </c>
      <c r="B700" s="660" t="s">
        <v>777</v>
      </c>
      <c r="C700" s="660">
        <v>2</v>
      </c>
      <c r="D700" s="661">
        <f>FORNITURAS!D24</f>
        <v>34.666666666666664</v>
      </c>
      <c r="E700" s="662">
        <f>D700*C700</f>
        <v>69.333333333333329</v>
      </c>
      <c r="F700" s="658"/>
      <c r="G700" s="653"/>
      <c r="H700" s="653"/>
    </row>
    <row r="701" spans="1:10" ht="15.75" x14ac:dyDescent="0.25">
      <c r="A701" s="666" t="s">
        <v>1424</v>
      </c>
      <c r="B701" s="660"/>
      <c r="C701" s="660">
        <v>0.42</v>
      </c>
      <c r="D701" s="661">
        <f>'HILOS-CORDONES-TANZA-CUERO'!L9</f>
        <v>30</v>
      </c>
      <c r="E701" s="662">
        <f>D701*C701</f>
        <v>12.6</v>
      </c>
      <c r="F701" s="658"/>
      <c r="G701" s="653"/>
      <c r="H701" s="653"/>
    </row>
    <row r="702" spans="1:10" ht="15.75" x14ac:dyDescent="0.25">
      <c r="A702" s="666" t="s">
        <v>1012</v>
      </c>
      <c r="B702" s="660"/>
      <c r="C702" s="660">
        <v>4</v>
      </c>
      <c r="D702" s="661">
        <f>FORNITURAS!D16</f>
        <v>45.05</v>
      </c>
      <c r="E702" s="662">
        <f>D702*C702</f>
        <v>180.2</v>
      </c>
      <c r="F702" s="658"/>
      <c r="G702" s="653"/>
      <c r="H702" s="653"/>
    </row>
    <row r="703" spans="1:10" ht="15.75" x14ac:dyDescent="0.25">
      <c r="A703" s="666" t="s">
        <v>1587</v>
      </c>
      <c r="B703" s="660"/>
      <c r="C703" s="660">
        <v>1</v>
      </c>
      <c r="D703" s="661">
        <f>FORNITURAS!D19</f>
        <v>855</v>
      </c>
      <c r="E703" s="662">
        <f>C703*D703</f>
        <v>855</v>
      </c>
      <c r="F703" s="658"/>
      <c r="G703" s="653"/>
      <c r="H703" s="653"/>
    </row>
    <row r="704" spans="1:10" ht="15.75" x14ac:dyDescent="0.25">
      <c r="A704" s="666" t="s">
        <v>1557</v>
      </c>
      <c r="B704" s="660"/>
      <c r="C704" s="660"/>
      <c r="D704" s="661"/>
      <c r="E704" s="667">
        <f>PACKAGING!E4</f>
        <v>80</v>
      </c>
      <c r="F704" s="653"/>
      <c r="G704" s="658"/>
      <c r="H704" s="653"/>
    </row>
    <row r="705" spans="1:10" ht="15.75" x14ac:dyDescent="0.25">
      <c r="A705" s="666" t="s">
        <v>3362</v>
      </c>
      <c r="B705" s="660"/>
      <c r="C705" s="660"/>
      <c r="D705" s="661"/>
      <c r="E705" s="667">
        <f>PACKAGING!E17</f>
        <v>7.5</v>
      </c>
      <c r="F705" s="653"/>
      <c r="G705" s="658"/>
      <c r="H705" s="653"/>
    </row>
    <row r="706" spans="1:10" ht="15.75" x14ac:dyDescent="0.25">
      <c r="A706" s="666" t="s">
        <v>1634</v>
      </c>
      <c r="B706" s="660"/>
      <c r="C706" s="660"/>
      <c r="D706" s="661"/>
      <c r="E706" s="667">
        <f>PACKAGING!E7</f>
        <v>170</v>
      </c>
      <c r="F706" s="653"/>
      <c r="G706" s="658"/>
      <c r="H706" s="653"/>
    </row>
    <row r="707" spans="1:10" ht="15.75" x14ac:dyDescent="0.25">
      <c r="A707" s="683" t="s">
        <v>1618</v>
      </c>
      <c r="B707" s="660">
        <v>60</v>
      </c>
      <c r="C707" s="660">
        <v>20</v>
      </c>
      <c r="D707" s="668">
        <f>'INSUMOS VARIOS'!B3</f>
        <v>3500</v>
      </c>
      <c r="E707" s="669">
        <f>D707*C707/B707</f>
        <v>1166.6666666666667</v>
      </c>
      <c r="F707" s="1" t="s">
        <v>3023</v>
      </c>
      <c r="G707" s="658"/>
      <c r="H707" s="653"/>
    </row>
    <row r="708" spans="1:10" ht="16.5" thickBot="1" x14ac:dyDescent="0.3">
      <c r="A708" s="670" t="s">
        <v>525</v>
      </c>
      <c r="B708" s="671"/>
      <c r="C708" s="671"/>
      <c r="D708" s="672"/>
      <c r="E708" s="673">
        <f>SUM(E695:E707)</f>
        <v>9441.7165289256191</v>
      </c>
      <c r="F708" s="698">
        <f>E708+G709+G710</f>
        <v>12719.716528925619</v>
      </c>
      <c r="G708" s="653" t="s">
        <v>2028</v>
      </c>
      <c r="H708" s="1276" t="s">
        <v>2029</v>
      </c>
    </row>
    <row r="709" spans="1:10" ht="16.5" thickBot="1" x14ac:dyDescent="0.3">
      <c r="A709" s="675" t="s">
        <v>544</v>
      </c>
      <c r="B709" s="676"/>
      <c r="C709" s="676"/>
      <c r="D709" s="677"/>
      <c r="E709" s="692">
        <f>E708*2</f>
        <v>18883.433057851238</v>
      </c>
      <c r="F709" s="957">
        <f>E709+E709*70%</f>
        <v>32101.836198347104</v>
      </c>
      <c r="G709" s="680">
        <f>PACKAGING!I3</f>
        <v>2433</v>
      </c>
      <c r="H709" s="681">
        <f>F709+G709+G710</f>
        <v>35379.836198347104</v>
      </c>
      <c r="I709" s="681">
        <v>52000</v>
      </c>
    </row>
    <row r="710" spans="1:10" ht="16.5" thickBot="1" x14ac:dyDescent="0.3">
      <c r="A710" s="684" t="s">
        <v>1559</v>
      </c>
      <c r="B710" s="685"/>
      <c r="C710" s="685"/>
      <c r="D710" s="686"/>
      <c r="E710" s="686"/>
      <c r="F710" s="816"/>
      <c r="G710" s="701">
        <f>PACKAGING!I5</f>
        <v>845</v>
      </c>
      <c r="H710" s="1276"/>
      <c r="I710" s="1275">
        <f>I709*60%</f>
        <v>31200</v>
      </c>
      <c r="J710" s="1273" t="s">
        <v>3688</v>
      </c>
    </row>
    <row r="711" spans="1:10" ht="15.75" thickBot="1" x14ac:dyDescent="0.3"/>
    <row r="712" spans="1:10" ht="16.5" thickBot="1" x14ac:dyDescent="0.3">
      <c r="A712" s="1778" t="s">
        <v>4437</v>
      </c>
      <c r="B712" s="1779"/>
      <c r="C712" s="1779"/>
      <c r="D712" s="1779"/>
      <c r="E712" s="1780"/>
      <c r="F712" s="1294"/>
      <c r="G712" s="653"/>
      <c r="H712" s="653"/>
    </row>
    <row r="713" spans="1:10" ht="15.75" x14ac:dyDescent="0.25">
      <c r="A713" s="654" t="s">
        <v>916</v>
      </c>
      <c r="B713" s="655" t="s">
        <v>743</v>
      </c>
      <c r="C713" s="655" t="s">
        <v>1566</v>
      </c>
      <c r="D713" s="656" t="s">
        <v>1035</v>
      </c>
      <c r="E713" s="657" t="s">
        <v>1549</v>
      </c>
      <c r="F713" s="658"/>
      <c r="G713" s="653"/>
      <c r="H713" s="653"/>
    </row>
    <row r="714" spans="1:10" ht="15.75" x14ac:dyDescent="0.25">
      <c r="A714" s="659" t="s">
        <v>4422</v>
      </c>
      <c r="B714" s="660">
        <v>0.39</v>
      </c>
      <c r="C714" s="660">
        <v>0.38500000000000001</v>
      </c>
      <c r="D714" s="661">
        <f>PIEDRAS!E94</f>
        <v>2000</v>
      </c>
      <c r="E714" s="662">
        <f>D714*C714/B714</f>
        <v>1974.3589743589744</v>
      </c>
      <c r="F714" s="658"/>
      <c r="G714" s="653"/>
      <c r="H714" s="653"/>
    </row>
    <row r="715" spans="1:10" ht="15.75" x14ac:dyDescent="0.25">
      <c r="A715" s="659" t="s">
        <v>4250</v>
      </c>
      <c r="B715" s="660">
        <v>40</v>
      </c>
      <c r="C715" s="660">
        <v>1.1000000000000001</v>
      </c>
      <c r="D715" s="661">
        <f>'HILOS-CORDONES-TANZA-CUERO'!D25</f>
        <v>1000</v>
      </c>
      <c r="E715" s="662">
        <f>D715*C715/B715</f>
        <v>27.5</v>
      </c>
      <c r="F715" s="658"/>
      <c r="G715" s="653"/>
      <c r="H715" s="653"/>
    </row>
    <row r="716" spans="1:10" ht="15.75" x14ac:dyDescent="0.25">
      <c r="A716" s="1736" t="s">
        <v>1572</v>
      </c>
      <c r="B716" s="660" t="s">
        <v>1556</v>
      </c>
      <c r="C716" s="660">
        <v>2</v>
      </c>
      <c r="D716" s="661">
        <f>FORNITURAS!D4</f>
        <v>48.7</v>
      </c>
      <c r="E716" s="662">
        <f t="shared" ref="E716:E717" si="23">D716*C716</f>
        <v>97.4</v>
      </c>
      <c r="F716" s="658"/>
      <c r="G716" s="653"/>
      <c r="H716" s="653"/>
    </row>
    <row r="717" spans="1:10" ht="15.75" x14ac:dyDescent="0.25">
      <c r="A717" s="1737"/>
      <c r="B717" s="660" t="s">
        <v>1573</v>
      </c>
      <c r="C717" s="660">
        <v>1</v>
      </c>
      <c r="D717" s="661">
        <f>FORNITURAS!D7</f>
        <v>52</v>
      </c>
      <c r="E717" s="662">
        <f t="shared" si="23"/>
        <v>52</v>
      </c>
      <c r="F717" s="658"/>
      <c r="G717" s="653"/>
      <c r="H717" s="653"/>
    </row>
    <row r="718" spans="1:10" ht="15.75" x14ac:dyDescent="0.25">
      <c r="A718" s="666" t="s">
        <v>1608</v>
      </c>
      <c r="B718" s="660"/>
      <c r="C718" s="660">
        <v>0.1</v>
      </c>
      <c r="D718" s="661">
        <f>'AROS, CADENAS, DIJES, ETC'!I38</f>
        <v>3630</v>
      </c>
      <c r="E718" s="662">
        <f>C718*D718</f>
        <v>363</v>
      </c>
      <c r="F718" s="658"/>
      <c r="G718" s="653"/>
      <c r="H718" s="653"/>
    </row>
    <row r="719" spans="1:10" ht="15.75" x14ac:dyDescent="0.25">
      <c r="A719" s="666" t="s">
        <v>1554</v>
      </c>
      <c r="B719" s="660" t="s">
        <v>777</v>
      </c>
      <c r="C719" s="660">
        <v>2</v>
      </c>
      <c r="D719" s="661">
        <f>FORNITURAS!D24</f>
        <v>34.666666666666664</v>
      </c>
      <c r="E719" s="662">
        <f>D719*C719</f>
        <v>69.333333333333329</v>
      </c>
      <c r="F719" s="658"/>
      <c r="G719" s="653"/>
      <c r="H719" s="653"/>
    </row>
    <row r="720" spans="1:10" ht="15.75" x14ac:dyDescent="0.25">
      <c r="A720" s="666" t="s">
        <v>1587</v>
      </c>
      <c r="B720" s="660"/>
      <c r="C720" s="660">
        <v>1</v>
      </c>
      <c r="D720" s="661">
        <f>FORNITURAS!D19</f>
        <v>855</v>
      </c>
      <c r="E720" s="662">
        <f>C720*D720</f>
        <v>855</v>
      </c>
      <c r="F720" s="658"/>
      <c r="G720" s="653"/>
    </row>
    <row r="721" spans="1:8" ht="15.75" x14ac:dyDescent="0.25">
      <c r="A721" s="666" t="s">
        <v>1557</v>
      </c>
      <c r="B721" s="660"/>
      <c r="C721" s="660"/>
      <c r="D721" s="661"/>
      <c r="E721" s="667">
        <f>PACKAGING!E4</f>
        <v>80</v>
      </c>
      <c r="F721" s="653"/>
      <c r="G721" s="658"/>
    </row>
    <row r="722" spans="1:8" ht="15.75" x14ac:dyDescent="0.25">
      <c r="A722" s="666" t="s">
        <v>3362</v>
      </c>
      <c r="B722" s="660"/>
      <c r="C722" s="660"/>
      <c r="D722" s="661"/>
      <c r="E722" s="667">
        <f>PACKAGING!E17</f>
        <v>7.5</v>
      </c>
      <c r="F722" s="653"/>
      <c r="G722" s="658"/>
    </row>
    <row r="723" spans="1:8" ht="15.75" x14ac:dyDescent="0.25">
      <c r="A723" s="666" t="s">
        <v>1634</v>
      </c>
      <c r="B723" s="660"/>
      <c r="C723" s="660"/>
      <c r="D723" s="661"/>
      <c r="E723" s="667">
        <f>PACKAGING!E7</f>
        <v>170</v>
      </c>
      <c r="F723" s="653"/>
      <c r="G723" s="658"/>
    </row>
    <row r="724" spans="1:8" ht="15.75" x14ac:dyDescent="0.25">
      <c r="A724" s="1339" t="s">
        <v>1979</v>
      </c>
      <c r="B724" s="660"/>
      <c r="C724" s="660"/>
      <c r="D724" s="668"/>
      <c r="E724" s="667">
        <f>PACKAGING!E9</f>
        <v>450</v>
      </c>
      <c r="F724" s="653"/>
      <c r="G724" s="658"/>
    </row>
    <row r="725" spans="1:8" ht="15.75" x14ac:dyDescent="0.25">
      <c r="A725" s="683" t="s">
        <v>1618</v>
      </c>
      <c r="B725" s="660">
        <v>60</v>
      </c>
      <c r="C725" s="660">
        <v>20</v>
      </c>
      <c r="D725" s="668">
        <f>'INSUMOS VARIOS'!B3</f>
        <v>3500</v>
      </c>
      <c r="E725" s="669">
        <f>D725*C725/B725</f>
        <v>1166.6666666666667</v>
      </c>
      <c r="F725" s="1"/>
      <c r="G725" s="658"/>
    </row>
    <row r="726" spans="1:8" ht="16.5" thickBot="1" x14ac:dyDescent="0.3">
      <c r="A726" s="670" t="s">
        <v>525</v>
      </c>
      <c r="B726" s="671"/>
      <c r="C726" s="671"/>
      <c r="D726" s="672"/>
      <c r="E726" s="673">
        <f>SUM(E714:E725)</f>
        <v>5312.7589743589751</v>
      </c>
      <c r="F726" s="698"/>
      <c r="G726" s="653"/>
    </row>
    <row r="727" spans="1:8" ht="16.5" thickBot="1" x14ac:dyDescent="0.3">
      <c r="A727" s="675" t="s">
        <v>544</v>
      </c>
      <c r="B727" s="676"/>
      <c r="C727" s="676"/>
      <c r="D727" s="677"/>
      <c r="E727" s="692">
        <f>E726*2</f>
        <v>10625.51794871795</v>
      </c>
      <c r="F727" s="957">
        <f>E727+E727*70%</f>
        <v>18063.380512820513</v>
      </c>
      <c r="G727" s="681">
        <v>36000</v>
      </c>
    </row>
    <row r="728" spans="1:8" ht="16.5" thickBot="1" x14ac:dyDescent="0.3">
      <c r="A728" s="684" t="s">
        <v>1559</v>
      </c>
      <c r="B728" s="685"/>
      <c r="C728" s="685"/>
      <c r="D728" s="686"/>
      <c r="E728" s="686"/>
      <c r="F728" s="816"/>
      <c r="G728" s="1275">
        <f>G727*60%</f>
        <v>21600</v>
      </c>
      <c r="H728" t="s">
        <v>3688</v>
      </c>
    </row>
    <row r="729" spans="1:8" ht="15.75" thickBot="1" x14ac:dyDescent="0.3"/>
    <row r="730" spans="1:8" ht="16.5" thickBot="1" x14ac:dyDescent="0.3">
      <c r="A730" s="1778" t="s">
        <v>4439</v>
      </c>
      <c r="B730" s="1779"/>
      <c r="C730" s="1779"/>
      <c r="D730" s="1779"/>
      <c r="E730" s="1780"/>
      <c r="F730" s="1294"/>
      <c r="G730" s="653"/>
      <c r="H730" s="653"/>
    </row>
    <row r="731" spans="1:8" ht="15.75" x14ac:dyDescent="0.25">
      <c r="A731" s="654" t="s">
        <v>916</v>
      </c>
      <c r="B731" s="655" t="s">
        <v>743</v>
      </c>
      <c r="C731" s="655" t="s">
        <v>1566</v>
      </c>
      <c r="D731" s="656" t="s">
        <v>1035</v>
      </c>
      <c r="E731" s="657" t="s">
        <v>1549</v>
      </c>
      <c r="F731" s="658"/>
      <c r="G731" s="653"/>
      <c r="H731" s="653"/>
    </row>
    <row r="732" spans="1:8" ht="15.75" x14ac:dyDescent="0.25">
      <c r="A732" s="659" t="s">
        <v>4377</v>
      </c>
      <c r="B732" s="660">
        <v>0.39</v>
      </c>
      <c r="C732" s="660">
        <v>0.38500000000000001</v>
      </c>
      <c r="D732" s="661">
        <f>PIEDRAS!E12</f>
        <v>4320</v>
      </c>
      <c r="E732" s="662">
        <f>D732*C732/B732</f>
        <v>4264.6153846153848</v>
      </c>
      <c r="F732" s="658"/>
      <c r="G732" s="653"/>
      <c r="H732" s="653"/>
    </row>
    <row r="733" spans="1:8" ht="15.75" x14ac:dyDescent="0.25">
      <c r="A733" s="659" t="s">
        <v>4438</v>
      </c>
      <c r="B733" s="660">
        <v>40</v>
      </c>
      <c r="C733" s="660">
        <v>1.1000000000000001</v>
      </c>
      <c r="D733" s="661">
        <f>'HILOS-CORDONES-TANZA-CUERO'!D27</f>
        <v>1000</v>
      </c>
      <c r="E733" s="662">
        <f>D733*C733/B733</f>
        <v>27.5</v>
      </c>
      <c r="F733" s="658"/>
      <c r="G733" s="653"/>
      <c r="H733" s="653"/>
    </row>
    <row r="734" spans="1:8" ht="15.75" x14ac:dyDescent="0.25">
      <c r="A734" s="1736" t="s">
        <v>1572</v>
      </c>
      <c r="B734" s="660" t="s">
        <v>1556</v>
      </c>
      <c r="C734" s="660">
        <v>2</v>
      </c>
      <c r="D734" s="661">
        <f>FORNITURAS!D4</f>
        <v>48.7</v>
      </c>
      <c r="E734" s="662">
        <f t="shared" ref="E734:E735" si="24">D734*C734</f>
        <v>97.4</v>
      </c>
      <c r="F734" s="658"/>
      <c r="G734" s="653"/>
      <c r="H734" s="653"/>
    </row>
    <row r="735" spans="1:8" ht="15.75" x14ac:dyDescent="0.25">
      <c r="A735" s="1737"/>
      <c r="B735" s="660" t="s">
        <v>1573</v>
      </c>
      <c r="C735" s="660">
        <v>1</v>
      </c>
      <c r="D735" s="661">
        <f>FORNITURAS!D7</f>
        <v>52</v>
      </c>
      <c r="E735" s="662">
        <f t="shared" si="24"/>
        <v>52</v>
      </c>
      <c r="F735" s="658"/>
      <c r="G735" s="653"/>
      <c r="H735" s="653"/>
    </row>
    <row r="736" spans="1:8" ht="15.75" x14ac:dyDescent="0.25">
      <c r="A736" s="666" t="s">
        <v>1608</v>
      </c>
      <c r="B736" s="660"/>
      <c r="C736" s="660">
        <v>0.1</v>
      </c>
      <c r="D736" s="661">
        <f>'AROS, CADENAS, DIJES, ETC'!I38</f>
        <v>3630</v>
      </c>
      <c r="E736" s="662">
        <f>C736*D736</f>
        <v>363</v>
      </c>
      <c r="F736" s="658"/>
      <c r="G736" s="653"/>
      <c r="H736" s="653"/>
    </row>
    <row r="737" spans="1:8" ht="15.75" x14ac:dyDescent="0.25">
      <c r="A737" s="666" t="s">
        <v>1554</v>
      </c>
      <c r="B737" s="660" t="s">
        <v>777</v>
      </c>
      <c r="C737" s="660">
        <v>2</v>
      </c>
      <c r="D737" s="661">
        <f>FORNITURAS!D24</f>
        <v>34.666666666666664</v>
      </c>
      <c r="E737" s="662">
        <f>D737*C737</f>
        <v>69.333333333333329</v>
      </c>
      <c r="F737" s="658"/>
      <c r="G737" s="653"/>
      <c r="H737" s="653"/>
    </row>
    <row r="738" spans="1:8" ht="15.75" x14ac:dyDescent="0.25">
      <c r="A738" s="666" t="s">
        <v>1587</v>
      </c>
      <c r="B738" s="660"/>
      <c r="C738" s="660">
        <v>1</v>
      </c>
      <c r="D738" s="661">
        <f>FORNITURAS!D19</f>
        <v>855</v>
      </c>
      <c r="E738" s="662">
        <f>C738*D738</f>
        <v>855</v>
      </c>
      <c r="F738" s="658"/>
      <c r="G738" s="653"/>
    </row>
    <row r="739" spans="1:8" ht="15.75" x14ac:dyDescent="0.25">
      <c r="A739" s="666" t="s">
        <v>1557</v>
      </c>
      <c r="B739" s="660"/>
      <c r="C739" s="660"/>
      <c r="D739" s="661"/>
      <c r="E739" s="667">
        <f>PACKAGING!E4</f>
        <v>80</v>
      </c>
      <c r="F739" s="653"/>
      <c r="G739" s="658"/>
    </row>
    <row r="740" spans="1:8" ht="15.75" x14ac:dyDescent="0.25">
      <c r="A740" s="666" t="s">
        <v>3362</v>
      </c>
      <c r="B740" s="660"/>
      <c r="C740" s="660"/>
      <c r="D740" s="661"/>
      <c r="E740" s="667">
        <f>PACKAGING!E17</f>
        <v>7.5</v>
      </c>
      <c r="F740" s="653"/>
      <c r="G740" s="658"/>
    </row>
    <row r="741" spans="1:8" ht="15.75" x14ac:dyDescent="0.25">
      <c r="A741" s="666" t="s">
        <v>1634</v>
      </c>
      <c r="B741" s="660"/>
      <c r="C741" s="660"/>
      <c r="D741" s="661"/>
      <c r="E741" s="667">
        <f>PACKAGING!E7</f>
        <v>170</v>
      </c>
      <c r="F741" s="653"/>
      <c r="G741" s="658"/>
    </row>
    <row r="742" spans="1:8" ht="15.75" x14ac:dyDescent="0.25">
      <c r="A742" s="1339" t="s">
        <v>1979</v>
      </c>
      <c r="B742" s="660"/>
      <c r="C742" s="660"/>
      <c r="D742" s="668"/>
      <c r="E742" s="667">
        <f>PACKAGING!E9</f>
        <v>450</v>
      </c>
      <c r="F742" s="653"/>
      <c r="G742" s="658"/>
    </row>
    <row r="743" spans="1:8" ht="15.75" x14ac:dyDescent="0.25">
      <c r="A743" s="683" t="s">
        <v>1618</v>
      </c>
      <c r="B743" s="660">
        <v>60</v>
      </c>
      <c r="C743" s="660">
        <v>20</v>
      </c>
      <c r="D743" s="668">
        <f>'INSUMOS VARIOS'!B3</f>
        <v>3500</v>
      </c>
      <c r="E743" s="669">
        <f>D743*C743/B743</f>
        <v>1166.6666666666667</v>
      </c>
      <c r="F743" s="1"/>
      <c r="G743" s="658"/>
    </row>
    <row r="744" spans="1:8" ht="16.5" thickBot="1" x14ac:dyDescent="0.3">
      <c r="A744" s="670" t="s">
        <v>525</v>
      </c>
      <c r="B744" s="671"/>
      <c r="C744" s="671"/>
      <c r="D744" s="672"/>
      <c r="E744" s="673">
        <f>SUM(E732:E743)</f>
        <v>7603.0153846153844</v>
      </c>
      <c r="F744" s="698"/>
      <c r="G744" s="653"/>
    </row>
    <row r="745" spans="1:8" ht="16.5" thickBot="1" x14ac:dyDescent="0.3">
      <c r="A745" s="675" t="s">
        <v>544</v>
      </c>
      <c r="B745" s="676"/>
      <c r="C745" s="676"/>
      <c r="D745" s="677"/>
      <c r="E745" s="692">
        <f>E744*2</f>
        <v>15206.030769230769</v>
      </c>
      <c r="F745" s="957">
        <f>E745+E745*70%</f>
        <v>25850.252307692306</v>
      </c>
      <c r="G745" s="681">
        <v>36000</v>
      </c>
    </row>
    <row r="746" spans="1:8" ht="16.5" thickBot="1" x14ac:dyDescent="0.3">
      <c r="A746" s="684" t="s">
        <v>1559</v>
      </c>
      <c r="B746" s="685"/>
      <c r="C746" s="685"/>
      <c r="D746" s="686"/>
      <c r="E746" s="686"/>
      <c r="F746" s="816"/>
      <c r="G746" s="1275">
        <f>G745*60%</f>
        <v>21600</v>
      </c>
      <c r="H746" t="s">
        <v>3688</v>
      </c>
    </row>
    <row r="747" spans="1:8" ht="15.75" thickBot="1" x14ac:dyDescent="0.3"/>
    <row r="748" spans="1:8" ht="16.5" thickBot="1" x14ac:dyDescent="0.3">
      <c r="A748" s="1778" t="s">
        <v>4440</v>
      </c>
      <c r="B748" s="1779"/>
      <c r="C748" s="1779"/>
      <c r="D748" s="1779"/>
      <c r="E748" s="1780"/>
      <c r="F748" s="1294"/>
      <c r="G748" s="653"/>
      <c r="H748" s="653"/>
    </row>
    <row r="749" spans="1:8" ht="15.75" x14ac:dyDescent="0.25">
      <c r="A749" s="654" t="s">
        <v>916</v>
      </c>
      <c r="B749" s="655" t="s">
        <v>743</v>
      </c>
      <c r="C749" s="655" t="s">
        <v>1566</v>
      </c>
      <c r="D749" s="656" t="s">
        <v>1035</v>
      </c>
      <c r="E749" s="657" t="s">
        <v>1549</v>
      </c>
      <c r="F749" s="658"/>
      <c r="G749" s="653"/>
      <c r="H749" s="653"/>
    </row>
    <row r="750" spans="1:8" ht="15.75" x14ac:dyDescent="0.25">
      <c r="A750" s="659" t="s">
        <v>4425</v>
      </c>
      <c r="B750" s="660"/>
      <c r="C750" s="660">
        <v>26</v>
      </c>
      <c r="D750" s="661">
        <f>PIEDRAS!F9</f>
        <v>63.636363636363633</v>
      </c>
      <c r="E750" s="662">
        <f>D750*C750</f>
        <v>1654.5454545454545</v>
      </c>
      <c r="F750" s="658"/>
      <c r="G750" s="653"/>
      <c r="H750" s="653"/>
    </row>
    <row r="751" spans="1:8" ht="15.75" x14ac:dyDescent="0.25">
      <c r="A751" s="659" t="s">
        <v>4389</v>
      </c>
      <c r="B751" s="660"/>
      <c r="C751" s="660">
        <v>26</v>
      </c>
      <c r="D751" s="661">
        <f>PIEDRAS!F90</f>
        <v>109.09090909090909</v>
      </c>
      <c r="E751" s="662">
        <f>D751*C751</f>
        <v>2836.3636363636365</v>
      </c>
      <c r="F751" s="658"/>
      <c r="G751" s="653"/>
      <c r="H751" s="653"/>
    </row>
    <row r="752" spans="1:8" ht="15.75" x14ac:dyDescent="0.25">
      <c r="A752" s="1736" t="s">
        <v>1572</v>
      </c>
      <c r="B752" s="660" t="s">
        <v>1556</v>
      </c>
      <c r="C752" s="660">
        <v>2</v>
      </c>
      <c r="D752" s="661">
        <f>FORNITURAS!D4</f>
        <v>48.7</v>
      </c>
      <c r="E752" s="662">
        <f t="shared" ref="E752:E753" si="25">D752*C752</f>
        <v>97.4</v>
      </c>
      <c r="F752" s="658"/>
      <c r="G752" s="653"/>
      <c r="H752" s="653"/>
    </row>
    <row r="753" spans="1:10" ht="15.75" x14ac:dyDescent="0.25">
      <c r="A753" s="1737"/>
      <c r="B753" s="660" t="s">
        <v>1573</v>
      </c>
      <c r="C753" s="660">
        <v>1</v>
      </c>
      <c r="D753" s="661">
        <f>FORNITURAS!D7</f>
        <v>52</v>
      </c>
      <c r="E753" s="662">
        <f t="shared" si="25"/>
        <v>52</v>
      </c>
      <c r="F753" s="658"/>
      <c r="G753" s="653"/>
      <c r="H753" s="653"/>
    </row>
    <row r="754" spans="1:10" ht="15.75" x14ac:dyDescent="0.25">
      <c r="A754" s="666" t="s">
        <v>4428</v>
      </c>
      <c r="B754" s="660"/>
      <c r="C754" s="660">
        <v>1</v>
      </c>
      <c r="D754" s="661">
        <f>PIEDRAS!K84</f>
        <v>3750</v>
      </c>
      <c r="E754" s="662">
        <f>D754</f>
        <v>3750</v>
      </c>
      <c r="F754" s="658"/>
      <c r="G754" s="653"/>
      <c r="H754" s="653"/>
    </row>
    <row r="755" spans="1:10" ht="15.75" x14ac:dyDescent="0.25">
      <c r="A755" s="666" t="s">
        <v>1608</v>
      </c>
      <c r="B755" s="660"/>
      <c r="C755" s="660">
        <v>0.1</v>
      </c>
      <c r="D755" s="661">
        <f>'AROS, CADENAS, DIJES, ETC'!I38</f>
        <v>3630</v>
      </c>
      <c r="E755" s="662">
        <f>C755*D755</f>
        <v>363</v>
      </c>
      <c r="F755" s="658"/>
      <c r="G755" s="653"/>
      <c r="H755" s="653"/>
    </row>
    <row r="756" spans="1:10" ht="15.75" x14ac:dyDescent="0.25">
      <c r="A756" s="666" t="s">
        <v>1554</v>
      </c>
      <c r="B756" s="660" t="s">
        <v>777</v>
      </c>
      <c r="C756" s="660">
        <v>2</v>
      </c>
      <c r="D756" s="661">
        <f>FORNITURAS!D24</f>
        <v>34.666666666666664</v>
      </c>
      <c r="E756" s="662">
        <f>D756*C756</f>
        <v>69.333333333333329</v>
      </c>
      <c r="F756" s="658"/>
      <c r="G756" s="653"/>
      <c r="H756" s="653"/>
    </row>
    <row r="757" spans="1:10" ht="15.75" x14ac:dyDescent="0.25">
      <c r="A757" s="666" t="s">
        <v>1424</v>
      </c>
      <c r="B757" s="660"/>
      <c r="C757" s="660">
        <v>0.42</v>
      </c>
      <c r="D757" s="661">
        <f>'HILOS-CORDONES-TANZA-CUERO'!L9</f>
        <v>30</v>
      </c>
      <c r="E757" s="662">
        <f>D757*C757</f>
        <v>12.6</v>
      </c>
      <c r="F757" s="658"/>
      <c r="G757" s="653"/>
      <c r="H757" s="653"/>
    </row>
    <row r="758" spans="1:10" ht="15.75" x14ac:dyDescent="0.25">
      <c r="A758" s="666" t="s">
        <v>1012</v>
      </c>
      <c r="B758" s="660"/>
      <c r="C758" s="660">
        <v>4</v>
      </c>
      <c r="D758" s="661">
        <f>FORNITURAS!D16</f>
        <v>45.05</v>
      </c>
      <c r="E758" s="662">
        <f>D758*C758</f>
        <v>180.2</v>
      </c>
      <c r="F758" s="658"/>
      <c r="G758" s="653"/>
      <c r="H758" s="653"/>
    </row>
    <row r="759" spans="1:10" ht="15.75" x14ac:dyDescent="0.25">
      <c r="A759" s="666" t="s">
        <v>1587</v>
      </c>
      <c r="B759" s="660"/>
      <c r="C759" s="660">
        <v>1</v>
      </c>
      <c r="D759" s="661">
        <f>FORNITURAS!D19</f>
        <v>855</v>
      </c>
      <c r="E759" s="662">
        <f>D759*C759</f>
        <v>855</v>
      </c>
      <c r="F759" s="658"/>
      <c r="G759" s="653"/>
      <c r="H759" s="653"/>
    </row>
    <row r="760" spans="1:10" ht="15.75" x14ac:dyDescent="0.25">
      <c r="A760" s="666" t="s">
        <v>1557</v>
      </c>
      <c r="B760" s="660"/>
      <c r="C760" s="660"/>
      <c r="D760" s="661"/>
      <c r="E760" s="667">
        <f>PACKAGING!E4</f>
        <v>80</v>
      </c>
      <c r="F760" s="653"/>
      <c r="G760" s="658"/>
      <c r="H760" s="653"/>
    </row>
    <row r="761" spans="1:10" ht="15.75" x14ac:dyDescent="0.25">
      <c r="A761" s="666" t="s">
        <v>3362</v>
      </c>
      <c r="B761" s="660"/>
      <c r="C761" s="660"/>
      <c r="D761" s="661"/>
      <c r="E761" s="667">
        <f>PACKAGING!E17</f>
        <v>7.5</v>
      </c>
      <c r="F761" s="653"/>
      <c r="G761" s="658"/>
      <c r="H761" s="653"/>
    </row>
    <row r="762" spans="1:10" ht="15.75" x14ac:dyDescent="0.25">
      <c r="A762" s="666" t="s">
        <v>1634</v>
      </c>
      <c r="B762" s="660"/>
      <c r="C762" s="660"/>
      <c r="D762" s="661"/>
      <c r="E762" s="667">
        <f>PACKAGING!E7</f>
        <v>170</v>
      </c>
      <c r="F762" s="653"/>
      <c r="G762" s="658"/>
      <c r="H762" s="653"/>
    </row>
    <row r="763" spans="1:10" ht="15.75" x14ac:dyDescent="0.25">
      <c r="A763" s="683" t="s">
        <v>1618</v>
      </c>
      <c r="B763" s="660">
        <v>60</v>
      </c>
      <c r="C763" s="660">
        <v>30</v>
      </c>
      <c r="D763" s="668">
        <f>'INSUMOS VARIOS'!B3</f>
        <v>3500</v>
      </c>
      <c r="E763" s="669">
        <f>D763*C763/B763</f>
        <v>1750</v>
      </c>
      <c r="F763" s="1" t="s">
        <v>3023</v>
      </c>
      <c r="G763" s="658"/>
      <c r="H763" s="653"/>
    </row>
    <row r="764" spans="1:10" ht="16.5" thickBot="1" x14ac:dyDescent="0.3">
      <c r="A764" s="670" t="s">
        <v>525</v>
      </c>
      <c r="B764" s="671"/>
      <c r="C764" s="671"/>
      <c r="D764" s="672"/>
      <c r="E764" s="673">
        <f>SUM(E750:E763)</f>
        <v>11877.942424242425</v>
      </c>
      <c r="F764" s="698">
        <f>E764+G765+G766</f>
        <v>15155.942424242425</v>
      </c>
      <c r="G764" s="653" t="s">
        <v>2028</v>
      </c>
      <c r="H764" s="1276" t="s">
        <v>2029</v>
      </c>
    </row>
    <row r="765" spans="1:10" ht="16.5" thickBot="1" x14ac:dyDescent="0.3">
      <c r="A765" s="675" t="s">
        <v>544</v>
      </c>
      <c r="B765" s="676"/>
      <c r="C765" s="676"/>
      <c r="D765" s="677"/>
      <c r="E765" s="692">
        <f>E764*2</f>
        <v>23755.884848484849</v>
      </c>
      <c r="F765" s="957">
        <f>E765+E765*70%</f>
        <v>40385.004242424242</v>
      </c>
      <c r="G765" s="680">
        <f>PACKAGING!I3</f>
        <v>2433</v>
      </c>
      <c r="H765" s="681">
        <f>F765+G765+G766</f>
        <v>43663.004242424242</v>
      </c>
      <c r="I765" s="681">
        <v>52000</v>
      </c>
      <c r="J765" s="1273" t="s">
        <v>3688</v>
      </c>
    </row>
    <row r="766" spans="1:10" ht="16.5" thickBot="1" x14ac:dyDescent="0.3">
      <c r="A766" s="684" t="s">
        <v>1559</v>
      </c>
      <c r="B766" s="685"/>
      <c r="C766" s="685"/>
      <c r="D766" s="686"/>
      <c r="E766" s="686"/>
      <c r="F766" s="816"/>
      <c r="G766" s="701">
        <f>PACKAGING!I5</f>
        <v>845</v>
      </c>
      <c r="H766" s="1276"/>
      <c r="I766" s="1275">
        <f>I765*60%</f>
        <v>31200</v>
      </c>
    </row>
    <row r="767" spans="1:10" ht="15.75" thickBot="1" x14ac:dyDescent="0.3"/>
    <row r="768" spans="1:10" ht="16.5" thickBot="1" x14ac:dyDescent="0.3">
      <c r="A768" s="1778" t="s">
        <v>4441</v>
      </c>
      <c r="B768" s="1779"/>
      <c r="C768" s="1779"/>
      <c r="D768" s="1779"/>
      <c r="E768" s="1780"/>
      <c r="F768" s="1294"/>
      <c r="G768" s="653"/>
      <c r="H768" s="653"/>
    </row>
    <row r="769" spans="1:8" ht="15.75" x14ac:dyDescent="0.25">
      <c r="A769" s="654" t="s">
        <v>916</v>
      </c>
      <c r="B769" s="655" t="s">
        <v>743</v>
      </c>
      <c r="C769" s="655" t="s">
        <v>1566</v>
      </c>
      <c r="D769" s="656" t="s">
        <v>1035</v>
      </c>
      <c r="E769" s="657" t="s">
        <v>1549</v>
      </c>
      <c r="F769" s="658"/>
      <c r="G769" s="653"/>
      <c r="H769" s="653"/>
    </row>
    <row r="770" spans="1:8" ht="15.75" x14ac:dyDescent="0.25">
      <c r="A770" s="659" t="s">
        <v>4472</v>
      </c>
      <c r="B770" s="660">
        <v>1.5</v>
      </c>
      <c r="C770" s="660">
        <v>9</v>
      </c>
      <c r="D770" s="661">
        <f>'PERLAS 2'!O16</f>
        <v>1166.6666666666667</v>
      </c>
      <c r="E770" s="662">
        <f>D770*C770</f>
        <v>10500</v>
      </c>
      <c r="F770" s="658"/>
      <c r="G770" s="653"/>
      <c r="H770" s="653"/>
    </row>
    <row r="771" spans="1:8" ht="15.75" x14ac:dyDescent="0.25">
      <c r="A771" s="659" t="s">
        <v>4442</v>
      </c>
      <c r="B771" s="660"/>
      <c r="C771" s="660">
        <v>6</v>
      </c>
      <c r="D771" s="661">
        <f>'PERLAS 2'!O14</f>
        <v>186.66666666666666</v>
      </c>
      <c r="E771" s="662">
        <f>D771*C771</f>
        <v>1120</v>
      </c>
      <c r="F771" s="658"/>
      <c r="G771" s="653"/>
      <c r="H771" s="653"/>
    </row>
    <row r="772" spans="1:8" ht="15.75" x14ac:dyDescent="0.25">
      <c r="A772" s="659" t="s">
        <v>4386</v>
      </c>
      <c r="B772" s="660"/>
      <c r="C772" s="660">
        <v>4</v>
      </c>
      <c r="D772" s="661">
        <f>'INSUMOS VARIOS'!E79</f>
        <v>177.08333333333334</v>
      </c>
      <c r="E772" s="662">
        <f>D772*C772</f>
        <v>708.33333333333337</v>
      </c>
      <c r="F772" s="658"/>
      <c r="G772" s="653"/>
      <c r="H772" s="653"/>
    </row>
    <row r="773" spans="1:8" ht="15.75" x14ac:dyDescent="0.25">
      <c r="A773" s="1736" t="s">
        <v>1572</v>
      </c>
      <c r="B773" s="660" t="s">
        <v>1556</v>
      </c>
      <c r="C773" s="660">
        <v>2</v>
      </c>
      <c r="D773" s="661">
        <f>FORNITURAS!D4</f>
        <v>48.7</v>
      </c>
      <c r="E773" s="662">
        <f t="shared" ref="E773:E774" si="26">D773*C773</f>
        <v>97.4</v>
      </c>
      <c r="F773" s="658"/>
      <c r="G773" s="653"/>
      <c r="H773" s="653"/>
    </row>
    <row r="774" spans="1:8" ht="15.75" x14ac:dyDescent="0.25">
      <c r="A774" s="1737"/>
      <c r="B774" s="660" t="s">
        <v>1573</v>
      </c>
      <c r="C774" s="660">
        <v>1</v>
      </c>
      <c r="D774" s="661">
        <f>FORNITURAS!D7</f>
        <v>52</v>
      </c>
      <c r="E774" s="662">
        <f t="shared" si="26"/>
        <v>52</v>
      </c>
      <c r="F774" s="658"/>
      <c r="G774" s="653"/>
      <c r="H774" s="653"/>
    </row>
    <row r="775" spans="1:8" ht="15.75" x14ac:dyDescent="0.25">
      <c r="A775" s="666" t="s">
        <v>4169</v>
      </c>
      <c r="B775" s="660"/>
      <c r="C775" s="660">
        <v>8</v>
      </c>
      <c r="D775" s="661">
        <f>'PALAIS DU BIJOU'!O17</f>
        <v>3.4375</v>
      </c>
      <c r="E775" s="662">
        <f>D775*C775</f>
        <v>27.5</v>
      </c>
      <c r="F775" s="658"/>
      <c r="G775" s="653"/>
      <c r="H775" s="653"/>
    </row>
    <row r="776" spans="1:8" ht="15.75" x14ac:dyDescent="0.25">
      <c r="A776" s="666" t="s">
        <v>4460</v>
      </c>
      <c r="B776" s="660">
        <v>30</v>
      </c>
      <c r="C776" s="660">
        <v>0.9</v>
      </c>
      <c r="D776" s="661">
        <f>'HILOS-CORDONES-TANZA-CUERO'!D26</f>
        <v>1000</v>
      </c>
      <c r="E776" s="662">
        <f>D776*C776/B776</f>
        <v>30</v>
      </c>
      <c r="F776" s="658"/>
      <c r="G776" s="653"/>
      <c r="H776" s="653"/>
    </row>
    <row r="777" spans="1:8" ht="15.75" x14ac:dyDescent="0.25">
      <c r="A777" s="666" t="s">
        <v>1608</v>
      </c>
      <c r="B777" s="660"/>
      <c r="C777" s="660">
        <v>0.1</v>
      </c>
      <c r="D777" s="661">
        <f>'AROS, CADENAS, DIJES, ETC'!I38</f>
        <v>3630</v>
      </c>
      <c r="E777" s="662">
        <f>C777*D777</f>
        <v>363</v>
      </c>
      <c r="F777" s="658"/>
      <c r="G777" s="653"/>
      <c r="H777" s="653"/>
    </row>
    <row r="778" spans="1:8" ht="15.75" x14ac:dyDescent="0.25">
      <c r="A778" s="666" t="s">
        <v>1554</v>
      </c>
      <c r="B778" s="660" t="s">
        <v>777</v>
      </c>
      <c r="C778" s="660">
        <v>2</v>
      </c>
      <c r="D778" s="661">
        <f>FORNITURAS!D24</f>
        <v>34.666666666666664</v>
      </c>
      <c r="E778" s="662">
        <f>D778*C778</f>
        <v>69.333333333333329</v>
      </c>
      <c r="F778" s="658"/>
      <c r="G778" s="653"/>
      <c r="H778" s="653"/>
    </row>
    <row r="779" spans="1:8" ht="15.75" x14ac:dyDescent="0.25">
      <c r="A779" s="666" t="s">
        <v>1587</v>
      </c>
      <c r="B779" s="660"/>
      <c r="C779" s="660">
        <v>1</v>
      </c>
      <c r="D779" s="661">
        <f>FORNITURAS!D19</f>
        <v>855</v>
      </c>
      <c r="E779" s="662">
        <f>D779*C779</f>
        <v>855</v>
      </c>
      <c r="F779" s="658"/>
      <c r="G779" s="653"/>
      <c r="H779" s="653"/>
    </row>
    <row r="780" spans="1:8" ht="15.75" x14ac:dyDescent="0.25">
      <c r="A780" s="666" t="s">
        <v>1557</v>
      </c>
      <c r="B780" s="660"/>
      <c r="C780" s="660"/>
      <c r="D780" s="661"/>
      <c r="E780" s="667">
        <f>PACKAGING!E4</f>
        <v>80</v>
      </c>
      <c r="F780" s="653"/>
      <c r="G780" s="658"/>
      <c r="H780" s="653"/>
    </row>
    <row r="781" spans="1:8" ht="15.75" x14ac:dyDescent="0.25">
      <c r="A781" s="666" t="s">
        <v>3362</v>
      </c>
      <c r="B781" s="660"/>
      <c r="C781" s="660"/>
      <c r="D781" s="661"/>
      <c r="E781" s="667">
        <f>PACKAGING!E17</f>
        <v>7.5</v>
      </c>
      <c r="F781" s="653"/>
      <c r="G781" s="658"/>
      <c r="H781" s="653"/>
    </row>
    <row r="782" spans="1:8" ht="15.75" x14ac:dyDescent="0.25">
      <c r="A782" s="666" t="s">
        <v>1634</v>
      </c>
      <c r="B782" s="660"/>
      <c r="C782" s="660"/>
      <c r="D782" s="661"/>
      <c r="E782" s="667">
        <f>PACKAGING!E7</f>
        <v>170</v>
      </c>
      <c r="F782" s="653"/>
      <c r="G782" s="658"/>
      <c r="H782" s="653"/>
    </row>
    <row r="783" spans="1:8" ht="15.75" x14ac:dyDescent="0.25">
      <c r="A783" s="683" t="s">
        <v>1618</v>
      </c>
      <c r="B783" s="660">
        <v>60</v>
      </c>
      <c r="C783" s="660">
        <v>30</v>
      </c>
      <c r="D783" s="668">
        <f>'INSUMOS VARIOS'!B3</f>
        <v>3500</v>
      </c>
      <c r="E783" s="669">
        <f>D783*C783/B783</f>
        <v>1750</v>
      </c>
      <c r="F783" s="1" t="s">
        <v>3023</v>
      </c>
      <c r="G783" s="658"/>
      <c r="H783" s="653"/>
    </row>
    <row r="784" spans="1:8" ht="16.5" thickBot="1" x14ac:dyDescent="0.3">
      <c r="A784" s="670" t="s">
        <v>525</v>
      </c>
      <c r="B784" s="671"/>
      <c r="C784" s="671"/>
      <c r="D784" s="672"/>
      <c r="E784" s="673">
        <f>SUM(E770:E783)</f>
        <v>15830.066666666668</v>
      </c>
      <c r="F784" s="698">
        <f>E784+G785+G786</f>
        <v>19108.066666666666</v>
      </c>
      <c r="G784" s="653" t="s">
        <v>2028</v>
      </c>
      <c r="H784" s="1276" t="s">
        <v>2029</v>
      </c>
    </row>
    <row r="785" spans="1:10" ht="16.5" thickBot="1" x14ac:dyDescent="0.3">
      <c r="A785" s="675" t="s">
        <v>544</v>
      </c>
      <c r="B785" s="676"/>
      <c r="C785" s="676"/>
      <c r="D785" s="677"/>
      <c r="E785" s="692">
        <f>E784*2</f>
        <v>31660.133333333335</v>
      </c>
      <c r="F785" s="957">
        <f>E785+E785*70%</f>
        <v>53822.226666666669</v>
      </c>
      <c r="G785" s="680">
        <f>PACKAGING!I3</f>
        <v>2433</v>
      </c>
      <c r="H785" s="681">
        <f>F785+G785+G786</f>
        <v>57100.226666666669</v>
      </c>
      <c r="I785" s="681">
        <v>72000</v>
      </c>
      <c r="J785" s="1273" t="s">
        <v>3688</v>
      </c>
    </row>
    <row r="786" spans="1:10" ht="16.5" thickBot="1" x14ac:dyDescent="0.3">
      <c r="A786" s="684" t="s">
        <v>1559</v>
      </c>
      <c r="B786" s="685"/>
      <c r="C786" s="685"/>
      <c r="D786" s="686"/>
      <c r="E786" s="686"/>
      <c r="F786" s="816"/>
      <c r="G786" s="701">
        <f>PACKAGING!I5</f>
        <v>845</v>
      </c>
      <c r="H786" s="1276"/>
      <c r="I786" s="1275">
        <f>I785*60%</f>
        <v>43200</v>
      </c>
    </row>
    <row r="787" spans="1:10" ht="15.75" thickBot="1" x14ac:dyDescent="0.3"/>
    <row r="788" spans="1:10" ht="16.5" thickBot="1" x14ac:dyDescent="0.3">
      <c r="A788" s="1778" t="s">
        <v>4457</v>
      </c>
      <c r="B788" s="1779"/>
      <c r="C788" s="1779"/>
      <c r="D788" s="1779"/>
      <c r="E788" s="1780"/>
      <c r="F788" s="1294"/>
      <c r="G788" s="653"/>
      <c r="H788" s="653"/>
    </row>
    <row r="789" spans="1:10" ht="15.75" x14ac:dyDescent="0.25">
      <c r="A789" s="654" t="s">
        <v>916</v>
      </c>
      <c r="B789" s="655" t="s">
        <v>743</v>
      </c>
      <c r="C789" s="655" t="s">
        <v>1566</v>
      </c>
      <c r="D789" s="656" t="s">
        <v>1035</v>
      </c>
      <c r="E789" s="657" t="s">
        <v>1549</v>
      </c>
      <c r="F789" s="658"/>
      <c r="G789" s="653"/>
      <c r="H789" s="653"/>
    </row>
    <row r="790" spans="1:10" ht="15.75" x14ac:dyDescent="0.25">
      <c r="A790" s="659" t="s">
        <v>4456</v>
      </c>
      <c r="B790" s="660">
        <v>11</v>
      </c>
      <c r="C790" s="660">
        <v>0.39</v>
      </c>
      <c r="D790" s="661">
        <f>'HILOS-CORDONES-TANZA-CUERO'!D44</f>
        <v>5632</v>
      </c>
      <c r="E790" s="662">
        <f>D790*C790/B790</f>
        <v>199.68</v>
      </c>
      <c r="F790" s="658"/>
      <c r="G790" s="653"/>
      <c r="H790" s="653"/>
    </row>
    <row r="791" spans="1:10" ht="15.75" x14ac:dyDescent="0.25">
      <c r="A791" s="769" t="s">
        <v>4455</v>
      </c>
      <c r="B791" s="660"/>
      <c r="C791" s="660">
        <v>1</v>
      </c>
      <c r="D791" s="661">
        <f>'INSUMOS VARIOS'!E50</f>
        <v>3500</v>
      </c>
      <c r="E791" s="662">
        <f t="shared" ref="E791:E793" si="27">D791*C791</f>
        <v>3500</v>
      </c>
      <c r="F791" s="658"/>
      <c r="G791" s="653"/>
      <c r="H791" s="653"/>
    </row>
    <row r="792" spans="1:10" ht="15.75" x14ac:dyDescent="0.25">
      <c r="A792" s="769" t="s">
        <v>1572</v>
      </c>
      <c r="B792" s="660" t="s">
        <v>1573</v>
      </c>
      <c r="C792" s="660">
        <v>3</v>
      </c>
      <c r="D792" s="661">
        <f>FORNITURAS!D7</f>
        <v>52</v>
      </c>
      <c r="E792" s="662">
        <f t="shared" si="27"/>
        <v>156</v>
      </c>
      <c r="F792" s="658"/>
      <c r="G792" s="653"/>
      <c r="H792" s="653"/>
    </row>
    <row r="793" spans="1:10" ht="15.75" x14ac:dyDescent="0.25">
      <c r="A793" s="666" t="s">
        <v>4205</v>
      </c>
      <c r="B793" s="660"/>
      <c r="C793" s="660">
        <v>2</v>
      </c>
      <c r="D793" s="661">
        <f>FORNITURAS!J52</f>
        <v>231.5</v>
      </c>
      <c r="E793" s="662">
        <f t="shared" si="27"/>
        <v>463</v>
      </c>
      <c r="F793" s="658"/>
      <c r="G793" s="653"/>
      <c r="H793" s="653"/>
    </row>
    <row r="794" spans="1:10" ht="15.75" x14ac:dyDescent="0.25">
      <c r="A794" s="666" t="s">
        <v>1608</v>
      </c>
      <c r="B794" s="660"/>
      <c r="C794" s="660">
        <v>0.1</v>
      </c>
      <c r="D794" s="661">
        <f>'AROS, CADENAS, DIJES, ETC'!K71</f>
        <v>7187</v>
      </c>
      <c r="E794" s="662">
        <f>C794*D794</f>
        <v>718.7</v>
      </c>
      <c r="F794" s="658"/>
      <c r="G794" s="653"/>
      <c r="H794" s="653"/>
    </row>
    <row r="795" spans="1:10" ht="15.75" x14ac:dyDescent="0.25">
      <c r="A795" s="666" t="s">
        <v>1746</v>
      </c>
      <c r="B795" s="660"/>
      <c r="C795" s="660"/>
      <c r="D795" s="661"/>
      <c r="E795" s="662">
        <v>60</v>
      </c>
      <c r="F795" s="658"/>
      <c r="G795" s="653"/>
      <c r="H795" s="653"/>
    </row>
    <row r="796" spans="1:10" ht="15.75" x14ac:dyDescent="0.25">
      <c r="A796" s="666" t="s">
        <v>1587</v>
      </c>
      <c r="B796" s="660"/>
      <c r="C796" s="660">
        <v>1</v>
      </c>
      <c r="D796" s="661">
        <f>FORNITURAS!J45</f>
        <v>334</v>
      </c>
      <c r="E796" s="662">
        <f>C796*D796</f>
        <v>334</v>
      </c>
      <c r="F796" s="658"/>
      <c r="G796" s="653"/>
      <c r="H796" s="653"/>
    </row>
    <row r="797" spans="1:10" ht="15.75" x14ac:dyDescent="0.25">
      <c r="A797" s="666" t="s">
        <v>1557</v>
      </c>
      <c r="B797" s="660"/>
      <c r="C797" s="660"/>
      <c r="D797" s="661"/>
      <c r="E797" s="667">
        <f>PACKAGING!E4</f>
        <v>80</v>
      </c>
      <c r="F797" s="653"/>
      <c r="G797" s="658"/>
      <c r="H797" s="653"/>
    </row>
    <row r="798" spans="1:10" ht="15.75" x14ac:dyDescent="0.25">
      <c r="A798" s="666" t="s">
        <v>3362</v>
      </c>
      <c r="B798" s="660"/>
      <c r="C798" s="660"/>
      <c r="D798" s="661"/>
      <c r="E798" s="667">
        <f>PACKAGING!E17</f>
        <v>7.5</v>
      </c>
      <c r="F798" s="653"/>
      <c r="G798" s="658"/>
      <c r="H798" s="653"/>
    </row>
    <row r="799" spans="1:10" ht="15.75" x14ac:dyDescent="0.25">
      <c r="A799" s="666" t="s">
        <v>1634</v>
      </c>
      <c r="B799" s="660"/>
      <c r="C799" s="660"/>
      <c r="D799" s="661"/>
      <c r="E799" s="667">
        <f>PACKAGING!E7</f>
        <v>170</v>
      </c>
      <c r="F799" s="653"/>
      <c r="G799" s="658"/>
      <c r="H799" s="653"/>
    </row>
    <row r="800" spans="1:10" ht="15.75" x14ac:dyDescent="0.25">
      <c r="A800" s="666" t="s">
        <v>4153</v>
      </c>
      <c r="B800" s="660"/>
      <c r="C800" s="660"/>
      <c r="D800" s="661"/>
      <c r="E800" s="667">
        <f>PACKAGING!I6</f>
        <v>1070</v>
      </c>
      <c r="F800" s="653"/>
      <c r="G800" s="658"/>
      <c r="H800" s="653"/>
    </row>
    <row r="801" spans="1:17" ht="15.75" x14ac:dyDescent="0.25">
      <c r="A801" s="683" t="s">
        <v>1618</v>
      </c>
      <c r="B801" s="660">
        <v>60</v>
      </c>
      <c r="C801" s="660">
        <v>40</v>
      </c>
      <c r="D801" s="668">
        <f>'INSUMOS VARIOS'!B3</f>
        <v>3500</v>
      </c>
      <c r="E801" s="669">
        <f>D801*C801/B801</f>
        <v>2333.3333333333335</v>
      </c>
      <c r="F801" s="653"/>
      <c r="G801" s="658"/>
      <c r="H801" s="653"/>
    </row>
    <row r="802" spans="1:17" ht="16.5" thickBot="1" x14ac:dyDescent="0.3">
      <c r="A802" s="670" t="s">
        <v>525</v>
      </c>
      <c r="B802" s="671"/>
      <c r="C802" s="671"/>
      <c r="D802" s="672"/>
      <c r="E802" s="673">
        <f>SUM(E790:E801)</f>
        <v>9092.2133333333331</v>
      </c>
      <c r="F802" s="658"/>
      <c r="G802" s="653"/>
      <c r="H802" s="653"/>
    </row>
    <row r="803" spans="1:17" ht="16.5" thickBot="1" x14ac:dyDescent="0.3">
      <c r="A803" s="675" t="s">
        <v>544</v>
      </c>
      <c r="B803" s="676"/>
      <c r="C803" s="676"/>
      <c r="D803" s="677"/>
      <c r="E803" s="692">
        <f>E802*2</f>
        <v>18184.426666666666</v>
      </c>
      <c r="F803" s="957">
        <f>E803+E803*70%</f>
        <v>30913.525333333331</v>
      </c>
      <c r="G803" s="681">
        <v>46000</v>
      </c>
      <c r="H803" s="653"/>
    </row>
    <row r="804" spans="1:17" ht="16.5" thickBot="1" x14ac:dyDescent="0.3">
      <c r="A804" s="684" t="s">
        <v>1559</v>
      </c>
      <c r="B804" s="685"/>
      <c r="C804" s="685"/>
      <c r="D804" s="686"/>
      <c r="E804" s="686"/>
      <c r="F804" s="816"/>
      <c r="G804" s="1275">
        <f>G803*60%</f>
        <v>27600</v>
      </c>
      <c r="H804" s="1276" t="s">
        <v>3687</v>
      </c>
      <c r="Q804" s="653"/>
    </row>
    <row r="805" spans="1:17" ht="16.5" thickBot="1" x14ac:dyDescent="0.3">
      <c r="Q805" s="653"/>
    </row>
    <row r="806" spans="1:17" ht="16.5" thickBot="1" x14ac:dyDescent="0.3">
      <c r="A806" s="1778" t="s">
        <v>4458</v>
      </c>
      <c r="B806" s="1779"/>
      <c r="C806" s="1779"/>
      <c r="D806" s="1779"/>
      <c r="E806" s="1780"/>
      <c r="F806" s="1294"/>
      <c r="G806" s="653"/>
      <c r="H806" s="653"/>
      <c r="Q806" s="653"/>
    </row>
    <row r="807" spans="1:17" ht="15.75" x14ac:dyDescent="0.25">
      <c r="A807" s="654" t="s">
        <v>916</v>
      </c>
      <c r="B807" s="655" t="s">
        <v>743</v>
      </c>
      <c r="C807" s="655" t="s">
        <v>1566</v>
      </c>
      <c r="D807" s="656" t="s">
        <v>1035</v>
      </c>
      <c r="E807" s="657" t="s">
        <v>1549</v>
      </c>
      <c r="F807" s="658"/>
      <c r="G807" s="653"/>
      <c r="H807" s="653"/>
      <c r="Q807" s="653"/>
    </row>
    <row r="808" spans="1:17" ht="15.75" x14ac:dyDescent="0.25">
      <c r="A808" s="659" t="s">
        <v>4461</v>
      </c>
      <c r="B808" s="660">
        <v>0.34</v>
      </c>
      <c r="C808" s="660">
        <v>0.375</v>
      </c>
      <c r="D808" s="661">
        <f>'PERLAS 2'!N13</f>
        <v>16800</v>
      </c>
      <c r="E808" s="662">
        <f>D808*C808/B808</f>
        <v>18529.411764705881</v>
      </c>
      <c r="F808" s="658"/>
      <c r="G808" s="653"/>
      <c r="H808" s="653"/>
      <c r="Q808" s="653"/>
    </row>
    <row r="809" spans="1:17" ht="15.75" x14ac:dyDescent="0.25">
      <c r="A809" s="659" t="s">
        <v>4459</v>
      </c>
      <c r="B809" s="660"/>
      <c r="C809" s="660">
        <v>1</v>
      </c>
      <c r="D809" s="661">
        <f>VIDRIOS!J63</f>
        <v>2100</v>
      </c>
      <c r="E809" s="662">
        <f>D809*C809</f>
        <v>2100</v>
      </c>
      <c r="F809" s="658"/>
      <c r="G809" s="653"/>
      <c r="H809" s="653"/>
      <c r="Q809" s="653"/>
    </row>
    <row r="810" spans="1:17" ht="15.75" x14ac:dyDescent="0.25">
      <c r="A810" s="1736" t="s">
        <v>1572</v>
      </c>
      <c r="B810" s="660" t="s">
        <v>1556</v>
      </c>
      <c r="C810" s="660">
        <v>2</v>
      </c>
      <c r="D810" s="661">
        <f>FORNITURAS!D4</f>
        <v>48.7</v>
      </c>
      <c r="E810" s="662">
        <f t="shared" ref="E810:E811" si="28">D810*C810</f>
        <v>97.4</v>
      </c>
      <c r="F810" s="658"/>
      <c r="G810" s="653"/>
      <c r="H810" s="653"/>
      <c r="Q810" s="653"/>
    </row>
    <row r="811" spans="1:17" ht="15.75" x14ac:dyDescent="0.25">
      <c r="A811" s="1737"/>
      <c r="B811" s="660" t="s">
        <v>1933</v>
      </c>
      <c r="C811" s="660">
        <v>1</v>
      </c>
      <c r="D811" s="661">
        <f>FORNITURAS!D5</f>
        <v>46.8</v>
      </c>
      <c r="E811" s="662">
        <f t="shared" si="28"/>
        <v>46.8</v>
      </c>
      <c r="F811" s="658"/>
      <c r="G811" s="653"/>
      <c r="H811" s="653"/>
      <c r="Q811" s="653"/>
    </row>
    <row r="812" spans="1:17" ht="15.75" x14ac:dyDescent="0.25">
      <c r="A812" s="666" t="s">
        <v>4460</v>
      </c>
      <c r="B812" s="660">
        <v>30</v>
      </c>
      <c r="C812" s="660">
        <v>0.9</v>
      </c>
      <c r="D812" s="661">
        <f>'HILOS-CORDONES-TANZA-CUERO'!D26</f>
        <v>1000</v>
      </c>
      <c r="E812" s="662">
        <f>D812*C812/B812</f>
        <v>30</v>
      </c>
      <c r="F812" s="658"/>
      <c r="G812" s="653"/>
      <c r="H812" s="653"/>
      <c r="Q812" s="653"/>
    </row>
    <row r="813" spans="1:17" ht="15.75" x14ac:dyDescent="0.25">
      <c r="A813" s="666" t="s">
        <v>1608</v>
      </c>
      <c r="B813" s="660"/>
      <c r="C813" s="660">
        <v>0.1</v>
      </c>
      <c r="D813" s="661">
        <f>'AROS, CADENAS, DIJES, ETC'!I38</f>
        <v>3630</v>
      </c>
      <c r="E813" s="662">
        <f>C813*D813</f>
        <v>363</v>
      </c>
      <c r="F813" s="658"/>
      <c r="G813" s="653"/>
      <c r="H813" s="653"/>
      <c r="Q813" s="653"/>
    </row>
    <row r="814" spans="1:17" ht="15.75" x14ac:dyDescent="0.25">
      <c r="A814" s="666" t="s">
        <v>1554</v>
      </c>
      <c r="B814" s="660" t="s">
        <v>777</v>
      </c>
      <c r="C814" s="660">
        <v>2</v>
      </c>
      <c r="D814" s="661">
        <f>FORNITURAS!D24</f>
        <v>34.666666666666664</v>
      </c>
      <c r="E814" s="662">
        <f>D814*C814</f>
        <v>69.333333333333329</v>
      </c>
      <c r="F814" s="658"/>
      <c r="G814" s="653"/>
      <c r="H814" s="653"/>
      <c r="Q814" s="653"/>
    </row>
    <row r="815" spans="1:17" ht="15.75" x14ac:dyDescent="0.25">
      <c r="A815" s="666" t="s">
        <v>1587</v>
      </c>
      <c r="B815" s="660"/>
      <c r="C815" s="660">
        <v>1</v>
      </c>
      <c r="D815" s="661">
        <f>FORNITURAS!D19</f>
        <v>855</v>
      </c>
      <c r="E815" s="662">
        <f>D815*C815</f>
        <v>855</v>
      </c>
      <c r="F815" s="658"/>
      <c r="G815" s="653"/>
      <c r="H815" s="653"/>
      <c r="Q815" s="1276"/>
    </row>
    <row r="816" spans="1:17" ht="15.75" x14ac:dyDescent="0.25">
      <c r="A816" s="666" t="s">
        <v>1557</v>
      </c>
      <c r="B816" s="660"/>
      <c r="C816" s="660"/>
      <c r="D816" s="661"/>
      <c r="E816" s="667">
        <f>PACKAGING!E4</f>
        <v>80</v>
      </c>
      <c r="F816" s="653"/>
      <c r="G816" s="658"/>
      <c r="H816" s="653"/>
    </row>
    <row r="817" spans="1:9" ht="15.75" x14ac:dyDescent="0.25">
      <c r="A817" s="666" t="s">
        <v>3362</v>
      </c>
      <c r="B817" s="660"/>
      <c r="C817" s="660"/>
      <c r="D817" s="661"/>
      <c r="E817" s="667">
        <f>PACKAGING!E17</f>
        <v>7.5</v>
      </c>
      <c r="F817" s="653"/>
      <c r="G817" s="658"/>
      <c r="H817" s="653"/>
    </row>
    <row r="818" spans="1:9" ht="15.75" x14ac:dyDescent="0.25">
      <c r="A818" s="666" t="s">
        <v>1634</v>
      </c>
      <c r="B818" s="660"/>
      <c r="C818" s="660"/>
      <c r="D818" s="661"/>
      <c r="E818" s="667">
        <f>PACKAGING!E7</f>
        <v>170</v>
      </c>
      <c r="F818" s="653"/>
      <c r="G818" s="658"/>
      <c r="H818" s="653"/>
    </row>
    <row r="819" spans="1:9" ht="15.75" x14ac:dyDescent="0.25">
      <c r="A819" s="683" t="s">
        <v>1618</v>
      </c>
      <c r="B819" s="660">
        <v>60</v>
      </c>
      <c r="C819" s="660">
        <v>30</v>
      </c>
      <c r="D819" s="668">
        <f>'INSUMOS VARIOS'!B3</f>
        <v>3500</v>
      </c>
      <c r="E819" s="669">
        <f>D819*C819/B819</f>
        <v>1750</v>
      </c>
      <c r="F819" s="1" t="s">
        <v>3023</v>
      </c>
      <c r="G819" s="658"/>
      <c r="H819" s="653"/>
    </row>
    <row r="820" spans="1:9" ht="16.5" thickBot="1" x14ac:dyDescent="0.3">
      <c r="A820" s="670" t="s">
        <v>525</v>
      </c>
      <c r="B820" s="671"/>
      <c r="C820" s="671"/>
      <c r="D820" s="672"/>
      <c r="E820" s="673">
        <f>SUM(E808:E819)</f>
        <v>24098.445098039214</v>
      </c>
      <c r="F820" s="698">
        <f>E820+G821+G822</f>
        <v>27376.445098039214</v>
      </c>
      <c r="G820" s="653" t="s">
        <v>2028</v>
      </c>
      <c r="H820" s="1276" t="s">
        <v>2029</v>
      </c>
    </row>
    <row r="821" spans="1:9" ht="16.5" thickBot="1" x14ac:dyDescent="0.3">
      <c r="A821" s="675" t="s">
        <v>544</v>
      </c>
      <c r="B821" s="676"/>
      <c r="C821" s="676"/>
      <c r="D821" s="677"/>
      <c r="E821" s="692">
        <f>E820*2</f>
        <v>48196.890196078428</v>
      </c>
      <c r="F821" s="957">
        <f>E821+E821*50%</f>
        <v>72295.335294117642</v>
      </c>
      <c r="G821" s="680">
        <f>PACKAGING!I3</f>
        <v>2433</v>
      </c>
      <c r="H821" s="681">
        <f>F821+G821+G822</f>
        <v>75573.335294117642</v>
      </c>
      <c r="I821" s="681">
        <v>76000</v>
      </c>
    </row>
    <row r="822" spans="1:9" ht="16.5" thickBot="1" x14ac:dyDescent="0.3">
      <c r="A822" s="684" t="s">
        <v>1559</v>
      </c>
      <c r="B822" s="685"/>
      <c r="C822" s="685"/>
      <c r="D822" s="686"/>
      <c r="E822" s="686"/>
      <c r="F822" s="816"/>
      <c r="G822" s="701">
        <f>PACKAGING!I5</f>
        <v>845</v>
      </c>
      <c r="H822" s="1276"/>
      <c r="I822" s="1275">
        <f>I821*60%</f>
        <v>45600</v>
      </c>
    </row>
    <row r="823" spans="1:9" ht="15.75" thickBot="1" x14ac:dyDescent="0.3"/>
    <row r="824" spans="1:9" ht="16.5" thickBot="1" x14ac:dyDescent="0.3">
      <c r="A824" s="1778" t="s">
        <v>4471</v>
      </c>
      <c r="B824" s="1779"/>
      <c r="C824" s="1779"/>
      <c r="D824" s="1779"/>
      <c r="E824" s="1780"/>
      <c r="F824" s="1294"/>
      <c r="G824" s="653"/>
      <c r="H824" s="653"/>
    </row>
    <row r="825" spans="1:9" ht="15.75" x14ac:dyDescent="0.25">
      <c r="A825" s="654" t="s">
        <v>916</v>
      </c>
      <c r="B825" s="655" t="s">
        <v>743</v>
      </c>
      <c r="C825" s="655" t="s">
        <v>1566</v>
      </c>
      <c r="D825" s="656" t="s">
        <v>1035</v>
      </c>
      <c r="E825" s="657" t="s">
        <v>1549</v>
      </c>
      <c r="F825" s="658"/>
      <c r="G825" s="653"/>
      <c r="H825" s="653"/>
    </row>
    <row r="826" spans="1:9" ht="15.75" x14ac:dyDescent="0.25">
      <c r="A826" s="659" t="s">
        <v>4461</v>
      </c>
      <c r="B826" s="660">
        <v>0.34</v>
      </c>
      <c r="C826" s="660">
        <v>0.375</v>
      </c>
      <c r="D826" s="661">
        <f>'PERLAS 2'!N13</f>
        <v>16800</v>
      </c>
      <c r="E826" s="662">
        <f>D826*C826/B826</f>
        <v>18529.411764705881</v>
      </c>
      <c r="F826" s="658"/>
      <c r="G826" s="653"/>
      <c r="H826" s="653"/>
    </row>
    <row r="827" spans="1:9" ht="15.75" x14ac:dyDescent="0.25">
      <c r="A827" s="1736" t="s">
        <v>1572</v>
      </c>
      <c r="B827" s="660" t="s">
        <v>1556</v>
      </c>
      <c r="C827" s="660">
        <v>2</v>
      </c>
      <c r="D827" s="661">
        <f>FORNITURAS!D4</f>
        <v>48.7</v>
      </c>
      <c r="E827" s="662">
        <f t="shared" ref="E827:E828" si="29">D827*C827</f>
        <v>97.4</v>
      </c>
      <c r="F827" s="658"/>
      <c r="G827" s="653"/>
      <c r="H827" s="653"/>
    </row>
    <row r="828" spans="1:9" ht="15.75" x14ac:dyDescent="0.25">
      <c r="A828" s="1737"/>
      <c r="B828" s="660" t="s">
        <v>1933</v>
      </c>
      <c r="C828" s="660">
        <v>1</v>
      </c>
      <c r="D828" s="661">
        <f>FORNITURAS!D7</f>
        <v>52</v>
      </c>
      <c r="E828" s="662">
        <f t="shared" si="29"/>
        <v>52</v>
      </c>
      <c r="F828" s="658"/>
      <c r="G828" s="653"/>
      <c r="H828" s="653"/>
    </row>
    <row r="829" spans="1:9" ht="15.75" x14ac:dyDescent="0.25">
      <c r="A829" s="666" t="s">
        <v>4460</v>
      </c>
      <c r="B829" s="660">
        <v>30</v>
      </c>
      <c r="C829" s="660">
        <v>0.9</v>
      </c>
      <c r="D829" s="661">
        <f>'HILOS-CORDONES-TANZA-CUERO'!D26</f>
        <v>1000</v>
      </c>
      <c r="E829" s="662">
        <f>D829*C829/B829</f>
        <v>30</v>
      </c>
      <c r="F829" s="658"/>
      <c r="G829" s="653"/>
      <c r="H829" s="653"/>
    </row>
    <row r="830" spans="1:9" ht="15.75" x14ac:dyDescent="0.25">
      <c r="A830" s="666" t="s">
        <v>1608</v>
      </c>
      <c r="B830" s="660"/>
      <c r="C830" s="660">
        <v>0.1</v>
      </c>
      <c r="D830" s="661">
        <f>'AROS, CADENAS, DIJES, ETC'!I38</f>
        <v>3630</v>
      </c>
      <c r="E830" s="662">
        <f>C830*D830</f>
        <v>363</v>
      </c>
      <c r="F830" s="658"/>
      <c r="G830" s="653"/>
      <c r="H830" s="653"/>
    </row>
    <row r="831" spans="1:9" ht="15.75" x14ac:dyDescent="0.25">
      <c r="A831" s="666" t="s">
        <v>1554</v>
      </c>
      <c r="B831" s="660" t="s">
        <v>777</v>
      </c>
      <c r="C831" s="660">
        <v>2</v>
      </c>
      <c r="D831" s="661">
        <f>FORNITURAS!D24</f>
        <v>34.666666666666664</v>
      </c>
      <c r="E831" s="662">
        <f>D831*C831</f>
        <v>69.333333333333329</v>
      </c>
      <c r="F831" s="658"/>
      <c r="G831" s="653"/>
      <c r="H831" s="653"/>
    </row>
    <row r="832" spans="1:9" ht="15.75" x14ac:dyDescent="0.25">
      <c r="A832" s="666" t="s">
        <v>1587</v>
      </c>
      <c r="B832" s="660"/>
      <c r="C832" s="660">
        <v>1</v>
      </c>
      <c r="D832" s="661">
        <f>FORNITURAS!D19</f>
        <v>855</v>
      </c>
      <c r="E832" s="662">
        <f>D832*C832</f>
        <v>855</v>
      </c>
      <c r="F832" s="658"/>
      <c r="G832" s="653"/>
      <c r="H832" s="653"/>
    </row>
    <row r="833" spans="1:9" ht="15.75" x14ac:dyDescent="0.25">
      <c r="A833" s="666" t="s">
        <v>1557</v>
      </c>
      <c r="B833" s="660"/>
      <c r="C833" s="660"/>
      <c r="D833" s="661"/>
      <c r="E833" s="667">
        <f>PACKAGING!E4</f>
        <v>80</v>
      </c>
      <c r="F833" s="653"/>
      <c r="G833" s="658"/>
      <c r="H833" s="653"/>
    </row>
    <row r="834" spans="1:9" ht="15.75" x14ac:dyDescent="0.25">
      <c r="A834" s="666" t="s">
        <v>3362</v>
      </c>
      <c r="B834" s="660"/>
      <c r="C834" s="660"/>
      <c r="D834" s="661"/>
      <c r="E834" s="667">
        <f>PACKAGING!E17</f>
        <v>7.5</v>
      </c>
      <c r="F834" s="653"/>
      <c r="G834" s="658"/>
      <c r="H834" s="653"/>
    </row>
    <row r="835" spans="1:9" ht="15.75" x14ac:dyDescent="0.25">
      <c r="A835" s="666" t="s">
        <v>1634</v>
      </c>
      <c r="B835" s="660"/>
      <c r="C835" s="660"/>
      <c r="D835" s="661"/>
      <c r="E835" s="667">
        <f>PACKAGING!E7</f>
        <v>170</v>
      </c>
      <c r="F835" s="653"/>
      <c r="G835" s="658"/>
      <c r="H835" s="653"/>
    </row>
    <row r="836" spans="1:9" ht="15.75" x14ac:dyDescent="0.25">
      <c r="A836" s="683" t="s">
        <v>1618</v>
      </c>
      <c r="B836" s="660">
        <v>60</v>
      </c>
      <c r="C836" s="660">
        <v>30</v>
      </c>
      <c r="D836" s="668">
        <f>'INSUMOS VARIOS'!B3</f>
        <v>3500</v>
      </c>
      <c r="E836" s="669">
        <f>D836*C836/B836</f>
        <v>1750</v>
      </c>
      <c r="F836" s="1" t="s">
        <v>3023</v>
      </c>
      <c r="G836" s="658"/>
      <c r="H836" s="653"/>
    </row>
    <row r="837" spans="1:9" ht="16.5" thickBot="1" x14ac:dyDescent="0.3">
      <c r="A837" s="670" t="s">
        <v>525</v>
      </c>
      <c r="B837" s="671"/>
      <c r="C837" s="671"/>
      <c r="D837" s="672"/>
      <c r="E837" s="673">
        <f>SUM(E826:E836)</f>
        <v>22003.645098039215</v>
      </c>
      <c r="F837" s="698">
        <f>E837+G838+G839</f>
        <v>25281.645098039215</v>
      </c>
      <c r="G837" s="653" t="s">
        <v>2028</v>
      </c>
      <c r="H837" s="1276" t="s">
        <v>2029</v>
      </c>
    </row>
    <row r="838" spans="1:9" ht="16.5" thickBot="1" x14ac:dyDescent="0.3">
      <c r="A838" s="675" t="s">
        <v>544</v>
      </c>
      <c r="B838" s="676"/>
      <c r="C838" s="676"/>
      <c r="D838" s="677"/>
      <c r="E838" s="692">
        <f>E837*2</f>
        <v>44007.290196078429</v>
      </c>
      <c r="F838" s="957">
        <f>E838+E838*50%</f>
        <v>66010.935294117648</v>
      </c>
      <c r="G838" s="680">
        <f>PACKAGING!I3</f>
        <v>2433</v>
      </c>
      <c r="H838" s="681">
        <f>F838+G838+G839</f>
        <v>69288.935294117648</v>
      </c>
      <c r="I838" s="681">
        <v>72000</v>
      </c>
    </row>
    <row r="839" spans="1:9" ht="16.5" thickBot="1" x14ac:dyDescent="0.3">
      <c r="A839" s="684" t="s">
        <v>1559</v>
      </c>
      <c r="B839" s="685"/>
      <c r="C839" s="685"/>
      <c r="D839" s="686"/>
      <c r="E839" s="686"/>
      <c r="F839" s="816"/>
      <c r="G839" s="701">
        <f>PACKAGING!I5</f>
        <v>845</v>
      </c>
      <c r="H839" s="1276"/>
      <c r="I839" s="1275">
        <f>I838*60%</f>
        <v>43200</v>
      </c>
    </row>
    <row r="840" spans="1:9" ht="15.75" thickBot="1" x14ac:dyDescent="0.3"/>
    <row r="841" spans="1:9" ht="16.5" thickBot="1" x14ac:dyDescent="0.3">
      <c r="A841" s="1811" t="s">
        <v>4596</v>
      </c>
      <c r="B841" s="1812"/>
      <c r="C841" s="1812"/>
      <c r="D841" s="1812"/>
      <c r="E841" s="1813"/>
      <c r="F841" s="653"/>
      <c r="G841" s="653"/>
      <c r="H841" s="653"/>
    </row>
    <row r="842" spans="1:9" ht="15.75" x14ac:dyDescent="0.25">
      <c r="A842" s="654" t="s">
        <v>916</v>
      </c>
      <c r="B842" s="655" t="s">
        <v>743</v>
      </c>
      <c r="C842" s="655" t="s">
        <v>1566</v>
      </c>
      <c r="D842" s="656" t="s">
        <v>1035</v>
      </c>
      <c r="E842" s="657" t="s">
        <v>1549</v>
      </c>
      <c r="F842" s="658"/>
      <c r="G842" s="653"/>
      <c r="H842" s="653"/>
    </row>
    <row r="843" spans="1:9" ht="15.75" x14ac:dyDescent="0.25">
      <c r="A843" s="769" t="s">
        <v>4165</v>
      </c>
      <c r="B843" s="660" t="s">
        <v>805</v>
      </c>
      <c r="C843" s="660">
        <v>3</v>
      </c>
      <c r="D843" s="661">
        <f>VIDRIOS!E30</f>
        <v>65</v>
      </c>
      <c r="E843" s="662">
        <f>D843*C843</f>
        <v>195</v>
      </c>
      <c r="F843" s="658"/>
      <c r="G843" s="653"/>
      <c r="H843" s="653"/>
    </row>
    <row r="844" spans="1:9" ht="15.75" x14ac:dyDescent="0.25">
      <c r="A844" s="769" t="s">
        <v>4166</v>
      </c>
      <c r="B844" s="660">
        <v>0.8</v>
      </c>
      <c r="C844" s="660">
        <v>0.31</v>
      </c>
      <c r="D844" s="661">
        <f>PIEDRAS!E152</f>
        <v>3600</v>
      </c>
      <c r="E844" s="662">
        <f>D844*C844/B844</f>
        <v>1395</v>
      </c>
      <c r="F844" s="658"/>
      <c r="G844" s="653"/>
      <c r="H844" s="653"/>
    </row>
    <row r="845" spans="1:9" ht="15.75" x14ac:dyDescent="0.25">
      <c r="A845" s="769" t="s">
        <v>1742</v>
      </c>
      <c r="B845" s="660" t="s">
        <v>1345</v>
      </c>
      <c r="C845" s="660">
        <v>4</v>
      </c>
      <c r="D845" s="661">
        <f>'PERLAS 2'!H14</f>
        <v>324.8</v>
      </c>
      <c r="E845" s="662">
        <f t="shared" ref="E845:E851" si="30">D845*C845</f>
        <v>1299.2</v>
      </c>
      <c r="F845" s="658"/>
      <c r="G845" s="653"/>
      <c r="H845" s="653"/>
    </row>
    <row r="846" spans="1:9" ht="15.75" x14ac:dyDescent="0.25">
      <c r="A846" s="769" t="s">
        <v>4146</v>
      </c>
      <c r="B846" s="660"/>
      <c r="C846" s="660">
        <v>2</v>
      </c>
      <c r="D846" s="661">
        <f>VIDRIOS!E33</f>
        <v>8.5</v>
      </c>
      <c r="E846" s="662">
        <f t="shared" si="30"/>
        <v>17</v>
      </c>
      <c r="F846" s="658"/>
      <c r="G846" s="653"/>
      <c r="H846" s="653"/>
    </row>
    <row r="847" spans="1:9" ht="15.75" x14ac:dyDescent="0.25">
      <c r="A847" s="683" t="s">
        <v>4147</v>
      </c>
      <c r="B847" s="660"/>
      <c r="C847" s="660">
        <v>1</v>
      </c>
      <c r="D847" s="661">
        <f>'RESINA - ACRILICOS'!K8</f>
        <v>1720</v>
      </c>
      <c r="E847" s="662">
        <f t="shared" si="30"/>
        <v>1720</v>
      </c>
      <c r="F847" s="658"/>
      <c r="G847" s="653"/>
      <c r="H847" s="653"/>
    </row>
    <row r="848" spans="1:9" ht="15.75" x14ac:dyDescent="0.25">
      <c r="A848" s="1736" t="s">
        <v>1572</v>
      </c>
      <c r="B848" s="660" t="s">
        <v>1556</v>
      </c>
      <c r="C848" s="660">
        <v>2</v>
      </c>
      <c r="D848" s="661">
        <f>FORNITURAS!D4</f>
        <v>48.7</v>
      </c>
      <c r="E848" s="662">
        <f t="shared" si="30"/>
        <v>97.4</v>
      </c>
      <c r="F848" s="658"/>
      <c r="G848" s="653"/>
      <c r="H848" s="653"/>
    </row>
    <row r="849" spans="1:10" ht="15.75" x14ac:dyDescent="0.25">
      <c r="A849" s="1758"/>
      <c r="B849" s="660" t="s">
        <v>1573</v>
      </c>
      <c r="C849" s="660">
        <v>1</v>
      </c>
      <c r="D849" s="661">
        <f>FORNITURAS!D7</f>
        <v>52</v>
      </c>
      <c r="E849" s="662">
        <f t="shared" si="30"/>
        <v>52</v>
      </c>
      <c r="F849" s="658"/>
      <c r="G849" s="653"/>
      <c r="H849" s="653"/>
    </row>
    <row r="850" spans="1:10" ht="15.75" x14ac:dyDescent="0.25">
      <c r="A850" s="1737"/>
      <c r="B850" s="660" t="s">
        <v>4152</v>
      </c>
      <c r="C850" s="660">
        <v>1</v>
      </c>
      <c r="D850" s="661">
        <f>FORNITURAS!H62</f>
        <v>466.15384615384613</v>
      </c>
      <c r="E850" s="662">
        <f t="shared" si="30"/>
        <v>466.15384615384613</v>
      </c>
      <c r="F850" s="658"/>
      <c r="G850" s="653"/>
      <c r="H850" s="653"/>
    </row>
    <row r="851" spans="1:10" ht="15.75" x14ac:dyDescent="0.25">
      <c r="A851" s="666" t="s">
        <v>1424</v>
      </c>
      <c r="B851" s="660"/>
      <c r="C851" s="660">
        <v>0.42</v>
      </c>
      <c r="D851" s="661">
        <f>'HILOS-CORDONES-TANZA-CUERO'!L9</f>
        <v>30</v>
      </c>
      <c r="E851" s="662">
        <f t="shared" si="30"/>
        <v>12.6</v>
      </c>
      <c r="F851" s="658"/>
      <c r="G851" s="653"/>
      <c r="H851" s="653"/>
    </row>
    <row r="852" spans="1:10" ht="15.75" x14ac:dyDescent="0.25">
      <c r="A852" s="666" t="s">
        <v>1608</v>
      </c>
      <c r="B852" s="660">
        <v>1</v>
      </c>
      <c r="C852" s="660">
        <v>0.1</v>
      </c>
      <c r="D852" s="661">
        <f>'AROS, CADENAS, DIJES, ETC'!K70</f>
        <v>5986</v>
      </c>
      <c r="E852" s="662">
        <f>D852*C852/B852</f>
        <v>598.6</v>
      </c>
      <c r="F852" s="658"/>
      <c r="G852" s="653"/>
      <c r="H852" s="653"/>
    </row>
    <row r="853" spans="1:10" ht="15.75" x14ac:dyDescent="0.25">
      <c r="A853" s="666" t="s">
        <v>1944</v>
      </c>
      <c r="B853" s="660" t="s">
        <v>777</v>
      </c>
      <c r="C853" s="660">
        <v>2</v>
      </c>
      <c r="D853" s="661">
        <f>FORNITURAS!I3</f>
        <v>66.099999999999994</v>
      </c>
      <c r="E853" s="662">
        <f>D853*C853</f>
        <v>132.19999999999999</v>
      </c>
      <c r="F853" s="658"/>
      <c r="G853" s="653"/>
      <c r="H853" s="653"/>
    </row>
    <row r="854" spans="1:10" ht="15.75" x14ac:dyDescent="0.25">
      <c r="A854" s="666" t="s">
        <v>1012</v>
      </c>
      <c r="B854" s="660"/>
      <c r="C854" s="660">
        <v>2</v>
      </c>
      <c r="D854" s="661">
        <f>FORNITURAS!D16</f>
        <v>45.05</v>
      </c>
      <c r="E854" s="662">
        <f>D854*C854</f>
        <v>90.1</v>
      </c>
      <c r="F854" s="658"/>
      <c r="G854" s="653"/>
      <c r="H854" s="653"/>
    </row>
    <row r="855" spans="1:10" ht="15.75" x14ac:dyDescent="0.25">
      <c r="A855" s="666" t="s">
        <v>1587</v>
      </c>
      <c r="B855" s="660"/>
      <c r="C855" s="660">
        <v>1</v>
      </c>
      <c r="D855" s="661">
        <f>FORNITURAS!H44</f>
        <v>485</v>
      </c>
      <c r="E855" s="662">
        <f>C855*D855</f>
        <v>485</v>
      </c>
      <c r="F855" s="658"/>
      <c r="G855" s="653"/>
      <c r="H855" s="653"/>
    </row>
    <row r="856" spans="1:10" ht="15.75" x14ac:dyDescent="0.25">
      <c r="A856" s="666" t="s">
        <v>1557</v>
      </c>
      <c r="B856" s="660"/>
      <c r="C856" s="660"/>
      <c r="D856" s="661"/>
      <c r="E856" s="667">
        <f>PACKAGING!E4</f>
        <v>80</v>
      </c>
      <c r="F856" s="653"/>
      <c r="G856" s="658"/>
      <c r="H856" s="653"/>
    </row>
    <row r="857" spans="1:10" ht="15.75" x14ac:dyDescent="0.25">
      <c r="A857" s="666" t="s">
        <v>3362</v>
      </c>
      <c r="B857" s="660"/>
      <c r="C857" s="660"/>
      <c r="D857" s="661"/>
      <c r="E857" s="667">
        <f>PACKAGING!E17</f>
        <v>7.5</v>
      </c>
      <c r="F857" s="653"/>
      <c r="G857" s="658"/>
      <c r="H857" s="653"/>
      <c r="J857" s="653"/>
    </row>
    <row r="858" spans="1:10" ht="15.75" x14ac:dyDescent="0.25">
      <c r="A858" s="666" t="s">
        <v>1634</v>
      </c>
      <c r="B858" s="660"/>
      <c r="C858" s="660"/>
      <c r="D858" s="661"/>
      <c r="E858" s="667">
        <f>PACKAGING!E7</f>
        <v>170</v>
      </c>
      <c r="F858" s="653"/>
      <c r="G858" s="658"/>
      <c r="H858" s="653"/>
      <c r="J858" s="1276" t="s">
        <v>3687</v>
      </c>
    </row>
    <row r="859" spans="1:10" ht="15.75" x14ac:dyDescent="0.25">
      <c r="A859" s="666" t="s">
        <v>4153</v>
      </c>
      <c r="B859" s="660"/>
      <c r="C859" s="660"/>
      <c r="D859" s="661"/>
      <c r="E859" s="667">
        <f>PACKAGING!I6</f>
        <v>1070</v>
      </c>
      <c r="F859" s="653"/>
      <c r="G859" s="658"/>
      <c r="H859" s="653"/>
    </row>
    <row r="860" spans="1:10" ht="15.75" x14ac:dyDescent="0.25">
      <c r="A860" s="683" t="s">
        <v>1618</v>
      </c>
      <c r="B860" s="660">
        <v>60</v>
      </c>
      <c r="C860" s="660">
        <v>30</v>
      </c>
      <c r="D860" s="668">
        <f>'INSUMOS VARIOS'!B3</f>
        <v>3500</v>
      </c>
      <c r="E860" s="669">
        <f>D860*C860/B860</f>
        <v>1750</v>
      </c>
      <c r="F860" s="1" t="s">
        <v>3023</v>
      </c>
      <c r="G860" s="658"/>
      <c r="H860" s="653"/>
    </row>
    <row r="861" spans="1:10" ht="16.5" thickBot="1" x14ac:dyDescent="0.3">
      <c r="A861" s="670" t="s">
        <v>525</v>
      </c>
      <c r="B861" s="671"/>
      <c r="C861" s="671"/>
      <c r="D861" s="672"/>
      <c r="E861" s="673">
        <f>SUM(E843:E860)</f>
        <v>9637.7538461538461</v>
      </c>
      <c r="F861" s="698">
        <f>E861+G862+G863</f>
        <v>13340.753846153846</v>
      </c>
      <c r="G861" s="653" t="s">
        <v>2028</v>
      </c>
      <c r="H861" s="1276" t="s">
        <v>2029</v>
      </c>
    </row>
    <row r="862" spans="1:10" ht="16.5" thickBot="1" x14ac:dyDescent="0.3">
      <c r="A862" s="675" t="s">
        <v>544</v>
      </c>
      <c r="B862" s="676"/>
      <c r="C862" s="676"/>
      <c r="D862" s="677"/>
      <c r="E862" s="692">
        <f>E861*2</f>
        <v>19275.507692307692</v>
      </c>
      <c r="F862" s="957">
        <f>E862+E862*70%</f>
        <v>32768.36307692308</v>
      </c>
      <c r="G862" s="681">
        <f>PACKAGING!I4</f>
        <v>2633</v>
      </c>
      <c r="H862" s="681">
        <f>F862+G862+G863</f>
        <v>36471.36307692308</v>
      </c>
      <c r="I862" s="681">
        <v>38000</v>
      </c>
    </row>
    <row r="863" spans="1:10" ht="16.5" thickBot="1" x14ac:dyDescent="0.3">
      <c r="A863" s="684" t="s">
        <v>1559</v>
      </c>
      <c r="B863" s="685"/>
      <c r="C863" s="685"/>
      <c r="D863" s="686"/>
      <c r="E863" s="686"/>
      <c r="F863" s="816"/>
      <c r="G863" s="702">
        <f>PACKAGING!I6</f>
        <v>1070</v>
      </c>
      <c r="H863" s="1276"/>
      <c r="I863" s="1275">
        <f>I862*60%</f>
        <v>22800</v>
      </c>
    </row>
    <row r="864" spans="1:10" ht="15.75" thickBot="1" x14ac:dyDescent="0.3"/>
    <row r="865" spans="1:8" ht="16.5" thickBot="1" x14ac:dyDescent="0.3">
      <c r="A865" s="1811" t="s">
        <v>4597</v>
      </c>
      <c r="B865" s="1812"/>
      <c r="C865" s="1812"/>
      <c r="D865" s="1812"/>
      <c r="E865" s="1813"/>
      <c r="F865" s="1441"/>
      <c r="G865" s="653"/>
      <c r="H865" s="653"/>
    </row>
    <row r="866" spans="1:8" ht="15.75" x14ac:dyDescent="0.25">
      <c r="A866" s="654" t="s">
        <v>916</v>
      </c>
      <c r="B866" s="655" t="s">
        <v>743</v>
      </c>
      <c r="C866" s="655" t="s">
        <v>1566</v>
      </c>
      <c r="D866" s="656" t="s">
        <v>1035</v>
      </c>
      <c r="E866" s="657" t="s">
        <v>1549</v>
      </c>
      <c r="F866" s="1441"/>
      <c r="G866" s="653"/>
      <c r="H866" s="653"/>
    </row>
    <row r="867" spans="1:8" ht="15.75" x14ac:dyDescent="0.25">
      <c r="A867" s="769" t="s">
        <v>4557</v>
      </c>
      <c r="B867" s="660">
        <v>0.9</v>
      </c>
      <c r="C867" s="660">
        <v>0.38</v>
      </c>
      <c r="D867" s="661">
        <f>PIEDRAS!E154</f>
        <v>5940</v>
      </c>
      <c r="E867" s="662">
        <f>D867*C867</f>
        <v>2257.1999999999998</v>
      </c>
      <c r="F867" s="1441"/>
      <c r="G867" s="653"/>
      <c r="H867" s="653"/>
    </row>
    <row r="868" spans="1:8" ht="15.75" x14ac:dyDescent="0.25">
      <c r="A868" s="1337" t="s">
        <v>4558</v>
      </c>
      <c r="B868" s="1226"/>
      <c r="C868" s="1226">
        <v>1</v>
      </c>
      <c r="D868" s="1363">
        <f>'AROS, CADENAS, DIJES, ETC'!R201</f>
        <v>943</v>
      </c>
      <c r="E868" s="1338">
        <f>C868*D868</f>
        <v>943</v>
      </c>
      <c r="F868" s="1441"/>
      <c r="G868" s="653"/>
      <c r="H868" s="653"/>
    </row>
    <row r="869" spans="1:8" ht="15.75" x14ac:dyDescent="0.25">
      <c r="A869" s="769" t="s">
        <v>1742</v>
      </c>
      <c r="B869" s="660" t="s">
        <v>3150</v>
      </c>
      <c r="C869" s="660">
        <v>1</v>
      </c>
      <c r="D869" s="661">
        <f>'PERLAS 2'!O6</f>
        <v>96.222222222222229</v>
      </c>
      <c r="E869" s="662">
        <f t="shared" ref="E869:E872" si="31">D869*C869</f>
        <v>96.222222222222229</v>
      </c>
      <c r="F869" s="1441"/>
      <c r="G869" s="653"/>
      <c r="H869" s="653"/>
    </row>
    <row r="870" spans="1:8" ht="15.75" x14ac:dyDescent="0.25">
      <c r="A870" s="1762" t="s">
        <v>1572</v>
      </c>
      <c r="B870" s="660" t="s">
        <v>1556</v>
      </c>
      <c r="C870" s="660">
        <v>3</v>
      </c>
      <c r="D870" s="661">
        <f>PLATEADO!D22</f>
        <v>48.7</v>
      </c>
      <c r="E870" s="662">
        <f t="shared" si="31"/>
        <v>146.10000000000002</v>
      </c>
      <c r="F870" s="1441"/>
      <c r="G870" s="653"/>
      <c r="H870" s="653"/>
    </row>
    <row r="871" spans="1:8" ht="15.75" x14ac:dyDescent="0.25">
      <c r="A871" s="1763"/>
      <c r="B871" s="660" t="s">
        <v>1573</v>
      </c>
      <c r="C871" s="660">
        <v>2</v>
      </c>
      <c r="D871" s="661">
        <f>PLATEADO!D25</f>
        <v>52.833333333333336</v>
      </c>
      <c r="E871" s="662">
        <f t="shared" si="31"/>
        <v>105.66666666666667</v>
      </c>
      <c r="F871" s="653"/>
      <c r="G871" s="653"/>
      <c r="H871" s="653"/>
    </row>
    <row r="872" spans="1:8" ht="15.75" x14ac:dyDescent="0.25">
      <c r="A872" s="666" t="s">
        <v>1424</v>
      </c>
      <c r="B872" s="660"/>
      <c r="C872" s="660">
        <v>0.42</v>
      </c>
      <c r="D872" s="661">
        <f>'HILOS-CORDONES-TANZA-CUERO'!L9</f>
        <v>30</v>
      </c>
      <c r="E872" s="662">
        <f t="shared" si="31"/>
        <v>12.6</v>
      </c>
      <c r="F872" s="653"/>
      <c r="G872" s="653"/>
      <c r="H872" s="653"/>
    </row>
    <row r="873" spans="1:8" ht="15.75" x14ac:dyDescent="0.25">
      <c r="A873" s="1445" t="s">
        <v>1608</v>
      </c>
      <c r="B873" s="1444">
        <v>1</v>
      </c>
      <c r="C873" s="1444">
        <v>0.1</v>
      </c>
      <c r="D873" s="1443">
        <f>PLATEADO!F43</f>
        <v>3566</v>
      </c>
      <c r="E873" s="1442">
        <f>D873*C873/B873</f>
        <v>356.6</v>
      </c>
      <c r="F873" s="653"/>
      <c r="G873" s="653"/>
      <c r="H873" s="653"/>
    </row>
    <row r="874" spans="1:8" ht="15.75" x14ac:dyDescent="0.25">
      <c r="A874" s="666" t="s">
        <v>1554</v>
      </c>
      <c r="B874" s="660" t="s">
        <v>777</v>
      </c>
      <c r="C874" s="660">
        <v>2</v>
      </c>
      <c r="D874" s="661">
        <f>PLATEADO!F4</f>
        <v>81</v>
      </c>
      <c r="E874" s="662">
        <f>D874*C874</f>
        <v>162</v>
      </c>
      <c r="F874" s="653"/>
      <c r="G874" s="653"/>
      <c r="H874" s="653"/>
    </row>
    <row r="875" spans="1:8" ht="15.75" x14ac:dyDescent="0.25">
      <c r="A875" s="666" t="s">
        <v>1012</v>
      </c>
      <c r="B875" s="660"/>
      <c r="C875" s="660">
        <v>2</v>
      </c>
      <c r="D875" s="661">
        <f>PLATEADO!D27</f>
        <v>45.05</v>
      </c>
      <c r="E875" s="662">
        <f>D875*C875</f>
        <v>90.1</v>
      </c>
      <c r="F875" s="653"/>
      <c r="G875" s="653"/>
      <c r="H875" s="653"/>
    </row>
    <row r="876" spans="1:8" ht="15.75" x14ac:dyDescent="0.25">
      <c r="A876" s="1405" t="s">
        <v>1587</v>
      </c>
      <c r="B876" s="1226"/>
      <c r="C876" s="1226">
        <v>1</v>
      </c>
      <c r="D876" s="1363">
        <f>FORNITURAS!J44</f>
        <v>292</v>
      </c>
      <c r="E876" s="1338">
        <f>C876*D876</f>
        <v>292</v>
      </c>
      <c r="F876" s="653"/>
      <c r="G876" s="653"/>
      <c r="H876" s="653"/>
    </row>
    <row r="877" spans="1:8" ht="15.75" x14ac:dyDescent="0.25">
      <c r="A877" s="666" t="s">
        <v>1557</v>
      </c>
      <c r="B877" s="660"/>
      <c r="C877" s="660"/>
      <c r="D877" s="661"/>
      <c r="E877" s="667">
        <f>PACKAGING!E4</f>
        <v>80</v>
      </c>
      <c r="F877" s="653"/>
      <c r="G877" s="653"/>
      <c r="H877" s="653"/>
    </row>
    <row r="878" spans="1:8" ht="15.75" x14ac:dyDescent="0.25">
      <c r="A878" s="666" t="s">
        <v>3362</v>
      </c>
      <c r="B878" s="660"/>
      <c r="C878" s="660"/>
      <c r="D878" s="661"/>
      <c r="E878" s="667">
        <f>PACKAGING!E17</f>
        <v>7.5</v>
      </c>
      <c r="F878" s="653"/>
      <c r="G878" s="653"/>
      <c r="H878" s="653"/>
    </row>
    <row r="879" spans="1:8" ht="15.75" x14ac:dyDescent="0.25">
      <c r="A879" s="666" t="s">
        <v>1634</v>
      </c>
      <c r="B879" s="660"/>
      <c r="C879" s="660"/>
      <c r="D879" s="661"/>
      <c r="E879" s="667">
        <f>PACKAGING!E7</f>
        <v>170</v>
      </c>
      <c r="F879" s="653"/>
      <c r="G879" s="658"/>
      <c r="H879" s="653"/>
    </row>
    <row r="880" spans="1:8" ht="15.75" x14ac:dyDescent="0.25">
      <c r="A880" s="683" t="s">
        <v>1618</v>
      </c>
      <c r="B880" s="660">
        <v>60</v>
      </c>
      <c r="C880" s="660">
        <v>30</v>
      </c>
      <c r="D880" s="668">
        <f>'INSUMOS VARIOS'!B3</f>
        <v>3500</v>
      </c>
      <c r="E880" s="669">
        <f>D880*C880/B880</f>
        <v>1750</v>
      </c>
      <c r="F880" s="1"/>
      <c r="H880" s="658"/>
    </row>
    <row r="881" spans="1:8" ht="15.75" x14ac:dyDescent="0.25">
      <c r="A881" s="683" t="s">
        <v>3568</v>
      </c>
      <c r="B881" s="660"/>
      <c r="C881" s="660"/>
      <c r="D881" s="668"/>
      <c r="E881" s="669">
        <f>PACKAGING!I5</f>
        <v>845</v>
      </c>
      <c r="F881" s="1"/>
      <c r="H881" s="658"/>
    </row>
    <row r="882" spans="1:8" ht="15.75" thickBot="1" x14ac:dyDescent="0.3">
      <c r="A882" s="670" t="s">
        <v>525</v>
      </c>
      <c r="B882" s="671"/>
      <c r="C882" s="671"/>
      <c r="D882" s="672"/>
      <c r="E882" s="673">
        <f>SUM(E867:E881)</f>
        <v>7313.9888888888881</v>
      </c>
      <c r="F882" s="698"/>
      <c r="H882" s="658"/>
    </row>
    <row r="883" spans="1:8" ht="16.5" thickBot="1" x14ac:dyDescent="0.3">
      <c r="A883" s="675" t="s">
        <v>544</v>
      </c>
      <c r="B883" s="676"/>
      <c r="C883" s="676"/>
      <c r="D883" s="677"/>
      <c r="E883" s="692">
        <f>E882*2</f>
        <v>14627.977777777776</v>
      </c>
      <c r="F883" s="957">
        <f>E883+E883*70%</f>
        <v>24867.562222222219</v>
      </c>
      <c r="G883" s="681">
        <v>36000</v>
      </c>
      <c r="H883" s="653"/>
    </row>
    <row r="884" spans="1:8" ht="16.5" thickBot="1" x14ac:dyDescent="0.3">
      <c r="A884" s="684" t="s">
        <v>1559</v>
      </c>
      <c r="B884" s="685"/>
      <c r="C884" s="685"/>
      <c r="D884" s="686"/>
      <c r="E884" s="686"/>
      <c r="F884" s="816"/>
      <c r="G884" s="1275">
        <f>G883*60%</f>
        <v>21600</v>
      </c>
      <c r="H884" s="1276" t="s">
        <v>3687</v>
      </c>
    </row>
    <row r="885" spans="1:8" ht="16.5" thickBot="1" x14ac:dyDescent="0.3">
      <c r="H885" s="653"/>
    </row>
    <row r="886" spans="1:8" ht="16.5" thickBot="1" x14ac:dyDescent="0.3">
      <c r="A886" s="1811" t="s">
        <v>337</v>
      </c>
      <c r="B886" s="1812"/>
      <c r="C886" s="1812"/>
      <c r="D886" s="1812"/>
      <c r="E886" s="1813"/>
      <c r="F886" s="653"/>
      <c r="G886" s="653"/>
      <c r="H886" s="653"/>
    </row>
    <row r="887" spans="1:8" ht="15.75" x14ac:dyDescent="0.25">
      <c r="A887" s="654" t="s">
        <v>916</v>
      </c>
      <c r="B887" s="655" t="s">
        <v>743</v>
      </c>
      <c r="C887" s="655" t="s">
        <v>1566</v>
      </c>
      <c r="D887" s="656" t="s">
        <v>1035</v>
      </c>
      <c r="E887" s="657" t="s">
        <v>1549</v>
      </c>
      <c r="F887" s="658"/>
      <c r="G887" s="653"/>
      <c r="H887" s="653"/>
    </row>
    <row r="888" spans="1:8" ht="15.75" x14ac:dyDescent="0.25">
      <c r="A888" s="769" t="s">
        <v>4351</v>
      </c>
      <c r="B888" s="660">
        <v>0.9</v>
      </c>
      <c r="C888" s="660">
        <v>0.45</v>
      </c>
      <c r="D888" s="661">
        <f>PIEDRAS!E149</f>
        <v>3600</v>
      </c>
      <c r="E888" s="662">
        <f>D888*C888</f>
        <v>1620</v>
      </c>
      <c r="F888" s="658"/>
      <c r="G888" s="653"/>
      <c r="H888" s="653"/>
    </row>
    <row r="889" spans="1:8" ht="15.75" x14ac:dyDescent="0.25">
      <c r="A889" s="769" t="s">
        <v>2065</v>
      </c>
      <c r="B889" s="660"/>
      <c r="C889" s="660">
        <v>1</v>
      </c>
      <c r="D889" s="661">
        <f>'INSUMOS VARIOS'!E78</f>
        <v>300</v>
      </c>
      <c r="E889" s="662">
        <f>D889*C889</f>
        <v>300</v>
      </c>
      <c r="F889" s="658"/>
      <c r="G889" s="653"/>
      <c r="H889" s="653"/>
    </row>
    <row r="890" spans="1:8" ht="15.75" x14ac:dyDescent="0.25">
      <c r="A890" s="1762" t="s">
        <v>4201</v>
      </c>
      <c r="B890" s="660">
        <v>0.45</v>
      </c>
      <c r="C890" s="660">
        <v>2</v>
      </c>
      <c r="D890" s="661">
        <f>'HILOS-CORDONES-TANZA-CUERO'!E24</f>
        <v>56</v>
      </c>
      <c r="E890" s="662">
        <f>D890*C890*B890</f>
        <v>50.4</v>
      </c>
      <c r="F890" s="658"/>
      <c r="G890" s="653"/>
      <c r="H890" s="653"/>
    </row>
    <row r="891" spans="1:8" ht="15.75" x14ac:dyDescent="0.25">
      <c r="A891" s="1763"/>
      <c r="B891" s="660">
        <v>0.75</v>
      </c>
      <c r="C891" s="660">
        <v>1</v>
      </c>
      <c r="D891" s="661">
        <f>'HILOS-CORDONES-TANZA-CUERO'!E24</f>
        <v>56</v>
      </c>
      <c r="E891" s="662">
        <f>D891*C891*B891</f>
        <v>42</v>
      </c>
      <c r="F891" s="658"/>
      <c r="G891" s="653"/>
      <c r="H891" s="653"/>
    </row>
    <row r="892" spans="1:8" ht="15.75" x14ac:dyDescent="0.25">
      <c r="A892" s="769" t="s">
        <v>3340</v>
      </c>
      <c r="B892" s="660">
        <v>1</v>
      </c>
      <c r="C892" s="660">
        <v>2.2999999999999998</v>
      </c>
      <c r="D892" s="661">
        <f>'HILOS-CORDONES-TANZA-CUERO'!E7</f>
        <v>50.35</v>
      </c>
      <c r="E892" s="662">
        <f t="shared" ref="E892:E894" si="32">D892*C892</f>
        <v>115.80499999999999</v>
      </c>
      <c r="F892" s="658"/>
      <c r="G892" s="653"/>
      <c r="H892" s="653"/>
    </row>
    <row r="893" spans="1:8" ht="15.75" x14ac:dyDescent="0.25">
      <c r="A893" s="1762" t="s">
        <v>1572</v>
      </c>
      <c r="B893" s="660" t="s">
        <v>1556</v>
      </c>
      <c r="C893" s="660">
        <v>3</v>
      </c>
      <c r="D893" s="661">
        <f>PLATEADO!D22</f>
        <v>48.7</v>
      </c>
      <c r="E893" s="662">
        <f t="shared" si="32"/>
        <v>146.10000000000002</v>
      </c>
      <c r="F893" s="658"/>
      <c r="G893" s="653"/>
      <c r="H893" s="653"/>
    </row>
    <row r="894" spans="1:8" ht="15.75" x14ac:dyDescent="0.25">
      <c r="A894" s="1763"/>
      <c r="B894" s="660" t="s">
        <v>1573</v>
      </c>
      <c r="C894" s="660">
        <v>2</v>
      </c>
      <c r="D894" s="661">
        <f>PLATEADO!D25</f>
        <v>52.833333333333336</v>
      </c>
      <c r="E894" s="662">
        <f t="shared" si="32"/>
        <v>105.66666666666667</v>
      </c>
      <c r="F894" s="658"/>
      <c r="G894" s="653"/>
      <c r="H894" s="653"/>
    </row>
    <row r="895" spans="1:8" ht="15.75" x14ac:dyDescent="0.25">
      <c r="A895" s="666" t="s">
        <v>1608</v>
      </c>
      <c r="B895" s="660">
        <v>1</v>
      </c>
      <c r="C895" s="660">
        <v>0.1</v>
      </c>
      <c r="D895" s="661">
        <f>PLATEADO!F43</f>
        <v>3566</v>
      </c>
      <c r="E895" s="662">
        <f>D895*C895/B895</f>
        <v>356.6</v>
      </c>
      <c r="F895" s="658"/>
      <c r="G895" s="653"/>
      <c r="H895" s="653"/>
    </row>
    <row r="896" spans="1:8" ht="15.75" x14ac:dyDescent="0.25">
      <c r="A896" s="666" t="s">
        <v>3639</v>
      </c>
      <c r="B896" s="660"/>
      <c r="C896" s="660">
        <v>1</v>
      </c>
      <c r="D896" s="661">
        <f>'PALAIS DU BIJOU'!O19</f>
        <v>3.4375</v>
      </c>
      <c r="E896" s="662">
        <f>D896*C896</f>
        <v>3.4375</v>
      </c>
      <c r="F896" s="658"/>
      <c r="G896" s="653"/>
      <c r="H896" s="653"/>
    </row>
    <row r="897" spans="1:8" ht="15.75" x14ac:dyDescent="0.25">
      <c r="A897" s="666" t="s">
        <v>1587</v>
      </c>
      <c r="B897" s="660"/>
      <c r="C897" s="660">
        <v>1</v>
      </c>
      <c r="D897" s="661">
        <f>FORNITURAS!J44</f>
        <v>292</v>
      </c>
      <c r="E897" s="662">
        <f>C897*D897</f>
        <v>292</v>
      </c>
      <c r="F897" s="658"/>
      <c r="G897" s="653"/>
      <c r="H897" s="653"/>
    </row>
    <row r="898" spans="1:8" ht="15.75" x14ac:dyDescent="0.25">
      <c r="A898" s="666" t="s">
        <v>1557</v>
      </c>
      <c r="B898" s="660"/>
      <c r="C898" s="660"/>
      <c r="D898" s="661"/>
      <c r="E898" s="667">
        <f>PACKAGING!E4</f>
        <v>80</v>
      </c>
      <c r="F898" s="653"/>
      <c r="G898" s="658"/>
      <c r="H898" s="653"/>
    </row>
    <row r="899" spans="1:8" ht="15.75" x14ac:dyDescent="0.25">
      <c r="A899" s="666" t="s">
        <v>3362</v>
      </c>
      <c r="B899" s="660"/>
      <c r="C899" s="660"/>
      <c r="D899" s="661"/>
      <c r="E899" s="667">
        <f>PACKAGING!E17</f>
        <v>7.5</v>
      </c>
      <c r="F899" s="653"/>
      <c r="G899" s="658"/>
      <c r="H899" s="653"/>
    </row>
    <row r="900" spans="1:8" ht="15.75" x14ac:dyDescent="0.25">
      <c r="A900" s="666" t="s">
        <v>1634</v>
      </c>
      <c r="B900" s="660"/>
      <c r="C900" s="660"/>
      <c r="D900" s="661"/>
      <c r="E900" s="667">
        <f>PACKAGING!E7</f>
        <v>170</v>
      </c>
      <c r="F900" s="653"/>
      <c r="G900" s="653"/>
      <c r="H900" s="653"/>
    </row>
    <row r="901" spans="1:8" ht="15.75" x14ac:dyDescent="0.25">
      <c r="A901" s="1339" t="s">
        <v>3568</v>
      </c>
      <c r="B901" s="660"/>
      <c r="C901" s="660"/>
      <c r="D901" s="668"/>
      <c r="E901" s="667">
        <f>PACKAGING!I5</f>
        <v>845</v>
      </c>
      <c r="F901" s="653"/>
      <c r="G901" s="653"/>
      <c r="H901" s="653"/>
    </row>
    <row r="902" spans="1:8" ht="15.75" x14ac:dyDescent="0.25">
      <c r="A902" s="683" t="s">
        <v>1618</v>
      </c>
      <c r="B902" s="660">
        <v>60</v>
      </c>
      <c r="C902" s="660">
        <v>60</v>
      </c>
      <c r="D902" s="668">
        <f>'INSUMOS VARIOS'!B3</f>
        <v>3500</v>
      </c>
      <c r="E902" s="669">
        <f>D902*C902/B902</f>
        <v>3500</v>
      </c>
      <c r="F902" s="1"/>
      <c r="G902" s="653"/>
      <c r="H902" s="653"/>
    </row>
    <row r="903" spans="1:8" ht="16.5" thickBot="1" x14ac:dyDescent="0.3">
      <c r="A903" s="670" t="s">
        <v>525</v>
      </c>
      <c r="B903" s="671"/>
      <c r="C903" s="671"/>
      <c r="D903" s="672"/>
      <c r="E903" s="673">
        <f>SUM(E888:E902)</f>
        <v>7634.5091666666667</v>
      </c>
      <c r="F903" s="698"/>
      <c r="G903" s="653"/>
      <c r="H903" s="653"/>
    </row>
    <row r="904" spans="1:8" ht="16.5" thickBot="1" x14ac:dyDescent="0.3">
      <c r="A904" s="675" t="s">
        <v>544</v>
      </c>
      <c r="B904" s="676"/>
      <c r="C904" s="676"/>
      <c r="D904" s="677"/>
      <c r="E904" s="692">
        <f>E903*2</f>
        <v>15269.018333333333</v>
      </c>
      <c r="F904" s="957">
        <f>E904+E904*70%</f>
        <v>25957.331166666667</v>
      </c>
      <c r="G904" s="681">
        <v>38000</v>
      </c>
      <c r="H904" s="1276" t="s">
        <v>3687</v>
      </c>
    </row>
    <row r="905" spans="1:8" ht="16.5" thickBot="1" x14ac:dyDescent="0.3">
      <c r="A905" s="684" t="s">
        <v>1559</v>
      </c>
      <c r="B905" s="685"/>
      <c r="C905" s="685"/>
      <c r="D905" s="686"/>
      <c r="E905" s="686"/>
      <c r="F905" s="816"/>
      <c r="G905" s="1275">
        <f>G904*60%</f>
        <v>22800</v>
      </c>
      <c r="H905" s="653"/>
    </row>
    <row r="906" spans="1:8" ht="16.5" thickBot="1" x14ac:dyDescent="0.3">
      <c r="G906" s="653"/>
      <c r="H906" s="653"/>
    </row>
    <row r="907" spans="1:8" ht="16.5" thickBot="1" x14ac:dyDescent="0.3">
      <c r="A907" s="1811" t="s">
        <v>4600</v>
      </c>
      <c r="B907" s="1812"/>
      <c r="C907" s="1812"/>
      <c r="D907" s="1812"/>
      <c r="E907" s="1813"/>
      <c r="F907" s="1294"/>
      <c r="G907" s="653"/>
      <c r="H907" s="653"/>
    </row>
    <row r="908" spans="1:8" ht="15.75" x14ac:dyDescent="0.25">
      <c r="A908" s="654" t="s">
        <v>916</v>
      </c>
      <c r="B908" s="655" t="s">
        <v>743</v>
      </c>
      <c r="C908" s="655" t="s">
        <v>1566</v>
      </c>
      <c r="D908" s="656" t="s">
        <v>1035</v>
      </c>
      <c r="E908" s="657" t="s">
        <v>1549</v>
      </c>
      <c r="F908" s="658"/>
      <c r="G908" s="653"/>
      <c r="H908" s="653"/>
    </row>
    <row r="909" spans="1:8" ht="15.75" x14ac:dyDescent="0.25">
      <c r="A909" s="659" t="s">
        <v>4560</v>
      </c>
      <c r="B909" s="660">
        <v>30</v>
      </c>
      <c r="C909" s="660">
        <v>3</v>
      </c>
      <c r="D909" s="661">
        <f>'HILOS-CORDONES-TANZA-CUERO'!D22</f>
        <v>2719</v>
      </c>
      <c r="E909" s="662">
        <f>D909*C909/B909</f>
        <v>271.89999999999998</v>
      </c>
      <c r="F909" s="658"/>
      <c r="G909" s="653"/>
      <c r="H909" s="653"/>
    </row>
    <row r="910" spans="1:8" ht="15.75" x14ac:dyDescent="0.25">
      <c r="A910" s="769" t="s">
        <v>4561</v>
      </c>
      <c r="B910" s="660"/>
      <c r="C910" s="660">
        <v>1</v>
      </c>
      <c r="D910" s="661">
        <f>'AROS, CADENAS, DIJES, ETC'!P203</f>
        <v>2987</v>
      </c>
      <c r="E910" s="662">
        <f t="shared" ref="E910:E913" si="33">D910*C910</f>
        <v>2987</v>
      </c>
      <c r="F910" s="653"/>
      <c r="G910" s="653"/>
      <c r="H910" s="653"/>
    </row>
    <row r="911" spans="1:8" ht="15.75" x14ac:dyDescent="0.25">
      <c r="A911" s="1762" t="s">
        <v>1572</v>
      </c>
      <c r="B911" s="660" t="s">
        <v>1556</v>
      </c>
      <c r="C911" s="660">
        <v>1</v>
      </c>
      <c r="D911" s="661">
        <f>FORNITURAS!D4</f>
        <v>48.7</v>
      </c>
      <c r="E911" s="662">
        <f>D911*C911</f>
        <v>48.7</v>
      </c>
      <c r="F911" s="653"/>
      <c r="G911" s="653"/>
      <c r="H911" s="653"/>
    </row>
    <row r="912" spans="1:8" ht="15.75" x14ac:dyDescent="0.25">
      <c r="A912" s="1815"/>
      <c r="B912" s="660" t="s">
        <v>1573</v>
      </c>
      <c r="C912" s="660">
        <v>1</v>
      </c>
      <c r="D912" s="661">
        <f>FORNITURAS!D7</f>
        <v>52</v>
      </c>
      <c r="E912" s="662">
        <f>D912*C912</f>
        <v>52</v>
      </c>
      <c r="F912" s="653"/>
      <c r="G912" s="653"/>
      <c r="H912" s="653"/>
    </row>
    <row r="913" spans="1:8" ht="15.75" x14ac:dyDescent="0.25">
      <c r="A913" s="1763"/>
      <c r="B913" s="660" t="s">
        <v>4241</v>
      </c>
      <c r="C913" s="660">
        <v>2</v>
      </c>
      <c r="D913" s="661">
        <f>FORNITURAS!H62</f>
        <v>466.15384615384613</v>
      </c>
      <c r="E913" s="662">
        <f t="shared" si="33"/>
        <v>932.30769230769226</v>
      </c>
      <c r="F913" s="653"/>
      <c r="G913" s="653"/>
      <c r="H913" s="653"/>
    </row>
    <row r="914" spans="1:8" ht="15.75" x14ac:dyDescent="0.25">
      <c r="A914" s="666" t="s">
        <v>1608</v>
      </c>
      <c r="B914" s="660"/>
      <c r="C914" s="660">
        <v>0.1</v>
      </c>
      <c r="D914" s="661">
        <f>'AROS, CADENAS, DIJES, ETC'!K66</f>
        <v>0</v>
      </c>
      <c r="E914" s="662">
        <f>C914*D914</f>
        <v>0</v>
      </c>
      <c r="F914" s="653"/>
      <c r="G914" s="653"/>
      <c r="H914" s="653"/>
    </row>
    <row r="915" spans="1:8" ht="15.75" x14ac:dyDescent="0.25">
      <c r="A915" s="1405" t="s">
        <v>1587</v>
      </c>
      <c r="B915" s="1226"/>
      <c r="C915" s="1226">
        <v>1</v>
      </c>
      <c r="D915" s="1363">
        <f>FORNITURAS!H45</f>
        <v>563</v>
      </c>
      <c r="E915" s="1338">
        <f>C915*D915</f>
        <v>563</v>
      </c>
      <c r="F915" s="653"/>
      <c r="G915" s="653"/>
      <c r="H915" s="653"/>
    </row>
    <row r="916" spans="1:8" ht="15.75" x14ac:dyDescent="0.25">
      <c r="A916" s="666" t="s">
        <v>1557</v>
      </c>
      <c r="B916" s="660"/>
      <c r="C916" s="660"/>
      <c r="D916" s="661"/>
      <c r="E916" s="667">
        <f>PACKAGING!E4</f>
        <v>80</v>
      </c>
      <c r="F916" s="653"/>
      <c r="G916" s="658"/>
      <c r="H916" s="653"/>
    </row>
    <row r="917" spans="1:8" ht="15.75" x14ac:dyDescent="0.25">
      <c r="A917" s="666" t="s">
        <v>3362</v>
      </c>
      <c r="B917" s="660"/>
      <c r="C917" s="660"/>
      <c r="D917" s="661"/>
      <c r="E917" s="667">
        <f>PACKAGING!E17</f>
        <v>7.5</v>
      </c>
      <c r="F917" s="653"/>
      <c r="G917" s="658"/>
      <c r="H917" s="653"/>
    </row>
    <row r="918" spans="1:8" ht="15.75" x14ac:dyDescent="0.25">
      <c r="A918" s="666" t="s">
        <v>1634</v>
      </c>
      <c r="B918" s="660"/>
      <c r="C918" s="660"/>
      <c r="D918" s="661"/>
      <c r="E918" s="667">
        <f>PACKAGING!E7</f>
        <v>170</v>
      </c>
      <c r="F918" s="653"/>
      <c r="G918" s="658"/>
      <c r="H918" s="653"/>
    </row>
    <row r="919" spans="1:8" ht="15.75" x14ac:dyDescent="0.25">
      <c r="A919" s="666" t="s">
        <v>3568</v>
      </c>
      <c r="B919" s="660"/>
      <c r="C919" s="660"/>
      <c r="D919" s="661"/>
      <c r="E919" s="667">
        <f>PACKAGING!I5</f>
        <v>845</v>
      </c>
      <c r="F919" s="653"/>
      <c r="G919" s="658"/>
      <c r="H919" s="653"/>
    </row>
    <row r="920" spans="1:8" ht="15.75" x14ac:dyDescent="0.25">
      <c r="A920" s="683" t="s">
        <v>1618</v>
      </c>
      <c r="B920" s="660">
        <v>60</v>
      </c>
      <c r="C920" s="660">
        <v>95</v>
      </c>
      <c r="D920" s="668">
        <f>'INSUMOS VARIOS'!B3</f>
        <v>3500</v>
      </c>
      <c r="E920" s="669">
        <f>D920*C920/B920</f>
        <v>5541.666666666667</v>
      </c>
      <c r="F920" s="653"/>
      <c r="G920" s="658"/>
      <c r="H920" s="653"/>
    </row>
    <row r="921" spans="1:8" ht="16.5" thickBot="1" x14ac:dyDescent="0.3">
      <c r="A921" s="670" t="s">
        <v>525</v>
      </c>
      <c r="B921" s="671"/>
      <c r="C921" s="671"/>
      <c r="D921" s="672"/>
      <c r="E921" s="673">
        <f>SUM(E909:E920)</f>
        <v>11499.074358974358</v>
      </c>
      <c r="F921" s="658"/>
      <c r="G921" s="653"/>
      <c r="H921" s="653"/>
    </row>
    <row r="922" spans="1:8" ht="16.5" thickBot="1" x14ac:dyDescent="0.3">
      <c r="A922" s="675" t="s">
        <v>544</v>
      </c>
      <c r="B922" s="676"/>
      <c r="C922" s="676"/>
      <c r="D922" s="677"/>
      <c r="E922" s="692">
        <f>E921*2</f>
        <v>22998.148717948716</v>
      </c>
      <c r="F922" s="957">
        <f>E922+E922*70%</f>
        <v>39096.852820512817</v>
      </c>
      <c r="G922" s="681">
        <v>48000</v>
      </c>
      <c r="H922" s="1276" t="s">
        <v>3687</v>
      </c>
    </row>
    <row r="923" spans="1:8" ht="16.5" thickBot="1" x14ac:dyDescent="0.3">
      <c r="A923" s="684" t="s">
        <v>1559</v>
      </c>
      <c r="B923" s="685"/>
      <c r="C923" s="685"/>
      <c r="D923" s="686"/>
      <c r="E923" s="686"/>
      <c r="F923" s="816"/>
      <c r="G923" s="1275">
        <f>G922*60%</f>
        <v>28800</v>
      </c>
    </row>
    <row r="924" spans="1:8" ht="16.5" thickBot="1" x14ac:dyDescent="0.3">
      <c r="H924" s="653"/>
    </row>
    <row r="925" spans="1:8" ht="16.5" thickBot="1" x14ac:dyDescent="0.3">
      <c r="A925" s="1811" t="s">
        <v>4598</v>
      </c>
      <c r="B925" s="1812"/>
      <c r="C925" s="1812"/>
      <c r="D925" s="1812"/>
      <c r="E925" s="1813"/>
      <c r="F925" s="1294"/>
      <c r="G925" s="653"/>
      <c r="H925" s="653"/>
    </row>
    <row r="926" spans="1:8" ht="15.75" x14ac:dyDescent="0.25">
      <c r="A926" s="654" t="s">
        <v>916</v>
      </c>
      <c r="B926" s="655" t="s">
        <v>743</v>
      </c>
      <c r="C926" s="655" t="s">
        <v>1566</v>
      </c>
      <c r="D926" s="656" t="s">
        <v>1035</v>
      </c>
      <c r="E926" s="657" t="s">
        <v>1549</v>
      </c>
      <c r="F926" s="658"/>
      <c r="G926" s="653"/>
      <c r="H926" s="653"/>
    </row>
    <row r="927" spans="1:8" ht="15.75" x14ac:dyDescent="0.25">
      <c r="A927" s="659" t="s">
        <v>4564</v>
      </c>
      <c r="B927" s="660">
        <v>11</v>
      </c>
      <c r="C927" s="660">
        <v>0.39</v>
      </c>
      <c r="D927" s="661">
        <f>'HILOS-CORDONES-TANZA-CUERO'!E45</f>
        <v>777.77777777777783</v>
      </c>
      <c r="E927" s="662">
        <f>D927*C927/B927</f>
        <v>27.575757575757578</v>
      </c>
      <c r="F927" s="658"/>
      <c r="G927" s="653"/>
      <c r="H927" s="653"/>
    </row>
    <row r="928" spans="1:8" ht="15.75" x14ac:dyDescent="0.25">
      <c r="A928" s="1155" t="s">
        <v>3099</v>
      </c>
      <c r="B928" s="660" t="s">
        <v>3534</v>
      </c>
      <c r="C928" s="660">
        <v>5</v>
      </c>
      <c r="D928" s="661">
        <f>'PERLAS 2'!O4</f>
        <v>171.05263157894737</v>
      </c>
      <c r="E928" s="662">
        <f>D928*C928</f>
        <v>855.26315789473688</v>
      </c>
      <c r="F928" s="658"/>
      <c r="G928" s="653"/>
      <c r="H928" s="653"/>
    </row>
    <row r="929" spans="1:8" ht="15.75" x14ac:dyDescent="0.25">
      <c r="A929" s="1155" t="s">
        <v>1050</v>
      </c>
      <c r="B929" s="660" t="s">
        <v>1062</v>
      </c>
      <c r="C929" s="660">
        <v>0.2</v>
      </c>
      <c r="D929" s="661">
        <f>PLATEADO!L6</f>
        <v>543.20754716981128</v>
      </c>
      <c r="E929" s="662">
        <f>D929*C929</f>
        <v>108.64150943396226</v>
      </c>
      <c r="F929" s="658"/>
      <c r="G929" s="653"/>
      <c r="H929" s="653"/>
    </row>
    <row r="930" spans="1:8" ht="15.75" x14ac:dyDescent="0.25">
      <c r="A930" s="769" t="s">
        <v>4041</v>
      </c>
      <c r="B930" s="660"/>
      <c r="C930" s="660">
        <v>1</v>
      </c>
      <c r="D930" s="661">
        <f>'AROS, CADENAS, DIJES, ETC'!R185</f>
        <v>1729</v>
      </c>
      <c r="E930" s="662">
        <f t="shared" ref="E930:E933" si="34">D930*C930</f>
        <v>1729</v>
      </c>
      <c r="F930" s="658"/>
      <c r="G930" s="653"/>
      <c r="H930" s="653"/>
    </row>
    <row r="931" spans="1:8" ht="15.75" x14ac:dyDescent="0.25">
      <c r="A931" s="1736" t="s">
        <v>1572</v>
      </c>
      <c r="B931" s="660" t="s">
        <v>1573</v>
      </c>
      <c r="C931" s="660">
        <v>2</v>
      </c>
      <c r="D931" s="661">
        <f>PLATEADO!D25</f>
        <v>52.833333333333336</v>
      </c>
      <c r="E931" s="662">
        <f t="shared" si="34"/>
        <v>105.66666666666667</v>
      </c>
      <c r="F931" s="658"/>
      <c r="G931" s="653"/>
      <c r="H931" s="653"/>
    </row>
    <row r="932" spans="1:8" ht="15.75" x14ac:dyDescent="0.25">
      <c r="A932" s="1737"/>
      <c r="B932" s="660" t="s">
        <v>4206</v>
      </c>
      <c r="C932" s="660">
        <v>1</v>
      </c>
      <c r="D932" s="661">
        <f>FORNITURAS!J63</f>
        <v>164.95652173913044</v>
      </c>
      <c r="E932" s="662">
        <f t="shared" si="34"/>
        <v>164.95652173913044</v>
      </c>
      <c r="F932" s="658"/>
      <c r="G932" s="653"/>
      <c r="H932" s="653"/>
    </row>
    <row r="933" spans="1:8" ht="15.75" x14ac:dyDescent="0.25">
      <c r="A933" s="666" t="s">
        <v>4205</v>
      </c>
      <c r="B933" s="660"/>
      <c r="C933" s="660">
        <v>2</v>
      </c>
      <c r="D933" s="661">
        <f>FORNITURAS!J52</f>
        <v>231.5</v>
      </c>
      <c r="E933" s="662">
        <f t="shared" si="34"/>
        <v>463</v>
      </c>
      <c r="F933" s="658"/>
      <c r="G933" s="653"/>
      <c r="H933" s="653"/>
    </row>
    <row r="934" spans="1:8" ht="15.75" x14ac:dyDescent="0.25">
      <c r="A934" s="666" t="s">
        <v>1608</v>
      </c>
      <c r="B934" s="660"/>
      <c r="C934" s="660">
        <v>0.1</v>
      </c>
      <c r="D934" s="661">
        <f>PLATEADO!F44</f>
        <v>4888</v>
      </c>
      <c r="E934" s="662">
        <f>C934*D934</f>
        <v>488.8</v>
      </c>
      <c r="F934" s="658"/>
      <c r="G934" s="653"/>
      <c r="H934" s="653"/>
    </row>
    <row r="935" spans="1:8" ht="15.75" x14ac:dyDescent="0.25">
      <c r="A935" s="666" t="s">
        <v>1746</v>
      </c>
      <c r="B935" s="660"/>
      <c r="C935" s="660"/>
      <c r="D935" s="661"/>
      <c r="E935" s="662">
        <v>60</v>
      </c>
      <c r="F935" s="658"/>
      <c r="G935" s="653"/>
      <c r="H935" s="653"/>
    </row>
    <row r="936" spans="1:8" ht="15.75" x14ac:dyDescent="0.25">
      <c r="A936" s="666" t="s">
        <v>1587</v>
      </c>
      <c r="B936" s="660"/>
      <c r="C936" s="660">
        <v>1</v>
      </c>
      <c r="D936" s="661">
        <f>FORNITURAS!J45</f>
        <v>334</v>
      </c>
      <c r="E936" s="662">
        <f>C936*D936</f>
        <v>334</v>
      </c>
      <c r="F936" s="658"/>
      <c r="G936" s="653"/>
      <c r="H936" s="653"/>
    </row>
    <row r="937" spans="1:8" ht="15.75" x14ac:dyDescent="0.25">
      <c r="A937" s="666" t="s">
        <v>1557</v>
      </c>
      <c r="B937" s="660"/>
      <c r="C937" s="660"/>
      <c r="D937" s="661"/>
      <c r="E937" s="667">
        <f>PACKAGING!E4</f>
        <v>80</v>
      </c>
      <c r="F937" s="653"/>
      <c r="G937" s="658"/>
      <c r="H937" s="653"/>
    </row>
    <row r="938" spans="1:8" ht="15.75" x14ac:dyDescent="0.25">
      <c r="A938" s="666" t="s">
        <v>3362</v>
      </c>
      <c r="B938" s="660"/>
      <c r="C938" s="660"/>
      <c r="D938" s="661"/>
      <c r="E938" s="667">
        <f>PACKAGING!E17</f>
        <v>7.5</v>
      </c>
      <c r="F938" s="653"/>
      <c r="G938" s="658"/>
      <c r="H938" s="653"/>
    </row>
    <row r="939" spans="1:8" ht="15.75" x14ac:dyDescent="0.25">
      <c r="A939" s="666" t="s">
        <v>1634</v>
      </c>
      <c r="B939" s="660"/>
      <c r="C939" s="660"/>
      <c r="D939" s="661"/>
      <c r="E939" s="667">
        <f>PACKAGING!E7</f>
        <v>170</v>
      </c>
      <c r="F939" s="653"/>
      <c r="G939" s="658"/>
      <c r="H939" s="653"/>
    </row>
    <row r="940" spans="1:8" ht="15.75" x14ac:dyDescent="0.25">
      <c r="A940" s="666" t="s">
        <v>4153</v>
      </c>
      <c r="B940" s="660"/>
      <c r="C940" s="660"/>
      <c r="D940" s="661"/>
      <c r="E940" s="667">
        <f>PACKAGING!I6</f>
        <v>1070</v>
      </c>
      <c r="F940" s="653"/>
      <c r="G940" s="658"/>
      <c r="H940" s="653"/>
    </row>
    <row r="941" spans="1:8" ht="15.75" x14ac:dyDescent="0.25">
      <c r="A941" s="683" t="s">
        <v>1618</v>
      </c>
      <c r="B941" s="660">
        <v>60</v>
      </c>
      <c r="C941" s="660">
        <v>50</v>
      </c>
      <c r="D941" s="668">
        <f>'INSUMOS VARIOS'!B3</f>
        <v>3500</v>
      </c>
      <c r="E941" s="669">
        <f>D941*C941/B941</f>
        <v>2916.6666666666665</v>
      </c>
      <c r="F941" s="653"/>
      <c r="G941" s="658"/>
      <c r="H941" s="653"/>
    </row>
    <row r="942" spans="1:8" ht="16.5" thickBot="1" x14ac:dyDescent="0.3">
      <c r="A942" s="670" t="s">
        <v>525</v>
      </c>
      <c r="B942" s="671"/>
      <c r="C942" s="671"/>
      <c r="D942" s="672"/>
      <c r="E942" s="673">
        <f>SUM(E927:E941)</f>
        <v>8581.0702799769206</v>
      </c>
      <c r="F942" s="658"/>
      <c r="G942" s="653"/>
      <c r="H942" s="653"/>
    </row>
    <row r="943" spans="1:8" ht="16.5" thickBot="1" x14ac:dyDescent="0.3">
      <c r="A943" s="675" t="s">
        <v>544</v>
      </c>
      <c r="B943" s="676"/>
      <c r="C943" s="676"/>
      <c r="D943" s="677"/>
      <c r="E943" s="692">
        <f>E942*2</f>
        <v>17162.140559953841</v>
      </c>
      <c r="F943" s="957">
        <f>E943+E943*60%</f>
        <v>27459.424895926146</v>
      </c>
      <c r="G943" s="681">
        <v>44000</v>
      </c>
      <c r="H943" s="1276" t="s">
        <v>3687</v>
      </c>
    </row>
    <row r="944" spans="1:8" ht="16.5" thickBot="1" x14ac:dyDescent="0.3">
      <c r="A944" s="684" t="s">
        <v>1559</v>
      </c>
      <c r="B944" s="685"/>
      <c r="C944" s="685"/>
      <c r="D944" s="686"/>
      <c r="E944" s="686"/>
      <c r="F944" s="816"/>
      <c r="G944" s="1275">
        <f>G943*60%</f>
        <v>26400</v>
      </c>
    </row>
    <row r="946" spans="1:13" ht="15.75" thickBot="1" x14ac:dyDescent="0.3"/>
    <row r="947" spans="1:13" ht="16.5" thickBot="1" x14ac:dyDescent="0.3">
      <c r="A947" s="1811" t="s">
        <v>4599</v>
      </c>
      <c r="B947" s="1812"/>
      <c r="C947" s="1812"/>
      <c r="D947" s="1812"/>
      <c r="E947" s="1813"/>
      <c r="F947" s="652"/>
      <c r="G947" s="652"/>
      <c r="H947" s="653"/>
      <c r="K947" s="652"/>
    </row>
    <row r="948" spans="1:13" ht="15.75" x14ac:dyDescent="0.25">
      <c r="A948" s="654" t="s">
        <v>916</v>
      </c>
      <c r="B948" s="655" t="s">
        <v>743</v>
      </c>
      <c r="C948" s="655" t="s">
        <v>1566</v>
      </c>
      <c r="D948" s="656" t="s">
        <v>1035</v>
      </c>
      <c r="E948" s="657" t="s">
        <v>1549</v>
      </c>
      <c r="F948" s="658"/>
      <c r="G948" s="652"/>
      <c r="H948" s="653"/>
      <c r="J948" s="652"/>
      <c r="K948" s="652"/>
      <c r="L948" s="652"/>
      <c r="M948" s="652"/>
    </row>
    <row r="949" spans="1:13" ht="15.75" x14ac:dyDescent="0.25">
      <c r="A949" s="659" t="s">
        <v>4608</v>
      </c>
      <c r="B949" s="660"/>
      <c r="C949" s="660">
        <v>26</v>
      </c>
      <c r="D949" s="661">
        <f>'INSUMOS VARIOS'!E65</f>
        <v>44.2</v>
      </c>
      <c r="E949" s="662">
        <f>D949*C949</f>
        <v>1149.2</v>
      </c>
      <c r="F949" s="658"/>
      <c r="G949" s="652"/>
      <c r="H949" s="653"/>
      <c r="J949" s="652"/>
      <c r="K949" s="652"/>
      <c r="L949" s="652"/>
      <c r="M949" s="652"/>
    </row>
    <row r="950" spans="1:13" ht="15.75" x14ac:dyDescent="0.25">
      <c r="A950" s="663" t="s">
        <v>4590</v>
      </c>
      <c r="B950" s="660"/>
      <c r="C950" s="660">
        <v>1</v>
      </c>
      <c r="D950" s="661">
        <f>'INSUMOS VARIOS'!E63</f>
        <v>1666.6666666666667</v>
      </c>
      <c r="E950" s="662">
        <f>C950*D950</f>
        <v>1666.6666666666667</v>
      </c>
      <c r="F950" s="658"/>
      <c r="G950" s="652"/>
      <c r="H950" s="653"/>
      <c r="J950" s="652"/>
      <c r="K950" s="652"/>
      <c r="L950" s="652"/>
      <c r="M950" s="652"/>
    </row>
    <row r="951" spans="1:13" ht="15.75" x14ac:dyDescent="0.25">
      <c r="A951" s="1734" t="s">
        <v>4593</v>
      </c>
      <c r="B951" s="660">
        <v>0.45</v>
      </c>
      <c r="C951" s="660">
        <v>2</v>
      </c>
      <c r="D951" s="661">
        <f>'HILOS-CORDONES-TANZA-CUERO'!E20</f>
        <v>50.625</v>
      </c>
      <c r="E951" s="662">
        <f>D951*C951*B951</f>
        <v>45.5625</v>
      </c>
      <c r="F951" s="653"/>
      <c r="G951" s="652"/>
      <c r="H951" s="653"/>
      <c r="J951" s="652"/>
      <c r="K951" s="652"/>
    </row>
    <row r="952" spans="1:13" ht="15.75" x14ac:dyDescent="0.25">
      <c r="A952" s="1752"/>
      <c r="B952" s="660">
        <v>1.2</v>
      </c>
      <c r="C952" s="660">
        <v>1</v>
      </c>
      <c r="D952" s="661">
        <f>'HILOS-CORDONES-TANZA-CUERO'!E20</f>
        <v>50.625</v>
      </c>
      <c r="E952" s="662">
        <f>D952*C952*B952</f>
        <v>60.75</v>
      </c>
      <c r="F952" s="653"/>
      <c r="G952" s="652"/>
      <c r="H952" s="653"/>
      <c r="J952" s="652"/>
      <c r="K952" s="652"/>
    </row>
    <row r="953" spans="1:13" ht="15.75" x14ac:dyDescent="0.25">
      <c r="A953" s="1735"/>
      <c r="B953" s="660">
        <v>1.4</v>
      </c>
      <c r="C953" s="660">
        <v>1</v>
      </c>
      <c r="D953" s="661">
        <f>'HILOS-CORDONES-TANZA-CUERO'!E20</f>
        <v>50.625</v>
      </c>
      <c r="E953" s="662">
        <f>D953*C953*B953</f>
        <v>70.875</v>
      </c>
      <c r="F953" s="653"/>
      <c r="G953" s="652"/>
      <c r="H953" s="652"/>
      <c r="I953" s="652"/>
      <c r="J953" s="652"/>
      <c r="K953" s="652"/>
    </row>
    <row r="954" spans="1:13" ht="15.75" x14ac:dyDescent="0.25">
      <c r="A954" s="769" t="s">
        <v>4594</v>
      </c>
      <c r="B954" s="660"/>
      <c r="C954" s="660">
        <v>3</v>
      </c>
      <c r="D954" s="661">
        <f>'AROS, CADENAS, DIJES, ETC'!X15</f>
        <v>210.47222222222223</v>
      </c>
      <c r="E954" s="662">
        <f>D954*C954</f>
        <v>631.41666666666674</v>
      </c>
      <c r="F954" s="653"/>
      <c r="G954" s="652"/>
      <c r="H954" s="652"/>
      <c r="I954" s="652"/>
      <c r="J954" s="652"/>
    </row>
    <row r="955" spans="1:13" ht="15.75" x14ac:dyDescent="0.25">
      <c r="A955" s="820" t="s">
        <v>1748</v>
      </c>
      <c r="B955" s="660" t="s">
        <v>3534</v>
      </c>
      <c r="C955" s="660">
        <v>1</v>
      </c>
      <c r="D955" s="661">
        <f>'PERLAS 2'!O4</f>
        <v>171.05263157894737</v>
      </c>
      <c r="E955" s="662">
        <f>D955</f>
        <v>171.05263157894737</v>
      </c>
      <c r="F955" s="653"/>
      <c r="G955" s="652"/>
      <c r="H955" s="652"/>
      <c r="I955" s="652"/>
    </row>
    <row r="956" spans="1:13" ht="15.75" x14ac:dyDescent="0.25">
      <c r="A956" s="820" t="s">
        <v>3237</v>
      </c>
      <c r="B956" s="660" t="s">
        <v>1054</v>
      </c>
      <c r="C956" s="660">
        <v>0.01</v>
      </c>
      <c r="D956" s="1450">
        <f>FORNITURAS!W3</f>
        <v>2284</v>
      </c>
      <c r="E956" s="662">
        <f>D956*C956</f>
        <v>22.84</v>
      </c>
      <c r="F956" s="653"/>
      <c r="G956" s="652"/>
      <c r="H956" s="652"/>
      <c r="I956" s="652"/>
    </row>
    <row r="957" spans="1:13" ht="15.75" x14ac:dyDescent="0.25">
      <c r="A957" s="820" t="s">
        <v>3568</v>
      </c>
      <c r="B957" s="660"/>
      <c r="C957" s="660"/>
      <c r="D957" s="660"/>
      <c r="E957" s="662">
        <f>PACKAGING!I5</f>
        <v>845</v>
      </c>
      <c r="F957" s="653"/>
      <c r="G957" s="652"/>
      <c r="H957" s="652"/>
      <c r="I957" s="652"/>
    </row>
    <row r="958" spans="1:13" x14ac:dyDescent="0.25">
      <c r="A958" s="666" t="s">
        <v>1557</v>
      </c>
      <c r="B958" s="660"/>
      <c r="C958" s="660"/>
      <c r="D958" s="769"/>
      <c r="E958" s="662">
        <f>PACKAGING!E4</f>
        <v>80</v>
      </c>
      <c r="F958" s="652"/>
      <c r="G958" s="652"/>
      <c r="H958" s="652"/>
      <c r="I958" s="652"/>
    </row>
    <row r="959" spans="1:13" x14ac:dyDescent="0.25">
      <c r="A959" s="666" t="s">
        <v>3362</v>
      </c>
      <c r="B959" s="660"/>
      <c r="C959" s="660"/>
      <c r="D959" s="769"/>
      <c r="E959" s="662">
        <f>PACKAGING!E17</f>
        <v>7.5</v>
      </c>
      <c r="F959" s="652"/>
      <c r="G959" s="652"/>
      <c r="H959" s="652"/>
      <c r="I959" s="652"/>
    </row>
    <row r="960" spans="1:13" ht="15.75" x14ac:dyDescent="0.25">
      <c r="A960" s="666" t="s">
        <v>1558</v>
      </c>
      <c r="B960" s="660">
        <v>60</v>
      </c>
      <c r="C960" s="660">
        <v>70</v>
      </c>
      <c r="D960" s="661">
        <f>'INSUMOS VARIOS'!B3</f>
        <v>3500</v>
      </c>
      <c r="E960" s="662">
        <f>D960*C960/B960</f>
        <v>4083.3333333333335</v>
      </c>
      <c r="F960" s="658"/>
      <c r="G960" s="652"/>
      <c r="H960" s="653"/>
    </row>
    <row r="961" spans="1:8" ht="16.5" thickBot="1" x14ac:dyDescent="0.3">
      <c r="A961" s="670" t="s">
        <v>525</v>
      </c>
      <c r="B961" s="671"/>
      <c r="C961" s="671"/>
      <c r="D961" s="672"/>
      <c r="E961" s="673">
        <f>SUM(E949:E960)</f>
        <v>8834.1967982456154</v>
      </c>
      <c r="F961" s="653"/>
      <c r="G961" s="653"/>
      <c r="H961" s="653"/>
    </row>
    <row r="962" spans="1:8" ht="16.5" thickBot="1" x14ac:dyDescent="0.3">
      <c r="A962" s="675" t="s">
        <v>544</v>
      </c>
      <c r="B962" s="676"/>
      <c r="C962" s="676"/>
      <c r="D962" s="677"/>
      <c r="E962" s="692">
        <f>E961*2</f>
        <v>17668.393596491231</v>
      </c>
      <c r="F962" s="693">
        <f>E962+E962*70%</f>
        <v>30036.269114035091</v>
      </c>
      <c r="G962" s="681">
        <v>38000</v>
      </c>
      <c r="H962" s="1276"/>
    </row>
    <row r="963" spans="1:8" ht="16.5" thickBot="1" x14ac:dyDescent="0.3">
      <c r="A963" s="684" t="s">
        <v>1559</v>
      </c>
      <c r="B963" s="685"/>
      <c r="C963" s="685"/>
      <c r="D963" s="686"/>
      <c r="E963" s="686"/>
      <c r="F963" s="694"/>
      <c r="G963" s="1275">
        <f>G962*60%</f>
        <v>22800</v>
      </c>
      <c r="H963" t="s">
        <v>3687</v>
      </c>
    </row>
    <row r="964" spans="1:8" ht="15.75" thickBot="1" x14ac:dyDescent="0.3"/>
    <row r="965" spans="1:8" ht="16.5" thickBot="1" x14ac:dyDescent="0.3">
      <c r="A965" s="1809" t="s">
        <v>4919</v>
      </c>
      <c r="B965" s="1810"/>
      <c r="C965" s="1810"/>
      <c r="D965" s="1810"/>
      <c r="E965" s="1814"/>
      <c r="F965" s="652"/>
      <c r="G965" s="652"/>
      <c r="H965" s="653"/>
    </row>
    <row r="966" spans="1:8" ht="15.75" x14ac:dyDescent="0.25">
      <c r="A966" s="654" t="s">
        <v>916</v>
      </c>
      <c r="B966" s="655" t="s">
        <v>743</v>
      </c>
      <c r="C966" s="655" t="s">
        <v>1566</v>
      </c>
      <c r="D966" s="656" t="s">
        <v>1035</v>
      </c>
      <c r="E966" s="657" t="s">
        <v>1549</v>
      </c>
      <c r="F966" s="658"/>
      <c r="G966" s="652"/>
      <c r="H966" s="653"/>
    </row>
    <row r="967" spans="1:8" ht="15.75" x14ac:dyDescent="0.25">
      <c r="A967" s="659" t="s">
        <v>4889</v>
      </c>
      <c r="B967" s="660">
        <v>0.9</v>
      </c>
      <c r="C967" s="660">
        <v>1</v>
      </c>
      <c r="D967" s="661">
        <f>'HILOS-CORDONES-TANZA-CUERO'!M16</f>
        <v>2630.4</v>
      </c>
      <c r="E967" s="662">
        <f>D967*C967*B967</f>
        <v>2367.36</v>
      </c>
      <c r="F967" s="658"/>
      <c r="G967" s="652"/>
      <c r="H967" s="653"/>
    </row>
    <row r="968" spans="1:8" ht="15.75" x14ac:dyDescent="0.25">
      <c r="A968" s="665" t="s">
        <v>4884</v>
      </c>
      <c r="B968" s="660"/>
      <c r="C968" s="660">
        <v>1</v>
      </c>
      <c r="D968" s="661">
        <f>'AROS, CADENAS, DIJES, ETC'!P192</f>
        <v>4520</v>
      </c>
      <c r="E968" s="662">
        <f>C968*D968</f>
        <v>4520</v>
      </c>
      <c r="F968" s="658"/>
      <c r="G968" s="652"/>
      <c r="H968" s="653"/>
    </row>
    <row r="969" spans="1:8" ht="15.75" x14ac:dyDescent="0.25">
      <c r="A969" s="666" t="s">
        <v>4151</v>
      </c>
      <c r="B969" s="660" t="s">
        <v>4241</v>
      </c>
      <c r="C969" s="660">
        <v>2</v>
      </c>
      <c r="D969" s="661">
        <f>FORNITURAS!H62</f>
        <v>466.15384615384613</v>
      </c>
      <c r="E969" s="662">
        <f>D969*C969</f>
        <v>932.30769230769226</v>
      </c>
      <c r="F969" s="653"/>
      <c r="G969" s="652"/>
      <c r="H969" s="653"/>
    </row>
    <row r="970" spans="1:8" ht="15.75" x14ac:dyDescent="0.25">
      <c r="A970" s="820" t="s">
        <v>3568</v>
      </c>
      <c r="B970" s="660"/>
      <c r="C970" s="660"/>
      <c r="D970" s="660"/>
      <c r="E970" s="662">
        <f>PACKAGING!I5</f>
        <v>845</v>
      </c>
      <c r="F970" s="653"/>
      <c r="G970" s="652"/>
      <c r="H970" s="652"/>
    </row>
    <row r="971" spans="1:8" ht="15.75" x14ac:dyDescent="0.25">
      <c r="A971" s="820" t="s">
        <v>1537</v>
      </c>
      <c r="B971" s="660"/>
      <c r="C971" s="660"/>
      <c r="D971" s="660"/>
      <c r="E971" s="662">
        <f>PACKAGING!E7</f>
        <v>170</v>
      </c>
      <c r="F971" s="653"/>
      <c r="G971" s="652"/>
      <c r="H971" s="652"/>
    </row>
    <row r="972" spans="1:8" x14ac:dyDescent="0.25">
      <c r="A972" s="666" t="s">
        <v>1557</v>
      </c>
      <c r="B972" s="660"/>
      <c r="C972" s="660"/>
      <c r="D972" s="769"/>
      <c r="E972" s="662">
        <f>PACKAGING!E4</f>
        <v>80</v>
      </c>
      <c r="F972" s="652"/>
      <c r="G972" s="652"/>
      <c r="H972" s="652"/>
    </row>
    <row r="973" spans="1:8" x14ac:dyDescent="0.25">
      <c r="A973" s="666" t="s">
        <v>3362</v>
      </c>
      <c r="B973" s="660"/>
      <c r="C973" s="660"/>
      <c r="D973" s="769"/>
      <c r="E973" s="662">
        <f>PACKAGING!E17</f>
        <v>7.5</v>
      </c>
      <c r="F973" s="652"/>
      <c r="G973" s="652"/>
      <c r="H973" s="652"/>
    </row>
    <row r="974" spans="1:8" ht="15.75" x14ac:dyDescent="0.25">
      <c r="A974" s="666" t="s">
        <v>1558</v>
      </c>
      <c r="B974" s="660">
        <v>60</v>
      </c>
      <c r="C974" s="660">
        <v>20</v>
      </c>
      <c r="D974" s="661">
        <f>'INSUMOS VARIOS'!B3</f>
        <v>3500</v>
      </c>
      <c r="E974" s="662">
        <f>D974*C974/B974</f>
        <v>1166.6666666666667</v>
      </c>
      <c r="F974" s="658"/>
      <c r="G974" s="652"/>
      <c r="H974" s="653"/>
    </row>
    <row r="975" spans="1:8" ht="15.75" x14ac:dyDescent="0.25">
      <c r="A975" s="670" t="s">
        <v>525</v>
      </c>
      <c r="B975" s="671"/>
      <c r="C975" s="671"/>
      <c r="D975" s="672"/>
      <c r="E975" s="673">
        <f>SUM(E967:E974)</f>
        <v>10088.834358974358</v>
      </c>
      <c r="F975" s="653"/>
      <c r="G975" s="653"/>
      <c r="H975" s="653"/>
    </row>
    <row r="976" spans="1:8" ht="16.5" thickBot="1" x14ac:dyDescent="0.3">
      <c r="A976" s="675" t="s">
        <v>4918</v>
      </c>
      <c r="B976" s="676"/>
      <c r="C976" s="676"/>
      <c r="D976" s="677"/>
      <c r="E976" s="1470">
        <f>E975*2</f>
        <v>20177.668717948716</v>
      </c>
      <c r="F976" s="1471"/>
      <c r="H976" s="1276"/>
    </row>
    <row r="977" spans="1:8" ht="16.5" thickBot="1" x14ac:dyDescent="0.3">
      <c r="A977" s="684" t="s">
        <v>1559</v>
      </c>
      <c r="B977" s="685"/>
      <c r="C977" s="685"/>
      <c r="D977" s="686"/>
      <c r="E977" s="1422">
        <f>E976+E976*70%</f>
        <v>34302.036820512818</v>
      </c>
      <c r="F977" s="681">
        <v>40000</v>
      </c>
    </row>
    <row r="978" spans="1:8" ht="16.5" thickBot="1" x14ac:dyDescent="0.3">
      <c r="E978" s="1472"/>
      <c r="F978" s="1275">
        <f>F977*60%</f>
        <v>24000</v>
      </c>
      <c r="G978" t="s">
        <v>3687</v>
      </c>
    </row>
    <row r="979" spans="1:8" ht="15.75" thickBot="1" x14ac:dyDescent="0.3"/>
    <row r="980" spans="1:8" ht="16.5" thickBot="1" x14ac:dyDescent="0.3">
      <c r="A980" s="1809" t="s">
        <v>4929</v>
      </c>
      <c r="B980" s="1810"/>
      <c r="C980" s="1810"/>
      <c r="D980" s="1810"/>
      <c r="E980" s="1814"/>
      <c r="F980" s="658"/>
      <c r="G980" s="652"/>
      <c r="H980" s="653"/>
    </row>
    <row r="981" spans="1:8" ht="15.75" x14ac:dyDescent="0.25">
      <c r="A981" s="654" t="s">
        <v>916</v>
      </c>
      <c r="B981" s="655" t="s">
        <v>743</v>
      </c>
      <c r="C981" s="655" t="s">
        <v>1566</v>
      </c>
      <c r="D981" s="656" t="s">
        <v>1035</v>
      </c>
      <c r="E981" s="657" t="s">
        <v>1549</v>
      </c>
      <c r="F981" s="658"/>
      <c r="G981" s="652"/>
      <c r="H981" s="653"/>
    </row>
    <row r="982" spans="1:8" ht="15.75" x14ac:dyDescent="0.25">
      <c r="A982" s="659" t="s">
        <v>4888</v>
      </c>
      <c r="B982" s="660">
        <v>0.9</v>
      </c>
      <c r="C982" s="660">
        <v>1</v>
      </c>
      <c r="D982" s="661">
        <f>'HILOS-CORDONES-TANZA-CUERO'!M17</f>
        <v>2630.4</v>
      </c>
      <c r="E982" s="662">
        <f>D982*C982*B982</f>
        <v>2367.36</v>
      </c>
      <c r="F982" s="658"/>
      <c r="G982" s="652"/>
      <c r="H982" s="653"/>
    </row>
    <row r="983" spans="1:8" ht="15.75" x14ac:dyDescent="0.25">
      <c r="A983" s="665" t="s">
        <v>4885</v>
      </c>
      <c r="B983" s="660"/>
      <c r="C983" s="660">
        <v>1</v>
      </c>
      <c r="D983" s="661">
        <f>'AROS, CADENAS, DIJES, ETC'!P203</f>
        <v>2987</v>
      </c>
      <c r="E983" s="662">
        <f>C983*D983</f>
        <v>2987</v>
      </c>
      <c r="F983" s="653"/>
      <c r="G983" s="652"/>
      <c r="H983" s="653"/>
    </row>
    <row r="984" spans="1:8" ht="15.75" x14ac:dyDescent="0.25">
      <c r="A984" s="666" t="s">
        <v>4151</v>
      </c>
      <c r="B984" s="660" t="s">
        <v>4241</v>
      </c>
      <c r="C984" s="660">
        <v>2</v>
      </c>
      <c r="D984" s="661">
        <f>FORNITURAS!H62</f>
        <v>466.15384615384613</v>
      </c>
      <c r="E984" s="662">
        <f>D984*C984</f>
        <v>932.30769230769226</v>
      </c>
      <c r="F984" s="653"/>
      <c r="G984" s="652"/>
      <c r="H984" s="653"/>
    </row>
    <row r="985" spans="1:8" ht="15.75" x14ac:dyDescent="0.25">
      <c r="A985" s="820" t="s">
        <v>1537</v>
      </c>
      <c r="B985" s="660"/>
      <c r="C985" s="660"/>
      <c r="D985" s="1450"/>
      <c r="E985" s="662">
        <f>PACKAGING!E7</f>
        <v>170</v>
      </c>
      <c r="F985" s="653"/>
      <c r="G985" s="652"/>
      <c r="H985" s="653"/>
    </row>
    <row r="986" spans="1:8" x14ac:dyDescent="0.25">
      <c r="A986" s="820" t="s">
        <v>3568</v>
      </c>
      <c r="B986" s="660"/>
      <c r="C986" s="660"/>
      <c r="D986" s="660"/>
      <c r="E986" s="662">
        <f>PACKAGING!I5</f>
        <v>845</v>
      </c>
      <c r="F986" s="652"/>
      <c r="G986" s="652"/>
      <c r="H986" s="652"/>
    </row>
    <row r="987" spans="1:8" x14ac:dyDescent="0.25">
      <c r="A987" s="666" t="s">
        <v>1557</v>
      </c>
      <c r="B987" s="660"/>
      <c r="C987" s="660"/>
      <c r="D987" s="769"/>
      <c r="E987" s="662">
        <f>PACKAGING!E4</f>
        <v>80</v>
      </c>
      <c r="F987" s="652"/>
      <c r="G987" s="652"/>
      <c r="H987" s="652"/>
    </row>
    <row r="988" spans="1:8" x14ac:dyDescent="0.25">
      <c r="A988" s="666" t="s">
        <v>3362</v>
      </c>
      <c r="B988" s="660"/>
      <c r="C988" s="660"/>
      <c r="D988" s="769"/>
      <c r="E988" s="662">
        <f>PACKAGING!E17</f>
        <v>7.5</v>
      </c>
      <c r="F988" s="658"/>
      <c r="G988" s="652"/>
      <c r="H988" s="652"/>
    </row>
    <row r="989" spans="1:8" ht="15.75" x14ac:dyDescent="0.25">
      <c r="A989" s="666" t="s">
        <v>1558</v>
      </c>
      <c r="B989" s="660">
        <v>60</v>
      </c>
      <c r="C989" s="660">
        <v>20</v>
      </c>
      <c r="D989" s="661">
        <f>'INSUMOS VARIOS'!B3</f>
        <v>3500</v>
      </c>
      <c r="E989" s="662">
        <f>D989*C989/B989</f>
        <v>1166.6666666666667</v>
      </c>
      <c r="F989" s="653"/>
      <c r="G989" s="652"/>
      <c r="H989" s="653"/>
    </row>
    <row r="990" spans="1:8" ht="15.75" x14ac:dyDescent="0.25">
      <c r="A990" s="670" t="s">
        <v>525</v>
      </c>
      <c r="B990" s="671"/>
      <c r="C990" s="671"/>
      <c r="D990" s="672"/>
      <c r="E990" s="673">
        <f>SUM(E982:E989)</f>
        <v>8555.8343589743599</v>
      </c>
      <c r="H990" s="653"/>
    </row>
    <row r="991" spans="1:8" ht="15.75" thickBot="1" x14ac:dyDescent="0.3">
      <c r="A991" s="675" t="s">
        <v>4918</v>
      </c>
      <c r="B991" s="676"/>
      <c r="C991" s="676"/>
      <c r="D991" s="677"/>
      <c r="E991" s="678">
        <f>E990*2</f>
        <v>17111.66871794872</v>
      </c>
      <c r="F991" s="873"/>
      <c r="G991" s="652"/>
      <c r="H991" s="652"/>
    </row>
    <row r="992" spans="1:8" ht="16.5" thickBot="1" x14ac:dyDescent="0.3">
      <c r="A992" s="684" t="s">
        <v>1559</v>
      </c>
      <c r="B992" s="685"/>
      <c r="C992" s="685"/>
      <c r="D992" s="686"/>
      <c r="E992" s="1473">
        <f>E991+E991*70%</f>
        <v>29089.836820512821</v>
      </c>
      <c r="F992" s="681">
        <v>40000</v>
      </c>
      <c r="G992" s="652"/>
    </row>
    <row r="993" spans="1:8" ht="16.5" thickBot="1" x14ac:dyDescent="0.3">
      <c r="A993" s="652"/>
      <c r="B993" s="652"/>
      <c r="C993" s="652"/>
      <c r="D993" s="652"/>
      <c r="E993" s="1474"/>
      <c r="F993" s="1275">
        <f>F992*60%</f>
        <v>24000</v>
      </c>
      <c r="G993" s="652" t="s">
        <v>3687</v>
      </c>
      <c r="H993" s="652"/>
    </row>
    <row r="994" spans="1:8" ht="15.75" thickBot="1" x14ac:dyDescent="0.3"/>
    <row r="995" spans="1:8" ht="16.5" thickBot="1" x14ac:dyDescent="0.3">
      <c r="A995" s="1809" t="s">
        <v>4924</v>
      </c>
      <c r="B995" s="1810"/>
      <c r="C995" s="1810"/>
      <c r="D995" s="1810"/>
      <c r="E995" s="1814"/>
      <c r="F995" s="658"/>
      <c r="G995" s="652"/>
      <c r="H995" s="653"/>
    </row>
    <row r="996" spans="1:8" ht="15.75" x14ac:dyDescent="0.25">
      <c r="A996" s="654" t="s">
        <v>916</v>
      </c>
      <c r="B996" s="655" t="s">
        <v>743</v>
      </c>
      <c r="C996" s="655" t="s">
        <v>1566</v>
      </c>
      <c r="D996" s="656" t="s">
        <v>1035</v>
      </c>
      <c r="E996" s="657" t="s">
        <v>1549</v>
      </c>
      <c r="F996" s="658"/>
      <c r="G996" s="652"/>
      <c r="H996" s="653"/>
    </row>
    <row r="997" spans="1:8" ht="15.75" x14ac:dyDescent="0.25">
      <c r="A997" s="659" t="s">
        <v>4887</v>
      </c>
      <c r="B997" s="660">
        <v>0.9</v>
      </c>
      <c r="C997" s="660">
        <v>1</v>
      </c>
      <c r="D997" s="661">
        <f>'HILOS-CORDONES-TANZA-CUERO'!M15</f>
        <v>2630.4</v>
      </c>
      <c r="E997" s="662">
        <f>D997*C997*B997</f>
        <v>2367.36</v>
      </c>
      <c r="F997" s="658"/>
      <c r="G997" s="652"/>
      <c r="H997" s="653"/>
    </row>
    <row r="998" spans="1:8" ht="15.75" x14ac:dyDescent="0.25">
      <c r="A998" s="665" t="s">
        <v>3786</v>
      </c>
      <c r="B998" s="660" t="s">
        <v>799</v>
      </c>
      <c r="C998" s="660">
        <v>1</v>
      </c>
      <c r="D998" s="661">
        <f>'AROS, CADENAS, DIJES, ETC'!P193</f>
        <v>6474</v>
      </c>
      <c r="E998" s="662">
        <f>C998*D998</f>
        <v>6474</v>
      </c>
      <c r="F998" s="653"/>
      <c r="G998" s="652"/>
      <c r="H998" s="653"/>
    </row>
    <row r="999" spans="1:8" ht="15.75" x14ac:dyDescent="0.25">
      <c r="A999" s="666" t="s">
        <v>4151</v>
      </c>
      <c r="B999" s="660"/>
      <c r="C999" s="660">
        <v>1</v>
      </c>
      <c r="D999" s="661">
        <v>350</v>
      </c>
      <c r="E999" s="662">
        <f>D999*C999</f>
        <v>350</v>
      </c>
      <c r="F999" s="653"/>
      <c r="G999" s="652"/>
      <c r="H999" s="653"/>
    </row>
    <row r="1000" spans="1:8" ht="15.75" x14ac:dyDescent="0.25">
      <c r="A1000" s="820" t="s">
        <v>4151</v>
      </c>
      <c r="B1000" s="660" t="s">
        <v>4241</v>
      </c>
      <c r="C1000" s="660">
        <v>1</v>
      </c>
      <c r="D1000" s="1450">
        <f>FORNITURAS!H62</f>
        <v>466.15384615384613</v>
      </c>
      <c r="E1000" s="662">
        <f>D1000*C1000</f>
        <v>466.15384615384613</v>
      </c>
      <c r="F1000" s="653"/>
      <c r="G1000" s="652"/>
      <c r="H1000" s="653"/>
    </row>
    <row r="1001" spans="1:8" ht="15.75" x14ac:dyDescent="0.25">
      <c r="A1001" s="820" t="s">
        <v>1537</v>
      </c>
      <c r="B1001" s="660"/>
      <c r="C1001" s="660"/>
      <c r="D1001" s="1450"/>
      <c r="E1001" s="662">
        <f>PACKAGING!E7</f>
        <v>170</v>
      </c>
      <c r="F1001" s="653"/>
      <c r="G1001" s="652"/>
      <c r="H1001" s="653"/>
    </row>
    <row r="1002" spans="1:8" x14ac:dyDescent="0.25">
      <c r="A1002" s="820" t="s">
        <v>3568</v>
      </c>
      <c r="B1002" s="660"/>
      <c r="C1002" s="660"/>
      <c r="D1002" s="660"/>
      <c r="E1002" s="662">
        <f>PACKAGING!I5</f>
        <v>845</v>
      </c>
      <c r="F1002" s="652"/>
      <c r="G1002" s="652"/>
      <c r="H1002" s="652"/>
    </row>
    <row r="1003" spans="1:8" x14ac:dyDescent="0.25">
      <c r="A1003" s="666" t="s">
        <v>1557</v>
      </c>
      <c r="B1003" s="660"/>
      <c r="C1003" s="660"/>
      <c r="D1003" s="769"/>
      <c r="E1003" s="662">
        <f>PACKAGING!E4</f>
        <v>80</v>
      </c>
      <c r="F1003" s="652"/>
      <c r="G1003" s="652"/>
      <c r="H1003" s="652"/>
    </row>
    <row r="1004" spans="1:8" x14ac:dyDescent="0.25">
      <c r="A1004" s="666" t="s">
        <v>3362</v>
      </c>
      <c r="B1004" s="660"/>
      <c r="C1004" s="660"/>
      <c r="D1004" s="769"/>
      <c r="E1004" s="662">
        <f>PACKAGING!E17</f>
        <v>7.5</v>
      </c>
      <c r="F1004" s="658"/>
      <c r="G1004" s="652"/>
      <c r="H1004" s="652"/>
    </row>
    <row r="1005" spans="1:8" ht="15.75" x14ac:dyDescent="0.25">
      <c r="A1005" s="666" t="s">
        <v>1558</v>
      </c>
      <c r="B1005" s="660">
        <v>60</v>
      </c>
      <c r="C1005" s="660">
        <v>20</v>
      </c>
      <c r="D1005" s="661">
        <f>'INSUMOS VARIOS'!B3</f>
        <v>3500</v>
      </c>
      <c r="E1005" s="662">
        <f>D1005*C1005/B1005</f>
        <v>1166.6666666666667</v>
      </c>
      <c r="F1005" s="653"/>
      <c r="G1005" s="652"/>
      <c r="H1005" s="653"/>
    </row>
    <row r="1006" spans="1:8" ht="15.75" x14ac:dyDescent="0.25">
      <c r="A1006" s="670" t="s">
        <v>525</v>
      </c>
      <c r="B1006" s="671"/>
      <c r="C1006" s="671"/>
      <c r="D1006" s="672"/>
      <c r="E1006" s="673">
        <f>SUM(E997:E1005)</f>
        <v>11926.680512820512</v>
      </c>
      <c r="G1006" s="652"/>
      <c r="H1006" s="653"/>
    </row>
    <row r="1007" spans="1:8" ht="16.5" thickBot="1" x14ac:dyDescent="0.3">
      <c r="A1007" s="675" t="s">
        <v>4918</v>
      </c>
      <c r="B1007" s="676"/>
      <c r="C1007" s="676"/>
      <c r="D1007" s="677"/>
      <c r="E1007" s="678">
        <f>E1006*2</f>
        <v>23853.361025641025</v>
      </c>
      <c r="G1007" s="652"/>
      <c r="H1007" s="1276"/>
    </row>
    <row r="1008" spans="1:8" ht="16.5" thickBot="1" x14ac:dyDescent="0.3">
      <c r="A1008" s="684" t="s">
        <v>1559</v>
      </c>
      <c r="B1008" s="685"/>
      <c r="C1008" s="685"/>
      <c r="D1008" s="686"/>
      <c r="E1008" s="784">
        <f>E1007+E1007*70%</f>
        <v>40550.713743589746</v>
      </c>
      <c r="F1008" s="681">
        <v>40000</v>
      </c>
      <c r="G1008" s="652"/>
    </row>
    <row r="1009" spans="1:8" ht="16.5" thickBot="1" x14ac:dyDescent="0.3">
      <c r="F1009" s="1275">
        <f>F1008*60%</f>
        <v>24000</v>
      </c>
      <c r="G1009" t="s">
        <v>3687</v>
      </c>
    </row>
    <row r="1010" spans="1:8" ht="15.75" thickBot="1" x14ac:dyDescent="0.3">
      <c r="G1010" s="652"/>
    </row>
    <row r="1011" spans="1:8" ht="16.5" thickBot="1" x14ac:dyDescent="0.3">
      <c r="A1011" s="1809" t="s">
        <v>462</v>
      </c>
      <c r="B1011" s="1810"/>
      <c r="C1011" s="1810"/>
      <c r="D1011" s="1810"/>
      <c r="E1011" s="1814"/>
      <c r="F1011" s="658"/>
      <c r="G1011" s="652"/>
      <c r="H1011" s="653"/>
    </row>
    <row r="1012" spans="1:8" ht="15.75" x14ac:dyDescent="0.25">
      <c r="A1012" s="654" t="s">
        <v>916</v>
      </c>
      <c r="B1012" s="655" t="s">
        <v>743</v>
      </c>
      <c r="C1012" s="655" t="s">
        <v>1566</v>
      </c>
      <c r="D1012" s="656" t="s">
        <v>1035</v>
      </c>
      <c r="E1012" s="657" t="s">
        <v>1549</v>
      </c>
      <c r="F1012" s="658"/>
      <c r="G1012" s="652"/>
      <c r="H1012" s="653"/>
    </row>
    <row r="1013" spans="1:8" ht="15.75" x14ac:dyDescent="0.25">
      <c r="A1013" s="659" t="s">
        <v>4886</v>
      </c>
      <c r="B1013" s="660">
        <v>0.9</v>
      </c>
      <c r="C1013" s="660">
        <v>1</v>
      </c>
      <c r="D1013" s="661">
        <f>'HILOS-CORDONES-TANZA-CUERO'!M14</f>
        <v>2630.4</v>
      </c>
      <c r="E1013" s="662">
        <f>D1013*C1013*B1013</f>
        <v>2367.36</v>
      </c>
      <c r="F1013" s="658"/>
      <c r="G1013" s="652"/>
      <c r="H1013" s="653"/>
    </row>
    <row r="1014" spans="1:8" ht="15.75" x14ac:dyDescent="0.25">
      <c r="A1014" s="665" t="s">
        <v>4237</v>
      </c>
      <c r="B1014" s="660"/>
      <c r="C1014" s="660">
        <v>1</v>
      </c>
      <c r="D1014" s="661">
        <f>'AROS, CADENAS, DIJES, ETC'!P188</f>
        <v>4580</v>
      </c>
      <c r="E1014" s="662">
        <f>C1014*D1014</f>
        <v>4580</v>
      </c>
      <c r="F1014" s="653"/>
      <c r="G1014" s="652"/>
      <c r="H1014" s="653"/>
    </row>
    <row r="1015" spans="1:8" ht="15.75" x14ac:dyDescent="0.25">
      <c r="A1015" s="666" t="s">
        <v>4151</v>
      </c>
      <c r="B1015" s="660"/>
      <c r="C1015" s="660">
        <v>1</v>
      </c>
      <c r="D1015" s="661">
        <v>350</v>
      </c>
      <c r="E1015" s="662">
        <f>D1015*C1015</f>
        <v>350</v>
      </c>
      <c r="F1015" s="653"/>
      <c r="G1015" s="652"/>
      <c r="H1015" s="653"/>
    </row>
    <row r="1016" spans="1:8" ht="15.75" x14ac:dyDescent="0.25">
      <c r="A1016" s="820" t="s">
        <v>4151</v>
      </c>
      <c r="B1016" s="660" t="s">
        <v>4241</v>
      </c>
      <c r="C1016" s="660">
        <v>1</v>
      </c>
      <c r="D1016" s="1450">
        <f>FORNITURAS!H62</f>
        <v>466.15384615384613</v>
      </c>
      <c r="E1016" s="662">
        <f>D1016*C1016</f>
        <v>466.15384615384613</v>
      </c>
      <c r="F1016" s="653"/>
      <c r="G1016" s="652"/>
      <c r="H1016" s="653"/>
    </row>
    <row r="1017" spans="1:8" ht="15.75" x14ac:dyDescent="0.25">
      <c r="A1017" s="820" t="s">
        <v>1537</v>
      </c>
      <c r="B1017" s="660"/>
      <c r="C1017" s="660"/>
      <c r="D1017" s="1450"/>
      <c r="E1017" s="662">
        <f>PACKAGING!E7</f>
        <v>170</v>
      </c>
      <c r="F1017" s="653"/>
      <c r="G1017" s="652"/>
      <c r="H1017" s="653"/>
    </row>
    <row r="1018" spans="1:8" x14ac:dyDescent="0.25">
      <c r="A1018" s="820" t="s">
        <v>3568</v>
      </c>
      <c r="B1018" s="660"/>
      <c r="C1018" s="660"/>
      <c r="D1018" s="660"/>
      <c r="E1018" s="662">
        <f>PACKAGING!I5</f>
        <v>845</v>
      </c>
      <c r="F1018" s="652"/>
      <c r="G1018" s="652"/>
      <c r="H1018" s="652"/>
    </row>
    <row r="1019" spans="1:8" x14ac:dyDescent="0.25">
      <c r="A1019" s="666" t="s">
        <v>1557</v>
      </c>
      <c r="B1019" s="660"/>
      <c r="C1019" s="660"/>
      <c r="D1019" s="769"/>
      <c r="E1019" s="662">
        <f>PACKAGING!E4</f>
        <v>80</v>
      </c>
      <c r="F1019" s="652"/>
      <c r="G1019" s="652"/>
      <c r="H1019" s="652"/>
    </row>
    <row r="1020" spans="1:8" x14ac:dyDescent="0.25">
      <c r="A1020" s="666" t="s">
        <v>3362</v>
      </c>
      <c r="B1020" s="660"/>
      <c r="C1020" s="660"/>
      <c r="D1020" s="769"/>
      <c r="E1020" s="662">
        <f>PACKAGING!E17</f>
        <v>7.5</v>
      </c>
      <c r="F1020" s="658"/>
      <c r="G1020" s="652"/>
      <c r="H1020" s="652"/>
    </row>
    <row r="1021" spans="1:8" ht="15.75" x14ac:dyDescent="0.25">
      <c r="A1021" s="666" t="s">
        <v>1558</v>
      </c>
      <c r="B1021" s="660">
        <v>60</v>
      </c>
      <c r="C1021" s="660">
        <v>20</v>
      </c>
      <c r="D1021" s="661">
        <f>'INSUMOS VARIOS'!B3</f>
        <v>3500</v>
      </c>
      <c r="E1021" s="662">
        <f>D1021*C1021/B1021</f>
        <v>1166.6666666666667</v>
      </c>
      <c r="F1021" s="653"/>
      <c r="G1021" s="652"/>
      <c r="H1021" s="653"/>
    </row>
    <row r="1022" spans="1:8" ht="15.75" x14ac:dyDescent="0.25">
      <c r="A1022" s="670" t="s">
        <v>525</v>
      </c>
      <c r="B1022" s="671"/>
      <c r="C1022" s="671"/>
      <c r="D1022" s="672"/>
      <c r="E1022" s="673">
        <f>SUM(E1013:E1021)</f>
        <v>10032.680512820512</v>
      </c>
      <c r="H1022" s="653"/>
    </row>
    <row r="1023" spans="1:8" ht="16.5" thickBot="1" x14ac:dyDescent="0.3">
      <c r="A1023" s="675" t="s">
        <v>4918</v>
      </c>
      <c r="B1023" s="676"/>
      <c r="C1023" s="676"/>
      <c r="D1023" s="677"/>
      <c r="E1023" s="1470">
        <f>E1022*2</f>
        <v>20065.361025641025</v>
      </c>
      <c r="F1023" s="1471"/>
      <c r="H1023" s="1276"/>
    </row>
    <row r="1024" spans="1:8" ht="16.5" thickBot="1" x14ac:dyDescent="0.3">
      <c r="A1024" s="684" t="s">
        <v>1559</v>
      </c>
      <c r="B1024" s="685"/>
      <c r="C1024" s="685"/>
      <c r="D1024" s="686"/>
      <c r="E1024" s="784">
        <f>E1023+E1023*70%</f>
        <v>34111.11374358974</v>
      </c>
      <c r="F1024" s="681">
        <v>40000</v>
      </c>
    </row>
    <row r="1025" spans="1:9" ht="16.5" thickBot="1" x14ac:dyDescent="0.3">
      <c r="E1025" s="1472"/>
      <c r="F1025" s="1275">
        <f>F1024*60%</f>
        <v>24000</v>
      </c>
      <c r="G1025" t="s">
        <v>3687</v>
      </c>
    </row>
    <row r="1026" spans="1:9" ht="15.75" thickBot="1" x14ac:dyDescent="0.3"/>
    <row r="1027" spans="1:9" ht="16.5" thickBot="1" x14ac:dyDescent="0.3">
      <c r="A1027" s="1809" t="s">
        <v>4923</v>
      </c>
      <c r="B1027" s="1810"/>
      <c r="C1027" s="1810"/>
      <c r="D1027" s="1810"/>
      <c r="E1027" s="1810"/>
      <c r="F1027" s="1294"/>
      <c r="G1027" s="653"/>
      <c r="H1027" s="653"/>
    </row>
    <row r="1028" spans="1:9" ht="15.75" x14ac:dyDescent="0.25">
      <c r="A1028" s="654" t="s">
        <v>916</v>
      </c>
      <c r="B1028" s="655" t="s">
        <v>743</v>
      </c>
      <c r="C1028" s="655" t="s">
        <v>1566</v>
      </c>
      <c r="D1028" s="656" t="s">
        <v>1035</v>
      </c>
      <c r="E1028" s="657" t="s">
        <v>1549</v>
      </c>
      <c r="F1028" s="658"/>
      <c r="G1028" s="653"/>
      <c r="H1028" s="653"/>
    </row>
    <row r="1029" spans="1:9" ht="15.75" x14ac:dyDescent="0.25">
      <c r="A1029" s="1749" t="s">
        <v>1224</v>
      </c>
      <c r="B1029" s="660">
        <v>0.1</v>
      </c>
      <c r="C1029" s="660">
        <v>1</v>
      </c>
      <c r="D1029" s="661">
        <f>'HILOS-CORDONES-TANZA-CUERO'!E5</f>
        <v>50.35</v>
      </c>
      <c r="E1029" s="662">
        <f>D1029*C1029*B1029</f>
        <v>5.0350000000000001</v>
      </c>
      <c r="F1029" s="658"/>
      <c r="G1029" s="653"/>
      <c r="H1029" s="653"/>
    </row>
    <row r="1030" spans="1:9" ht="15.75" x14ac:dyDescent="0.25">
      <c r="A1030" s="1750"/>
      <c r="B1030" s="660">
        <v>0.8</v>
      </c>
      <c r="C1030" s="660">
        <v>2</v>
      </c>
      <c r="D1030" s="661">
        <f>'HILOS-CORDONES-TANZA-CUERO'!E5</f>
        <v>50.35</v>
      </c>
      <c r="E1030" s="662">
        <f>D1030*C1030*B1030</f>
        <v>80.56</v>
      </c>
      <c r="F1030" s="658"/>
      <c r="G1030" s="653"/>
      <c r="H1030" s="653"/>
    </row>
    <row r="1031" spans="1:9" ht="15.75" x14ac:dyDescent="0.25">
      <c r="A1031" s="1751"/>
      <c r="B1031" s="660">
        <v>1.5</v>
      </c>
      <c r="C1031" s="660">
        <v>2</v>
      </c>
      <c r="D1031" s="661">
        <f>'HILOS-CORDONES-TANZA-CUERO'!E5</f>
        <v>50.35</v>
      </c>
      <c r="E1031" s="662">
        <f>D1031*C1031*B1031</f>
        <v>151.05000000000001</v>
      </c>
      <c r="F1031" s="658"/>
      <c r="G1031" s="653"/>
      <c r="H1031" s="653"/>
    </row>
    <row r="1032" spans="1:9" ht="15.75" x14ac:dyDescent="0.25">
      <c r="A1032" s="666" t="s">
        <v>4878</v>
      </c>
      <c r="B1032" s="660"/>
      <c r="C1032" s="660">
        <v>1</v>
      </c>
      <c r="D1032" s="661">
        <f>'AROS, CADENAS, DIJES, ETC'!O60</f>
        <v>1195</v>
      </c>
      <c r="E1032" s="662">
        <f>D1032*C1032</f>
        <v>1195</v>
      </c>
      <c r="F1032" s="658"/>
      <c r="G1032" s="653"/>
      <c r="H1032" s="653"/>
    </row>
    <row r="1033" spans="1:9" ht="15.75" x14ac:dyDescent="0.25">
      <c r="A1033" s="820" t="s">
        <v>4107</v>
      </c>
      <c r="B1033" s="660"/>
      <c r="C1033" s="660">
        <v>2</v>
      </c>
      <c r="D1033" s="661">
        <f>'AROS, CADENAS, DIJES, ETC'!X15</f>
        <v>210.47222222222223</v>
      </c>
      <c r="E1033" s="662">
        <f>D1033*C1033</f>
        <v>420.94444444444446</v>
      </c>
      <c r="F1033" s="658"/>
      <c r="G1033" s="653"/>
      <c r="H1033" s="653"/>
    </row>
    <row r="1034" spans="1:9" ht="15.75" x14ac:dyDescent="0.25">
      <c r="A1034" s="666" t="s">
        <v>1746</v>
      </c>
      <c r="B1034" s="660"/>
      <c r="C1034" s="660"/>
      <c r="D1034" s="661"/>
      <c r="E1034" s="662">
        <v>60</v>
      </c>
      <c r="F1034" s="658"/>
      <c r="G1034" s="653"/>
      <c r="H1034" s="653"/>
    </row>
    <row r="1035" spans="1:9" ht="15.75" x14ac:dyDescent="0.25">
      <c r="A1035" s="666" t="s">
        <v>1971</v>
      </c>
      <c r="B1035" s="660" t="s">
        <v>1573</v>
      </c>
      <c r="C1035" s="660"/>
      <c r="D1035" s="661"/>
      <c r="E1035" s="667">
        <f>FORNITURAS!D7</f>
        <v>52</v>
      </c>
      <c r="F1035" s="658"/>
      <c r="G1035" s="653"/>
      <c r="H1035" s="653"/>
    </row>
    <row r="1036" spans="1:9" ht="15.75" x14ac:dyDescent="0.25">
      <c r="A1036" s="666" t="s">
        <v>3571</v>
      </c>
      <c r="B1036" s="660"/>
      <c r="C1036" s="660"/>
      <c r="D1036" s="661"/>
      <c r="E1036" s="667">
        <f>PACKAGING!E7</f>
        <v>170</v>
      </c>
      <c r="F1036" s="658"/>
      <c r="G1036" s="653"/>
      <c r="H1036" s="653"/>
    </row>
    <row r="1037" spans="1:9" ht="15.75" x14ac:dyDescent="0.25">
      <c r="A1037" s="666" t="s">
        <v>1557</v>
      </c>
      <c r="B1037" s="660"/>
      <c r="C1037" s="660"/>
      <c r="D1037" s="661"/>
      <c r="E1037" s="667">
        <f>PACKAGING!E4</f>
        <v>80</v>
      </c>
      <c r="F1037" s="653"/>
      <c r="G1037" s="658"/>
      <c r="H1037" s="653"/>
    </row>
    <row r="1038" spans="1:9" ht="15.75" x14ac:dyDescent="0.25">
      <c r="A1038" s="666" t="s">
        <v>3362</v>
      </c>
      <c r="B1038" s="660"/>
      <c r="C1038" s="660"/>
      <c r="D1038" s="661"/>
      <c r="E1038" s="667">
        <f>PACKAGING!E17</f>
        <v>7.5</v>
      </c>
      <c r="F1038" s="653"/>
      <c r="G1038" s="658"/>
      <c r="H1038" s="653"/>
    </row>
    <row r="1039" spans="1:9" ht="15.75" x14ac:dyDescent="0.25">
      <c r="A1039" s="683" t="s">
        <v>1618</v>
      </c>
      <c r="B1039" s="660">
        <v>60</v>
      </c>
      <c r="C1039" s="660">
        <v>60</v>
      </c>
      <c r="D1039" s="668">
        <f>'INSUMOS VARIOS'!B3</f>
        <v>3500</v>
      </c>
      <c r="E1039" s="669">
        <f>D1039*C1039/B1039</f>
        <v>3500</v>
      </c>
      <c r="F1039" s="1" t="s">
        <v>3023</v>
      </c>
      <c r="G1039" s="658"/>
      <c r="H1039" s="653"/>
    </row>
    <row r="1040" spans="1:9" ht="15.75" thickBot="1" x14ac:dyDescent="0.3">
      <c r="A1040" s="670" t="s">
        <v>525</v>
      </c>
      <c r="B1040" s="671"/>
      <c r="C1040" s="671"/>
      <c r="D1040" s="672"/>
      <c r="E1040" s="673">
        <f>SUM(E1029:E1039)</f>
        <v>5722.0894444444439</v>
      </c>
      <c r="F1040" s="698">
        <f>E1040+G1041+G1042</f>
        <v>9000.0894444444439</v>
      </c>
      <c r="G1040" s="658" t="s">
        <v>2028</v>
      </c>
      <c r="H1040" s="674" t="s">
        <v>2029</v>
      </c>
      <c r="I1040" s="652"/>
    </row>
    <row r="1041" spans="1:10" ht="16.5" thickBot="1" x14ac:dyDescent="0.3">
      <c r="A1041" s="675" t="s">
        <v>4918</v>
      </c>
      <c r="B1041" s="676"/>
      <c r="C1041" s="676"/>
      <c r="D1041" s="677"/>
      <c r="E1041" s="692">
        <f>E1040*2</f>
        <v>11444.178888888888</v>
      </c>
      <c r="F1041" s="957">
        <f>E1041+E1041*70%</f>
        <v>19455.104111111108</v>
      </c>
      <c r="G1041" s="680">
        <f>PACKAGING!I3</f>
        <v>2433</v>
      </c>
      <c r="H1041" s="702">
        <f>F1041+G1041+G1042</f>
        <v>22733.104111111108</v>
      </c>
      <c r="I1041" s="702">
        <v>40000</v>
      </c>
    </row>
    <row r="1042" spans="1:10" ht="16.5" thickBot="1" x14ac:dyDescent="0.3">
      <c r="A1042" s="684" t="s">
        <v>1559</v>
      </c>
      <c r="B1042" s="685"/>
      <c r="C1042" s="685"/>
      <c r="D1042" s="686"/>
      <c r="E1042" s="686"/>
      <c r="F1042" s="816"/>
      <c r="G1042" s="701">
        <f>PACKAGING!I5</f>
        <v>845</v>
      </c>
      <c r="H1042" s="1446"/>
      <c r="I1042" s="1447">
        <f>I1041*60%</f>
        <v>24000</v>
      </c>
      <c r="J1042" s="1273" t="s">
        <v>3687</v>
      </c>
    </row>
    <row r="1044" spans="1:10" ht="18.75" x14ac:dyDescent="0.3">
      <c r="A1044" s="1508" t="s">
        <v>5109</v>
      </c>
      <c r="B1044" s="1507"/>
      <c r="C1044" s="1507"/>
      <c r="D1044" s="1507"/>
      <c r="E1044" s="1507"/>
      <c r="F1044" s="1507"/>
      <c r="G1044" s="1507"/>
      <c r="H1044" s="1507"/>
      <c r="I1044" s="1507"/>
      <c r="J1044" s="1507"/>
    </row>
    <row r="1045" spans="1:10" ht="15.75" thickBot="1" x14ac:dyDescent="0.3"/>
    <row r="1046" spans="1:10" ht="16.5" thickBot="1" x14ac:dyDescent="0.3">
      <c r="A1046" s="1804" t="s">
        <v>4945</v>
      </c>
      <c r="B1046" s="1805"/>
      <c r="C1046" s="1805"/>
      <c r="D1046" s="1805"/>
      <c r="E1046" s="1806"/>
      <c r="F1046" s="653"/>
      <c r="G1046" s="653"/>
      <c r="H1046" s="653"/>
    </row>
    <row r="1047" spans="1:10" ht="15.75" x14ac:dyDescent="0.25">
      <c r="A1047" s="654" t="s">
        <v>916</v>
      </c>
      <c r="B1047" s="655" t="s">
        <v>743</v>
      </c>
      <c r="C1047" s="655" t="s">
        <v>1566</v>
      </c>
      <c r="D1047" s="656" t="s">
        <v>1035</v>
      </c>
      <c r="E1047" s="657" t="s">
        <v>1549</v>
      </c>
      <c r="F1047" s="658"/>
      <c r="G1047" s="653"/>
      <c r="H1047" s="653"/>
    </row>
    <row r="1048" spans="1:10" ht="15.75" x14ac:dyDescent="0.25">
      <c r="A1048" s="769" t="s">
        <v>4943</v>
      </c>
      <c r="B1048" s="660">
        <v>0.35</v>
      </c>
      <c r="C1048" s="660">
        <v>0.4</v>
      </c>
      <c r="D1048" s="661">
        <f>PIEDRAS!E26</f>
        <v>5930</v>
      </c>
      <c r="E1048" s="662">
        <f>D1048*C1048/B1048</f>
        <v>6777.1428571428578</v>
      </c>
      <c r="F1048" s="658"/>
      <c r="G1048" s="653"/>
      <c r="H1048" s="653"/>
    </row>
    <row r="1049" spans="1:10" ht="15.75" x14ac:dyDescent="0.25">
      <c r="A1049" s="666" t="s">
        <v>1554</v>
      </c>
      <c r="B1049" s="660" t="s">
        <v>777</v>
      </c>
      <c r="C1049" s="660">
        <v>2</v>
      </c>
      <c r="D1049" s="661">
        <f>FORNITURAS!D24</f>
        <v>34.666666666666664</v>
      </c>
      <c r="E1049" s="662">
        <f>D1049*C1049</f>
        <v>69.333333333333329</v>
      </c>
      <c r="F1049" s="658"/>
      <c r="G1049" s="653"/>
      <c r="H1049" s="653"/>
    </row>
    <row r="1050" spans="1:10" ht="15.75" x14ac:dyDescent="0.25">
      <c r="A1050" s="666" t="s">
        <v>4944</v>
      </c>
      <c r="B1050" s="660"/>
      <c r="C1050" s="660">
        <v>1.2</v>
      </c>
      <c r="D1050" s="661">
        <f>'HILOS-CORDONES-TANZA-CUERO'!E30</f>
        <v>30</v>
      </c>
      <c r="E1050" s="662">
        <f>D1050*C1050</f>
        <v>36</v>
      </c>
      <c r="F1050" s="658"/>
      <c r="G1050" s="653"/>
      <c r="H1050" s="653"/>
    </row>
    <row r="1051" spans="1:10" ht="15.75" x14ac:dyDescent="0.25">
      <c r="A1051" s="666" t="s">
        <v>1012</v>
      </c>
      <c r="B1051" s="660"/>
      <c r="C1051" s="660">
        <v>16</v>
      </c>
      <c r="D1051" s="661">
        <f>FORNITURAS!D16</f>
        <v>45.05</v>
      </c>
      <c r="E1051" s="662">
        <f>D1051*C1051</f>
        <v>720.8</v>
      </c>
      <c r="F1051" s="658"/>
      <c r="G1051" s="653"/>
      <c r="H1051" s="653"/>
    </row>
    <row r="1052" spans="1:10" ht="15.75" x14ac:dyDescent="0.25">
      <c r="A1052" s="666" t="s">
        <v>4156</v>
      </c>
      <c r="B1052" s="660" t="s">
        <v>4157</v>
      </c>
      <c r="C1052" s="660">
        <v>2</v>
      </c>
      <c r="D1052" s="661">
        <f>FORNITURAS!I13</f>
        <v>274.44444444444446</v>
      </c>
      <c r="E1052" s="662">
        <f>D1052*C1052</f>
        <v>548.88888888888891</v>
      </c>
      <c r="F1052" s="658"/>
      <c r="G1052" s="653"/>
      <c r="H1052" s="653"/>
    </row>
    <row r="1053" spans="1:10" ht="15.75" x14ac:dyDescent="0.25">
      <c r="A1053" s="666" t="s">
        <v>4948</v>
      </c>
      <c r="B1053" s="660"/>
      <c r="C1053" s="660">
        <v>1</v>
      </c>
      <c r="D1053" s="661">
        <f>'AROS, CADENAS, DIJES, ETC'!O73</f>
        <v>1820</v>
      </c>
      <c r="E1053" s="662">
        <f>C1053*D1053</f>
        <v>1820</v>
      </c>
      <c r="F1053" s="658"/>
      <c r="G1053" s="653"/>
      <c r="H1053" s="653"/>
    </row>
    <row r="1054" spans="1:10" ht="15.75" x14ac:dyDescent="0.25">
      <c r="A1054" s="666" t="s">
        <v>1557</v>
      </c>
      <c r="B1054" s="660"/>
      <c r="C1054" s="660"/>
      <c r="D1054" s="661"/>
      <c r="E1054" s="667">
        <f>PACKAGING!E4</f>
        <v>80</v>
      </c>
      <c r="F1054" s="653"/>
      <c r="G1054" s="658"/>
      <c r="H1054" s="653"/>
    </row>
    <row r="1055" spans="1:10" ht="15.75" x14ac:dyDescent="0.25">
      <c r="A1055" s="666" t="s">
        <v>3362</v>
      </c>
      <c r="B1055" s="660"/>
      <c r="C1055" s="660"/>
      <c r="D1055" s="661"/>
      <c r="E1055" s="667">
        <f>PACKAGING!E17</f>
        <v>7.5</v>
      </c>
      <c r="F1055" s="653"/>
      <c r="G1055" s="658"/>
      <c r="H1055" s="653"/>
    </row>
    <row r="1056" spans="1:10" ht="15.75" x14ac:dyDescent="0.25">
      <c r="A1056" s="666" t="s">
        <v>1746</v>
      </c>
      <c r="B1056" s="660"/>
      <c r="C1056" s="660"/>
      <c r="D1056" s="661"/>
      <c r="E1056" s="667">
        <v>60</v>
      </c>
      <c r="F1056" s="653"/>
      <c r="G1056" s="658"/>
      <c r="H1056" s="653"/>
    </row>
    <row r="1057" spans="1:13" ht="15.75" x14ac:dyDescent="0.25">
      <c r="A1057" s="666" t="s">
        <v>3568</v>
      </c>
      <c r="B1057" s="660"/>
      <c r="C1057" s="660"/>
      <c r="D1057" s="661"/>
      <c r="E1057" s="667">
        <f>PACKAGING!I5</f>
        <v>845</v>
      </c>
      <c r="F1057" s="653"/>
      <c r="G1057" s="658"/>
      <c r="H1057" s="653"/>
    </row>
    <row r="1058" spans="1:13" ht="15.75" x14ac:dyDescent="0.25">
      <c r="A1058" s="683" t="s">
        <v>1618</v>
      </c>
      <c r="B1058" s="660">
        <v>60</v>
      </c>
      <c r="C1058" s="660">
        <v>40</v>
      </c>
      <c r="D1058" s="668">
        <f>'INSUMOS VARIOS'!B3</f>
        <v>3500</v>
      </c>
      <c r="E1058" s="669">
        <f>D1058*C1058/B1058</f>
        <v>2333.3333333333335</v>
      </c>
      <c r="F1058" s="653"/>
      <c r="G1058" s="658"/>
      <c r="H1058" s="653"/>
    </row>
    <row r="1059" spans="1:13" ht="16.5" thickBot="1" x14ac:dyDescent="0.3">
      <c r="A1059" s="670" t="s">
        <v>525</v>
      </c>
      <c r="B1059" s="671"/>
      <c r="C1059" s="671"/>
      <c r="D1059" s="672"/>
      <c r="E1059" s="673">
        <f>SUM(E1048:E1058)</f>
        <v>13297.998412698415</v>
      </c>
      <c r="F1059" s="658"/>
      <c r="G1059" s="653"/>
      <c r="H1059" s="653"/>
    </row>
    <row r="1060" spans="1:13" ht="16.5" thickBot="1" x14ac:dyDescent="0.3">
      <c r="A1060" s="675" t="s">
        <v>4918</v>
      </c>
      <c r="B1060" s="676"/>
      <c r="C1060" s="676"/>
      <c r="D1060" s="677"/>
      <c r="E1060" s="692">
        <f>E1059*2</f>
        <v>26595.996825396829</v>
      </c>
      <c r="F1060" s="957">
        <f>E1060+E1060*70%</f>
        <v>45213.194603174605</v>
      </c>
      <c r="G1060" s="681"/>
      <c r="H1060" s="653"/>
      <c r="K1060" s="1506"/>
      <c r="L1060" s="1506"/>
      <c r="M1060" s="1506"/>
    </row>
    <row r="1061" spans="1:13" ht="16.5" thickBot="1" x14ac:dyDescent="0.3">
      <c r="A1061" s="684" t="s">
        <v>1559</v>
      </c>
      <c r="B1061" s="685"/>
      <c r="C1061" s="685"/>
      <c r="D1061" s="686"/>
      <c r="E1061" s="686"/>
      <c r="F1061" s="816"/>
      <c r="G1061" s="1275">
        <f>G1060*60%</f>
        <v>0</v>
      </c>
      <c r="H1061" s="1276" t="s">
        <v>3687</v>
      </c>
    </row>
    <row r="1062" spans="1:13" ht="15.75" thickBot="1" x14ac:dyDescent="0.3"/>
    <row r="1063" spans="1:13" ht="16.5" thickBot="1" x14ac:dyDescent="0.3">
      <c r="A1063" s="1804" t="s">
        <v>5092</v>
      </c>
      <c r="B1063" s="1805"/>
      <c r="C1063" s="1805"/>
      <c r="D1063" s="1805"/>
      <c r="E1063" s="1806"/>
      <c r="F1063" s="1294"/>
      <c r="G1063" s="653"/>
      <c r="H1063" s="653"/>
    </row>
    <row r="1064" spans="1:13" ht="15.75" x14ac:dyDescent="0.25">
      <c r="A1064" s="654" t="s">
        <v>916</v>
      </c>
      <c r="B1064" s="655" t="s">
        <v>743</v>
      </c>
      <c r="C1064" s="655" t="s">
        <v>1566</v>
      </c>
      <c r="D1064" s="656" t="s">
        <v>1035</v>
      </c>
      <c r="E1064" s="657" t="s">
        <v>1549</v>
      </c>
      <c r="F1064" s="658"/>
      <c r="G1064" s="653"/>
      <c r="H1064" s="653"/>
    </row>
    <row r="1065" spans="1:13" ht="15.75" x14ac:dyDescent="0.25">
      <c r="A1065" s="659" t="s">
        <v>5093</v>
      </c>
      <c r="B1065" s="660"/>
      <c r="C1065" s="660">
        <v>120</v>
      </c>
      <c r="D1065" s="661">
        <f>PIEDRAS!F26</f>
        <v>42.357142857142854</v>
      </c>
      <c r="E1065" s="662">
        <f>D1065*C1065</f>
        <v>5082.8571428571422</v>
      </c>
      <c r="F1065" s="658"/>
      <c r="G1065" s="653"/>
      <c r="H1065" s="653"/>
    </row>
    <row r="1066" spans="1:13" ht="15.75" x14ac:dyDescent="0.25">
      <c r="A1066" s="659" t="s">
        <v>5094</v>
      </c>
      <c r="B1066" s="660" t="s">
        <v>5095</v>
      </c>
      <c r="C1066" s="660">
        <v>1</v>
      </c>
      <c r="D1066" s="661">
        <f>FORNITURAS!I18</f>
        <v>527.5</v>
      </c>
      <c r="E1066" s="662">
        <f>D1066*C1066</f>
        <v>527.5</v>
      </c>
      <c r="F1066" s="658"/>
      <c r="G1066" s="653"/>
      <c r="H1066" s="653"/>
    </row>
    <row r="1067" spans="1:13" ht="15.75" x14ac:dyDescent="0.25">
      <c r="A1067" s="659" t="s">
        <v>4438</v>
      </c>
      <c r="B1067" s="660"/>
      <c r="C1067" s="660">
        <v>1.2</v>
      </c>
      <c r="D1067" s="661">
        <f>'HILOS-CORDONES-TANZA-CUERO'!E27</f>
        <v>25</v>
      </c>
      <c r="E1067" s="662">
        <f>D1067*C1067</f>
        <v>30</v>
      </c>
      <c r="F1067" s="658"/>
      <c r="G1067" s="653"/>
      <c r="H1067" s="653"/>
    </row>
    <row r="1068" spans="1:13" ht="15.75" x14ac:dyDescent="0.25">
      <c r="A1068" s="1736" t="s">
        <v>1572</v>
      </c>
      <c r="B1068" s="660" t="s">
        <v>1556</v>
      </c>
      <c r="C1068" s="660">
        <v>3</v>
      </c>
      <c r="D1068" s="661">
        <f>FORNITURAS!D4</f>
        <v>48.7</v>
      </c>
      <c r="E1068" s="662">
        <f t="shared" ref="E1068:E1069" si="35">D1068*C1068</f>
        <v>146.10000000000002</v>
      </c>
      <c r="F1068" s="658"/>
      <c r="G1068" s="653"/>
      <c r="H1068" s="653"/>
    </row>
    <row r="1069" spans="1:13" ht="15.75" x14ac:dyDescent="0.25">
      <c r="A1069" s="1737"/>
      <c r="B1069" s="660" t="s">
        <v>1573</v>
      </c>
      <c r="C1069" s="660">
        <v>1</v>
      </c>
      <c r="D1069" s="661">
        <f>FORNITURAS!D7</f>
        <v>52</v>
      </c>
      <c r="E1069" s="662">
        <f t="shared" si="35"/>
        <v>52</v>
      </c>
      <c r="F1069" s="658"/>
      <c r="G1069" s="653"/>
      <c r="H1069" s="653"/>
    </row>
    <row r="1070" spans="1:13" ht="15.75" x14ac:dyDescent="0.25">
      <c r="A1070" s="666" t="s">
        <v>1608</v>
      </c>
      <c r="B1070" s="660"/>
      <c r="C1070" s="660">
        <v>0.1</v>
      </c>
      <c r="D1070" s="661">
        <f>'AROS, CADENAS, DIJES, ETC'!K70</f>
        <v>5986</v>
      </c>
      <c r="E1070" s="662">
        <f>C1070*D1070</f>
        <v>598.6</v>
      </c>
      <c r="F1070" s="658"/>
      <c r="G1070" s="653"/>
      <c r="H1070" s="653"/>
    </row>
    <row r="1071" spans="1:13" ht="15.75" x14ac:dyDescent="0.25">
      <c r="A1071" s="666" t="s">
        <v>1554</v>
      </c>
      <c r="B1071" s="660" t="s">
        <v>777</v>
      </c>
      <c r="C1071" s="660">
        <v>10</v>
      </c>
      <c r="D1071" s="661">
        <f>FORNITURAS!D24</f>
        <v>34.666666666666664</v>
      </c>
      <c r="E1071" s="662">
        <f>D1071*C1071</f>
        <v>346.66666666666663</v>
      </c>
      <c r="F1071" s="658"/>
      <c r="G1071" s="653"/>
      <c r="H1071" s="653"/>
    </row>
    <row r="1072" spans="1:13" ht="15.75" x14ac:dyDescent="0.25">
      <c r="A1072" s="666" t="s">
        <v>1012</v>
      </c>
      <c r="B1072" s="660"/>
      <c r="C1072" s="660">
        <v>2</v>
      </c>
      <c r="D1072" s="661">
        <f>FORNITURAS!D16</f>
        <v>45.05</v>
      </c>
      <c r="E1072" s="662">
        <f>D1072*C1072</f>
        <v>90.1</v>
      </c>
      <c r="F1072" s="658"/>
      <c r="G1072" s="653"/>
      <c r="H1072" s="653"/>
    </row>
    <row r="1073" spans="1:8" ht="15.75" x14ac:dyDescent="0.25">
      <c r="A1073" s="666" t="s">
        <v>1587</v>
      </c>
      <c r="B1073" s="660"/>
      <c r="C1073" s="660">
        <v>1</v>
      </c>
      <c r="D1073" s="661">
        <f>FORNITURAS!D19</f>
        <v>855</v>
      </c>
      <c r="E1073" s="662">
        <f>C1073*D1073</f>
        <v>855</v>
      </c>
      <c r="F1073" s="658"/>
      <c r="G1073" s="653"/>
    </row>
    <row r="1074" spans="1:8" ht="15.75" x14ac:dyDescent="0.25">
      <c r="A1074" s="666" t="s">
        <v>1557</v>
      </c>
      <c r="B1074" s="660"/>
      <c r="C1074" s="660"/>
      <c r="D1074" s="661"/>
      <c r="E1074" s="667">
        <f>PACKAGING!E4</f>
        <v>80</v>
      </c>
      <c r="F1074" s="653"/>
      <c r="G1074" s="658"/>
    </row>
    <row r="1075" spans="1:8" ht="15.75" x14ac:dyDescent="0.25">
      <c r="A1075" s="666" t="s">
        <v>3362</v>
      </c>
      <c r="B1075" s="660"/>
      <c r="C1075" s="660"/>
      <c r="D1075" s="661"/>
      <c r="E1075" s="667">
        <f>PACKAGING!E17</f>
        <v>7.5</v>
      </c>
      <c r="F1075" s="653"/>
      <c r="G1075" s="658"/>
    </row>
    <row r="1076" spans="1:8" ht="15.75" x14ac:dyDescent="0.25">
      <c r="A1076" s="666" t="s">
        <v>1634</v>
      </c>
      <c r="B1076" s="660"/>
      <c r="C1076" s="660"/>
      <c r="D1076" s="661"/>
      <c r="E1076" s="667">
        <f>PACKAGING!E7</f>
        <v>170</v>
      </c>
      <c r="F1076" s="653"/>
      <c r="G1076" s="658"/>
    </row>
    <row r="1077" spans="1:8" ht="15.75" x14ac:dyDescent="0.25">
      <c r="A1077" s="1339" t="s">
        <v>3568</v>
      </c>
      <c r="B1077" s="660"/>
      <c r="C1077" s="660"/>
      <c r="D1077" s="668"/>
      <c r="E1077" s="667">
        <f>PACKAGING!I5</f>
        <v>845</v>
      </c>
      <c r="F1077" s="653"/>
      <c r="G1077" s="658"/>
    </row>
    <row r="1078" spans="1:8" ht="15.75" x14ac:dyDescent="0.25">
      <c r="A1078" s="683" t="s">
        <v>1618</v>
      </c>
      <c r="B1078" s="660">
        <v>60</v>
      </c>
      <c r="C1078" s="660">
        <v>30</v>
      </c>
      <c r="D1078" s="668">
        <f>'INSUMOS VARIOS'!B3</f>
        <v>3500</v>
      </c>
      <c r="E1078" s="669">
        <f>D1078*C1078/B1078</f>
        <v>1750</v>
      </c>
      <c r="F1078" s="1"/>
      <c r="G1078" s="658"/>
    </row>
    <row r="1079" spans="1:8" ht="16.5" thickBot="1" x14ac:dyDescent="0.3">
      <c r="A1079" s="670" t="s">
        <v>525</v>
      </c>
      <c r="B1079" s="671"/>
      <c r="C1079" s="671"/>
      <c r="D1079" s="672"/>
      <c r="E1079" s="673">
        <f>SUM(E1065:E1078)</f>
        <v>10581.32380952381</v>
      </c>
      <c r="F1079" s="698"/>
      <c r="G1079" s="653"/>
    </row>
    <row r="1080" spans="1:8" ht="16.5" thickBot="1" x14ac:dyDescent="0.3">
      <c r="A1080" s="675" t="s">
        <v>4918</v>
      </c>
      <c r="B1080" s="676"/>
      <c r="C1080" s="676"/>
      <c r="D1080" s="677"/>
      <c r="E1080" s="692">
        <f>E1079*2</f>
        <v>21162.647619047621</v>
      </c>
      <c r="F1080" s="957">
        <f>E1080+E1080*70%</f>
        <v>35976.500952380957</v>
      </c>
      <c r="G1080" s="681"/>
    </row>
    <row r="1081" spans="1:8" ht="16.5" thickBot="1" x14ac:dyDescent="0.3">
      <c r="A1081" s="684" t="s">
        <v>1559</v>
      </c>
      <c r="B1081" s="685"/>
      <c r="C1081" s="685"/>
      <c r="D1081" s="686"/>
      <c r="E1081" s="686"/>
      <c r="F1081" s="816"/>
      <c r="G1081" s="1275">
        <f>G1080*60%</f>
        <v>0</v>
      </c>
      <c r="H1081" t="s">
        <v>3688</v>
      </c>
    </row>
    <row r="1083" spans="1:8" ht="15.75" thickBot="1" x14ac:dyDescent="0.3"/>
    <row r="1084" spans="1:8" ht="16.5" thickBot="1" x14ac:dyDescent="0.3">
      <c r="A1084" s="1804" t="s">
        <v>5025</v>
      </c>
      <c r="B1084" s="1805"/>
      <c r="C1084" s="1805"/>
      <c r="D1084" s="1805"/>
      <c r="E1084" s="1806"/>
      <c r="F1084" s="653"/>
      <c r="G1084" s="653"/>
      <c r="H1084" s="653"/>
    </row>
    <row r="1085" spans="1:8" ht="15.75" x14ac:dyDescent="0.25">
      <c r="A1085" s="654" t="s">
        <v>916</v>
      </c>
      <c r="B1085" s="655" t="s">
        <v>743</v>
      </c>
      <c r="C1085" s="655" t="s">
        <v>1566</v>
      </c>
      <c r="D1085" s="656" t="s">
        <v>1035</v>
      </c>
      <c r="E1085" s="657" t="s">
        <v>1549</v>
      </c>
      <c r="F1085" s="658"/>
      <c r="G1085" s="653"/>
      <c r="H1085" s="653"/>
    </row>
    <row r="1086" spans="1:8" ht="15.75" x14ac:dyDescent="0.25">
      <c r="A1086" s="1762" t="s">
        <v>1742</v>
      </c>
      <c r="B1086" s="660" t="s">
        <v>2160</v>
      </c>
      <c r="C1086" s="660">
        <v>2</v>
      </c>
      <c r="D1086" s="661">
        <f>'PERLAS 2'!H17</f>
        <v>1809.5</v>
      </c>
      <c r="E1086" s="662">
        <f t="shared" ref="E1086:E1091" si="36">D1086*C1086</f>
        <v>3619</v>
      </c>
      <c r="F1086" s="658"/>
      <c r="G1086" s="653"/>
      <c r="H1086" s="653"/>
    </row>
    <row r="1087" spans="1:8" ht="15.75" x14ac:dyDescent="0.25">
      <c r="A1087" s="1763"/>
      <c r="B1087" s="660" t="s">
        <v>3537</v>
      </c>
      <c r="C1087" s="660">
        <v>4</v>
      </c>
      <c r="D1087" s="661">
        <f>'PERLAS 2'!H25</f>
        <v>770</v>
      </c>
      <c r="E1087" s="662">
        <f t="shared" si="36"/>
        <v>3080</v>
      </c>
      <c r="F1087" s="658"/>
      <c r="G1087" s="653"/>
      <c r="H1087" s="653"/>
    </row>
    <row r="1088" spans="1:8" ht="15.75" x14ac:dyDescent="0.25">
      <c r="A1088" s="769" t="s">
        <v>5028</v>
      </c>
      <c r="B1088" s="660"/>
      <c r="C1088" s="660">
        <v>5</v>
      </c>
      <c r="D1088" s="661">
        <f>PIEDRAS!F48</f>
        <v>293.75</v>
      </c>
      <c r="E1088" s="662">
        <f t="shared" si="36"/>
        <v>1468.75</v>
      </c>
      <c r="F1088" s="658"/>
      <c r="G1088" s="653"/>
      <c r="H1088" s="653"/>
    </row>
    <row r="1089" spans="1:8" ht="15.75" x14ac:dyDescent="0.25">
      <c r="A1089" s="769" t="s">
        <v>5027</v>
      </c>
      <c r="B1089" s="660" t="s">
        <v>3521</v>
      </c>
      <c r="C1089" s="660">
        <v>4</v>
      </c>
      <c r="D1089" s="661">
        <f>PIEDRAS!F25</f>
        <v>102.05882352941177</v>
      </c>
      <c r="E1089" s="662">
        <f t="shared" si="36"/>
        <v>408.23529411764707</v>
      </c>
      <c r="F1089" s="658"/>
      <c r="G1089" s="653"/>
      <c r="H1089" s="653"/>
    </row>
    <row r="1090" spans="1:8" ht="15.75" x14ac:dyDescent="0.25">
      <c r="A1090" s="769" t="s">
        <v>4251</v>
      </c>
      <c r="B1090" s="660" t="s">
        <v>781</v>
      </c>
      <c r="C1090" s="660">
        <v>1</v>
      </c>
      <c r="D1090" s="661">
        <f>PIEDRAS!F64</f>
        <v>138.06818181818181</v>
      </c>
      <c r="E1090" s="662">
        <f t="shared" si="36"/>
        <v>138.06818181818181</v>
      </c>
      <c r="F1090" s="658"/>
      <c r="G1090" s="653"/>
      <c r="H1090" s="653"/>
    </row>
    <row r="1091" spans="1:8" ht="15.75" x14ac:dyDescent="0.25">
      <c r="A1091" s="769" t="s">
        <v>4251</v>
      </c>
      <c r="B1091" s="660" t="s">
        <v>805</v>
      </c>
      <c r="C1091" s="660">
        <v>4</v>
      </c>
      <c r="D1091" s="661">
        <f>PIEDRAS!F65</f>
        <v>198.75</v>
      </c>
      <c r="E1091" s="662">
        <f t="shared" si="36"/>
        <v>795</v>
      </c>
      <c r="F1091" s="658"/>
      <c r="G1091" s="653"/>
      <c r="H1091" s="653"/>
    </row>
    <row r="1092" spans="1:8" ht="15.75" x14ac:dyDescent="0.25">
      <c r="A1092" s="769" t="s">
        <v>5089</v>
      </c>
      <c r="B1092" s="660"/>
      <c r="C1092" s="660">
        <v>3</v>
      </c>
      <c r="D1092" s="661">
        <f>PIEDRAS!F102</f>
        <v>139.33333333333334</v>
      </c>
      <c r="E1092" s="662">
        <f>D1092*C1092</f>
        <v>418</v>
      </c>
      <c r="F1092" s="658"/>
      <c r="G1092" s="653"/>
      <c r="H1092" s="653"/>
    </row>
    <row r="1093" spans="1:8" ht="15.75" x14ac:dyDescent="0.25">
      <c r="A1093" s="820" t="s">
        <v>5034</v>
      </c>
      <c r="B1093" s="660" t="s">
        <v>5035</v>
      </c>
      <c r="C1093" s="660">
        <v>5</v>
      </c>
      <c r="D1093" s="661">
        <f>PIEDRAS!F85</f>
        <v>232.5</v>
      </c>
      <c r="E1093" s="662">
        <f t="shared" ref="E1093:E1106" si="37">D1093*C1093</f>
        <v>1162.5</v>
      </c>
      <c r="F1093" s="658"/>
      <c r="G1093" s="653"/>
      <c r="H1093" s="653"/>
    </row>
    <row r="1094" spans="1:8" ht="15.75" x14ac:dyDescent="0.25">
      <c r="A1094" s="666" t="s">
        <v>5026</v>
      </c>
      <c r="B1094" s="660" t="s">
        <v>805</v>
      </c>
      <c r="C1094" s="660">
        <v>3</v>
      </c>
      <c r="D1094" s="661">
        <f>PIEDRAS!F71</f>
        <v>329.55882352941177</v>
      </c>
      <c r="E1094" s="662">
        <f t="shared" si="37"/>
        <v>988.67647058823536</v>
      </c>
      <c r="F1094" s="658"/>
      <c r="G1094" s="653"/>
      <c r="H1094" s="653"/>
    </row>
    <row r="1095" spans="1:8" ht="15.75" x14ac:dyDescent="0.25">
      <c r="A1095" s="666" t="s">
        <v>5037</v>
      </c>
      <c r="B1095" s="660" t="s">
        <v>989</v>
      </c>
      <c r="C1095" s="660">
        <v>2</v>
      </c>
      <c r="D1095" s="661">
        <f>PIEDRAS!F51</f>
        <v>275.19230769230768</v>
      </c>
      <c r="E1095" s="662">
        <f t="shared" si="37"/>
        <v>550.38461538461536</v>
      </c>
      <c r="F1095" s="658"/>
      <c r="G1095" s="653"/>
      <c r="H1095" s="653"/>
    </row>
    <row r="1096" spans="1:8" ht="15.75" x14ac:dyDescent="0.25">
      <c r="A1096" s="666" t="s">
        <v>3411</v>
      </c>
      <c r="B1096" s="660"/>
      <c r="C1096" s="660">
        <v>5</v>
      </c>
      <c r="D1096" s="661">
        <f>PIEDRAS!F140</f>
        <v>60</v>
      </c>
      <c r="E1096" s="662">
        <f t="shared" si="37"/>
        <v>300</v>
      </c>
      <c r="F1096" s="658"/>
      <c r="G1096" s="653"/>
      <c r="H1096" s="653"/>
    </row>
    <row r="1097" spans="1:8" ht="15.75" x14ac:dyDescent="0.25">
      <c r="A1097" s="769" t="s">
        <v>4156</v>
      </c>
      <c r="B1097" s="660" t="s">
        <v>5030</v>
      </c>
      <c r="C1097" s="660">
        <v>2</v>
      </c>
      <c r="D1097" s="661">
        <f>FORNITURAS!I15</f>
        <v>387.66666666666669</v>
      </c>
      <c r="E1097" s="662">
        <f t="shared" si="37"/>
        <v>775.33333333333337</v>
      </c>
      <c r="F1097" s="658"/>
      <c r="G1097" s="653"/>
      <c r="H1097" s="653"/>
    </row>
    <row r="1098" spans="1:8" ht="15.75" x14ac:dyDescent="0.25">
      <c r="A1098" s="769" t="s">
        <v>5031</v>
      </c>
      <c r="B1098" s="660" t="s">
        <v>846</v>
      </c>
      <c r="C1098" s="660">
        <v>2</v>
      </c>
      <c r="D1098" s="661">
        <f>FORNITURAS!I5</f>
        <v>188.85714285714286</v>
      </c>
      <c r="E1098" s="662">
        <f t="shared" si="37"/>
        <v>377.71428571428572</v>
      </c>
      <c r="F1098" s="658"/>
      <c r="G1098" s="653"/>
      <c r="H1098" s="653"/>
    </row>
    <row r="1099" spans="1:8" ht="15.75" x14ac:dyDescent="0.25">
      <c r="A1099" s="769" t="s">
        <v>3173</v>
      </c>
      <c r="B1099" s="660"/>
      <c r="C1099" s="660">
        <v>2</v>
      </c>
      <c r="D1099" s="661">
        <f>FORNITURAS!D37</f>
        <v>299.5</v>
      </c>
      <c r="E1099" s="662">
        <f t="shared" si="37"/>
        <v>599</v>
      </c>
      <c r="F1099" s="658"/>
      <c r="G1099" s="653"/>
      <c r="H1099" s="653"/>
    </row>
    <row r="1100" spans="1:8" ht="15.75" x14ac:dyDescent="0.25">
      <c r="A1100" s="666" t="s">
        <v>3111</v>
      </c>
      <c r="B1100" s="660" t="s">
        <v>5032</v>
      </c>
      <c r="C1100" s="660">
        <v>1</v>
      </c>
      <c r="D1100" s="661">
        <f>FORNITURAS!D14</f>
        <v>98.8</v>
      </c>
      <c r="E1100" s="662">
        <f t="shared" si="37"/>
        <v>98.8</v>
      </c>
      <c r="F1100" s="658"/>
      <c r="G1100" s="653"/>
      <c r="H1100" s="653"/>
    </row>
    <row r="1101" spans="1:8" ht="15.75" x14ac:dyDescent="0.25">
      <c r="A1101" s="666" t="s">
        <v>4141</v>
      </c>
      <c r="B1101" s="660"/>
      <c r="C1101" s="660">
        <v>0.1</v>
      </c>
      <c r="D1101" s="661">
        <f>'AROS, CADENAS, DIJES, ETC'!K65</f>
        <v>11098</v>
      </c>
      <c r="E1101" s="662">
        <f t="shared" si="37"/>
        <v>1109.8</v>
      </c>
      <c r="F1101" s="658"/>
      <c r="G1101" s="653"/>
      <c r="H1101" s="653"/>
    </row>
    <row r="1102" spans="1:8" ht="15.75" x14ac:dyDescent="0.25">
      <c r="A1102" s="666" t="s">
        <v>3096</v>
      </c>
      <c r="B1102" s="660" t="s">
        <v>930</v>
      </c>
      <c r="C1102" s="660">
        <v>1</v>
      </c>
      <c r="D1102" s="661">
        <f>FORNITURAS!D20</f>
        <v>1066</v>
      </c>
      <c r="E1102" s="662">
        <f t="shared" si="37"/>
        <v>1066</v>
      </c>
      <c r="F1102" s="658"/>
      <c r="G1102" s="653"/>
      <c r="H1102" s="653"/>
    </row>
    <row r="1103" spans="1:8" ht="15.75" x14ac:dyDescent="0.25">
      <c r="A1103" s="769" t="s">
        <v>1012</v>
      </c>
      <c r="B1103" s="660"/>
      <c r="C1103" s="660">
        <v>2</v>
      </c>
      <c r="D1103" s="661">
        <f>FORNITURAS!D16</f>
        <v>45.05</v>
      </c>
      <c r="E1103" s="662">
        <f t="shared" si="37"/>
        <v>90.1</v>
      </c>
      <c r="F1103" s="658"/>
      <c r="G1103" s="653"/>
      <c r="H1103" s="653"/>
    </row>
    <row r="1104" spans="1:8" ht="15.75" x14ac:dyDescent="0.25">
      <c r="A1104" s="666" t="s">
        <v>5036</v>
      </c>
      <c r="B1104" s="660"/>
      <c r="C1104" s="660">
        <v>1.2</v>
      </c>
      <c r="D1104" s="661">
        <f>'HILOS-CORDONES-TANZA-CUERO'!E28</f>
        <v>19</v>
      </c>
      <c r="E1104" s="662">
        <f t="shared" si="37"/>
        <v>22.8</v>
      </c>
      <c r="F1104" s="658"/>
      <c r="G1104" s="653"/>
      <c r="H1104" s="653"/>
    </row>
    <row r="1105" spans="1:9" ht="15.75" x14ac:dyDescent="0.25">
      <c r="A1105" s="1736" t="s">
        <v>1971</v>
      </c>
      <c r="B1105" s="660" t="s">
        <v>1933</v>
      </c>
      <c r="C1105" s="660">
        <v>2</v>
      </c>
      <c r="D1105" s="661">
        <f>FORNITURAS!D5</f>
        <v>46.8</v>
      </c>
      <c r="E1105" s="667">
        <f t="shared" si="37"/>
        <v>93.6</v>
      </c>
      <c r="F1105" s="658"/>
      <c r="G1105" s="653"/>
      <c r="H1105" s="653"/>
    </row>
    <row r="1106" spans="1:9" ht="15.75" x14ac:dyDescent="0.25">
      <c r="A1106" s="1737"/>
      <c r="B1106" s="660" t="s">
        <v>1573</v>
      </c>
      <c r="C1106" s="660">
        <v>1</v>
      </c>
      <c r="D1106" s="661">
        <f>FORNITURAS!D7</f>
        <v>52</v>
      </c>
      <c r="E1106" s="667">
        <f t="shared" si="37"/>
        <v>52</v>
      </c>
      <c r="F1106" s="658"/>
      <c r="G1106" s="653"/>
      <c r="H1106" s="653"/>
    </row>
    <row r="1107" spans="1:9" ht="15.75" x14ac:dyDescent="0.25">
      <c r="A1107" s="666" t="s">
        <v>3571</v>
      </c>
      <c r="B1107" s="660"/>
      <c r="C1107" s="660"/>
      <c r="D1107" s="661"/>
      <c r="E1107" s="667">
        <f>PACKAGING!E7</f>
        <v>170</v>
      </c>
      <c r="F1107" s="658"/>
      <c r="G1107" s="653"/>
      <c r="H1107" s="653"/>
    </row>
    <row r="1108" spans="1:9" ht="15.75" x14ac:dyDescent="0.25">
      <c r="A1108" s="666" t="s">
        <v>1557</v>
      </c>
      <c r="B1108" s="660"/>
      <c r="C1108" s="660"/>
      <c r="D1108" s="661"/>
      <c r="E1108" s="667">
        <f>PACKAGING!E4</f>
        <v>80</v>
      </c>
      <c r="F1108" s="658"/>
      <c r="G1108" s="653"/>
      <c r="H1108" s="653"/>
    </row>
    <row r="1109" spans="1:9" ht="15.75" x14ac:dyDescent="0.25">
      <c r="A1109" s="683" t="s">
        <v>1618</v>
      </c>
      <c r="B1109" s="660">
        <v>60</v>
      </c>
      <c r="C1109" s="660">
        <v>30</v>
      </c>
      <c r="D1109" s="668">
        <f>'INSUMOS VARIOS'!B3</f>
        <v>3500</v>
      </c>
      <c r="E1109" s="669">
        <f>D1109*C1109/B1109</f>
        <v>1750</v>
      </c>
      <c r="F1109" s="1" t="s">
        <v>3023</v>
      </c>
      <c r="G1109" s="658"/>
      <c r="H1109" s="653"/>
    </row>
    <row r="1110" spans="1:9" ht="15.75" thickBot="1" x14ac:dyDescent="0.3">
      <c r="A1110" s="670" t="s">
        <v>525</v>
      </c>
      <c r="B1110" s="671"/>
      <c r="C1110" s="671"/>
      <c r="D1110" s="672"/>
      <c r="E1110" s="673">
        <f>SUM(E1086:E1109)</f>
        <v>19213.762180956295</v>
      </c>
      <c r="F1110" s="698">
        <f>E1110+G1111+G1112</f>
        <v>22916.762180956295</v>
      </c>
      <c r="G1110" s="658" t="s">
        <v>2028</v>
      </c>
      <c r="H1110" s="674" t="s">
        <v>2029</v>
      </c>
      <c r="I1110" s="652"/>
    </row>
    <row r="1111" spans="1:9" ht="16.5" thickBot="1" x14ac:dyDescent="0.3">
      <c r="A1111" s="675" t="s">
        <v>4918</v>
      </c>
      <c r="B1111" s="676"/>
      <c r="C1111" s="676"/>
      <c r="D1111" s="677"/>
      <c r="E1111" s="692">
        <f>E1110*2</f>
        <v>38427.52436191259</v>
      </c>
      <c r="F1111" s="957">
        <f>E1111+E1111*70%</f>
        <v>65326.791415251399</v>
      </c>
      <c r="G1111" s="680">
        <f>PACKAGING!I4</f>
        <v>2633</v>
      </c>
      <c r="H1111" s="702">
        <f>F1111+G1111+G1112</f>
        <v>69029.791415251399</v>
      </c>
      <c r="I1111" s="702"/>
    </row>
    <row r="1112" spans="1:9" ht="16.5" thickBot="1" x14ac:dyDescent="0.3">
      <c r="A1112" s="684" t="s">
        <v>1559</v>
      </c>
      <c r="B1112" s="685"/>
      <c r="C1112" s="685"/>
      <c r="D1112" s="686"/>
      <c r="E1112" s="686"/>
      <c r="F1112" s="816"/>
      <c r="G1112" s="701">
        <f>PACKAGING!I6</f>
        <v>1070</v>
      </c>
      <c r="H1112" s="1446"/>
      <c r="I1112" s="1447"/>
    </row>
    <row r="1113" spans="1:9" ht="16.5" thickBot="1" x14ac:dyDescent="0.3">
      <c r="F1113" s="658"/>
      <c r="G1113" s="653"/>
      <c r="H1113" s="653"/>
    </row>
    <row r="1114" spans="1:9" ht="16.5" thickBot="1" x14ac:dyDescent="0.3">
      <c r="A1114" s="1804" t="s">
        <v>5038</v>
      </c>
      <c r="B1114" s="1805"/>
      <c r="C1114" s="1805"/>
      <c r="D1114" s="1805"/>
      <c r="E1114" s="1806"/>
      <c r="F1114" s="653"/>
      <c r="G1114" s="653"/>
      <c r="H1114" s="653"/>
    </row>
    <row r="1115" spans="1:9" ht="15.75" x14ac:dyDescent="0.25">
      <c r="A1115" s="654" t="s">
        <v>916</v>
      </c>
      <c r="B1115" s="655" t="s">
        <v>743</v>
      </c>
      <c r="C1115" s="655" t="s">
        <v>1566</v>
      </c>
      <c r="D1115" s="656" t="s">
        <v>1035</v>
      </c>
      <c r="E1115" s="657" t="s">
        <v>1549</v>
      </c>
      <c r="F1115" s="658"/>
      <c r="G1115" s="653"/>
      <c r="H1115" s="653"/>
    </row>
    <row r="1116" spans="1:9" ht="15.75" x14ac:dyDescent="0.25">
      <c r="A1116" s="769" t="s">
        <v>5039</v>
      </c>
      <c r="B1116" s="660">
        <v>0.39</v>
      </c>
      <c r="C1116" s="660">
        <v>0.38</v>
      </c>
      <c r="D1116" s="661">
        <f>PIEDRAS!E47</f>
        <v>8470</v>
      </c>
      <c r="E1116" s="662">
        <f>D1116*C1116/B1116</f>
        <v>8252.8205128205118</v>
      </c>
      <c r="F1116" s="658"/>
      <c r="G1116" s="653"/>
      <c r="H1116" s="653"/>
    </row>
    <row r="1117" spans="1:9" ht="15.75" x14ac:dyDescent="0.25">
      <c r="A1117" s="666" t="s">
        <v>5040</v>
      </c>
      <c r="B1117" s="660"/>
      <c r="C1117" s="660">
        <v>1.2</v>
      </c>
      <c r="D1117" s="661">
        <f>'HILOS-CORDONES-TANZA-CUERO'!E29</f>
        <v>19</v>
      </c>
      <c r="E1117" s="662">
        <f t="shared" ref="E1117:E1122" si="38">D1117*C1117</f>
        <v>22.8</v>
      </c>
      <c r="F1117" s="658"/>
      <c r="G1117" s="653"/>
      <c r="H1117" s="653"/>
    </row>
    <row r="1118" spans="1:9" ht="15.75" x14ac:dyDescent="0.25">
      <c r="A1118" s="666" t="s">
        <v>1554</v>
      </c>
      <c r="B1118" s="660" t="s">
        <v>777</v>
      </c>
      <c r="C1118" s="660">
        <v>3</v>
      </c>
      <c r="D1118" s="661">
        <f>FORNITURAS!D24</f>
        <v>34.666666666666664</v>
      </c>
      <c r="E1118" s="662">
        <f t="shared" si="38"/>
        <v>104</v>
      </c>
      <c r="F1118" s="658"/>
      <c r="G1118" s="653"/>
      <c r="H1118" s="653"/>
    </row>
    <row r="1119" spans="1:9" ht="15.75" x14ac:dyDescent="0.25">
      <c r="A1119" s="666" t="s">
        <v>3096</v>
      </c>
      <c r="B1119" s="660" t="s">
        <v>937</v>
      </c>
      <c r="C1119" s="660">
        <v>1</v>
      </c>
      <c r="D1119" s="661">
        <f>FORNITURAS!D19</f>
        <v>855</v>
      </c>
      <c r="E1119" s="662">
        <f t="shared" si="38"/>
        <v>855</v>
      </c>
      <c r="F1119" s="658"/>
      <c r="G1119" s="653"/>
      <c r="H1119" s="653"/>
    </row>
    <row r="1120" spans="1:9" ht="15.75" x14ac:dyDescent="0.25">
      <c r="A1120" s="1736" t="s">
        <v>1971</v>
      </c>
      <c r="B1120" s="660" t="s">
        <v>1556</v>
      </c>
      <c r="C1120" s="660">
        <v>3</v>
      </c>
      <c r="D1120" s="661">
        <f>FORNITURAS!D4</f>
        <v>48.7</v>
      </c>
      <c r="E1120" s="667">
        <f t="shared" si="38"/>
        <v>146.10000000000002</v>
      </c>
      <c r="F1120" s="658"/>
      <c r="G1120" s="653"/>
      <c r="H1120" s="653"/>
    </row>
    <row r="1121" spans="1:8" ht="15.75" x14ac:dyDescent="0.25">
      <c r="A1121" s="1737"/>
      <c r="B1121" s="660" t="s">
        <v>1573</v>
      </c>
      <c r="C1121" s="660">
        <v>1</v>
      </c>
      <c r="D1121" s="661">
        <f>FORNITURAS!D7</f>
        <v>52</v>
      </c>
      <c r="E1121" s="667">
        <f t="shared" si="38"/>
        <v>52</v>
      </c>
      <c r="F1121" s="658"/>
      <c r="G1121" s="653"/>
      <c r="H1121" s="653"/>
    </row>
    <row r="1122" spans="1:8" ht="15.75" x14ac:dyDescent="0.25">
      <c r="A1122" s="666" t="s">
        <v>4525</v>
      </c>
      <c r="B1122" s="660"/>
      <c r="C1122" s="660">
        <v>0.1</v>
      </c>
      <c r="D1122" s="661">
        <f>'AROS, CADENAS, DIJES, ETC'!K70</f>
        <v>5986</v>
      </c>
      <c r="E1122" s="667">
        <f t="shared" si="38"/>
        <v>598.6</v>
      </c>
      <c r="F1122" s="658"/>
      <c r="G1122" s="653"/>
      <c r="H1122" s="653"/>
    </row>
    <row r="1123" spans="1:8" ht="15.75" x14ac:dyDescent="0.25">
      <c r="A1123" s="666" t="s">
        <v>1557</v>
      </c>
      <c r="B1123" s="660"/>
      <c r="C1123" s="660"/>
      <c r="D1123" s="661"/>
      <c r="E1123" s="667">
        <f>PACKAGING!E4</f>
        <v>80</v>
      </c>
      <c r="F1123" s="653"/>
      <c r="G1123" s="658"/>
      <c r="H1123" s="653"/>
    </row>
    <row r="1124" spans="1:8" ht="15.75" x14ac:dyDescent="0.25">
      <c r="A1124" s="666" t="s">
        <v>1537</v>
      </c>
      <c r="B1124" s="660"/>
      <c r="C1124" s="660"/>
      <c r="D1124" s="661"/>
      <c r="E1124" s="667">
        <f>PACKAGING!E7</f>
        <v>170</v>
      </c>
      <c r="F1124" s="653"/>
      <c r="G1124" s="658"/>
      <c r="H1124" s="653"/>
    </row>
    <row r="1125" spans="1:8" ht="15.75" x14ac:dyDescent="0.25">
      <c r="A1125" s="666" t="s">
        <v>3362</v>
      </c>
      <c r="B1125" s="660"/>
      <c r="C1125" s="660"/>
      <c r="D1125" s="661"/>
      <c r="E1125" s="667">
        <f>PACKAGING!E17</f>
        <v>7.5</v>
      </c>
      <c r="F1125" s="653"/>
      <c r="G1125" s="658"/>
      <c r="H1125" s="653"/>
    </row>
    <row r="1126" spans="1:8" ht="15.75" x14ac:dyDescent="0.25">
      <c r="A1126" s="666" t="s">
        <v>1746</v>
      </c>
      <c r="B1126" s="660"/>
      <c r="C1126" s="660"/>
      <c r="D1126" s="661"/>
      <c r="E1126" s="667">
        <v>60</v>
      </c>
      <c r="F1126" s="653"/>
      <c r="G1126" s="658"/>
      <c r="H1126" s="653"/>
    </row>
    <row r="1127" spans="1:8" ht="15.75" x14ac:dyDescent="0.25">
      <c r="A1127" s="666" t="s">
        <v>3568</v>
      </c>
      <c r="B1127" s="660"/>
      <c r="C1127" s="660"/>
      <c r="D1127" s="661"/>
      <c r="E1127" s="667">
        <f>PACKAGING!I5</f>
        <v>845</v>
      </c>
      <c r="F1127" s="653"/>
      <c r="G1127" s="658"/>
      <c r="H1127" s="653"/>
    </row>
    <row r="1128" spans="1:8" ht="15.75" x14ac:dyDescent="0.25">
      <c r="A1128" s="683" t="s">
        <v>1618</v>
      </c>
      <c r="B1128" s="660">
        <v>60</v>
      </c>
      <c r="C1128" s="660">
        <v>30</v>
      </c>
      <c r="D1128" s="668">
        <f>'INSUMOS VARIOS'!B3</f>
        <v>3500</v>
      </c>
      <c r="E1128" s="669">
        <f>D1128*C1128/B1128</f>
        <v>1750</v>
      </c>
      <c r="F1128" s="653"/>
      <c r="G1128" s="658"/>
      <c r="H1128" s="653"/>
    </row>
    <row r="1129" spans="1:8" ht="16.5" thickBot="1" x14ac:dyDescent="0.3">
      <c r="A1129" s="670" t="s">
        <v>525</v>
      </c>
      <c r="B1129" s="671"/>
      <c r="C1129" s="671"/>
      <c r="D1129" s="672"/>
      <c r="E1129" s="673">
        <f>SUM(E1116:E1128)</f>
        <v>12943.820512820512</v>
      </c>
      <c r="F1129" s="658"/>
      <c r="G1129" s="653"/>
      <c r="H1129" s="653"/>
    </row>
    <row r="1130" spans="1:8" ht="16.5" thickBot="1" x14ac:dyDescent="0.3">
      <c r="A1130" s="675" t="s">
        <v>4918</v>
      </c>
      <c r="B1130" s="676"/>
      <c r="C1130" s="676"/>
      <c r="D1130" s="677"/>
      <c r="E1130" s="692">
        <f>E1129*2</f>
        <v>25887.641025641024</v>
      </c>
      <c r="F1130" s="957">
        <f>E1130+E1130*70%</f>
        <v>44008.989743589744</v>
      </c>
      <c r="G1130" s="681"/>
      <c r="H1130" s="653"/>
    </row>
    <row r="1131" spans="1:8" ht="16.5" thickBot="1" x14ac:dyDescent="0.3">
      <c r="A1131" s="684" t="s">
        <v>1559</v>
      </c>
      <c r="B1131" s="685"/>
      <c r="C1131" s="685"/>
      <c r="D1131" s="686"/>
      <c r="E1131" s="686"/>
      <c r="F1131" s="816"/>
      <c r="G1131" s="1275">
        <f>G1130*60%</f>
        <v>0</v>
      </c>
      <c r="H1131" s="1276" t="s">
        <v>3687</v>
      </c>
    </row>
    <row r="1132" spans="1:8" ht="15.75" thickBot="1" x14ac:dyDescent="0.3"/>
    <row r="1133" spans="1:8" ht="16.5" thickBot="1" x14ac:dyDescent="0.3">
      <c r="A1133" s="1804" t="s">
        <v>5042</v>
      </c>
      <c r="B1133" s="1805"/>
      <c r="C1133" s="1805"/>
      <c r="D1133" s="1805"/>
      <c r="E1133" s="1806"/>
      <c r="F1133" s="653"/>
      <c r="G1133" s="653"/>
      <c r="H1133" s="653"/>
    </row>
    <row r="1134" spans="1:8" ht="15.75" x14ac:dyDescent="0.25">
      <c r="A1134" s="654" t="s">
        <v>916</v>
      </c>
      <c r="B1134" s="655" t="s">
        <v>743</v>
      </c>
      <c r="C1134" s="655" t="s">
        <v>1566</v>
      </c>
      <c r="D1134" s="656" t="s">
        <v>1035</v>
      </c>
      <c r="E1134" s="657" t="s">
        <v>1549</v>
      </c>
      <c r="F1134" s="658"/>
      <c r="G1134" s="653"/>
      <c r="H1134" s="653"/>
    </row>
    <row r="1135" spans="1:8" ht="15.75" x14ac:dyDescent="0.25">
      <c r="A1135" s="769" t="s">
        <v>5041</v>
      </c>
      <c r="B1135" s="660">
        <v>0.94</v>
      </c>
      <c r="C1135" s="660">
        <v>0.34</v>
      </c>
      <c r="D1135" s="661">
        <f>PIEDRAS!E157</f>
        <v>4900</v>
      </c>
      <c r="E1135" s="662">
        <f>D1135*C1135/B1135</f>
        <v>1772.3404255319153</v>
      </c>
      <c r="F1135" s="658"/>
      <c r="G1135" s="653"/>
      <c r="H1135" s="653"/>
    </row>
    <row r="1136" spans="1:8" ht="15.75" x14ac:dyDescent="0.25">
      <c r="A1136" s="666" t="s">
        <v>5031</v>
      </c>
      <c r="B1136" s="660" t="s">
        <v>777</v>
      </c>
      <c r="C1136" s="660">
        <v>13</v>
      </c>
      <c r="D1136" s="661">
        <f>FORNITURAS!I4</f>
        <v>66.099999999999994</v>
      </c>
      <c r="E1136" s="662">
        <f t="shared" ref="E1136:E1141" si="39">D1136*C1136</f>
        <v>859.3</v>
      </c>
      <c r="F1136" s="658"/>
      <c r="G1136" s="653"/>
      <c r="H1136" s="653"/>
    </row>
    <row r="1137" spans="1:8" ht="15.75" x14ac:dyDescent="0.25">
      <c r="A1137" s="666" t="s">
        <v>1424</v>
      </c>
      <c r="B1137" s="660"/>
      <c r="C1137" s="660">
        <v>0.1</v>
      </c>
      <c r="D1137" s="661">
        <f>'HILOS-CORDONES-TANZA-CUERO'!L9</f>
        <v>30</v>
      </c>
      <c r="E1137" s="662">
        <f t="shared" si="39"/>
        <v>3</v>
      </c>
      <c r="F1137" s="658"/>
      <c r="G1137" s="653"/>
      <c r="H1137" s="653"/>
    </row>
    <row r="1138" spans="1:8" ht="15.75" x14ac:dyDescent="0.25">
      <c r="A1138" s="666" t="s">
        <v>3096</v>
      </c>
      <c r="B1138" s="660" t="s">
        <v>937</v>
      </c>
      <c r="C1138" s="660">
        <v>1</v>
      </c>
      <c r="D1138" s="661">
        <f>FORNITURAS!D19</f>
        <v>855</v>
      </c>
      <c r="E1138" s="662">
        <f t="shared" si="39"/>
        <v>855</v>
      </c>
      <c r="F1138" s="658"/>
      <c r="G1138" s="653"/>
      <c r="H1138" s="653"/>
    </row>
    <row r="1139" spans="1:8" ht="15.75" x14ac:dyDescent="0.25">
      <c r="A1139" s="1736" t="s">
        <v>1971</v>
      </c>
      <c r="B1139" s="660" t="s">
        <v>1556</v>
      </c>
      <c r="C1139" s="660">
        <v>2</v>
      </c>
      <c r="D1139" s="661">
        <f>FORNITURAS!D4</f>
        <v>48.7</v>
      </c>
      <c r="E1139" s="667">
        <f t="shared" si="39"/>
        <v>97.4</v>
      </c>
      <c r="F1139" s="658"/>
      <c r="G1139" s="653"/>
      <c r="H1139" s="653"/>
    </row>
    <row r="1140" spans="1:8" ht="15.75" x14ac:dyDescent="0.25">
      <c r="A1140" s="1737"/>
      <c r="B1140" s="660" t="s">
        <v>1573</v>
      </c>
      <c r="C1140" s="660">
        <v>1</v>
      </c>
      <c r="D1140" s="661">
        <f>FORNITURAS!D7</f>
        <v>52</v>
      </c>
      <c r="E1140" s="667">
        <f t="shared" si="39"/>
        <v>52</v>
      </c>
      <c r="F1140" s="658"/>
      <c r="G1140" s="653"/>
      <c r="H1140" s="653"/>
    </row>
    <row r="1141" spans="1:8" ht="15.75" x14ac:dyDescent="0.25">
      <c r="A1141" s="666" t="s">
        <v>4525</v>
      </c>
      <c r="B1141" s="660"/>
      <c r="C1141" s="660">
        <v>0.1</v>
      </c>
      <c r="D1141" s="661">
        <f>'AROS, CADENAS, DIJES, ETC'!K70</f>
        <v>5986</v>
      </c>
      <c r="E1141" s="667">
        <f t="shared" si="39"/>
        <v>598.6</v>
      </c>
      <c r="F1141" s="658"/>
      <c r="G1141" s="653"/>
      <c r="H1141" s="653"/>
    </row>
    <row r="1142" spans="1:8" ht="15.75" x14ac:dyDescent="0.25">
      <c r="A1142" s="666" t="s">
        <v>1557</v>
      </c>
      <c r="B1142" s="660"/>
      <c r="C1142" s="660"/>
      <c r="D1142" s="661"/>
      <c r="E1142" s="667">
        <f>PACKAGING!E4</f>
        <v>80</v>
      </c>
      <c r="F1142" s="653"/>
      <c r="G1142" s="658"/>
      <c r="H1142" s="653"/>
    </row>
    <row r="1143" spans="1:8" ht="15.75" x14ac:dyDescent="0.25">
      <c r="A1143" s="666" t="s">
        <v>1537</v>
      </c>
      <c r="B1143" s="660"/>
      <c r="C1143" s="660"/>
      <c r="D1143" s="661"/>
      <c r="E1143" s="667">
        <f>PACKAGING!E7</f>
        <v>170</v>
      </c>
      <c r="F1143" s="653"/>
      <c r="G1143" s="658"/>
      <c r="H1143" s="653"/>
    </row>
    <row r="1144" spans="1:8" ht="15.75" x14ac:dyDescent="0.25">
      <c r="A1144" s="666" t="s">
        <v>3362</v>
      </c>
      <c r="B1144" s="660"/>
      <c r="C1144" s="660"/>
      <c r="D1144" s="661"/>
      <c r="E1144" s="667">
        <f>PACKAGING!E17</f>
        <v>7.5</v>
      </c>
      <c r="F1144" s="653"/>
      <c r="G1144" s="658"/>
      <c r="H1144" s="653"/>
    </row>
    <row r="1145" spans="1:8" ht="15.75" x14ac:dyDescent="0.25">
      <c r="A1145" s="666" t="s">
        <v>1746</v>
      </c>
      <c r="B1145" s="660"/>
      <c r="C1145" s="660"/>
      <c r="D1145" s="661"/>
      <c r="E1145" s="667">
        <v>60</v>
      </c>
      <c r="F1145" s="653"/>
      <c r="G1145" s="658"/>
      <c r="H1145" s="653"/>
    </row>
    <row r="1146" spans="1:8" ht="15.75" x14ac:dyDescent="0.25">
      <c r="A1146" s="666" t="s">
        <v>3568</v>
      </c>
      <c r="B1146" s="660"/>
      <c r="C1146" s="660"/>
      <c r="D1146" s="661"/>
      <c r="E1146" s="667">
        <f>PACKAGING!I5</f>
        <v>845</v>
      </c>
      <c r="F1146" s="653"/>
      <c r="G1146" s="658"/>
      <c r="H1146" s="653"/>
    </row>
    <row r="1147" spans="1:8" ht="15.75" x14ac:dyDescent="0.25">
      <c r="A1147" s="683" t="s">
        <v>1618</v>
      </c>
      <c r="B1147" s="660">
        <v>60</v>
      </c>
      <c r="C1147" s="660">
        <v>30</v>
      </c>
      <c r="D1147" s="668">
        <f>'INSUMOS VARIOS'!B3</f>
        <v>3500</v>
      </c>
      <c r="E1147" s="669">
        <f>D1147*C1147/B1147</f>
        <v>1750</v>
      </c>
      <c r="F1147" s="653"/>
      <c r="G1147" s="658"/>
      <c r="H1147" s="653"/>
    </row>
    <row r="1148" spans="1:8" ht="16.5" thickBot="1" x14ac:dyDescent="0.3">
      <c r="A1148" s="670" t="s">
        <v>525</v>
      </c>
      <c r="B1148" s="671"/>
      <c r="C1148" s="671"/>
      <c r="D1148" s="672"/>
      <c r="E1148" s="673">
        <f>SUM(E1135:E1147)</f>
        <v>7150.1404255319158</v>
      </c>
      <c r="F1148" s="658"/>
      <c r="G1148" s="653"/>
      <c r="H1148" s="653"/>
    </row>
    <row r="1149" spans="1:8" ht="16.5" thickBot="1" x14ac:dyDescent="0.3">
      <c r="A1149" s="675" t="s">
        <v>4918</v>
      </c>
      <c r="B1149" s="676"/>
      <c r="C1149" s="676"/>
      <c r="D1149" s="677"/>
      <c r="E1149" s="692">
        <f>E1148*2</f>
        <v>14300.280851063832</v>
      </c>
      <c r="F1149" s="957">
        <f>E1149+E1149*70%</f>
        <v>24310.477446808512</v>
      </c>
      <c r="G1149" s="681"/>
      <c r="H1149" s="653"/>
    </row>
    <row r="1150" spans="1:8" ht="16.5" thickBot="1" x14ac:dyDescent="0.3">
      <c r="A1150" s="684" t="s">
        <v>1559</v>
      </c>
      <c r="B1150" s="685"/>
      <c r="C1150" s="685"/>
      <c r="D1150" s="686"/>
      <c r="E1150" s="686"/>
      <c r="F1150" s="816"/>
      <c r="G1150" s="1275">
        <f>G1149*60%</f>
        <v>0</v>
      </c>
      <c r="H1150" s="1276" t="s">
        <v>3687</v>
      </c>
    </row>
    <row r="1152" spans="1:8" ht="15.75" thickBot="1" x14ac:dyDescent="0.3"/>
    <row r="1153" spans="1:8" ht="16.5" thickBot="1" x14ac:dyDescent="0.3">
      <c r="A1153" s="1804" t="s">
        <v>5057</v>
      </c>
      <c r="B1153" s="1805"/>
      <c r="C1153" s="1805"/>
      <c r="D1153" s="1805"/>
      <c r="E1153" s="1806"/>
      <c r="F1153" s="1294"/>
      <c r="G1153" s="653"/>
      <c r="H1153" s="653"/>
    </row>
    <row r="1154" spans="1:8" ht="15.75" x14ac:dyDescent="0.25">
      <c r="A1154" s="654" t="s">
        <v>916</v>
      </c>
      <c r="B1154" s="655" t="s">
        <v>743</v>
      </c>
      <c r="C1154" s="655" t="s">
        <v>1566</v>
      </c>
      <c r="D1154" s="656" t="s">
        <v>1035</v>
      </c>
      <c r="E1154" s="657" t="s">
        <v>1549</v>
      </c>
      <c r="F1154" s="658"/>
      <c r="G1154" s="653"/>
      <c r="H1154" s="653"/>
    </row>
    <row r="1155" spans="1:8" ht="15.75" x14ac:dyDescent="0.25">
      <c r="A1155" s="659" t="s">
        <v>5058</v>
      </c>
      <c r="B1155" s="660" t="s">
        <v>5060</v>
      </c>
      <c r="C1155" s="660">
        <v>72</v>
      </c>
      <c r="D1155" s="661">
        <f>PIEDRAS!F26</f>
        <v>42.357142857142854</v>
      </c>
      <c r="E1155" s="662">
        <f>D1155*C1155</f>
        <v>3049.7142857142853</v>
      </c>
      <c r="F1155" s="658"/>
      <c r="G1155" s="653"/>
      <c r="H1155" s="653"/>
    </row>
    <row r="1156" spans="1:8" ht="15.75" x14ac:dyDescent="0.25">
      <c r="A1156" s="659" t="s">
        <v>5059</v>
      </c>
      <c r="B1156" s="660" t="s">
        <v>5060</v>
      </c>
      <c r="C1156" s="660">
        <v>72</v>
      </c>
      <c r="D1156" s="661">
        <f>PIEDRAS!F26</f>
        <v>42.357142857142854</v>
      </c>
      <c r="E1156" s="662">
        <f>D1156*C1156</f>
        <v>3049.7142857142853</v>
      </c>
      <c r="F1156" s="658"/>
      <c r="G1156" s="653"/>
      <c r="H1156" s="653"/>
    </row>
    <row r="1157" spans="1:8" ht="15.75" x14ac:dyDescent="0.25">
      <c r="A1157" s="1816" t="s">
        <v>1748</v>
      </c>
      <c r="B1157" s="1226" t="s">
        <v>686</v>
      </c>
      <c r="C1157" s="1226">
        <v>3</v>
      </c>
      <c r="D1157" s="1363">
        <f>'PERLAS 2'!O10</f>
        <v>242.64705882352942</v>
      </c>
      <c r="E1157" s="1338">
        <f>D1157*C1157</f>
        <v>727.94117647058829</v>
      </c>
      <c r="F1157" s="658"/>
      <c r="G1157" s="653"/>
      <c r="H1157" s="653"/>
    </row>
    <row r="1158" spans="1:8" ht="15.75" x14ac:dyDescent="0.25">
      <c r="A1158" s="1817"/>
      <c r="B1158" s="1226" t="s">
        <v>1316</v>
      </c>
      <c r="C1158" s="1226">
        <v>1</v>
      </c>
      <c r="D1158" s="1363">
        <f>'PERLAS 2'!H34</f>
        <v>421.05263157894734</v>
      </c>
      <c r="E1158" s="1338">
        <f>D1158*C1158</f>
        <v>421.05263157894734</v>
      </c>
      <c r="F1158" s="658"/>
      <c r="G1158" s="653"/>
      <c r="H1158" s="653"/>
    </row>
    <row r="1159" spans="1:8" ht="15.75" x14ac:dyDescent="0.25">
      <c r="A1159" s="659" t="s">
        <v>4940</v>
      </c>
      <c r="B1159" s="660"/>
      <c r="C1159" s="660">
        <v>1.2</v>
      </c>
      <c r="D1159" s="661">
        <f>'HILOS-CORDONES-TANZA-CUERO'!E25</f>
        <v>25</v>
      </c>
      <c r="E1159" s="662">
        <f>D1159*C1159</f>
        <v>30</v>
      </c>
      <c r="F1159" s="658"/>
      <c r="G1159" s="653"/>
      <c r="H1159" s="653"/>
    </row>
    <row r="1160" spans="1:8" ht="15.75" x14ac:dyDescent="0.25">
      <c r="A1160" s="1736" t="s">
        <v>1572</v>
      </c>
      <c r="B1160" s="660" t="s">
        <v>1556</v>
      </c>
      <c r="C1160" s="660">
        <v>3</v>
      </c>
      <c r="D1160" s="661">
        <f>FORNITURAS!D4</f>
        <v>48.7</v>
      </c>
      <c r="E1160" s="662">
        <f t="shared" ref="E1160:E1161" si="40">D1160*C1160</f>
        <v>146.10000000000002</v>
      </c>
      <c r="F1160" s="658"/>
      <c r="G1160" s="653"/>
      <c r="H1160" s="653"/>
    </row>
    <row r="1161" spans="1:8" ht="15.75" x14ac:dyDescent="0.25">
      <c r="A1161" s="1737"/>
      <c r="B1161" s="660" t="s">
        <v>1573</v>
      </c>
      <c r="C1161" s="660">
        <v>1</v>
      </c>
      <c r="D1161" s="661">
        <f>FORNITURAS!D7</f>
        <v>52</v>
      </c>
      <c r="E1161" s="662">
        <f t="shared" si="40"/>
        <v>52</v>
      </c>
      <c r="F1161" s="658"/>
      <c r="G1161" s="653"/>
      <c r="H1161" s="653"/>
    </row>
    <row r="1162" spans="1:8" ht="15.75" x14ac:dyDescent="0.25">
      <c r="A1162" s="666" t="s">
        <v>1608</v>
      </c>
      <c r="B1162" s="660"/>
      <c r="C1162" s="660">
        <v>0.1</v>
      </c>
      <c r="D1162" s="661">
        <f>'AROS, CADENAS, DIJES, ETC'!K70</f>
        <v>5986</v>
      </c>
      <c r="E1162" s="662">
        <f>C1162*D1162</f>
        <v>598.6</v>
      </c>
      <c r="F1162" s="658"/>
      <c r="G1162" s="653"/>
      <c r="H1162" s="653"/>
    </row>
    <row r="1163" spans="1:8" ht="15.75" x14ac:dyDescent="0.25">
      <c r="A1163" s="666" t="s">
        <v>1554</v>
      </c>
      <c r="B1163" s="660" t="s">
        <v>777</v>
      </c>
      <c r="C1163" s="660">
        <v>2</v>
      </c>
      <c r="D1163" s="661">
        <f>FORNITURAS!D24</f>
        <v>34.666666666666664</v>
      </c>
      <c r="E1163" s="662">
        <f>D1163*C1163</f>
        <v>69.333333333333329</v>
      </c>
      <c r="F1163" s="658"/>
      <c r="G1163" s="653"/>
      <c r="H1163" s="653"/>
    </row>
    <row r="1164" spans="1:8" ht="15.75" x14ac:dyDescent="0.25">
      <c r="A1164" s="666" t="s">
        <v>1012</v>
      </c>
      <c r="B1164" s="660"/>
      <c r="C1164" s="660">
        <v>6</v>
      </c>
      <c r="D1164" s="661">
        <f>FORNITURAS!D16</f>
        <v>45.05</v>
      </c>
      <c r="E1164" s="662">
        <f>D1164*C1164</f>
        <v>270.29999999999995</v>
      </c>
      <c r="F1164" s="658"/>
      <c r="G1164" s="653"/>
      <c r="H1164" s="653"/>
    </row>
    <row r="1165" spans="1:8" ht="15.75" x14ac:dyDescent="0.25">
      <c r="A1165" s="666" t="s">
        <v>1587</v>
      </c>
      <c r="B1165" s="660"/>
      <c r="C1165" s="660">
        <v>1</v>
      </c>
      <c r="D1165" s="661">
        <f>FORNITURAS!D19</f>
        <v>855</v>
      </c>
      <c r="E1165" s="662">
        <f>C1165*D1165</f>
        <v>855</v>
      </c>
      <c r="F1165" s="658"/>
      <c r="G1165" s="653"/>
    </row>
    <row r="1166" spans="1:8" ht="15.75" x14ac:dyDescent="0.25">
      <c r="A1166" s="666" t="s">
        <v>1557</v>
      </c>
      <c r="B1166" s="660"/>
      <c r="C1166" s="660"/>
      <c r="D1166" s="661"/>
      <c r="E1166" s="667">
        <f>PACKAGING!E4</f>
        <v>80</v>
      </c>
      <c r="F1166" s="653"/>
      <c r="G1166" s="658"/>
    </row>
    <row r="1167" spans="1:8" ht="15.75" x14ac:dyDescent="0.25">
      <c r="A1167" s="666" t="s">
        <v>3362</v>
      </c>
      <c r="B1167" s="660"/>
      <c r="C1167" s="660"/>
      <c r="D1167" s="661"/>
      <c r="E1167" s="667">
        <f>PACKAGING!E17</f>
        <v>7.5</v>
      </c>
      <c r="F1167" s="653"/>
      <c r="G1167" s="658"/>
    </row>
    <row r="1168" spans="1:8" ht="15.75" x14ac:dyDescent="0.25">
      <c r="A1168" s="666" t="s">
        <v>1634</v>
      </c>
      <c r="B1168" s="660"/>
      <c r="C1168" s="660"/>
      <c r="D1168" s="661"/>
      <c r="E1168" s="667">
        <f>PACKAGING!E7</f>
        <v>170</v>
      </c>
      <c r="F1168" s="653"/>
      <c r="G1168" s="658"/>
    </row>
    <row r="1169" spans="1:8" ht="15.75" x14ac:dyDescent="0.25">
      <c r="A1169" s="1339" t="s">
        <v>3568</v>
      </c>
      <c r="B1169" s="660"/>
      <c r="C1169" s="660"/>
      <c r="D1169" s="668"/>
      <c r="E1169" s="667">
        <f>PACKAGING!I5</f>
        <v>845</v>
      </c>
      <c r="F1169" s="653"/>
      <c r="G1169" s="658"/>
    </row>
    <row r="1170" spans="1:8" ht="15.75" x14ac:dyDescent="0.25">
      <c r="A1170" s="683" t="s">
        <v>1618</v>
      </c>
      <c r="B1170" s="660">
        <v>60</v>
      </c>
      <c r="C1170" s="660">
        <v>30</v>
      </c>
      <c r="D1170" s="668">
        <f>'INSUMOS VARIOS'!B3</f>
        <v>3500</v>
      </c>
      <c r="E1170" s="669">
        <f>D1170*C1170/B1170</f>
        <v>1750</v>
      </c>
      <c r="F1170" s="1"/>
      <c r="G1170" s="658"/>
    </row>
    <row r="1171" spans="1:8" ht="16.5" thickBot="1" x14ac:dyDescent="0.3">
      <c r="A1171" s="670" t="s">
        <v>525</v>
      </c>
      <c r="B1171" s="671"/>
      <c r="C1171" s="671"/>
      <c r="D1171" s="672"/>
      <c r="E1171" s="673">
        <f>SUM(E1155:E1170)</f>
        <v>12122.25571281144</v>
      </c>
      <c r="F1171" s="698"/>
      <c r="G1171" s="653"/>
    </row>
    <row r="1172" spans="1:8" ht="16.5" thickBot="1" x14ac:dyDescent="0.3">
      <c r="A1172" s="675" t="s">
        <v>4918</v>
      </c>
      <c r="B1172" s="676"/>
      <c r="C1172" s="676"/>
      <c r="D1172" s="677"/>
      <c r="E1172" s="692">
        <f>E1171*2</f>
        <v>24244.511425622881</v>
      </c>
      <c r="F1172" s="957">
        <f>E1172+E1172*70%</f>
        <v>41215.669423558895</v>
      </c>
      <c r="G1172" s="681"/>
    </row>
    <row r="1173" spans="1:8" ht="16.5" thickBot="1" x14ac:dyDescent="0.3">
      <c r="A1173" s="684" t="s">
        <v>1559</v>
      </c>
      <c r="B1173" s="685"/>
      <c r="C1173" s="685"/>
      <c r="D1173" s="686"/>
      <c r="E1173" s="686"/>
      <c r="F1173" s="816"/>
      <c r="G1173" s="1275">
        <f>G1172*60%</f>
        <v>0</v>
      </c>
      <c r="H1173" t="s">
        <v>3688</v>
      </c>
    </row>
    <row r="1174" spans="1:8" ht="15.75" thickBot="1" x14ac:dyDescent="0.3"/>
    <row r="1175" spans="1:8" ht="16.5" thickBot="1" x14ac:dyDescent="0.3">
      <c r="A1175" s="1804" t="s">
        <v>5091</v>
      </c>
      <c r="B1175" s="1805"/>
      <c r="C1175" s="1805"/>
      <c r="D1175" s="1805"/>
      <c r="E1175" s="1806"/>
      <c r="F1175" s="1294"/>
      <c r="G1175" s="653"/>
      <c r="H1175" s="653"/>
    </row>
    <row r="1176" spans="1:8" ht="15.75" x14ac:dyDescent="0.25">
      <c r="A1176" s="654" t="s">
        <v>916</v>
      </c>
      <c r="B1176" s="655" t="s">
        <v>743</v>
      </c>
      <c r="C1176" s="655" t="s">
        <v>1566</v>
      </c>
      <c r="D1176" s="656" t="s">
        <v>1035</v>
      </c>
      <c r="E1176" s="657" t="s">
        <v>1549</v>
      </c>
      <c r="F1176" s="658"/>
      <c r="G1176" s="653"/>
      <c r="H1176" s="653"/>
    </row>
    <row r="1177" spans="1:8" ht="15.75" x14ac:dyDescent="0.25">
      <c r="A1177" s="659" t="s">
        <v>4989</v>
      </c>
      <c r="B1177" s="660"/>
      <c r="C1177" s="660">
        <v>55</v>
      </c>
      <c r="D1177" s="661">
        <f>PIEDRAS!F100</f>
        <v>74.137931034482762</v>
      </c>
      <c r="E1177" s="662">
        <f>D1177*C1177</f>
        <v>4077.5862068965521</v>
      </c>
      <c r="F1177" s="658"/>
      <c r="G1177" s="653"/>
      <c r="H1177" s="653"/>
    </row>
    <row r="1178" spans="1:8" ht="15.75" x14ac:dyDescent="0.25">
      <c r="A1178" s="659" t="s">
        <v>5059</v>
      </c>
      <c r="B1178" s="660" t="s">
        <v>5060</v>
      </c>
      <c r="C1178" s="660">
        <v>13</v>
      </c>
      <c r="D1178" s="661">
        <f>PIEDRAS!F26</f>
        <v>42.357142857142854</v>
      </c>
      <c r="E1178" s="662">
        <f>D1178*C1178</f>
        <v>550.64285714285711</v>
      </c>
      <c r="F1178" s="658"/>
      <c r="G1178" s="653"/>
      <c r="H1178" s="653"/>
    </row>
    <row r="1179" spans="1:8" ht="15.75" x14ac:dyDescent="0.25">
      <c r="A1179" s="659" t="s">
        <v>4438</v>
      </c>
      <c r="B1179" s="660"/>
      <c r="C1179" s="660">
        <v>1.2</v>
      </c>
      <c r="D1179" s="661">
        <f>'HILOS-CORDONES-TANZA-CUERO'!E27</f>
        <v>25</v>
      </c>
      <c r="E1179" s="662">
        <f>D1179*C1179</f>
        <v>30</v>
      </c>
      <c r="F1179" s="658"/>
      <c r="G1179" s="653"/>
      <c r="H1179" s="653"/>
    </row>
    <row r="1180" spans="1:8" ht="15.75" x14ac:dyDescent="0.25">
      <c r="A1180" s="1736" t="s">
        <v>1572</v>
      </c>
      <c r="B1180" s="660" t="s">
        <v>1556</v>
      </c>
      <c r="C1180" s="660">
        <v>3</v>
      </c>
      <c r="D1180" s="661">
        <f>FORNITURAS!D4</f>
        <v>48.7</v>
      </c>
      <c r="E1180" s="662">
        <f t="shared" ref="E1180:E1181" si="41">D1180*C1180</f>
        <v>146.10000000000002</v>
      </c>
      <c r="F1180" s="658"/>
      <c r="G1180" s="653"/>
      <c r="H1180" s="653"/>
    </row>
    <row r="1181" spans="1:8" ht="15.75" x14ac:dyDescent="0.25">
      <c r="A1181" s="1737"/>
      <c r="B1181" s="660" t="s">
        <v>1573</v>
      </c>
      <c r="C1181" s="660">
        <v>1</v>
      </c>
      <c r="D1181" s="661">
        <f>FORNITURAS!D7</f>
        <v>52</v>
      </c>
      <c r="E1181" s="662">
        <f t="shared" si="41"/>
        <v>52</v>
      </c>
      <c r="F1181" s="658"/>
      <c r="G1181" s="653"/>
      <c r="H1181" s="653"/>
    </row>
    <row r="1182" spans="1:8" ht="15.75" x14ac:dyDescent="0.25">
      <c r="A1182" s="666" t="s">
        <v>1608</v>
      </c>
      <c r="B1182" s="660"/>
      <c r="C1182" s="660">
        <v>0.1</v>
      </c>
      <c r="D1182" s="661">
        <f>'AROS, CADENAS, DIJES, ETC'!K70</f>
        <v>5986</v>
      </c>
      <c r="E1182" s="662">
        <f>C1182*D1182</f>
        <v>598.6</v>
      </c>
      <c r="F1182" s="658"/>
      <c r="G1182" s="653"/>
      <c r="H1182" s="653"/>
    </row>
    <row r="1183" spans="1:8" ht="15.75" x14ac:dyDescent="0.25">
      <c r="A1183" s="666" t="s">
        <v>1554</v>
      </c>
      <c r="B1183" s="660" t="s">
        <v>777</v>
      </c>
      <c r="C1183" s="660">
        <v>2</v>
      </c>
      <c r="D1183" s="661">
        <f>FORNITURAS!D24</f>
        <v>34.666666666666664</v>
      </c>
      <c r="E1183" s="662">
        <f>D1183*C1183</f>
        <v>69.333333333333329</v>
      </c>
      <c r="F1183" s="658"/>
      <c r="G1183" s="653"/>
      <c r="H1183" s="653"/>
    </row>
    <row r="1184" spans="1:8" ht="15.75" x14ac:dyDescent="0.25">
      <c r="A1184" s="666" t="s">
        <v>1012</v>
      </c>
      <c r="B1184" s="660"/>
      <c r="C1184" s="660">
        <v>2</v>
      </c>
      <c r="D1184" s="661">
        <f>FORNITURAS!D16</f>
        <v>45.05</v>
      </c>
      <c r="E1184" s="662">
        <f>D1184*C1184</f>
        <v>90.1</v>
      </c>
      <c r="F1184" s="658"/>
      <c r="G1184" s="653"/>
      <c r="H1184" s="653"/>
    </row>
    <row r="1185" spans="1:8" ht="15.75" x14ac:dyDescent="0.25">
      <c r="A1185" s="666" t="s">
        <v>1587</v>
      </c>
      <c r="B1185" s="660"/>
      <c r="C1185" s="660">
        <v>1</v>
      </c>
      <c r="D1185" s="661">
        <f>FORNITURAS!D19</f>
        <v>855</v>
      </c>
      <c r="E1185" s="662">
        <f>C1185*D1185</f>
        <v>855</v>
      </c>
      <c r="F1185" s="658"/>
      <c r="G1185" s="653"/>
    </row>
    <row r="1186" spans="1:8" ht="15.75" x14ac:dyDescent="0.25">
      <c r="A1186" s="666" t="s">
        <v>1557</v>
      </c>
      <c r="B1186" s="660"/>
      <c r="C1186" s="660"/>
      <c r="D1186" s="661"/>
      <c r="E1186" s="667">
        <f>PACKAGING!E4</f>
        <v>80</v>
      </c>
      <c r="F1186" s="653"/>
      <c r="G1186" s="658"/>
    </row>
    <row r="1187" spans="1:8" ht="15.75" x14ac:dyDescent="0.25">
      <c r="A1187" s="666" t="s">
        <v>3362</v>
      </c>
      <c r="B1187" s="660"/>
      <c r="C1187" s="660"/>
      <c r="D1187" s="661"/>
      <c r="E1187" s="667">
        <f>PACKAGING!E17</f>
        <v>7.5</v>
      </c>
      <c r="F1187" s="653"/>
      <c r="G1187" s="658"/>
    </row>
    <row r="1188" spans="1:8" ht="15.75" x14ac:dyDescent="0.25">
      <c r="A1188" s="666" t="s">
        <v>1634</v>
      </c>
      <c r="B1188" s="660"/>
      <c r="C1188" s="660"/>
      <c r="D1188" s="661"/>
      <c r="E1188" s="667">
        <f>PACKAGING!E7</f>
        <v>170</v>
      </c>
      <c r="F1188" s="653"/>
      <c r="G1188" s="658"/>
    </row>
    <row r="1189" spans="1:8" ht="15.75" x14ac:dyDescent="0.25">
      <c r="A1189" s="1339" t="s">
        <v>3568</v>
      </c>
      <c r="B1189" s="660"/>
      <c r="C1189" s="660"/>
      <c r="D1189" s="668"/>
      <c r="E1189" s="667">
        <f>PACKAGING!I5</f>
        <v>845</v>
      </c>
      <c r="F1189" s="653"/>
      <c r="G1189" s="658"/>
    </row>
    <row r="1190" spans="1:8" ht="15.75" x14ac:dyDescent="0.25">
      <c r="A1190" s="683" t="s">
        <v>1618</v>
      </c>
      <c r="B1190" s="660">
        <v>60</v>
      </c>
      <c r="C1190" s="660">
        <v>30</v>
      </c>
      <c r="D1190" s="668">
        <f>'INSUMOS VARIOS'!B3</f>
        <v>3500</v>
      </c>
      <c r="E1190" s="669">
        <f>D1190*C1190/B1190</f>
        <v>1750</v>
      </c>
      <c r="F1190" s="1"/>
      <c r="G1190" s="658"/>
    </row>
    <row r="1191" spans="1:8" ht="16.5" thickBot="1" x14ac:dyDescent="0.3">
      <c r="A1191" s="670" t="s">
        <v>525</v>
      </c>
      <c r="B1191" s="671"/>
      <c r="C1191" s="671"/>
      <c r="D1191" s="672"/>
      <c r="E1191" s="673">
        <f>SUM(E1177:E1190)</f>
        <v>9321.8623973727445</v>
      </c>
      <c r="F1191" s="698"/>
      <c r="G1191" s="653"/>
    </row>
    <row r="1192" spans="1:8" ht="16.5" thickBot="1" x14ac:dyDescent="0.3">
      <c r="A1192" s="675" t="s">
        <v>4918</v>
      </c>
      <c r="B1192" s="676"/>
      <c r="C1192" s="676"/>
      <c r="D1192" s="677"/>
      <c r="E1192" s="692">
        <f>E1191*2</f>
        <v>18643.724794745489</v>
      </c>
      <c r="F1192" s="957">
        <f>E1192+E1192*70%</f>
        <v>31694.33215106733</v>
      </c>
      <c r="G1192" s="681"/>
    </row>
    <row r="1193" spans="1:8" ht="16.5" thickBot="1" x14ac:dyDescent="0.3">
      <c r="A1193" s="684" t="s">
        <v>1559</v>
      </c>
      <c r="B1193" s="685"/>
      <c r="C1193" s="685"/>
      <c r="D1193" s="686"/>
      <c r="E1193" s="686"/>
      <c r="F1193" s="816"/>
      <c r="G1193" s="1275">
        <f>G1192*60%</f>
        <v>0</v>
      </c>
      <c r="H1193" t="s">
        <v>3688</v>
      </c>
    </row>
    <row r="1194" spans="1:8" ht="15.75" thickBot="1" x14ac:dyDescent="0.3"/>
    <row r="1195" spans="1:8" ht="16.5" thickBot="1" x14ac:dyDescent="0.3">
      <c r="A1195" s="1804" t="s">
        <v>4270</v>
      </c>
      <c r="B1195" s="1805"/>
      <c r="C1195" s="1805"/>
      <c r="D1195" s="1805"/>
      <c r="E1195" s="1806"/>
      <c r="F1195" s="1294"/>
      <c r="G1195" s="653"/>
      <c r="H1195" s="653"/>
    </row>
    <row r="1196" spans="1:8" ht="15.75" x14ac:dyDescent="0.25">
      <c r="A1196" s="654" t="s">
        <v>916</v>
      </c>
      <c r="B1196" s="655" t="s">
        <v>743</v>
      </c>
      <c r="C1196" s="655" t="s">
        <v>1566</v>
      </c>
      <c r="D1196" s="656" t="s">
        <v>1035</v>
      </c>
      <c r="E1196" s="657" t="s">
        <v>1549</v>
      </c>
      <c r="F1196" s="658"/>
      <c r="G1196" s="653"/>
      <c r="H1196" s="653"/>
    </row>
    <row r="1197" spans="1:8" ht="15.75" x14ac:dyDescent="0.25">
      <c r="A1197" s="659" t="s">
        <v>4215</v>
      </c>
      <c r="B1197" s="660">
        <v>0.43</v>
      </c>
      <c r="C1197" s="660">
        <v>0.39</v>
      </c>
      <c r="D1197" s="661">
        <f>'PERLAS 2'!N27</f>
        <v>6260</v>
      </c>
      <c r="E1197" s="662">
        <f>D1197*C1197/B1197</f>
        <v>5677.6744186046517</v>
      </c>
      <c r="F1197" s="658"/>
      <c r="G1197" s="653"/>
      <c r="H1197" s="653"/>
    </row>
    <row r="1198" spans="1:8" ht="15.75" x14ac:dyDescent="0.25">
      <c r="A1198" s="1736" t="s">
        <v>1572</v>
      </c>
      <c r="B1198" s="660" t="s">
        <v>1556</v>
      </c>
      <c r="C1198" s="660">
        <v>2</v>
      </c>
      <c r="D1198" s="661">
        <f>FORNITURAS!D4</f>
        <v>48.7</v>
      </c>
      <c r="E1198" s="662">
        <f t="shared" ref="E1198:E1199" si="42">D1198*C1198</f>
        <v>97.4</v>
      </c>
      <c r="F1198" s="658"/>
      <c r="G1198" s="653"/>
      <c r="H1198" s="653"/>
    </row>
    <row r="1199" spans="1:8" ht="15.75" x14ac:dyDescent="0.25">
      <c r="A1199" s="1737"/>
      <c r="B1199" s="660" t="s">
        <v>1573</v>
      </c>
      <c r="C1199" s="660">
        <v>1</v>
      </c>
      <c r="D1199" s="661">
        <f>FORNITURAS!D7</f>
        <v>52</v>
      </c>
      <c r="E1199" s="662">
        <f t="shared" si="42"/>
        <v>52</v>
      </c>
      <c r="F1199" s="658"/>
      <c r="G1199" s="653"/>
      <c r="H1199" s="653"/>
    </row>
    <row r="1200" spans="1:8" ht="15.75" x14ac:dyDescent="0.25">
      <c r="A1200" s="666" t="s">
        <v>1424</v>
      </c>
      <c r="B1200" s="660"/>
      <c r="C1200" s="660">
        <v>0.42</v>
      </c>
      <c r="D1200" s="661">
        <f>'HILOS-CORDONES-TANZA-CUERO'!L9</f>
        <v>30</v>
      </c>
      <c r="E1200" s="662">
        <f>D1200*C1200</f>
        <v>12.6</v>
      </c>
      <c r="F1200" s="658"/>
      <c r="G1200" s="653"/>
      <c r="H1200" s="653"/>
    </row>
    <row r="1201" spans="1:10" ht="15.75" x14ac:dyDescent="0.25">
      <c r="A1201" s="666" t="s">
        <v>1608</v>
      </c>
      <c r="B1201" s="660"/>
      <c r="C1201" s="660">
        <v>0.1</v>
      </c>
      <c r="D1201" s="661">
        <f>'AROS, CADENAS, DIJES, ETC'!I38</f>
        <v>3630</v>
      </c>
      <c r="E1201" s="662">
        <f>C1201*D1201</f>
        <v>363</v>
      </c>
      <c r="F1201" s="658"/>
      <c r="G1201" s="653"/>
      <c r="H1201" s="653"/>
    </row>
    <row r="1202" spans="1:10" ht="15.75" x14ac:dyDescent="0.25">
      <c r="A1202" s="666" t="s">
        <v>1554</v>
      </c>
      <c r="B1202" s="660" t="s">
        <v>777</v>
      </c>
      <c r="C1202" s="660">
        <v>2</v>
      </c>
      <c r="D1202" s="661">
        <f>FORNITURAS!D24</f>
        <v>34.666666666666664</v>
      </c>
      <c r="E1202" s="662">
        <v>20</v>
      </c>
      <c r="F1202" s="658"/>
      <c r="G1202" s="653"/>
      <c r="H1202" s="653"/>
    </row>
    <row r="1203" spans="1:10" ht="15.75" x14ac:dyDescent="0.25">
      <c r="A1203" s="666" t="s">
        <v>1012</v>
      </c>
      <c r="B1203" s="660"/>
      <c r="C1203" s="660">
        <v>2</v>
      </c>
      <c r="D1203" s="661">
        <f>FORNITURAS!D16</f>
        <v>45.05</v>
      </c>
      <c r="E1203" s="662">
        <f>D1203*C1203</f>
        <v>90.1</v>
      </c>
      <c r="F1203" s="658"/>
      <c r="G1203" s="653"/>
      <c r="H1203" s="653"/>
    </row>
    <row r="1204" spans="1:10" ht="15.75" x14ac:dyDescent="0.25">
      <c r="A1204" s="666" t="s">
        <v>1587</v>
      </c>
      <c r="B1204" s="660"/>
      <c r="C1204" s="660">
        <v>1</v>
      </c>
      <c r="D1204" s="661">
        <f>FORNITURAS!H44</f>
        <v>485</v>
      </c>
      <c r="E1204" s="662">
        <f>C1204*D1204</f>
        <v>485</v>
      </c>
      <c r="F1204" s="658"/>
      <c r="G1204" s="653"/>
      <c r="H1204" s="653"/>
    </row>
    <row r="1205" spans="1:10" ht="15.75" x14ac:dyDescent="0.25">
      <c r="A1205" s="666" t="s">
        <v>1557</v>
      </c>
      <c r="B1205" s="660"/>
      <c r="C1205" s="660"/>
      <c r="D1205" s="661"/>
      <c r="E1205" s="667">
        <f>PACKAGING!E4</f>
        <v>80</v>
      </c>
      <c r="F1205" s="653"/>
      <c r="G1205" s="658"/>
      <c r="H1205" s="653"/>
    </row>
    <row r="1206" spans="1:10" ht="15.75" x14ac:dyDescent="0.25">
      <c r="A1206" s="666" t="s">
        <v>3362</v>
      </c>
      <c r="B1206" s="660"/>
      <c r="C1206" s="660"/>
      <c r="D1206" s="661"/>
      <c r="E1206" s="667">
        <f>PACKAGING!E17</f>
        <v>7.5</v>
      </c>
      <c r="F1206" s="653"/>
      <c r="G1206" s="658"/>
      <c r="H1206" s="653"/>
    </row>
    <row r="1207" spans="1:10" ht="15.75" x14ac:dyDescent="0.25">
      <c r="A1207" s="666" t="s">
        <v>1634</v>
      </c>
      <c r="B1207" s="660"/>
      <c r="C1207" s="660"/>
      <c r="D1207" s="661"/>
      <c r="E1207" s="667">
        <f>PACKAGING!E7</f>
        <v>170</v>
      </c>
      <c r="F1207" s="653"/>
      <c r="G1207" s="658"/>
      <c r="H1207" s="653"/>
    </row>
    <row r="1208" spans="1:10" ht="15.75" x14ac:dyDescent="0.25">
      <c r="A1208" s="683" t="s">
        <v>1618</v>
      </c>
      <c r="B1208" s="660">
        <v>60</v>
      </c>
      <c r="C1208" s="660">
        <v>20</v>
      </c>
      <c r="D1208" s="668">
        <f>'INSUMOS VARIOS'!B3</f>
        <v>3500</v>
      </c>
      <c r="E1208" s="669">
        <f>D1208*C1208/B1208</f>
        <v>1166.6666666666667</v>
      </c>
      <c r="F1208" s="1" t="s">
        <v>3023</v>
      </c>
      <c r="G1208" s="658"/>
      <c r="H1208" s="653"/>
    </row>
    <row r="1209" spans="1:10" ht="16.5" thickBot="1" x14ac:dyDescent="0.3">
      <c r="A1209" s="670" t="s">
        <v>525</v>
      </c>
      <c r="B1209" s="671"/>
      <c r="C1209" s="671"/>
      <c r="D1209" s="672"/>
      <c r="E1209" s="673">
        <f>SUM(E1197:E1208)</f>
        <v>8221.941085271319</v>
      </c>
      <c r="F1209" s="698">
        <f>E1209+G1210+G1211</f>
        <v>11499.941085271319</v>
      </c>
      <c r="G1209" s="653" t="s">
        <v>2028</v>
      </c>
      <c r="H1209" s="1276" t="s">
        <v>2029</v>
      </c>
      <c r="J1209" s="1273" t="s">
        <v>3688</v>
      </c>
    </row>
    <row r="1210" spans="1:10" ht="16.5" thickBot="1" x14ac:dyDescent="0.3">
      <c r="A1210" s="675" t="s">
        <v>544</v>
      </c>
      <c r="B1210" s="676"/>
      <c r="C1210" s="676"/>
      <c r="D1210" s="677"/>
      <c r="E1210" s="692">
        <f>E1209*2</f>
        <v>16443.882170542638</v>
      </c>
      <c r="F1210" s="957">
        <f>E1210+E1210*70%</f>
        <v>27954.599689922485</v>
      </c>
      <c r="G1210" s="680">
        <f>PACKAGING!I3</f>
        <v>2433</v>
      </c>
      <c r="H1210" s="681">
        <f>F1210+G1210+G1211</f>
        <v>31232.599689922485</v>
      </c>
      <c r="I1210" s="681"/>
    </row>
    <row r="1211" spans="1:10" ht="16.5" thickBot="1" x14ac:dyDescent="0.3">
      <c r="A1211" s="684" t="s">
        <v>1559</v>
      </c>
      <c r="B1211" s="685"/>
      <c r="C1211" s="685"/>
      <c r="D1211" s="686"/>
      <c r="E1211" s="686"/>
      <c r="F1211" s="816"/>
      <c r="G1211" s="701">
        <f>PACKAGING!I5</f>
        <v>845</v>
      </c>
      <c r="H1211" s="1276"/>
      <c r="I1211" s="1439"/>
    </row>
    <row r="1212" spans="1:10" ht="15.75" thickBot="1" x14ac:dyDescent="0.3"/>
    <row r="1213" spans="1:10" ht="16.5" thickBot="1" x14ac:dyDescent="0.3">
      <c r="A1213" s="1804" t="s">
        <v>5110</v>
      </c>
      <c r="B1213" s="1805"/>
      <c r="C1213" s="1805"/>
      <c r="D1213" s="1805"/>
      <c r="E1213" s="1806"/>
      <c r="F1213" s="1294"/>
      <c r="G1213" s="653"/>
      <c r="H1213" s="653"/>
    </row>
    <row r="1214" spans="1:10" ht="15.75" x14ac:dyDescent="0.25">
      <c r="A1214" s="654" t="s">
        <v>916</v>
      </c>
      <c r="B1214" s="655" t="s">
        <v>743</v>
      </c>
      <c r="C1214" s="655" t="s">
        <v>1566</v>
      </c>
      <c r="D1214" s="656" t="s">
        <v>1035</v>
      </c>
      <c r="E1214" s="657" t="s">
        <v>1549</v>
      </c>
      <c r="F1214" s="658"/>
      <c r="G1214" s="653"/>
      <c r="H1214" s="653"/>
    </row>
    <row r="1215" spans="1:10" ht="15.75" x14ac:dyDescent="0.25">
      <c r="A1215" s="659" t="s">
        <v>5111</v>
      </c>
      <c r="B1215" s="660"/>
      <c r="C1215" s="660">
        <v>1</v>
      </c>
      <c r="D1215" s="661">
        <f>'AROS, CADENAS, DIJES, ETC'!O76</f>
        <v>2550</v>
      </c>
      <c r="E1215" s="662">
        <f>D1215*C1215</f>
        <v>2550</v>
      </c>
      <c r="F1215" s="658"/>
      <c r="G1215" s="653"/>
      <c r="H1215" s="653"/>
    </row>
    <row r="1216" spans="1:10" ht="15.75" x14ac:dyDescent="0.25">
      <c r="A1216" s="659" t="s">
        <v>1748</v>
      </c>
      <c r="B1216" s="660" t="s">
        <v>686</v>
      </c>
      <c r="C1216" s="660">
        <v>5</v>
      </c>
      <c r="D1216" s="661">
        <f>'PERLAS 2'!O10</f>
        <v>242.64705882352942</v>
      </c>
      <c r="E1216" s="662">
        <f>D1216*C1216</f>
        <v>1213.2352941176471</v>
      </c>
      <c r="F1216" s="658"/>
      <c r="G1216" s="653"/>
      <c r="H1216" s="653"/>
    </row>
    <row r="1217" spans="1:8" ht="15.75" x14ac:dyDescent="0.25">
      <c r="A1217" s="659" t="s">
        <v>5058</v>
      </c>
      <c r="B1217" s="660" t="s">
        <v>5060</v>
      </c>
      <c r="C1217" s="660">
        <v>141</v>
      </c>
      <c r="D1217" s="661">
        <f>PIEDRAS!F26</f>
        <v>42.357142857142854</v>
      </c>
      <c r="E1217" s="662">
        <f>D1217*C1217</f>
        <v>5972.3571428571422</v>
      </c>
      <c r="F1217" s="658"/>
      <c r="G1217" s="653"/>
      <c r="H1217" s="653"/>
    </row>
    <row r="1218" spans="1:8" ht="15.75" x14ac:dyDescent="0.25">
      <c r="A1218" s="659" t="s">
        <v>4438</v>
      </c>
      <c r="B1218" s="660"/>
      <c r="C1218" s="660">
        <v>1.2</v>
      </c>
      <c r="D1218" s="661">
        <f>'HILOS-CORDONES-TANZA-CUERO'!E27</f>
        <v>25</v>
      </c>
      <c r="E1218" s="662">
        <f>D1218*C1218</f>
        <v>30</v>
      </c>
      <c r="F1218" s="658"/>
      <c r="G1218" s="653"/>
      <c r="H1218" s="653"/>
    </row>
    <row r="1219" spans="1:8" ht="15.75" x14ac:dyDescent="0.25">
      <c r="A1219" s="1736" t="s">
        <v>1572</v>
      </c>
      <c r="B1219" s="660" t="s">
        <v>1556</v>
      </c>
      <c r="C1219" s="660">
        <v>4</v>
      </c>
      <c r="D1219" s="661">
        <f>FORNITURAS!D4</f>
        <v>48.7</v>
      </c>
      <c r="E1219" s="662">
        <f t="shared" ref="E1219:E1220" si="43">D1219*C1219</f>
        <v>194.8</v>
      </c>
      <c r="F1219" s="658"/>
      <c r="G1219" s="653"/>
      <c r="H1219" s="653"/>
    </row>
    <row r="1220" spans="1:8" ht="15.75" x14ac:dyDescent="0.25">
      <c r="A1220" s="1737"/>
      <c r="B1220" s="660" t="s">
        <v>1573</v>
      </c>
      <c r="C1220" s="660">
        <v>1</v>
      </c>
      <c r="D1220" s="661">
        <f>FORNITURAS!D7</f>
        <v>52</v>
      </c>
      <c r="E1220" s="662">
        <f t="shared" si="43"/>
        <v>52</v>
      </c>
      <c r="F1220" s="658"/>
      <c r="G1220" s="653"/>
      <c r="H1220" s="653"/>
    </row>
    <row r="1221" spans="1:8" ht="15.75" x14ac:dyDescent="0.25">
      <c r="A1221" s="666" t="s">
        <v>1608</v>
      </c>
      <c r="B1221" s="660"/>
      <c r="C1221" s="660">
        <v>0.1</v>
      </c>
      <c r="D1221" s="661">
        <f>'AROS, CADENAS, DIJES, ETC'!K70</f>
        <v>5986</v>
      </c>
      <c r="E1221" s="662">
        <f>C1221*D1221</f>
        <v>598.6</v>
      </c>
      <c r="F1221" s="658"/>
      <c r="G1221" s="653"/>
      <c r="H1221" s="653"/>
    </row>
    <row r="1222" spans="1:8" ht="15.75" x14ac:dyDescent="0.25">
      <c r="A1222" s="666" t="s">
        <v>1554</v>
      </c>
      <c r="B1222" s="660" t="s">
        <v>777</v>
      </c>
      <c r="C1222" s="660">
        <v>4</v>
      </c>
      <c r="D1222" s="661">
        <f>FORNITURAS!D24</f>
        <v>34.666666666666664</v>
      </c>
      <c r="E1222" s="662">
        <f>D1222*C1222</f>
        <v>138.66666666666666</v>
      </c>
      <c r="F1222" s="658"/>
      <c r="G1222" s="653"/>
      <c r="H1222" s="653"/>
    </row>
    <row r="1223" spans="1:8" ht="15.75" x14ac:dyDescent="0.25">
      <c r="A1223" s="666" t="s">
        <v>1012</v>
      </c>
      <c r="B1223" s="660"/>
      <c r="C1223" s="660">
        <v>4</v>
      </c>
      <c r="D1223" s="661">
        <f>FORNITURAS!D17</f>
        <v>45.05</v>
      </c>
      <c r="E1223" s="662">
        <f>D1223*C1223</f>
        <v>180.2</v>
      </c>
      <c r="F1223" s="658"/>
      <c r="G1223" s="653"/>
      <c r="H1223" s="653"/>
    </row>
    <row r="1224" spans="1:8" ht="15.75" x14ac:dyDescent="0.25">
      <c r="A1224" s="666" t="s">
        <v>1587</v>
      </c>
      <c r="B1224" s="660"/>
      <c r="C1224" s="660">
        <v>1</v>
      </c>
      <c r="D1224" s="661">
        <f>FORNITURAS!H44</f>
        <v>485</v>
      </c>
      <c r="E1224" s="662">
        <f>C1224*D1224</f>
        <v>485</v>
      </c>
      <c r="F1224" s="658"/>
      <c r="G1224" s="653"/>
    </row>
    <row r="1225" spans="1:8" ht="15.75" x14ac:dyDescent="0.25">
      <c r="A1225" s="666" t="s">
        <v>1557</v>
      </c>
      <c r="B1225" s="660"/>
      <c r="C1225" s="660"/>
      <c r="D1225" s="661"/>
      <c r="E1225" s="667">
        <f>PACKAGING!E4</f>
        <v>80</v>
      </c>
      <c r="F1225" s="653"/>
      <c r="G1225" s="658"/>
    </row>
    <row r="1226" spans="1:8" ht="15.75" x14ac:dyDescent="0.25">
      <c r="A1226" s="666" t="s">
        <v>3362</v>
      </c>
      <c r="B1226" s="660"/>
      <c r="C1226" s="660"/>
      <c r="D1226" s="661"/>
      <c r="E1226" s="667">
        <f>PACKAGING!E17</f>
        <v>7.5</v>
      </c>
      <c r="F1226" s="653"/>
      <c r="G1226" s="658"/>
    </row>
    <row r="1227" spans="1:8" ht="15.75" x14ac:dyDescent="0.25">
      <c r="A1227" s="666" t="s">
        <v>1634</v>
      </c>
      <c r="B1227" s="660"/>
      <c r="C1227" s="660"/>
      <c r="D1227" s="661"/>
      <c r="E1227" s="667">
        <f>PACKAGING!E7</f>
        <v>170</v>
      </c>
      <c r="F1227" s="653"/>
      <c r="G1227" s="658"/>
    </row>
    <row r="1228" spans="1:8" ht="15.75" x14ac:dyDescent="0.25">
      <c r="A1228" s="1339" t="s">
        <v>3568</v>
      </c>
      <c r="B1228" s="660"/>
      <c r="C1228" s="660"/>
      <c r="D1228" s="668"/>
      <c r="E1228" s="667">
        <f>PACKAGING!I5</f>
        <v>845</v>
      </c>
      <c r="F1228" s="653"/>
      <c r="G1228" s="658"/>
    </row>
    <row r="1229" spans="1:8" ht="15.75" x14ac:dyDescent="0.25">
      <c r="A1229" s="683" t="s">
        <v>1618</v>
      </c>
      <c r="B1229" s="660">
        <v>60</v>
      </c>
      <c r="C1229" s="660">
        <v>30</v>
      </c>
      <c r="D1229" s="668">
        <f>'INSUMOS VARIOS'!B3</f>
        <v>3500</v>
      </c>
      <c r="E1229" s="669">
        <f>D1229*C1229/B1229</f>
        <v>1750</v>
      </c>
      <c r="F1229" s="1"/>
      <c r="G1229" s="658"/>
    </row>
    <row r="1230" spans="1:8" ht="16.5" thickBot="1" x14ac:dyDescent="0.3">
      <c r="A1230" s="670" t="s">
        <v>525</v>
      </c>
      <c r="B1230" s="671"/>
      <c r="C1230" s="671"/>
      <c r="D1230" s="672"/>
      <c r="E1230" s="673">
        <f>SUM(E1215:E1229)</f>
        <v>14267.359103641455</v>
      </c>
      <c r="F1230" s="698"/>
      <c r="G1230" s="653"/>
    </row>
    <row r="1231" spans="1:8" ht="16.5" thickBot="1" x14ac:dyDescent="0.3">
      <c r="A1231" s="675" t="s">
        <v>4918</v>
      </c>
      <c r="B1231" s="676"/>
      <c r="C1231" s="676"/>
      <c r="D1231" s="677"/>
      <c r="E1231" s="692">
        <f>E1230*2</f>
        <v>28534.718207282909</v>
      </c>
      <c r="F1231" s="957">
        <f>E1231+E1231*70%</f>
        <v>48509.020952380946</v>
      </c>
      <c r="G1231" s="681"/>
    </row>
    <row r="1232" spans="1:8" ht="16.5" thickBot="1" x14ac:dyDescent="0.3">
      <c r="A1232" s="684" t="s">
        <v>1559</v>
      </c>
      <c r="B1232" s="685"/>
      <c r="C1232" s="685"/>
      <c r="D1232" s="686"/>
      <c r="E1232" s="686"/>
      <c r="F1232" s="816"/>
      <c r="G1232" s="1275">
        <f>G1231*60%</f>
        <v>0</v>
      </c>
      <c r="H1232" t="s">
        <v>3688</v>
      </c>
    </row>
    <row r="1233" spans="1:10" ht="15.75" thickBot="1" x14ac:dyDescent="0.3"/>
    <row r="1234" spans="1:10" ht="16.5" thickBot="1" x14ac:dyDescent="0.3">
      <c r="A1234" s="1804" t="s">
        <v>5112</v>
      </c>
      <c r="B1234" s="1805"/>
      <c r="C1234" s="1805"/>
      <c r="D1234" s="1805"/>
      <c r="E1234" s="1806"/>
      <c r="F1234" s="1294"/>
      <c r="G1234" s="653"/>
      <c r="H1234" s="653"/>
    </row>
    <row r="1235" spans="1:10" ht="15.75" x14ac:dyDescent="0.25">
      <c r="A1235" s="654" t="s">
        <v>916</v>
      </c>
      <c r="B1235" s="655" t="s">
        <v>743</v>
      </c>
      <c r="C1235" s="655" t="s">
        <v>1566</v>
      </c>
      <c r="D1235" s="656" t="s">
        <v>1035</v>
      </c>
      <c r="E1235" s="657" t="s">
        <v>1549</v>
      </c>
      <c r="F1235" s="658"/>
      <c r="G1235" s="653"/>
      <c r="H1235" s="653"/>
    </row>
    <row r="1236" spans="1:10" ht="15.75" x14ac:dyDescent="0.25">
      <c r="A1236" s="659" t="s">
        <v>5113</v>
      </c>
      <c r="B1236" s="660">
        <v>0.34</v>
      </c>
      <c r="C1236" s="660">
        <v>0.37</v>
      </c>
      <c r="D1236" s="661">
        <f>'PERLAS 2'!N10</f>
        <v>16500</v>
      </c>
      <c r="E1236" s="662">
        <f>D1236*C1236/B1236</f>
        <v>17955.882352941175</v>
      </c>
      <c r="F1236" s="658"/>
      <c r="G1236" s="653"/>
      <c r="H1236" s="653"/>
    </row>
    <row r="1237" spans="1:10" ht="15.75" x14ac:dyDescent="0.25">
      <c r="A1237" s="1736" t="s">
        <v>1572</v>
      </c>
      <c r="B1237" s="660" t="s">
        <v>1556</v>
      </c>
      <c r="C1237" s="660">
        <v>3</v>
      </c>
      <c r="D1237" s="661">
        <f>FORNITURAS!D4</f>
        <v>48.7</v>
      </c>
      <c r="E1237" s="662">
        <f t="shared" ref="E1237:E1238" si="44">D1237*C1237</f>
        <v>146.10000000000002</v>
      </c>
      <c r="F1237" s="658"/>
      <c r="G1237" s="653"/>
      <c r="H1237" s="653"/>
    </row>
    <row r="1238" spans="1:10" ht="15.75" x14ac:dyDescent="0.25">
      <c r="A1238" s="1737"/>
      <c r="B1238" s="660" t="s">
        <v>1573</v>
      </c>
      <c r="C1238" s="660">
        <v>1</v>
      </c>
      <c r="D1238" s="661">
        <f>FORNITURAS!D7</f>
        <v>52</v>
      </c>
      <c r="E1238" s="662">
        <f t="shared" si="44"/>
        <v>52</v>
      </c>
      <c r="F1238" s="658"/>
      <c r="G1238" s="653"/>
      <c r="H1238" s="653"/>
    </row>
    <row r="1239" spans="1:10" ht="15.75" x14ac:dyDescent="0.25">
      <c r="A1239" s="666" t="s">
        <v>4460</v>
      </c>
      <c r="B1239" s="660"/>
      <c r="C1239" s="660">
        <v>1.2</v>
      </c>
      <c r="D1239" s="661">
        <f>'HILOS-CORDONES-TANZA-CUERO'!E27</f>
        <v>25</v>
      </c>
      <c r="E1239" s="662">
        <f>D1239*C1239</f>
        <v>30</v>
      </c>
      <c r="F1239" s="658"/>
      <c r="G1239" s="653"/>
      <c r="H1239" s="653"/>
    </row>
    <row r="1240" spans="1:10" ht="15.75" x14ac:dyDescent="0.25">
      <c r="A1240" s="666" t="s">
        <v>1608</v>
      </c>
      <c r="B1240" s="660"/>
      <c r="C1240" s="660">
        <v>0.1</v>
      </c>
      <c r="D1240" s="661">
        <f>'AROS, CADENAS, DIJES, ETC'!K70</f>
        <v>5986</v>
      </c>
      <c r="E1240" s="662">
        <f>C1240*D1240</f>
        <v>598.6</v>
      </c>
      <c r="F1240" s="658"/>
      <c r="G1240" s="653"/>
      <c r="H1240" s="653"/>
    </row>
    <row r="1241" spans="1:10" ht="15.75" x14ac:dyDescent="0.25">
      <c r="A1241" s="666" t="s">
        <v>1554</v>
      </c>
      <c r="B1241" s="660" t="s">
        <v>777</v>
      </c>
      <c r="C1241" s="660">
        <v>2</v>
      </c>
      <c r="D1241" s="661">
        <f>FORNITURAS!D24</f>
        <v>34.666666666666664</v>
      </c>
      <c r="E1241" s="662">
        <v>20</v>
      </c>
      <c r="F1241" s="658"/>
      <c r="G1241" s="653"/>
      <c r="H1241" s="653"/>
    </row>
    <row r="1242" spans="1:10" ht="15.75" x14ac:dyDescent="0.25">
      <c r="A1242" s="666" t="s">
        <v>1587</v>
      </c>
      <c r="B1242" s="660"/>
      <c r="C1242" s="660">
        <v>1</v>
      </c>
      <c r="D1242" s="661">
        <f>FORNITURAS!D19</f>
        <v>855</v>
      </c>
      <c r="E1242" s="662">
        <f>C1242*D1242</f>
        <v>855</v>
      </c>
      <c r="F1242" s="658"/>
      <c r="G1242" s="653"/>
      <c r="H1242" s="653"/>
    </row>
    <row r="1243" spans="1:10" ht="15.75" x14ac:dyDescent="0.25">
      <c r="A1243" s="666" t="s">
        <v>1557</v>
      </c>
      <c r="B1243" s="660"/>
      <c r="C1243" s="660"/>
      <c r="D1243" s="661"/>
      <c r="E1243" s="667">
        <f>PACKAGING!E4</f>
        <v>80</v>
      </c>
      <c r="F1243" s="653"/>
      <c r="G1243" s="658"/>
      <c r="H1243" s="653"/>
    </row>
    <row r="1244" spans="1:10" ht="15.75" x14ac:dyDescent="0.25">
      <c r="A1244" s="666" t="s">
        <v>3362</v>
      </c>
      <c r="B1244" s="660"/>
      <c r="C1244" s="660"/>
      <c r="D1244" s="661"/>
      <c r="E1244" s="667">
        <f>PACKAGING!E17</f>
        <v>7.5</v>
      </c>
      <c r="F1244" s="653"/>
      <c r="G1244" s="658"/>
      <c r="H1244" s="653"/>
    </row>
    <row r="1245" spans="1:10" ht="15.75" x14ac:dyDescent="0.25">
      <c r="A1245" s="666" t="s">
        <v>1634</v>
      </c>
      <c r="B1245" s="660"/>
      <c r="C1245" s="660"/>
      <c r="D1245" s="661"/>
      <c r="E1245" s="667">
        <f>PACKAGING!E7</f>
        <v>170</v>
      </c>
      <c r="F1245" s="653"/>
      <c r="G1245" s="658"/>
      <c r="H1245" s="653"/>
    </row>
    <row r="1246" spans="1:10" ht="15.75" x14ac:dyDescent="0.25">
      <c r="A1246" s="683" t="s">
        <v>1618</v>
      </c>
      <c r="B1246" s="660">
        <v>60</v>
      </c>
      <c r="C1246" s="660">
        <v>20</v>
      </c>
      <c r="D1246" s="668">
        <f>'INSUMOS VARIOS'!B3</f>
        <v>3500</v>
      </c>
      <c r="E1246" s="669">
        <f>D1246*C1246/B1246</f>
        <v>1166.6666666666667</v>
      </c>
      <c r="F1246" s="1" t="s">
        <v>3023</v>
      </c>
      <c r="G1246" s="658"/>
      <c r="H1246" s="653"/>
    </row>
    <row r="1247" spans="1:10" ht="16.5" thickBot="1" x14ac:dyDescent="0.3">
      <c r="A1247" s="670" t="s">
        <v>525</v>
      </c>
      <c r="B1247" s="671"/>
      <c r="C1247" s="671"/>
      <c r="D1247" s="672"/>
      <c r="E1247" s="673">
        <f>SUM(E1236:E1246)</f>
        <v>21081.74901960784</v>
      </c>
      <c r="F1247" s="698">
        <f>E1247+G1248+G1249</f>
        <v>24359.74901960784</v>
      </c>
      <c r="G1247" s="653" t="s">
        <v>2028</v>
      </c>
      <c r="H1247" s="1276" t="s">
        <v>2029</v>
      </c>
      <c r="J1247" s="1273" t="s">
        <v>3688</v>
      </c>
    </row>
    <row r="1248" spans="1:10" ht="16.5" thickBot="1" x14ac:dyDescent="0.3">
      <c r="A1248" s="675" t="s">
        <v>544</v>
      </c>
      <c r="B1248" s="676"/>
      <c r="C1248" s="676"/>
      <c r="D1248" s="677"/>
      <c r="E1248" s="692">
        <f>E1247*2</f>
        <v>42163.498039215679</v>
      </c>
      <c r="F1248" s="957">
        <f>E1248+E1248*70%</f>
        <v>71677.946666666656</v>
      </c>
      <c r="G1248" s="680">
        <f>PACKAGING!I3</f>
        <v>2433</v>
      </c>
      <c r="H1248" s="681">
        <f>F1248+G1248+G1249</f>
        <v>74955.946666666656</v>
      </c>
      <c r="I1248" s="681"/>
    </row>
    <row r="1249" spans="1:9" ht="16.5" thickBot="1" x14ac:dyDescent="0.3">
      <c r="A1249" s="684" t="s">
        <v>1559</v>
      </c>
      <c r="B1249" s="685"/>
      <c r="C1249" s="685"/>
      <c r="D1249" s="686"/>
      <c r="E1249" s="686"/>
      <c r="F1249" s="816"/>
      <c r="G1249" s="701">
        <f>PACKAGING!I5</f>
        <v>845</v>
      </c>
      <c r="H1249" s="1276"/>
      <c r="I1249" s="1439">
        <f>I1248*60%</f>
        <v>0</v>
      </c>
    </row>
    <row r="1250" spans="1:9" ht="15.75" thickBot="1" x14ac:dyDescent="0.3"/>
    <row r="1251" spans="1:9" ht="16.5" thickBot="1" x14ac:dyDescent="0.3">
      <c r="A1251" s="1804" t="s">
        <v>5114</v>
      </c>
      <c r="B1251" s="1805"/>
      <c r="C1251" s="1805"/>
      <c r="D1251" s="1805"/>
      <c r="E1251" s="1806"/>
      <c r="F1251" s="1294"/>
      <c r="G1251" s="653"/>
      <c r="H1251" s="653"/>
    </row>
    <row r="1252" spans="1:9" ht="15.75" x14ac:dyDescent="0.25">
      <c r="A1252" s="654" t="s">
        <v>916</v>
      </c>
      <c r="B1252" s="655" t="s">
        <v>743</v>
      </c>
      <c r="C1252" s="655" t="s">
        <v>1566</v>
      </c>
      <c r="D1252" s="656" t="s">
        <v>1035</v>
      </c>
      <c r="E1252" s="657" t="s">
        <v>1549</v>
      </c>
      <c r="F1252" s="658"/>
      <c r="G1252" s="653"/>
      <c r="H1252" s="653"/>
    </row>
    <row r="1253" spans="1:9" ht="15.75" x14ac:dyDescent="0.25">
      <c r="A1253" s="659" t="s">
        <v>5059</v>
      </c>
      <c r="B1253" s="660" t="s">
        <v>5060</v>
      </c>
      <c r="C1253" s="660">
        <v>138</v>
      </c>
      <c r="D1253" s="661">
        <f>PIEDRAS!F26</f>
        <v>42.357142857142854</v>
      </c>
      <c r="E1253" s="662">
        <f>D1253*C1253</f>
        <v>5845.2857142857138</v>
      </c>
      <c r="F1253" s="658"/>
      <c r="G1253" s="653"/>
      <c r="H1253" s="653"/>
    </row>
    <row r="1254" spans="1:9" ht="15.75" x14ac:dyDescent="0.25">
      <c r="A1254" s="659" t="s">
        <v>4226</v>
      </c>
      <c r="B1254" s="660"/>
      <c r="C1254" s="660">
        <v>1.2</v>
      </c>
      <c r="D1254" s="661">
        <f>'HILOS-CORDONES-TANZA-CUERO'!E27</f>
        <v>25</v>
      </c>
      <c r="E1254" s="662">
        <f>D1254*C1254</f>
        <v>30</v>
      </c>
      <c r="F1254" s="658"/>
      <c r="G1254" s="653"/>
      <c r="H1254" s="653"/>
    </row>
    <row r="1255" spans="1:9" ht="15.75" x14ac:dyDescent="0.25">
      <c r="A1255" s="1736" t="s">
        <v>1572</v>
      </c>
      <c r="B1255" s="660" t="s">
        <v>1556</v>
      </c>
      <c r="C1255" s="660">
        <v>4</v>
      </c>
      <c r="D1255" s="661">
        <f>FORNITURAS!D4</f>
        <v>48.7</v>
      </c>
      <c r="E1255" s="662">
        <f t="shared" ref="E1255:E1256" si="45">D1255*C1255</f>
        <v>194.8</v>
      </c>
      <c r="F1255" s="658"/>
      <c r="G1255" s="653"/>
      <c r="H1255" s="653"/>
    </row>
    <row r="1256" spans="1:9" ht="15.75" x14ac:dyDescent="0.25">
      <c r="A1256" s="1737"/>
      <c r="B1256" s="660" t="s">
        <v>1573</v>
      </c>
      <c r="C1256" s="660">
        <v>1</v>
      </c>
      <c r="D1256" s="661">
        <f>FORNITURAS!D7</f>
        <v>52</v>
      </c>
      <c r="E1256" s="662">
        <f t="shared" si="45"/>
        <v>52</v>
      </c>
      <c r="F1256" s="658"/>
      <c r="G1256" s="653"/>
      <c r="H1256" s="653"/>
    </row>
    <row r="1257" spans="1:9" ht="15.75" x14ac:dyDescent="0.25">
      <c r="A1257" s="666" t="s">
        <v>1608</v>
      </c>
      <c r="B1257" s="660"/>
      <c r="C1257" s="660">
        <v>0.1</v>
      </c>
      <c r="D1257" s="661">
        <f>'AROS, CADENAS, DIJES, ETC'!K70</f>
        <v>5986</v>
      </c>
      <c r="E1257" s="662">
        <f>C1257*D1257</f>
        <v>598.6</v>
      </c>
      <c r="F1257" s="658"/>
      <c r="G1257" s="653"/>
      <c r="H1257" s="653"/>
    </row>
    <row r="1258" spans="1:9" ht="15.75" x14ac:dyDescent="0.25">
      <c r="A1258" s="666" t="s">
        <v>1554</v>
      </c>
      <c r="B1258" s="660" t="s">
        <v>777</v>
      </c>
      <c r="C1258" s="660">
        <v>2</v>
      </c>
      <c r="D1258" s="661">
        <f>FORNITURAS!D24</f>
        <v>34.666666666666664</v>
      </c>
      <c r="E1258" s="662">
        <f>D1258*C1258</f>
        <v>69.333333333333329</v>
      </c>
      <c r="F1258" s="658"/>
      <c r="G1258" s="653"/>
      <c r="H1258" s="653"/>
    </row>
    <row r="1259" spans="1:9" ht="15.75" x14ac:dyDescent="0.25">
      <c r="A1259" s="666" t="s">
        <v>1012</v>
      </c>
      <c r="B1259" s="660"/>
      <c r="C1259" s="660">
        <v>38</v>
      </c>
      <c r="D1259" s="661">
        <f>FORNITURAS!D17</f>
        <v>45.05</v>
      </c>
      <c r="E1259" s="662">
        <f>D1259*C1259</f>
        <v>1711.8999999999999</v>
      </c>
      <c r="F1259" s="658"/>
      <c r="G1259" s="653"/>
      <c r="H1259" s="653"/>
    </row>
    <row r="1260" spans="1:9" ht="15.75" x14ac:dyDescent="0.25">
      <c r="A1260" s="666" t="s">
        <v>1587</v>
      </c>
      <c r="B1260" s="660"/>
      <c r="C1260" s="660">
        <v>1</v>
      </c>
      <c r="D1260" s="661">
        <f>FORNITURAS!D19</f>
        <v>855</v>
      </c>
      <c r="E1260" s="662">
        <f>C1260*D1260</f>
        <v>855</v>
      </c>
      <c r="F1260" s="658"/>
      <c r="G1260" s="653"/>
    </row>
    <row r="1261" spans="1:9" ht="15.75" x14ac:dyDescent="0.25">
      <c r="A1261" s="666" t="s">
        <v>1557</v>
      </c>
      <c r="B1261" s="660"/>
      <c r="C1261" s="660"/>
      <c r="D1261" s="661"/>
      <c r="E1261" s="667">
        <f>PACKAGING!E4</f>
        <v>80</v>
      </c>
      <c r="F1261" s="653"/>
      <c r="G1261" s="658"/>
    </row>
    <row r="1262" spans="1:9" ht="15.75" x14ac:dyDescent="0.25">
      <c r="A1262" s="666" t="s">
        <v>3362</v>
      </c>
      <c r="B1262" s="660"/>
      <c r="C1262" s="660"/>
      <c r="D1262" s="661"/>
      <c r="E1262" s="667">
        <f>PACKAGING!E17</f>
        <v>7.5</v>
      </c>
      <c r="F1262" s="653"/>
      <c r="G1262" s="658"/>
    </row>
    <row r="1263" spans="1:9" ht="15.75" x14ac:dyDescent="0.25">
      <c r="A1263" s="666" t="s">
        <v>1634</v>
      </c>
      <c r="B1263" s="660"/>
      <c r="C1263" s="660"/>
      <c r="D1263" s="661"/>
      <c r="E1263" s="667">
        <f>PACKAGING!E7</f>
        <v>170</v>
      </c>
      <c r="F1263" s="653"/>
      <c r="G1263" s="658"/>
    </row>
    <row r="1264" spans="1:9" ht="15.75" x14ac:dyDescent="0.25">
      <c r="A1264" s="1339" t="s">
        <v>3568</v>
      </c>
      <c r="B1264" s="660"/>
      <c r="C1264" s="660"/>
      <c r="D1264" s="668"/>
      <c r="E1264" s="667">
        <f>PACKAGING!I5</f>
        <v>845</v>
      </c>
      <c r="F1264" s="653"/>
      <c r="G1264" s="658"/>
    </row>
    <row r="1265" spans="1:8" ht="15.75" x14ac:dyDescent="0.25">
      <c r="A1265" s="683" t="s">
        <v>1618</v>
      </c>
      <c r="B1265" s="660">
        <v>60</v>
      </c>
      <c r="C1265" s="660">
        <v>30</v>
      </c>
      <c r="D1265" s="668">
        <f>'INSUMOS VARIOS'!B3</f>
        <v>3500</v>
      </c>
      <c r="E1265" s="669">
        <f>D1265*C1265/B1265</f>
        <v>1750</v>
      </c>
      <c r="F1265" s="1"/>
      <c r="G1265" s="658"/>
    </row>
    <row r="1266" spans="1:8" ht="16.5" thickBot="1" x14ac:dyDescent="0.3">
      <c r="A1266" s="670" t="s">
        <v>525</v>
      </c>
      <c r="B1266" s="671"/>
      <c r="C1266" s="671"/>
      <c r="D1266" s="672"/>
      <c r="E1266" s="673">
        <f>SUM(E1253:E1265)</f>
        <v>12209.419047619047</v>
      </c>
      <c r="F1266" s="698"/>
      <c r="G1266" s="653"/>
    </row>
    <row r="1267" spans="1:8" ht="16.5" thickBot="1" x14ac:dyDescent="0.3">
      <c r="A1267" s="675" t="s">
        <v>4918</v>
      </c>
      <c r="B1267" s="676"/>
      <c r="C1267" s="676"/>
      <c r="D1267" s="677"/>
      <c r="E1267" s="692">
        <f>E1266*2</f>
        <v>24418.838095238094</v>
      </c>
      <c r="F1267" s="957">
        <f>E1267+E1267*70%</f>
        <v>41512.024761904759</v>
      </c>
      <c r="G1267" s="681"/>
    </row>
    <row r="1268" spans="1:8" ht="16.5" thickBot="1" x14ac:dyDescent="0.3">
      <c r="A1268" s="684" t="s">
        <v>1559</v>
      </c>
      <c r="B1268" s="685"/>
      <c r="C1268" s="685"/>
      <c r="D1268" s="686"/>
      <c r="E1268" s="686"/>
      <c r="F1268" s="816"/>
      <c r="G1268" s="1275">
        <f>G1267*60%</f>
        <v>0</v>
      </c>
      <c r="H1268" t="s">
        <v>3688</v>
      </c>
    </row>
    <row r="1269" spans="1:8" ht="15.75" thickBot="1" x14ac:dyDescent="0.3"/>
    <row r="1270" spans="1:8" ht="16.5" thickBot="1" x14ac:dyDescent="0.3">
      <c r="A1270" s="1804" t="s">
        <v>5115</v>
      </c>
      <c r="B1270" s="1805"/>
      <c r="C1270" s="1805"/>
      <c r="D1270" s="1805"/>
      <c r="E1270" s="1806"/>
      <c r="F1270" s="1294"/>
      <c r="G1270" s="653"/>
      <c r="H1270" s="653"/>
    </row>
    <row r="1271" spans="1:8" ht="15.75" x14ac:dyDescent="0.25">
      <c r="A1271" s="654" t="s">
        <v>916</v>
      </c>
      <c r="B1271" s="655" t="s">
        <v>743</v>
      </c>
      <c r="C1271" s="655" t="s">
        <v>1566</v>
      </c>
      <c r="D1271" s="656" t="s">
        <v>1035</v>
      </c>
      <c r="E1271" s="657" t="s">
        <v>1549</v>
      </c>
      <c r="F1271" s="658"/>
      <c r="G1271" s="653"/>
      <c r="H1271" s="653"/>
    </row>
    <row r="1272" spans="1:8" ht="15.75" x14ac:dyDescent="0.25">
      <c r="A1272" s="1741" t="s">
        <v>4609</v>
      </c>
      <c r="B1272" s="660" t="s">
        <v>777</v>
      </c>
      <c r="C1272" s="660">
        <v>80</v>
      </c>
      <c r="D1272" s="661">
        <f>PIEDRAS!F36</f>
        <v>38.46153846153846</v>
      </c>
      <c r="E1272" s="662">
        <f>D1272*C1272</f>
        <v>3076.9230769230767</v>
      </c>
      <c r="F1272" s="658"/>
      <c r="G1272" s="653"/>
      <c r="H1272" s="653"/>
    </row>
    <row r="1273" spans="1:8" ht="15.75" x14ac:dyDescent="0.25">
      <c r="A1273" s="1742"/>
      <c r="B1273" s="660" t="s">
        <v>846</v>
      </c>
      <c r="C1273" s="660">
        <v>33</v>
      </c>
      <c r="D1273" s="661">
        <f>PIEDRAS!F37</f>
        <v>58.823529411764703</v>
      </c>
      <c r="E1273" s="662">
        <f>D1273*C1273</f>
        <v>1941.1764705882351</v>
      </c>
      <c r="F1273" s="658"/>
      <c r="G1273" s="653"/>
      <c r="H1273" s="653"/>
    </row>
    <row r="1274" spans="1:8" ht="15.75" x14ac:dyDescent="0.25">
      <c r="A1274" s="1417" t="s">
        <v>5116</v>
      </c>
      <c r="B1274" s="660"/>
      <c r="C1274" s="660">
        <v>1</v>
      </c>
      <c r="D1274" s="661">
        <f>'AROS, CADENAS, DIJES, ETC'!O74</f>
        <v>3093</v>
      </c>
      <c r="E1274" s="662">
        <f>D1274*C1274</f>
        <v>3093</v>
      </c>
      <c r="F1274" s="658"/>
      <c r="G1274" s="653"/>
      <c r="H1274" s="653"/>
    </row>
    <row r="1275" spans="1:8" ht="15.75" x14ac:dyDescent="0.25">
      <c r="A1275" s="659" t="s">
        <v>1232</v>
      </c>
      <c r="B1275" s="660"/>
      <c r="C1275" s="660">
        <v>0.42</v>
      </c>
      <c r="D1275" s="661">
        <f>'HILOS-CORDONES-TANZA-CUERO'!L9</f>
        <v>30</v>
      </c>
      <c r="E1275" s="662">
        <f>D1275*C1275</f>
        <v>12.6</v>
      </c>
      <c r="F1275" s="658"/>
      <c r="G1275" s="653"/>
      <c r="H1275" s="653"/>
    </row>
    <row r="1276" spans="1:8" ht="15.75" x14ac:dyDescent="0.25">
      <c r="A1276" s="1736" t="s">
        <v>1572</v>
      </c>
      <c r="B1276" s="660" t="s">
        <v>1556</v>
      </c>
      <c r="C1276" s="660">
        <v>2</v>
      </c>
      <c r="D1276" s="661">
        <f>FORNITURAS!D4</f>
        <v>48.7</v>
      </c>
      <c r="E1276" s="662">
        <f t="shared" ref="E1276:E1277" si="46">D1276*C1276</f>
        <v>97.4</v>
      </c>
      <c r="F1276" s="658"/>
      <c r="G1276" s="653"/>
      <c r="H1276" s="653"/>
    </row>
    <row r="1277" spans="1:8" ht="15.75" x14ac:dyDescent="0.25">
      <c r="A1277" s="1737"/>
      <c r="B1277" s="660" t="s">
        <v>1573</v>
      </c>
      <c r="C1277" s="660">
        <v>2</v>
      </c>
      <c r="D1277" s="661">
        <f>FORNITURAS!D7</f>
        <v>52</v>
      </c>
      <c r="E1277" s="662">
        <f t="shared" si="46"/>
        <v>104</v>
      </c>
      <c r="F1277" s="658"/>
      <c r="G1277" s="653"/>
      <c r="H1277" s="653"/>
    </row>
    <row r="1278" spans="1:8" ht="15.75" x14ac:dyDescent="0.25">
      <c r="A1278" s="666" t="s">
        <v>1608</v>
      </c>
      <c r="B1278" s="660"/>
      <c r="C1278" s="660">
        <v>0.1</v>
      </c>
      <c r="D1278" s="661">
        <f>'AROS, CADENAS, DIJES, ETC'!K70</f>
        <v>5986</v>
      </c>
      <c r="E1278" s="662">
        <f>C1278*D1278</f>
        <v>598.6</v>
      </c>
      <c r="F1278" s="658"/>
      <c r="G1278" s="653"/>
      <c r="H1278" s="653"/>
    </row>
    <row r="1279" spans="1:8" ht="15.75" x14ac:dyDescent="0.25">
      <c r="A1279" s="666" t="s">
        <v>1554</v>
      </c>
      <c r="B1279" s="660" t="s">
        <v>777</v>
      </c>
      <c r="C1279" s="660">
        <v>2</v>
      </c>
      <c r="D1279" s="661">
        <f>FORNITURAS!D24</f>
        <v>34.666666666666664</v>
      </c>
      <c r="E1279" s="662">
        <f>D1279*C1279</f>
        <v>69.333333333333329</v>
      </c>
      <c r="F1279" s="658"/>
      <c r="G1279" s="653"/>
      <c r="H1279" s="653"/>
    </row>
    <row r="1280" spans="1:8" ht="15.75" x14ac:dyDescent="0.25">
      <c r="A1280" s="666" t="s">
        <v>1012</v>
      </c>
      <c r="B1280" s="660"/>
      <c r="C1280" s="660">
        <v>2</v>
      </c>
      <c r="D1280" s="661">
        <f>FORNITURAS!D17</f>
        <v>45.05</v>
      </c>
      <c r="E1280" s="662">
        <f>D1280*C1280</f>
        <v>90.1</v>
      </c>
      <c r="F1280" s="658"/>
      <c r="G1280" s="653"/>
      <c r="H1280" s="653"/>
    </row>
    <row r="1281" spans="1:8" ht="15.75" x14ac:dyDescent="0.25">
      <c r="A1281" s="666" t="s">
        <v>1587</v>
      </c>
      <c r="B1281" s="660"/>
      <c r="C1281" s="660">
        <v>1</v>
      </c>
      <c r="D1281" s="661">
        <f>FORNITURAS!D19</f>
        <v>855</v>
      </c>
      <c r="E1281" s="662">
        <f>C1281*D1281</f>
        <v>855</v>
      </c>
      <c r="F1281" s="658"/>
      <c r="G1281" s="653"/>
    </row>
    <row r="1282" spans="1:8" ht="15.75" x14ac:dyDescent="0.25">
      <c r="A1282" s="666" t="s">
        <v>3117</v>
      </c>
      <c r="B1282" s="660"/>
      <c r="C1282" s="660">
        <v>1</v>
      </c>
      <c r="D1282" s="661">
        <f>FORNITURAS!D12</f>
        <v>131.9</v>
      </c>
      <c r="E1282" s="667">
        <f>D1282*C1282</f>
        <v>131.9</v>
      </c>
      <c r="F1282" s="658"/>
      <c r="G1282" s="653"/>
    </row>
    <row r="1283" spans="1:8" ht="15.75" x14ac:dyDescent="0.25">
      <c r="A1283" s="666" t="s">
        <v>1557</v>
      </c>
      <c r="B1283" s="660"/>
      <c r="C1283" s="660"/>
      <c r="D1283" s="661"/>
      <c r="E1283" s="667">
        <f>PACKAGING!E4</f>
        <v>80</v>
      </c>
      <c r="F1283" s="653"/>
      <c r="G1283" s="658"/>
    </row>
    <row r="1284" spans="1:8" ht="15.75" x14ac:dyDescent="0.25">
      <c r="A1284" s="666" t="s">
        <v>3362</v>
      </c>
      <c r="B1284" s="660"/>
      <c r="C1284" s="660"/>
      <c r="D1284" s="661"/>
      <c r="E1284" s="667">
        <f>PACKAGING!E17</f>
        <v>7.5</v>
      </c>
      <c r="F1284" s="653"/>
      <c r="G1284" s="658"/>
    </row>
    <row r="1285" spans="1:8" ht="15.75" x14ac:dyDescent="0.25">
      <c r="A1285" s="666" t="s">
        <v>1634</v>
      </c>
      <c r="B1285" s="660"/>
      <c r="C1285" s="660"/>
      <c r="D1285" s="661"/>
      <c r="E1285" s="667">
        <f>PACKAGING!E7</f>
        <v>170</v>
      </c>
      <c r="F1285" s="653"/>
      <c r="G1285" s="658"/>
    </row>
    <row r="1286" spans="1:8" ht="15.75" x14ac:dyDescent="0.25">
      <c r="A1286" s="1339" t="s">
        <v>3568</v>
      </c>
      <c r="B1286" s="660"/>
      <c r="C1286" s="660"/>
      <c r="D1286" s="668"/>
      <c r="E1286" s="667">
        <f>PACKAGING!I5</f>
        <v>845</v>
      </c>
      <c r="F1286" s="653"/>
      <c r="G1286" s="658"/>
    </row>
    <row r="1287" spans="1:8" ht="15.75" x14ac:dyDescent="0.25">
      <c r="A1287" s="683" t="s">
        <v>1618</v>
      </c>
      <c r="B1287" s="660">
        <v>60</v>
      </c>
      <c r="C1287" s="660">
        <v>30</v>
      </c>
      <c r="D1287" s="668">
        <f>'INSUMOS VARIOS'!B3</f>
        <v>3500</v>
      </c>
      <c r="E1287" s="669">
        <f>D1287*C1287/B1287</f>
        <v>1750</v>
      </c>
      <c r="F1287" s="1"/>
      <c r="G1287" s="658"/>
    </row>
    <row r="1288" spans="1:8" ht="16.5" thickBot="1" x14ac:dyDescent="0.3">
      <c r="A1288" s="670" t="s">
        <v>525</v>
      </c>
      <c r="B1288" s="671"/>
      <c r="C1288" s="671"/>
      <c r="D1288" s="672"/>
      <c r="E1288" s="673">
        <f>SUM(E1272:E1287)</f>
        <v>12922.532880844647</v>
      </c>
      <c r="F1288" s="698"/>
      <c r="G1288" s="653"/>
    </row>
    <row r="1289" spans="1:8" ht="16.5" thickBot="1" x14ac:dyDescent="0.3">
      <c r="A1289" s="675" t="s">
        <v>4918</v>
      </c>
      <c r="B1289" s="676"/>
      <c r="C1289" s="676"/>
      <c r="D1289" s="677"/>
      <c r="E1289" s="692">
        <f>E1288*2</f>
        <v>25845.065761689293</v>
      </c>
      <c r="F1289" s="957">
        <f>E1289+E1289*70%</f>
        <v>43936.611794871802</v>
      </c>
      <c r="G1289" s="681"/>
    </row>
    <row r="1290" spans="1:8" ht="16.5" thickBot="1" x14ac:dyDescent="0.3">
      <c r="A1290" s="684" t="s">
        <v>1559</v>
      </c>
      <c r="B1290" s="685"/>
      <c r="C1290" s="685"/>
      <c r="D1290" s="686"/>
      <c r="E1290" s="686"/>
      <c r="F1290" s="816"/>
      <c r="G1290" s="1275">
        <f>G1289*60%</f>
        <v>0</v>
      </c>
      <c r="H1290" t="s">
        <v>3688</v>
      </c>
    </row>
    <row r="1291" spans="1:8" ht="15.75" thickBot="1" x14ac:dyDescent="0.3"/>
    <row r="1292" spans="1:8" ht="16.5" thickBot="1" x14ac:dyDescent="0.3">
      <c r="A1292" s="1804" t="s">
        <v>5117</v>
      </c>
      <c r="B1292" s="1805"/>
      <c r="C1292" s="1805"/>
      <c r="D1292" s="1805"/>
      <c r="E1292" s="1806"/>
      <c r="F1292" s="1294"/>
      <c r="G1292" s="653"/>
      <c r="H1292" s="653"/>
    </row>
    <row r="1293" spans="1:8" ht="15.75" x14ac:dyDescent="0.25">
      <c r="A1293" s="654" t="s">
        <v>916</v>
      </c>
      <c r="B1293" s="655" t="s">
        <v>743</v>
      </c>
      <c r="C1293" s="655" t="s">
        <v>1566</v>
      </c>
      <c r="D1293" s="656" t="s">
        <v>1035</v>
      </c>
      <c r="E1293" s="657" t="s">
        <v>1549</v>
      </c>
      <c r="F1293" s="658"/>
      <c r="G1293" s="653"/>
      <c r="H1293" s="653"/>
    </row>
    <row r="1294" spans="1:8" ht="15.75" x14ac:dyDescent="0.25">
      <c r="A1294" s="666" t="s">
        <v>5059</v>
      </c>
      <c r="B1294" s="660" t="s">
        <v>5118</v>
      </c>
      <c r="C1294" s="660">
        <v>120</v>
      </c>
      <c r="D1294" s="661">
        <f>PIEDRAS!F27</f>
        <v>40.330188679245282</v>
      </c>
      <c r="E1294" s="662">
        <f>D1294*C1294</f>
        <v>4839.6226415094334</v>
      </c>
      <c r="F1294" s="658"/>
      <c r="G1294" s="653"/>
      <c r="H1294" s="653"/>
    </row>
    <row r="1295" spans="1:8" ht="15.75" x14ac:dyDescent="0.25">
      <c r="A1295" s="666" t="s">
        <v>4226</v>
      </c>
      <c r="B1295" s="660"/>
      <c r="C1295" s="660">
        <v>1.2</v>
      </c>
      <c r="D1295" s="661">
        <f>'HILOS-CORDONES-TANZA-CUERO'!E27</f>
        <v>25</v>
      </c>
      <c r="E1295" s="662">
        <f>D1295*C1295</f>
        <v>30</v>
      </c>
      <c r="F1295" s="658"/>
      <c r="G1295" s="653"/>
      <c r="H1295" s="653"/>
    </row>
    <row r="1296" spans="1:8" ht="15.75" x14ac:dyDescent="0.25">
      <c r="A1296" s="666" t="s">
        <v>5106</v>
      </c>
      <c r="B1296" s="660"/>
      <c r="C1296" s="660">
        <v>1</v>
      </c>
      <c r="D1296" s="661">
        <f>'AROS, CADENAS, DIJES, ETC'!P208</f>
        <v>3220</v>
      </c>
      <c r="E1296" s="662">
        <f>D1296*C1296</f>
        <v>3220</v>
      </c>
      <c r="F1296" s="658"/>
      <c r="G1296" s="653"/>
      <c r="H1296" s="653"/>
    </row>
    <row r="1297" spans="1:8" ht="15.75" x14ac:dyDescent="0.25">
      <c r="A1297" s="666" t="s">
        <v>4222</v>
      </c>
      <c r="B1297" s="660" t="s">
        <v>4157</v>
      </c>
      <c r="C1297" s="660">
        <v>2</v>
      </c>
      <c r="D1297" s="661">
        <f>FORNITURAS!I13</f>
        <v>274.44444444444446</v>
      </c>
      <c r="E1297" s="662">
        <f>D1297*C1297</f>
        <v>548.88888888888891</v>
      </c>
      <c r="F1297" s="658"/>
      <c r="G1297" s="653"/>
      <c r="H1297" s="653"/>
    </row>
    <row r="1298" spans="1:8" ht="15.75" x14ac:dyDescent="0.25">
      <c r="A1298" s="1758" t="s">
        <v>1572</v>
      </c>
      <c r="B1298" s="660" t="s">
        <v>1556</v>
      </c>
      <c r="C1298" s="660">
        <v>3</v>
      </c>
      <c r="D1298" s="661">
        <f>FORNITURAS!D4</f>
        <v>48.7</v>
      </c>
      <c r="E1298" s="662">
        <f t="shared" ref="E1298" si="47">D1298*C1298</f>
        <v>146.10000000000002</v>
      </c>
      <c r="F1298" s="658"/>
      <c r="G1298" s="653"/>
      <c r="H1298" s="653"/>
    </row>
    <row r="1299" spans="1:8" ht="15.75" x14ac:dyDescent="0.25">
      <c r="A1299" s="1758"/>
      <c r="B1299" s="660" t="s">
        <v>1933</v>
      </c>
      <c r="C1299" s="660">
        <v>1</v>
      </c>
      <c r="D1299" s="661">
        <f>FORNITURAS!D6</f>
        <v>131.81818181818181</v>
      </c>
      <c r="E1299" s="662">
        <f>D1299*C1299</f>
        <v>131.81818181818181</v>
      </c>
      <c r="F1299" s="658"/>
      <c r="G1299" s="653"/>
      <c r="H1299" s="653"/>
    </row>
    <row r="1300" spans="1:8" ht="15.75" x14ac:dyDescent="0.25">
      <c r="A1300" s="1737"/>
      <c r="B1300" s="660" t="s">
        <v>1573</v>
      </c>
      <c r="C1300" s="660">
        <v>1</v>
      </c>
      <c r="D1300" s="661">
        <f>FORNITURAS!D7</f>
        <v>52</v>
      </c>
      <c r="E1300" s="662">
        <f>D1300*C1300</f>
        <v>52</v>
      </c>
      <c r="F1300" s="658"/>
      <c r="G1300" s="653"/>
      <c r="H1300" s="653"/>
    </row>
    <row r="1301" spans="1:8" ht="15.75" x14ac:dyDescent="0.25">
      <c r="A1301" s="666" t="s">
        <v>1608</v>
      </c>
      <c r="B1301" s="660"/>
      <c r="C1301" s="660">
        <v>0.1</v>
      </c>
      <c r="D1301" s="661">
        <f>'AROS, CADENAS, DIJES, ETC'!K70</f>
        <v>5986</v>
      </c>
      <c r="E1301" s="662">
        <f>C1301*D1301</f>
        <v>598.6</v>
      </c>
      <c r="F1301" s="658"/>
      <c r="G1301" s="653"/>
      <c r="H1301" s="653"/>
    </row>
    <row r="1302" spans="1:8" ht="15.75" x14ac:dyDescent="0.25">
      <c r="A1302" s="666" t="s">
        <v>1554</v>
      </c>
      <c r="B1302" s="660" t="s">
        <v>777</v>
      </c>
      <c r="C1302" s="660">
        <v>10</v>
      </c>
      <c r="D1302" s="661">
        <f>FORNITURAS!D24</f>
        <v>34.666666666666664</v>
      </c>
      <c r="E1302" s="662">
        <f>D1302*C1302</f>
        <v>346.66666666666663</v>
      </c>
      <c r="F1302" s="658"/>
      <c r="G1302" s="653"/>
      <c r="H1302" s="653"/>
    </row>
    <row r="1303" spans="1:8" ht="15.75" x14ac:dyDescent="0.25">
      <c r="A1303" s="666" t="s">
        <v>1012</v>
      </c>
      <c r="B1303" s="660"/>
      <c r="C1303" s="660">
        <v>2</v>
      </c>
      <c r="D1303" s="661">
        <f>FORNITURAS!D17</f>
        <v>45.05</v>
      </c>
      <c r="E1303" s="662">
        <f>D1303*C1303</f>
        <v>90.1</v>
      </c>
      <c r="F1303" s="658"/>
      <c r="G1303" s="653"/>
      <c r="H1303" s="653"/>
    </row>
    <row r="1304" spans="1:8" ht="15.75" x14ac:dyDescent="0.25">
      <c r="A1304" s="666" t="s">
        <v>1587</v>
      </c>
      <c r="B1304" s="660"/>
      <c r="C1304" s="660">
        <v>1</v>
      </c>
      <c r="D1304" s="661">
        <f>FORNITURAS!D19</f>
        <v>855</v>
      </c>
      <c r="E1304" s="662">
        <f>C1304*D1304</f>
        <v>855</v>
      </c>
      <c r="F1304" s="658"/>
      <c r="G1304" s="653"/>
    </row>
    <row r="1305" spans="1:8" ht="15.75" x14ac:dyDescent="0.25">
      <c r="A1305" s="666" t="s">
        <v>1557</v>
      </c>
      <c r="B1305" s="660"/>
      <c r="C1305" s="660"/>
      <c r="D1305" s="661"/>
      <c r="E1305" s="667">
        <f>PACKAGING!E4</f>
        <v>80</v>
      </c>
      <c r="F1305" s="653"/>
      <c r="G1305" s="658"/>
    </row>
    <row r="1306" spans="1:8" ht="15.75" x14ac:dyDescent="0.25">
      <c r="A1306" s="666" t="s">
        <v>3362</v>
      </c>
      <c r="B1306" s="660"/>
      <c r="C1306" s="660"/>
      <c r="D1306" s="661"/>
      <c r="E1306" s="667">
        <f>PACKAGING!E17</f>
        <v>7.5</v>
      </c>
      <c r="F1306" s="653"/>
      <c r="G1306" s="658"/>
    </row>
    <row r="1307" spans="1:8" ht="15.75" x14ac:dyDescent="0.25">
      <c r="A1307" s="666" t="s">
        <v>1634</v>
      </c>
      <c r="B1307" s="660"/>
      <c r="C1307" s="660"/>
      <c r="D1307" s="661"/>
      <c r="E1307" s="667">
        <f>PACKAGING!E7</f>
        <v>170</v>
      </c>
      <c r="F1307" s="653"/>
      <c r="G1307" s="658"/>
    </row>
    <row r="1308" spans="1:8" ht="15.75" x14ac:dyDescent="0.25">
      <c r="A1308" s="1339" t="s">
        <v>3568</v>
      </c>
      <c r="B1308" s="660"/>
      <c r="C1308" s="660"/>
      <c r="D1308" s="668"/>
      <c r="E1308" s="667">
        <f>PACKAGING!I5</f>
        <v>845</v>
      </c>
      <c r="F1308" s="653"/>
      <c r="G1308" s="658"/>
    </row>
    <row r="1309" spans="1:8" ht="15.75" x14ac:dyDescent="0.25">
      <c r="A1309" s="683" t="s">
        <v>1618</v>
      </c>
      <c r="B1309" s="660">
        <v>60</v>
      </c>
      <c r="C1309" s="660">
        <v>30</v>
      </c>
      <c r="D1309" s="668">
        <f>'INSUMOS VARIOS'!B3</f>
        <v>3500</v>
      </c>
      <c r="E1309" s="669">
        <f>D1309*C1309/B1309</f>
        <v>1750</v>
      </c>
      <c r="F1309" s="1"/>
      <c r="G1309" s="658"/>
    </row>
    <row r="1310" spans="1:8" ht="16.5" thickBot="1" x14ac:dyDescent="0.3">
      <c r="A1310" s="670" t="s">
        <v>525</v>
      </c>
      <c r="B1310" s="671"/>
      <c r="C1310" s="671"/>
      <c r="D1310" s="672"/>
      <c r="E1310" s="673">
        <f>SUM(E1294:E1309)</f>
        <v>13711.296378883171</v>
      </c>
      <c r="F1310" s="698"/>
      <c r="G1310" s="653"/>
    </row>
    <row r="1311" spans="1:8" ht="16.5" thickBot="1" x14ac:dyDescent="0.3">
      <c r="A1311" s="675" t="s">
        <v>4918</v>
      </c>
      <c r="B1311" s="676"/>
      <c r="C1311" s="676"/>
      <c r="D1311" s="677"/>
      <c r="E1311" s="692">
        <f>E1310*2</f>
        <v>27422.592757766342</v>
      </c>
      <c r="F1311" s="957">
        <f>E1311+E1311*70%</f>
        <v>46618.40768820278</v>
      </c>
      <c r="G1311" s="681"/>
    </row>
    <row r="1312" spans="1:8" ht="16.5" thickBot="1" x14ac:dyDescent="0.3">
      <c r="A1312" s="684" t="s">
        <v>1559</v>
      </c>
      <c r="B1312" s="685"/>
      <c r="C1312" s="685"/>
      <c r="D1312" s="686"/>
      <c r="E1312" s="686"/>
      <c r="F1312" s="816"/>
      <c r="G1312" s="1275">
        <f>G1311*60%</f>
        <v>0</v>
      </c>
      <c r="H1312" t="s">
        <v>3688</v>
      </c>
    </row>
    <row r="1315" spans="1:9" ht="18.75" x14ac:dyDescent="0.3">
      <c r="A1315" s="1508" t="s">
        <v>5108</v>
      </c>
      <c r="B1315" s="1507"/>
      <c r="C1315" s="1507"/>
      <c r="D1315" s="1507"/>
      <c r="E1315" s="1507"/>
      <c r="F1315" s="1507"/>
      <c r="G1315" s="1507"/>
      <c r="H1315" s="1507"/>
      <c r="I1315" s="1507"/>
    </row>
    <row r="1316" spans="1:9" ht="15.75" thickBot="1" x14ac:dyDescent="0.3"/>
    <row r="1317" spans="1:9" ht="16.5" thickBot="1" x14ac:dyDescent="0.3">
      <c r="A1317" s="1804" t="s">
        <v>170</v>
      </c>
      <c r="B1317" s="1805"/>
      <c r="C1317" s="1805"/>
      <c r="D1317" s="1805"/>
      <c r="E1317" s="1806"/>
      <c r="F1317" s="1294"/>
      <c r="G1317" s="653"/>
      <c r="H1317" s="653"/>
    </row>
    <row r="1318" spans="1:9" ht="15.75" x14ac:dyDescent="0.25">
      <c r="A1318" s="654" t="s">
        <v>916</v>
      </c>
      <c r="B1318" s="655" t="s">
        <v>743</v>
      </c>
      <c r="C1318" s="655" t="s">
        <v>1566</v>
      </c>
      <c r="D1318" s="656" t="s">
        <v>1035</v>
      </c>
      <c r="E1318" s="657" t="s">
        <v>1549</v>
      </c>
      <c r="F1318" s="658"/>
      <c r="G1318" s="653"/>
      <c r="H1318" s="653"/>
    </row>
    <row r="1319" spans="1:9" ht="15.75" x14ac:dyDescent="0.25">
      <c r="A1319" s="659" t="s">
        <v>4939</v>
      </c>
      <c r="B1319" s="660">
        <v>0.35</v>
      </c>
      <c r="C1319" s="660">
        <v>0.37</v>
      </c>
      <c r="D1319" s="661">
        <f>PIEDRAS!E27</f>
        <v>4275</v>
      </c>
      <c r="E1319" s="662">
        <f>D1319*C1319/B1319</f>
        <v>4519.2857142857147</v>
      </c>
      <c r="F1319" s="658"/>
      <c r="G1319" s="653"/>
      <c r="H1319" s="653"/>
    </row>
    <row r="1320" spans="1:9" ht="15.75" x14ac:dyDescent="0.25">
      <c r="A1320" s="659" t="s">
        <v>4940</v>
      </c>
      <c r="B1320" s="660"/>
      <c r="C1320" s="660">
        <v>1.1000000000000001</v>
      </c>
      <c r="D1320" s="661">
        <f>'HILOS-CORDONES-TANZA-CUERO'!E26</f>
        <v>33.333333333333336</v>
      </c>
      <c r="E1320" s="662">
        <f>D1320*C1320</f>
        <v>36.666666666666671</v>
      </c>
      <c r="F1320" s="658"/>
      <c r="G1320" s="653"/>
      <c r="H1320" s="653"/>
    </row>
    <row r="1321" spans="1:9" ht="15.75" x14ac:dyDescent="0.25">
      <c r="A1321" s="1736" t="s">
        <v>1572</v>
      </c>
      <c r="B1321" s="660" t="s">
        <v>1556</v>
      </c>
      <c r="C1321" s="660">
        <v>3</v>
      </c>
      <c r="D1321" s="661">
        <f>FORNITURAS!D4</f>
        <v>48.7</v>
      </c>
      <c r="E1321" s="662">
        <f t="shared" ref="E1321:E1322" si="48">D1321*C1321</f>
        <v>146.10000000000002</v>
      </c>
      <c r="F1321" s="658"/>
      <c r="G1321" s="653"/>
      <c r="H1321" s="653"/>
    </row>
    <row r="1322" spans="1:9" ht="15.75" x14ac:dyDescent="0.25">
      <c r="A1322" s="1737"/>
      <c r="B1322" s="660" t="s">
        <v>1573</v>
      </c>
      <c r="C1322" s="660">
        <v>1</v>
      </c>
      <c r="D1322" s="661">
        <f>FORNITURAS!D7</f>
        <v>52</v>
      </c>
      <c r="E1322" s="662">
        <f t="shared" si="48"/>
        <v>52</v>
      </c>
      <c r="F1322" s="658"/>
      <c r="G1322" s="653"/>
      <c r="H1322" s="653"/>
    </row>
    <row r="1323" spans="1:9" ht="15.75" x14ac:dyDescent="0.25">
      <c r="A1323" s="666" t="s">
        <v>5029</v>
      </c>
      <c r="B1323" s="660"/>
      <c r="C1323" s="660">
        <v>1</v>
      </c>
      <c r="D1323" s="661">
        <f>'AROS, CADENAS, DIJES, ETC'!O72</f>
        <v>1965</v>
      </c>
      <c r="E1323" s="662">
        <f>D1323*C1323</f>
        <v>1965</v>
      </c>
      <c r="F1323" s="658"/>
      <c r="G1323" s="653"/>
      <c r="H1323" s="653"/>
    </row>
    <row r="1324" spans="1:9" ht="15.75" x14ac:dyDescent="0.25">
      <c r="A1324" s="666" t="s">
        <v>1608</v>
      </c>
      <c r="B1324" s="660"/>
      <c r="C1324" s="660">
        <v>0.1</v>
      </c>
      <c r="D1324" s="661">
        <f>'AROS, CADENAS, DIJES, ETC'!K70</f>
        <v>5986</v>
      </c>
      <c r="E1324" s="662">
        <f>C1324*D1324</f>
        <v>598.6</v>
      </c>
      <c r="F1324" s="658"/>
      <c r="G1324" s="653"/>
      <c r="H1324" s="653"/>
    </row>
    <row r="1325" spans="1:9" ht="15.75" x14ac:dyDescent="0.25">
      <c r="A1325" s="666" t="s">
        <v>1554</v>
      </c>
      <c r="B1325" s="660" t="s">
        <v>777</v>
      </c>
      <c r="C1325" s="660">
        <v>4</v>
      </c>
      <c r="D1325" s="661">
        <f>FORNITURAS!D24</f>
        <v>34.666666666666664</v>
      </c>
      <c r="E1325" s="662">
        <f>D1325*C1325</f>
        <v>138.66666666666666</v>
      </c>
      <c r="F1325" s="658"/>
      <c r="G1325" s="653"/>
      <c r="H1325" s="653"/>
    </row>
    <row r="1326" spans="1:9" ht="15.75" x14ac:dyDescent="0.25">
      <c r="A1326" s="666" t="s">
        <v>4156</v>
      </c>
      <c r="B1326" s="660" t="s">
        <v>4157</v>
      </c>
      <c r="C1326" s="660">
        <v>8</v>
      </c>
      <c r="D1326" s="661">
        <f>FORNITURAS!I13</f>
        <v>274.44444444444446</v>
      </c>
      <c r="E1326" s="662">
        <f>D1326*C1326</f>
        <v>2195.5555555555557</v>
      </c>
      <c r="F1326" s="658"/>
      <c r="G1326" s="653"/>
      <c r="H1326" s="653"/>
    </row>
    <row r="1327" spans="1:9" ht="15.75" x14ac:dyDescent="0.25">
      <c r="A1327" s="666" t="s">
        <v>1587</v>
      </c>
      <c r="B1327" s="660"/>
      <c r="C1327" s="660">
        <v>1</v>
      </c>
      <c r="D1327" s="661">
        <f>FORNITURAS!H44</f>
        <v>485</v>
      </c>
      <c r="E1327" s="662">
        <f>C1327*D1327</f>
        <v>485</v>
      </c>
      <c r="F1327" s="658"/>
      <c r="G1327" s="653"/>
    </row>
    <row r="1328" spans="1:9" ht="15.75" x14ac:dyDescent="0.25">
      <c r="A1328" s="666" t="s">
        <v>1557</v>
      </c>
      <c r="B1328" s="660"/>
      <c r="C1328" s="660"/>
      <c r="D1328" s="661"/>
      <c r="E1328" s="667">
        <f>PACKAGING!E4</f>
        <v>80</v>
      </c>
      <c r="F1328" s="653"/>
      <c r="G1328" s="658"/>
    </row>
    <row r="1329" spans="1:8" ht="15.75" x14ac:dyDescent="0.25">
      <c r="A1329" s="666" t="s">
        <v>3362</v>
      </c>
      <c r="B1329" s="660"/>
      <c r="C1329" s="660"/>
      <c r="D1329" s="661"/>
      <c r="E1329" s="667">
        <f>PACKAGING!E17</f>
        <v>7.5</v>
      </c>
      <c r="F1329" s="653"/>
      <c r="G1329" s="658"/>
    </row>
    <row r="1330" spans="1:8" ht="15.75" x14ac:dyDescent="0.25">
      <c r="A1330" s="666" t="s">
        <v>1634</v>
      </c>
      <c r="B1330" s="660"/>
      <c r="C1330" s="660"/>
      <c r="D1330" s="661"/>
      <c r="E1330" s="667">
        <f>PACKAGING!E7</f>
        <v>170</v>
      </c>
      <c r="F1330" s="653"/>
      <c r="G1330" s="658"/>
    </row>
    <row r="1331" spans="1:8" ht="15.75" x14ac:dyDescent="0.25">
      <c r="A1331" s="1339" t="s">
        <v>3568</v>
      </c>
      <c r="B1331" s="660"/>
      <c r="C1331" s="660"/>
      <c r="D1331" s="668"/>
      <c r="E1331" s="667">
        <f>PACKAGING!I5</f>
        <v>845</v>
      </c>
      <c r="F1331" s="653"/>
      <c r="G1331" s="658"/>
    </row>
    <row r="1332" spans="1:8" ht="15.75" x14ac:dyDescent="0.25">
      <c r="A1332" s="683" t="s">
        <v>1618</v>
      </c>
      <c r="B1332" s="660">
        <v>60</v>
      </c>
      <c r="C1332" s="660">
        <v>30</v>
      </c>
      <c r="D1332" s="668">
        <f>'INSUMOS VARIOS'!B3</f>
        <v>3500</v>
      </c>
      <c r="E1332" s="669">
        <f>D1332*C1332/B1332</f>
        <v>1750</v>
      </c>
      <c r="F1332" s="1"/>
      <c r="G1332" s="658"/>
    </row>
    <row r="1333" spans="1:8" ht="16.5" thickBot="1" x14ac:dyDescent="0.3">
      <c r="A1333" s="670" t="s">
        <v>525</v>
      </c>
      <c r="B1333" s="671"/>
      <c r="C1333" s="671"/>
      <c r="D1333" s="672"/>
      <c r="E1333" s="673">
        <f>SUM(E1319:E1332)</f>
        <v>12989.374603174605</v>
      </c>
      <c r="F1333" s="698"/>
      <c r="G1333" s="653"/>
    </row>
    <row r="1334" spans="1:8" ht="16.5" thickBot="1" x14ac:dyDescent="0.3">
      <c r="A1334" s="675" t="s">
        <v>4918</v>
      </c>
      <c r="B1334" s="676"/>
      <c r="C1334" s="676"/>
      <c r="D1334" s="677"/>
      <c r="E1334" s="692">
        <f>E1333*2</f>
        <v>25978.74920634921</v>
      </c>
      <c r="F1334" s="957">
        <f>E1334+E1334*70%</f>
        <v>44163.873650793656</v>
      </c>
      <c r="G1334" s="681"/>
    </row>
    <row r="1335" spans="1:8" ht="16.5" thickBot="1" x14ac:dyDescent="0.3">
      <c r="A1335" s="684" t="s">
        <v>1559</v>
      </c>
      <c r="B1335" s="685"/>
      <c r="C1335" s="685"/>
      <c r="D1335" s="686"/>
      <c r="E1335" s="686"/>
      <c r="F1335" s="816"/>
      <c r="G1335" s="1275">
        <f>G1334*60%</f>
        <v>0</v>
      </c>
      <c r="H1335" t="s">
        <v>3688</v>
      </c>
    </row>
    <row r="1336" spans="1:8" ht="15.75" thickBot="1" x14ac:dyDescent="0.3"/>
    <row r="1337" spans="1:8" ht="16.5" thickBot="1" x14ac:dyDescent="0.3">
      <c r="A1337" s="1804" t="s">
        <v>4951</v>
      </c>
      <c r="B1337" s="1805"/>
      <c r="C1337" s="1805"/>
      <c r="D1337" s="1805"/>
      <c r="E1337" s="1806"/>
      <c r="F1337" s="1294"/>
      <c r="G1337" s="653"/>
      <c r="H1337" s="653"/>
    </row>
    <row r="1338" spans="1:8" ht="15.75" x14ac:dyDescent="0.25">
      <c r="A1338" s="654" t="s">
        <v>916</v>
      </c>
      <c r="B1338" s="655" t="s">
        <v>743</v>
      </c>
      <c r="C1338" s="655" t="s">
        <v>1566</v>
      </c>
      <c r="D1338" s="656" t="s">
        <v>1035</v>
      </c>
      <c r="E1338" s="657" t="s">
        <v>1549</v>
      </c>
      <c r="F1338" s="658"/>
      <c r="G1338" s="653"/>
      <c r="H1338" s="653"/>
    </row>
    <row r="1339" spans="1:8" ht="15.75" x14ac:dyDescent="0.25">
      <c r="A1339" s="820" t="s">
        <v>4952</v>
      </c>
      <c r="B1339" s="660">
        <v>0.9</v>
      </c>
      <c r="C1339" s="660">
        <v>0.37</v>
      </c>
      <c r="D1339" s="661">
        <f>PIEDRAS!E156</f>
        <v>11500</v>
      </c>
      <c r="E1339" s="662">
        <f>D1339*C1339*B1339</f>
        <v>3829.5</v>
      </c>
      <c r="F1339" s="658"/>
      <c r="G1339" s="653"/>
      <c r="H1339" s="653"/>
    </row>
    <row r="1340" spans="1:8" ht="15.75" x14ac:dyDescent="0.25">
      <c r="A1340" s="820" t="s">
        <v>4950</v>
      </c>
      <c r="B1340" s="660"/>
      <c r="C1340" s="660">
        <v>12</v>
      </c>
      <c r="D1340" s="661">
        <f>PIEDRAS!F26</f>
        <v>42.357142857142854</v>
      </c>
      <c r="E1340" s="662">
        <f t="shared" ref="E1340:E1345" si="49">D1340*C1340</f>
        <v>508.28571428571422</v>
      </c>
      <c r="F1340" s="658"/>
      <c r="G1340" s="653"/>
      <c r="H1340" s="653"/>
    </row>
    <row r="1341" spans="1:8" ht="15.75" x14ac:dyDescent="0.25">
      <c r="A1341" s="666" t="s">
        <v>4156</v>
      </c>
      <c r="B1341" s="660" t="s">
        <v>4157</v>
      </c>
      <c r="C1341" s="660">
        <v>8</v>
      </c>
      <c r="D1341" s="661">
        <f>FORNITURAS!I13</f>
        <v>274.44444444444446</v>
      </c>
      <c r="E1341" s="662">
        <f t="shared" si="49"/>
        <v>2195.5555555555557</v>
      </c>
      <c r="F1341" s="658"/>
      <c r="G1341" s="653"/>
      <c r="H1341" s="653"/>
    </row>
    <row r="1342" spans="1:8" ht="15.75" x14ac:dyDescent="0.25">
      <c r="A1342" s="666" t="s">
        <v>4953</v>
      </c>
      <c r="B1342" s="660"/>
      <c r="C1342" s="660">
        <v>1</v>
      </c>
      <c r="D1342" s="661">
        <f>'AROS, CADENAS, DIJES, ETC'!D171</f>
        <v>3299</v>
      </c>
      <c r="E1342" s="662">
        <f t="shared" si="49"/>
        <v>3299</v>
      </c>
      <c r="F1342" s="658"/>
      <c r="G1342" s="653"/>
      <c r="H1342" s="653"/>
    </row>
    <row r="1343" spans="1:8" ht="15.75" x14ac:dyDescent="0.25">
      <c r="A1343" s="666" t="s">
        <v>1587</v>
      </c>
      <c r="B1343" s="660"/>
      <c r="C1343" s="660">
        <v>1</v>
      </c>
      <c r="D1343" s="661">
        <f>FORNITURAS!H44</f>
        <v>485</v>
      </c>
      <c r="E1343" s="662">
        <f t="shared" si="49"/>
        <v>485</v>
      </c>
      <c r="F1343" s="658"/>
      <c r="G1343" s="653"/>
      <c r="H1343" s="653"/>
    </row>
    <row r="1344" spans="1:8" ht="15.75" x14ac:dyDescent="0.25">
      <c r="A1344" s="666" t="s">
        <v>1608</v>
      </c>
      <c r="B1344" s="660"/>
      <c r="C1344" s="660">
        <v>0.1</v>
      </c>
      <c r="D1344" s="661">
        <f>'AROS, CADENAS, DIJES, ETC'!K70</f>
        <v>5986</v>
      </c>
      <c r="E1344" s="662">
        <f t="shared" si="49"/>
        <v>598.6</v>
      </c>
      <c r="F1344" s="658"/>
      <c r="G1344" s="653"/>
      <c r="H1344" s="653"/>
    </row>
    <row r="1345" spans="1:10" ht="15.75" x14ac:dyDescent="0.25">
      <c r="A1345" s="666" t="s">
        <v>1424</v>
      </c>
      <c r="B1345" s="660"/>
      <c r="C1345" s="660">
        <v>0.42</v>
      </c>
      <c r="D1345" s="661">
        <f>'HILOS-CORDONES-TANZA-CUERO'!L9</f>
        <v>30</v>
      </c>
      <c r="E1345" s="662">
        <f t="shared" si="49"/>
        <v>12.6</v>
      </c>
      <c r="F1345" s="658"/>
      <c r="G1345" s="653"/>
      <c r="H1345" s="653"/>
    </row>
    <row r="1346" spans="1:10" ht="15.75" x14ac:dyDescent="0.25">
      <c r="A1346" s="666" t="s">
        <v>1012</v>
      </c>
      <c r="B1346" s="660"/>
      <c r="C1346" s="660">
        <v>2</v>
      </c>
      <c r="D1346" s="661">
        <f>FORNITURAS!D16</f>
        <v>45.05</v>
      </c>
      <c r="E1346" s="662">
        <f t="shared" ref="E1346:E1347" si="50">D1346*C1346</f>
        <v>90.1</v>
      </c>
      <c r="F1346" s="658"/>
      <c r="G1346" s="653"/>
      <c r="H1346" s="653"/>
    </row>
    <row r="1347" spans="1:10" ht="15.75" x14ac:dyDescent="0.25">
      <c r="A1347" s="666" t="s">
        <v>1554</v>
      </c>
      <c r="B1347" s="660"/>
      <c r="C1347" s="660">
        <v>2</v>
      </c>
      <c r="D1347" s="661">
        <f>FORNITURAS!D24</f>
        <v>34.666666666666664</v>
      </c>
      <c r="E1347" s="662">
        <f t="shared" si="50"/>
        <v>69.333333333333329</v>
      </c>
      <c r="F1347" s="658"/>
      <c r="G1347" s="653"/>
      <c r="H1347" s="653"/>
    </row>
    <row r="1348" spans="1:10" ht="15.75" x14ac:dyDescent="0.25">
      <c r="A1348" s="666" t="s">
        <v>1746</v>
      </c>
      <c r="B1348" s="660"/>
      <c r="C1348" s="660"/>
      <c r="D1348" s="661"/>
      <c r="E1348" s="662">
        <v>60</v>
      </c>
      <c r="F1348" s="658"/>
      <c r="G1348" s="653"/>
      <c r="H1348" s="653"/>
    </row>
    <row r="1349" spans="1:10" ht="15.75" x14ac:dyDescent="0.25">
      <c r="A1349" s="1736" t="s">
        <v>1971</v>
      </c>
      <c r="B1349" s="660" t="s">
        <v>1556</v>
      </c>
      <c r="C1349" s="660">
        <v>2</v>
      </c>
      <c r="D1349" s="661">
        <f>FORNITURAS!D4</f>
        <v>48.7</v>
      </c>
      <c r="E1349" s="667">
        <f>D1349*C1349</f>
        <v>97.4</v>
      </c>
      <c r="F1349" s="658"/>
      <c r="G1349" s="653"/>
      <c r="H1349" s="653"/>
    </row>
    <row r="1350" spans="1:10" ht="15.75" x14ac:dyDescent="0.25">
      <c r="A1350" s="1737"/>
      <c r="B1350" s="660" t="s">
        <v>1573</v>
      </c>
      <c r="C1350" s="660">
        <v>1</v>
      </c>
      <c r="D1350" s="661">
        <f>FORNITURAS!D7</f>
        <v>52</v>
      </c>
      <c r="E1350" s="667">
        <f>D1350*C1350</f>
        <v>52</v>
      </c>
      <c r="F1350" s="658"/>
      <c r="G1350" s="653"/>
      <c r="H1350" s="653"/>
    </row>
    <row r="1351" spans="1:10" ht="15.75" x14ac:dyDescent="0.25">
      <c r="A1351" s="666" t="s">
        <v>3571</v>
      </c>
      <c r="B1351" s="660"/>
      <c r="C1351" s="660"/>
      <c r="D1351" s="661"/>
      <c r="E1351" s="667">
        <f>PACKAGING!E7</f>
        <v>170</v>
      </c>
      <c r="F1351" s="658"/>
      <c r="G1351" s="653"/>
      <c r="H1351" s="653"/>
    </row>
    <row r="1352" spans="1:10" ht="15.75" x14ac:dyDescent="0.25">
      <c r="A1352" s="666" t="s">
        <v>1557</v>
      </c>
      <c r="B1352" s="660"/>
      <c r="C1352" s="660"/>
      <c r="D1352" s="661"/>
      <c r="E1352" s="667">
        <f>PACKAGING!E4</f>
        <v>80</v>
      </c>
      <c r="F1352" s="653"/>
      <c r="G1352" s="658"/>
      <c r="H1352" s="653"/>
    </row>
    <row r="1353" spans="1:10" ht="15.75" x14ac:dyDescent="0.25">
      <c r="A1353" s="666" t="s">
        <v>3362</v>
      </c>
      <c r="B1353" s="660"/>
      <c r="C1353" s="660"/>
      <c r="D1353" s="661"/>
      <c r="E1353" s="667">
        <f>PACKAGING!E17</f>
        <v>7.5</v>
      </c>
      <c r="F1353" s="653"/>
      <c r="G1353" s="658"/>
      <c r="H1353" s="653"/>
      <c r="J1353" s="1273" t="s">
        <v>3687</v>
      </c>
    </row>
    <row r="1354" spans="1:10" ht="15.75" x14ac:dyDescent="0.25">
      <c r="A1354" s="683" t="s">
        <v>1618</v>
      </c>
      <c r="B1354" s="660">
        <v>60</v>
      </c>
      <c r="C1354" s="660">
        <v>30</v>
      </c>
      <c r="D1354" s="668">
        <f>'INSUMOS VARIOS'!B3</f>
        <v>3500</v>
      </c>
      <c r="E1354" s="669">
        <f>D1354*C1354/B1354</f>
        <v>1750</v>
      </c>
      <c r="F1354" s="1" t="s">
        <v>3023</v>
      </c>
      <c r="G1354" s="658"/>
      <c r="H1354" s="653"/>
    </row>
    <row r="1355" spans="1:10" ht="15.75" thickBot="1" x14ac:dyDescent="0.3">
      <c r="A1355" s="670" t="s">
        <v>525</v>
      </c>
      <c r="B1355" s="671"/>
      <c r="C1355" s="671"/>
      <c r="D1355" s="672"/>
      <c r="E1355" s="673">
        <f>SUM(E1339:E1354)</f>
        <v>13304.874603174603</v>
      </c>
      <c r="F1355" s="698">
        <f>E1355+G1356+G1357</f>
        <v>16582.874603174605</v>
      </c>
      <c r="G1355" s="658" t="s">
        <v>2028</v>
      </c>
      <c r="H1355" s="674" t="s">
        <v>2029</v>
      </c>
      <c r="I1355" s="652"/>
    </row>
    <row r="1356" spans="1:10" ht="16.5" thickBot="1" x14ac:dyDescent="0.3">
      <c r="A1356" s="675" t="s">
        <v>4918</v>
      </c>
      <c r="B1356" s="676"/>
      <c r="C1356" s="676"/>
      <c r="D1356" s="677"/>
      <c r="E1356" s="692">
        <f>E1355*2</f>
        <v>26609.749206349206</v>
      </c>
      <c r="F1356" s="957">
        <f>E1356+E1356*70%</f>
        <v>45236.573650793653</v>
      </c>
      <c r="G1356" s="680">
        <f>PACKAGING!I3</f>
        <v>2433</v>
      </c>
      <c r="H1356" s="702">
        <f>F1356+G1356+G1357</f>
        <v>48514.573650793653</v>
      </c>
      <c r="I1356" s="702"/>
    </row>
    <row r="1357" spans="1:10" ht="16.5" thickBot="1" x14ac:dyDescent="0.3">
      <c r="A1357" s="684" t="s">
        <v>1559</v>
      </c>
      <c r="B1357" s="685"/>
      <c r="C1357" s="685"/>
      <c r="D1357" s="686"/>
      <c r="E1357" s="686"/>
      <c r="F1357" s="816"/>
      <c r="G1357" s="701">
        <f>PACKAGING!I5</f>
        <v>845</v>
      </c>
      <c r="H1357" s="1446"/>
      <c r="I1357" s="1447">
        <f>I1356*60%</f>
        <v>0</v>
      </c>
    </row>
    <row r="1358" spans="1:10" ht="15.75" thickBot="1" x14ac:dyDescent="0.3"/>
    <row r="1359" spans="1:10" ht="16.5" thickBot="1" x14ac:dyDescent="0.3">
      <c r="A1359" s="1804" t="s">
        <v>4958</v>
      </c>
      <c r="B1359" s="1805"/>
      <c r="C1359" s="1805"/>
      <c r="D1359" s="1805"/>
      <c r="E1359" s="1806"/>
      <c r="F1359" s="653"/>
      <c r="G1359" s="653"/>
      <c r="H1359" s="653"/>
    </row>
    <row r="1360" spans="1:10" ht="15.75" x14ac:dyDescent="0.25">
      <c r="A1360" s="654" t="s">
        <v>916</v>
      </c>
      <c r="B1360" s="655" t="s">
        <v>743</v>
      </c>
      <c r="C1360" s="655" t="s">
        <v>1566</v>
      </c>
      <c r="D1360" s="656" t="s">
        <v>1035</v>
      </c>
      <c r="E1360" s="657" t="s">
        <v>1549</v>
      </c>
      <c r="F1360" s="658"/>
      <c r="G1360" s="653"/>
      <c r="H1360" s="653"/>
    </row>
    <row r="1361" spans="1:8" ht="15.75" x14ac:dyDescent="0.25">
      <c r="A1361" s="769" t="s">
        <v>3504</v>
      </c>
      <c r="B1361" s="660" t="s">
        <v>4864</v>
      </c>
      <c r="C1361" s="660">
        <v>49</v>
      </c>
      <c r="D1361" s="661">
        <f>PIEDRAS!F137</f>
        <v>76.5</v>
      </c>
      <c r="E1361" s="662">
        <f>D1361*C1361</f>
        <v>3748.5</v>
      </c>
      <c r="F1361" s="658"/>
      <c r="G1361" s="653"/>
      <c r="H1361" s="653"/>
    </row>
    <row r="1362" spans="1:8" ht="15.75" x14ac:dyDescent="0.25">
      <c r="A1362" s="666" t="s">
        <v>3505</v>
      </c>
      <c r="B1362" s="660" t="s">
        <v>4864</v>
      </c>
      <c r="C1362" s="660">
        <v>14</v>
      </c>
      <c r="D1362" s="661">
        <f>PIEDRAS!F142</f>
        <v>76.5</v>
      </c>
      <c r="E1362" s="662">
        <f>D1362*C1362</f>
        <v>1071</v>
      </c>
      <c r="F1362" s="658"/>
      <c r="G1362" s="653"/>
      <c r="H1362" s="653"/>
    </row>
    <row r="1363" spans="1:8" ht="15.75" x14ac:dyDescent="0.25">
      <c r="A1363" s="666" t="s">
        <v>4954</v>
      </c>
      <c r="B1363" s="660"/>
      <c r="C1363" s="660">
        <v>52</v>
      </c>
      <c r="D1363" s="661">
        <f>'PALAIS DU BIJOU'!O18</f>
        <v>2.625</v>
      </c>
      <c r="E1363" s="662">
        <f>D1363*C1363</f>
        <v>136.5</v>
      </c>
      <c r="F1363" s="658"/>
      <c r="G1363" s="653"/>
      <c r="H1363" s="653"/>
    </row>
    <row r="1364" spans="1:8" ht="15.75" x14ac:dyDescent="0.25">
      <c r="A1364" s="666" t="s">
        <v>4156</v>
      </c>
      <c r="B1364" s="660" t="s">
        <v>4957</v>
      </c>
      <c r="C1364" s="660">
        <v>6</v>
      </c>
      <c r="D1364" s="661">
        <f>FORNITURAS!I14</f>
        <v>145.375</v>
      </c>
      <c r="E1364" s="662">
        <f>D1364*C1364</f>
        <v>872.25</v>
      </c>
      <c r="F1364" s="658"/>
      <c r="G1364" s="653"/>
      <c r="H1364" s="653"/>
    </row>
    <row r="1365" spans="1:8" ht="15.75" x14ac:dyDescent="0.25">
      <c r="A1365" s="666" t="s">
        <v>4955</v>
      </c>
      <c r="B1365" s="660" t="s">
        <v>846</v>
      </c>
      <c r="C1365" s="660">
        <v>2</v>
      </c>
      <c r="D1365" s="661">
        <f>FORNITURAS!I5</f>
        <v>188.85714285714286</v>
      </c>
      <c r="E1365" s="662">
        <f>C1365*D1365</f>
        <v>377.71428571428572</v>
      </c>
      <c r="F1365" s="658"/>
      <c r="G1365" s="653"/>
      <c r="H1365" s="653"/>
    </row>
    <row r="1366" spans="1:8" ht="15.75" x14ac:dyDescent="0.25">
      <c r="A1366" s="666" t="s">
        <v>1012</v>
      </c>
      <c r="B1366" s="660"/>
      <c r="C1366" s="660">
        <v>2</v>
      </c>
      <c r="D1366" s="661">
        <f>FORNITURAS!D16</f>
        <v>45.05</v>
      </c>
      <c r="E1366" s="667">
        <f>D1366*C1366</f>
        <v>90.1</v>
      </c>
      <c r="F1366" s="658"/>
      <c r="G1366" s="653"/>
      <c r="H1366" s="653"/>
    </row>
    <row r="1367" spans="1:8" ht="15.75" x14ac:dyDescent="0.25">
      <c r="A1367" s="1736" t="s">
        <v>1971</v>
      </c>
      <c r="B1367" s="660" t="s">
        <v>1556</v>
      </c>
      <c r="C1367" s="660">
        <v>2</v>
      </c>
      <c r="D1367" s="661">
        <f>FORNITURAS!D4</f>
        <v>48.7</v>
      </c>
      <c r="E1367" s="667">
        <f>D1367*C1367</f>
        <v>97.4</v>
      </c>
      <c r="F1367" s="658"/>
      <c r="G1367" s="653"/>
      <c r="H1367" s="653"/>
    </row>
    <row r="1368" spans="1:8" ht="15.75" x14ac:dyDescent="0.25">
      <c r="A1368" s="1737"/>
      <c r="B1368" s="660" t="s">
        <v>1573</v>
      </c>
      <c r="C1368" s="660">
        <v>1</v>
      </c>
      <c r="D1368" s="661">
        <f>FORNITURAS!D7</f>
        <v>52</v>
      </c>
      <c r="E1368" s="667">
        <f>D1368*C1368</f>
        <v>52</v>
      </c>
      <c r="F1368" s="658"/>
      <c r="G1368" s="653"/>
      <c r="H1368" s="653"/>
    </row>
    <row r="1369" spans="1:8" ht="15.75" x14ac:dyDescent="0.25">
      <c r="A1369" s="666" t="s">
        <v>1587</v>
      </c>
      <c r="B1369" s="660" t="s">
        <v>937</v>
      </c>
      <c r="C1369" s="660">
        <v>1</v>
      </c>
      <c r="D1369" s="661">
        <f>FORNITURAS!D19</f>
        <v>855</v>
      </c>
      <c r="E1369" s="667">
        <f>D1369*C1369</f>
        <v>855</v>
      </c>
      <c r="F1369" s="658"/>
      <c r="G1369" s="653"/>
      <c r="H1369" s="653"/>
    </row>
    <row r="1370" spans="1:8" ht="15.75" x14ac:dyDescent="0.25">
      <c r="A1370" s="666" t="s">
        <v>4525</v>
      </c>
      <c r="B1370" s="660"/>
      <c r="C1370" s="660">
        <v>0.1</v>
      </c>
      <c r="D1370" s="661">
        <f>'AROS, CADENAS, DIJES, ETC'!K70</f>
        <v>5986</v>
      </c>
      <c r="E1370" s="667">
        <f>D1370*C1370</f>
        <v>598.6</v>
      </c>
      <c r="F1370" s="658"/>
      <c r="G1370" s="653"/>
      <c r="H1370" s="653"/>
    </row>
    <row r="1371" spans="1:8" ht="15.75" x14ac:dyDescent="0.25">
      <c r="A1371" s="666" t="s">
        <v>1557</v>
      </c>
      <c r="B1371" s="660"/>
      <c r="C1371" s="660"/>
      <c r="D1371" s="661"/>
      <c r="E1371" s="667">
        <f>PACKAGING!E4</f>
        <v>80</v>
      </c>
      <c r="F1371" s="653"/>
      <c r="G1371" s="658"/>
      <c r="H1371" s="653"/>
    </row>
    <row r="1372" spans="1:8" ht="15.75" x14ac:dyDescent="0.25">
      <c r="A1372" s="666" t="s">
        <v>3362</v>
      </c>
      <c r="B1372" s="660"/>
      <c r="C1372" s="660"/>
      <c r="D1372" s="661"/>
      <c r="E1372" s="667">
        <f>PACKAGING!E17</f>
        <v>7.5</v>
      </c>
      <c r="F1372" s="653"/>
      <c r="G1372" s="658"/>
      <c r="H1372" s="653"/>
    </row>
    <row r="1373" spans="1:8" ht="15.75" x14ac:dyDescent="0.25">
      <c r="A1373" s="666" t="s">
        <v>1746</v>
      </c>
      <c r="B1373" s="660"/>
      <c r="C1373" s="660"/>
      <c r="D1373" s="661"/>
      <c r="E1373" s="667">
        <v>60</v>
      </c>
      <c r="F1373" s="653"/>
      <c r="G1373" s="658"/>
      <c r="H1373" s="653"/>
    </row>
    <row r="1374" spans="1:8" ht="15.75" x14ac:dyDescent="0.25">
      <c r="A1374" s="666" t="s">
        <v>3568</v>
      </c>
      <c r="B1374" s="660"/>
      <c r="C1374" s="660"/>
      <c r="D1374" s="661"/>
      <c r="E1374" s="667">
        <f>PACKAGING!I5</f>
        <v>845</v>
      </c>
      <c r="F1374" s="653"/>
      <c r="G1374" s="658"/>
      <c r="H1374" s="653"/>
    </row>
    <row r="1375" spans="1:8" ht="15.75" x14ac:dyDescent="0.25">
      <c r="A1375" s="683" t="s">
        <v>1618</v>
      </c>
      <c r="B1375" s="660">
        <v>60</v>
      </c>
      <c r="C1375" s="660">
        <v>30</v>
      </c>
      <c r="D1375" s="668">
        <f>'INSUMOS VARIOS'!B3</f>
        <v>3500</v>
      </c>
      <c r="E1375" s="669">
        <f>D1375*C1375/B1375</f>
        <v>1750</v>
      </c>
      <c r="F1375" s="653"/>
      <c r="G1375" s="658"/>
      <c r="H1375" s="653"/>
    </row>
    <row r="1376" spans="1:8" ht="16.5" thickBot="1" x14ac:dyDescent="0.3">
      <c r="A1376" s="670" t="s">
        <v>525</v>
      </c>
      <c r="B1376" s="671"/>
      <c r="C1376" s="671"/>
      <c r="D1376" s="672"/>
      <c r="E1376" s="673">
        <f>SUM(E1361:E1375)</f>
        <v>10641.564285714285</v>
      </c>
      <c r="F1376" s="658"/>
      <c r="G1376" s="653"/>
      <c r="H1376" s="653"/>
    </row>
    <row r="1377" spans="1:8" ht="16.5" thickBot="1" x14ac:dyDescent="0.3">
      <c r="A1377" s="675" t="s">
        <v>4918</v>
      </c>
      <c r="B1377" s="676"/>
      <c r="C1377" s="676"/>
      <c r="D1377" s="677"/>
      <c r="E1377" s="692">
        <f>E1376*2</f>
        <v>21283.12857142857</v>
      </c>
      <c r="F1377" s="957">
        <f>E1377+E1377*70%</f>
        <v>36181.318571428565</v>
      </c>
      <c r="G1377" s="681"/>
      <c r="H1377" s="653"/>
    </row>
    <row r="1378" spans="1:8" ht="16.5" thickBot="1" x14ac:dyDescent="0.3">
      <c r="A1378" s="684" t="s">
        <v>1559</v>
      </c>
      <c r="B1378" s="685"/>
      <c r="C1378" s="685"/>
      <c r="D1378" s="686"/>
      <c r="E1378" s="686"/>
      <c r="F1378" s="816"/>
      <c r="G1378" s="1275">
        <f>G1377*60%</f>
        <v>0</v>
      </c>
      <c r="H1378" s="1276" t="s">
        <v>3687</v>
      </c>
    </row>
    <row r="1379" spans="1:8" ht="15.75" thickBot="1" x14ac:dyDescent="0.3"/>
    <row r="1380" spans="1:8" ht="16.5" thickBot="1" x14ac:dyDescent="0.3">
      <c r="A1380" s="1804" t="s">
        <v>5048</v>
      </c>
      <c r="B1380" s="1805"/>
      <c r="C1380" s="1805"/>
      <c r="D1380" s="1805"/>
      <c r="E1380" s="1806"/>
      <c r="F1380" s="653"/>
      <c r="G1380" s="653"/>
      <c r="H1380" s="653"/>
    </row>
    <row r="1381" spans="1:8" ht="15.75" x14ac:dyDescent="0.25">
      <c r="A1381" s="654" t="s">
        <v>916</v>
      </c>
      <c r="B1381" s="655" t="s">
        <v>743</v>
      </c>
      <c r="C1381" s="655" t="s">
        <v>1566</v>
      </c>
      <c r="D1381" s="656" t="s">
        <v>1035</v>
      </c>
      <c r="E1381" s="657" t="s">
        <v>1549</v>
      </c>
      <c r="F1381" s="658"/>
      <c r="G1381" s="653"/>
      <c r="H1381" s="653"/>
    </row>
    <row r="1382" spans="1:8" ht="15.75" x14ac:dyDescent="0.25">
      <c r="A1382" s="769" t="s">
        <v>1742</v>
      </c>
      <c r="B1382" s="660" t="s">
        <v>3532</v>
      </c>
      <c r="C1382" s="660">
        <v>5</v>
      </c>
      <c r="D1382" s="661">
        <f>'PERLAS 2'!H23</f>
        <v>281.60000000000002</v>
      </c>
      <c r="E1382" s="662">
        <f t="shared" ref="E1382:E1387" si="51">D1382*C1382</f>
        <v>1408</v>
      </c>
      <c r="F1382" s="658"/>
      <c r="G1382" s="653"/>
      <c r="H1382" s="653"/>
    </row>
    <row r="1383" spans="1:8" ht="15.75" x14ac:dyDescent="0.25">
      <c r="A1383" s="769" t="s">
        <v>5044</v>
      </c>
      <c r="B1383" s="660" t="s">
        <v>3521</v>
      </c>
      <c r="C1383" s="660">
        <v>33</v>
      </c>
      <c r="D1383" s="661">
        <f>PIEDRAS!F25</f>
        <v>102.05882352941177</v>
      </c>
      <c r="E1383" s="662">
        <f t="shared" si="51"/>
        <v>3367.9411764705883</v>
      </c>
      <c r="F1383" s="658"/>
      <c r="G1383" s="653"/>
      <c r="H1383" s="653"/>
    </row>
    <row r="1384" spans="1:8" ht="15.75" x14ac:dyDescent="0.25">
      <c r="A1384" s="769" t="s">
        <v>5028</v>
      </c>
      <c r="B1384" s="660"/>
      <c r="C1384" s="660">
        <v>6</v>
      </c>
      <c r="D1384" s="661">
        <f>PIEDRAS!F48</f>
        <v>293.75</v>
      </c>
      <c r="E1384" s="662">
        <f t="shared" si="51"/>
        <v>1762.5</v>
      </c>
      <c r="F1384" s="658"/>
      <c r="G1384" s="653"/>
      <c r="H1384" s="653"/>
    </row>
    <row r="1385" spans="1:8" ht="15.75" x14ac:dyDescent="0.25">
      <c r="A1385" s="769" t="s">
        <v>5049</v>
      </c>
      <c r="B1385" s="660"/>
      <c r="C1385" s="660">
        <v>51</v>
      </c>
      <c r="D1385" s="661">
        <f>'PALAIS DU BIJOU'!O19</f>
        <v>3.4375</v>
      </c>
      <c r="E1385" s="662">
        <f t="shared" si="51"/>
        <v>175.3125</v>
      </c>
      <c r="F1385" s="658"/>
      <c r="G1385" s="653"/>
      <c r="H1385" s="653"/>
    </row>
    <row r="1386" spans="1:8" ht="15.75" x14ac:dyDescent="0.25">
      <c r="A1386" s="769" t="s">
        <v>3411</v>
      </c>
      <c r="B1386" s="660" t="s">
        <v>3521</v>
      </c>
      <c r="C1386" s="660">
        <v>5</v>
      </c>
      <c r="D1386" s="661">
        <f>PIEDRAS!F137</f>
        <v>76.5</v>
      </c>
      <c r="E1386" s="662">
        <f t="shared" si="51"/>
        <v>382.5</v>
      </c>
      <c r="F1386" s="658"/>
      <c r="G1386" s="653"/>
      <c r="H1386" s="653"/>
    </row>
    <row r="1387" spans="1:8" ht="15.75" x14ac:dyDescent="0.25">
      <c r="A1387" s="769" t="s">
        <v>3505</v>
      </c>
      <c r="B1387" s="660" t="s">
        <v>3521</v>
      </c>
      <c r="C1387" s="660">
        <v>3</v>
      </c>
      <c r="D1387" s="661">
        <f>PIEDRAS!F142</f>
        <v>76.5</v>
      </c>
      <c r="E1387" s="662">
        <f t="shared" si="51"/>
        <v>229.5</v>
      </c>
      <c r="F1387" s="658"/>
      <c r="G1387" s="653"/>
      <c r="H1387" s="653"/>
    </row>
    <row r="1388" spans="1:8" ht="15.75" x14ac:dyDescent="0.25">
      <c r="A1388" s="769" t="s">
        <v>3173</v>
      </c>
      <c r="B1388" s="660"/>
      <c r="C1388" s="660">
        <v>2</v>
      </c>
      <c r="D1388" s="661">
        <f>FORNITURAS!D37</f>
        <v>299.5</v>
      </c>
      <c r="E1388" s="662">
        <f t="shared" ref="E1388:E1395" si="52">D1388*C1388</f>
        <v>599</v>
      </c>
      <c r="F1388" s="658"/>
      <c r="G1388" s="653"/>
      <c r="H1388" s="653"/>
    </row>
    <row r="1389" spans="1:8" ht="15.75" x14ac:dyDescent="0.25">
      <c r="A1389" s="666" t="s">
        <v>1554</v>
      </c>
      <c r="B1389" s="660" t="s">
        <v>777</v>
      </c>
      <c r="C1389" s="660">
        <v>2</v>
      </c>
      <c r="D1389" s="661">
        <f>FORNITURAS!D24</f>
        <v>34.666666666666664</v>
      </c>
      <c r="E1389" s="662">
        <f t="shared" si="52"/>
        <v>69.333333333333329</v>
      </c>
      <c r="F1389" s="658"/>
      <c r="G1389" s="653"/>
      <c r="H1389" s="653"/>
    </row>
    <row r="1390" spans="1:8" ht="15.75" x14ac:dyDescent="0.25">
      <c r="A1390" s="666" t="s">
        <v>4525</v>
      </c>
      <c r="B1390" s="660"/>
      <c r="C1390" s="660">
        <v>0.1</v>
      </c>
      <c r="D1390" s="661">
        <f>'AROS, CADENAS, DIJES, ETC'!K70</f>
        <v>5986</v>
      </c>
      <c r="E1390" s="662">
        <f t="shared" si="52"/>
        <v>598.6</v>
      </c>
      <c r="F1390" s="658"/>
      <c r="G1390" s="653"/>
      <c r="H1390" s="653"/>
    </row>
    <row r="1391" spans="1:8" ht="15.75" x14ac:dyDescent="0.25">
      <c r="A1391" s="666" t="s">
        <v>3096</v>
      </c>
      <c r="B1391" s="660" t="s">
        <v>937</v>
      </c>
      <c r="C1391" s="660">
        <v>1</v>
      </c>
      <c r="D1391" s="661">
        <f>FORNITURAS!D19</f>
        <v>855</v>
      </c>
      <c r="E1391" s="662">
        <f t="shared" si="52"/>
        <v>855</v>
      </c>
      <c r="F1391" s="658"/>
      <c r="G1391" s="653"/>
      <c r="H1391" s="653"/>
    </row>
    <row r="1392" spans="1:8" ht="15.75" x14ac:dyDescent="0.25">
      <c r="A1392" s="769" t="s">
        <v>1012</v>
      </c>
      <c r="B1392" s="660"/>
      <c r="C1392" s="660">
        <v>2</v>
      </c>
      <c r="D1392" s="661">
        <f>FORNITURAS!D16</f>
        <v>45.05</v>
      </c>
      <c r="E1392" s="662">
        <f t="shared" si="52"/>
        <v>90.1</v>
      </c>
      <c r="F1392" s="658"/>
      <c r="G1392" s="653"/>
      <c r="H1392" s="653"/>
    </row>
    <row r="1393" spans="1:9" ht="15.75" x14ac:dyDescent="0.25">
      <c r="A1393" s="666" t="s">
        <v>5036</v>
      </c>
      <c r="B1393" s="660"/>
      <c r="C1393" s="660">
        <v>0.6</v>
      </c>
      <c r="D1393" s="661">
        <f>'HILOS-CORDONES-TANZA-CUERO'!E28</f>
        <v>19</v>
      </c>
      <c r="E1393" s="662">
        <f t="shared" si="52"/>
        <v>11.4</v>
      </c>
      <c r="F1393" s="658"/>
      <c r="G1393" s="653"/>
      <c r="H1393" s="653"/>
    </row>
    <row r="1394" spans="1:9" ht="15.75" x14ac:dyDescent="0.25">
      <c r="A1394" s="1736" t="s">
        <v>1971</v>
      </c>
      <c r="B1394" s="660" t="s">
        <v>1556</v>
      </c>
      <c r="C1394" s="660">
        <v>3</v>
      </c>
      <c r="D1394" s="661">
        <f>FORNITURAS!D4</f>
        <v>48.7</v>
      </c>
      <c r="E1394" s="667">
        <f t="shared" si="52"/>
        <v>146.10000000000002</v>
      </c>
      <c r="F1394" s="658"/>
      <c r="G1394" s="653"/>
      <c r="H1394" s="653"/>
    </row>
    <row r="1395" spans="1:9" ht="15.75" x14ac:dyDescent="0.25">
      <c r="A1395" s="1737"/>
      <c r="B1395" s="660" t="s">
        <v>1573</v>
      </c>
      <c r="C1395" s="660">
        <v>1</v>
      </c>
      <c r="D1395" s="661">
        <f>FORNITURAS!D7</f>
        <v>52</v>
      </c>
      <c r="E1395" s="667">
        <f t="shared" si="52"/>
        <v>52</v>
      </c>
      <c r="F1395" s="658"/>
      <c r="G1395" s="653"/>
      <c r="H1395" s="653"/>
    </row>
    <row r="1396" spans="1:9" ht="15.75" x14ac:dyDescent="0.25">
      <c r="A1396" s="666" t="s">
        <v>3571</v>
      </c>
      <c r="B1396" s="660"/>
      <c r="C1396" s="660"/>
      <c r="D1396" s="661"/>
      <c r="E1396" s="667">
        <f>PACKAGING!E7</f>
        <v>170</v>
      </c>
      <c r="F1396" s="658"/>
      <c r="G1396" s="653"/>
      <c r="H1396" s="653"/>
    </row>
    <row r="1397" spans="1:9" ht="15.75" x14ac:dyDescent="0.25">
      <c r="A1397" s="666" t="s">
        <v>1557</v>
      </c>
      <c r="B1397" s="660"/>
      <c r="C1397" s="660"/>
      <c r="D1397" s="661"/>
      <c r="E1397" s="667">
        <f>PACKAGING!E3</f>
        <v>150</v>
      </c>
      <c r="F1397" s="658"/>
      <c r="G1397" s="653"/>
      <c r="H1397" s="653"/>
    </row>
    <row r="1398" spans="1:9" ht="15.75" x14ac:dyDescent="0.25">
      <c r="A1398" s="683" t="s">
        <v>1618</v>
      </c>
      <c r="B1398" s="660">
        <v>60</v>
      </c>
      <c r="C1398" s="660">
        <v>30</v>
      </c>
      <c r="D1398" s="668">
        <f>'INSUMOS VARIOS'!B3</f>
        <v>3500</v>
      </c>
      <c r="E1398" s="669">
        <f>D1398*C1398/B1398</f>
        <v>1750</v>
      </c>
      <c r="F1398" s="1" t="s">
        <v>3023</v>
      </c>
      <c r="G1398" s="658"/>
      <c r="H1398" s="653"/>
    </row>
    <row r="1399" spans="1:9" ht="15.75" thickBot="1" x14ac:dyDescent="0.3">
      <c r="A1399" s="670" t="s">
        <v>525</v>
      </c>
      <c r="B1399" s="671"/>
      <c r="C1399" s="671"/>
      <c r="D1399" s="672"/>
      <c r="E1399" s="673">
        <f>SUM(E1382:E1398)</f>
        <v>11817.287009803922</v>
      </c>
      <c r="F1399" s="698">
        <f>E1399+G1400+G1401</f>
        <v>15095.287009803922</v>
      </c>
      <c r="G1399" s="658" t="s">
        <v>2028</v>
      </c>
      <c r="H1399" s="674" t="s">
        <v>2029</v>
      </c>
      <c r="I1399" s="652"/>
    </row>
    <row r="1400" spans="1:9" ht="16.5" thickBot="1" x14ac:dyDescent="0.3">
      <c r="A1400" s="675" t="s">
        <v>4918</v>
      </c>
      <c r="B1400" s="676"/>
      <c r="C1400" s="676"/>
      <c r="D1400" s="677"/>
      <c r="E1400" s="692">
        <f>E1399*2</f>
        <v>23634.574019607844</v>
      </c>
      <c r="F1400" s="957">
        <f>E1400+E1400*70%</f>
        <v>40178.775833333333</v>
      </c>
      <c r="G1400" s="680">
        <f>PACKAGING!I3</f>
        <v>2433</v>
      </c>
      <c r="H1400" s="702">
        <f>F1400+G1400+G1401</f>
        <v>43456.775833333333</v>
      </c>
      <c r="I1400" s="702"/>
    </row>
    <row r="1401" spans="1:9" ht="16.5" thickBot="1" x14ac:dyDescent="0.3">
      <c r="A1401" s="684" t="s">
        <v>1559</v>
      </c>
      <c r="B1401" s="685"/>
      <c r="C1401" s="685"/>
      <c r="D1401" s="686"/>
      <c r="E1401" s="686"/>
      <c r="F1401" s="816"/>
      <c r="G1401" s="701">
        <f>PACKAGING!I5</f>
        <v>845</v>
      </c>
      <c r="H1401" s="1446"/>
      <c r="I1401" s="1447"/>
    </row>
    <row r="1402" spans="1:9" ht="15.75" thickBot="1" x14ac:dyDescent="0.3"/>
    <row r="1403" spans="1:9" ht="16.5" thickBot="1" x14ac:dyDescent="0.3">
      <c r="A1403" s="1804" t="s">
        <v>4941</v>
      </c>
      <c r="B1403" s="1805"/>
      <c r="C1403" s="1805"/>
      <c r="D1403" s="1805"/>
      <c r="E1403" s="1806"/>
      <c r="F1403" s="1294"/>
      <c r="G1403" s="653"/>
      <c r="H1403" s="653"/>
    </row>
    <row r="1404" spans="1:9" ht="15.75" x14ac:dyDescent="0.25">
      <c r="A1404" s="654" t="s">
        <v>916</v>
      </c>
      <c r="B1404" s="655" t="s">
        <v>743</v>
      </c>
      <c r="C1404" s="655" t="s">
        <v>1566</v>
      </c>
      <c r="D1404" s="656" t="s">
        <v>1035</v>
      </c>
      <c r="E1404" s="657" t="s">
        <v>1549</v>
      </c>
      <c r="F1404" s="658"/>
      <c r="G1404" s="653"/>
      <c r="H1404" s="653"/>
    </row>
    <row r="1405" spans="1:9" ht="15.75" x14ac:dyDescent="0.25">
      <c r="A1405" s="659" t="s">
        <v>4942</v>
      </c>
      <c r="B1405" s="660">
        <v>0.39500000000000002</v>
      </c>
      <c r="C1405" s="660">
        <v>0.38500000000000001</v>
      </c>
      <c r="D1405" s="661">
        <f>PIEDRAS!E44</f>
        <v>7600</v>
      </c>
      <c r="E1405" s="662">
        <f>D1405*C1405/B1405</f>
        <v>7407.5949367088606</v>
      </c>
      <c r="F1405" s="658"/>
      <c r="G1405" s="653"/>
      <c r="H1405" s="653"/>
    </row>
    <row r="1406" spans="1:9" ht="15.75" x14ac:dyDescent="0.25">
      <c r="A1406" s="659" t="s">
        <v>4940</v>
      </c>
      <c r="B1406" s="660"/>
      <c r="C1406" s="660">
        <v>1.1000000000000001</v>
      </c>
      <c r="D1406" s="661">
        <f>'HILOS-CORDONES-TANZA-CUERO'!E26</f>
        <v>33.333333333333336</v>
      </c>
      <c r="E1406" s="662">
        <f>D1406*C1406</f>
        <v>36.666666666666671</v>
      </c>
      <c r="F1406" s="658"/>
      <c r="G1406" s="653"/>
      <c r="H1406" s="653"/>
    </row>
    <row r="1407" spans="1:9" ht="15.75" x14ac:dyDescent="0.25">
      <c r="A1407" s="1736" t="s">
        <v>1572</v>
      </c>
      <c r="B1407" s="660" t="s">
        <v>1556</v>
      </c>
      <c r="C1407" s="660">
        <v>3</v>
      </c>
      <c r="D1407" s="661">
        <f>FORNITURAS!D4</f>
        <v>48.7</v>
      </c>
      <c r="E1407" s="662">
        <f t="shared" ref="E1407:E1408" si="53">D1407*C1407</f>
        <v>146.10000000000002</v>
      </c>
      <c r="F1407" s="658"/>
      <c r="G1407" s="653"/>
      <c r="H1407" s="653"/>
    </row>
    <row r="1408" spans="1:9" ht="15.75" x14ac:dyDescent="0.25">
      <c r="A1408" s="1737"/>
      <c r="B1408" s="660" t="s">
        <v>1573</v>
      </c>
      <c r="C1408" s="660">
        <v>1</v>
      </c>
      <c r="D1408" s="661">
        <f>FORNITURAS!D7</f>
        <v>52</v>
      </c>
      <c r="E1408" s="662">
        <f t="shared" si="53"/>
        <v>52</v>
      </c>
      <c r="F1408" s="658"/>
      <c r="G1408" s="653"/>
      <c r="H1408" s="653"/>
    </row>
    <row r="1409" spans="1:8" ht="15.75" x14ac:dyDescent="0.25">
      <c r="A1409" s="666" t="s">
        <v>1608</v>
      </c>
      <c r="B1409" s="660"/>
      <c r="C1409" s="660">
        <v>0.1</v>
      </c>
      <c r="D1409" s="661">
        <f>'AROS, CADENAS, DIJES, ETC'!K70</f>
        <v>5986</v>
      </c>
      <c r="E1409" s="662">
        <f>C1409*D1409</f>
        <v>598.6</v>
      </c>
      <c r="F1409" s="658"/>
      <c r="G1409" s="653"/>
      <c r="H1409" s="653"/>
    </row>
    <row r="1410" spans="1:8" ht="15.75" x14ac:dyDescent="0.25">
      <c r="A1410" s="666" t="s">
        <v>1554</v>
      </c>
      <c r="B1410" s="660" t="s">
        <v>777</v>
      </c>
      <c r="C1410" s="660">
        <v>2</v>
      </c>
      <c r="D1410" s="661">
        <f>FORNITURAS!D24</f>
        <v>34.666666666666664</v>
      </c>
      <c r="E1410" s="662">
        <f>D1410*C1410</f>
        <v>69.333333333333329</v>
      </c>
      <c r="F1410" s="658"/>
      <c r="G1410" s="653"/>
      <c r="H1410" s="653"/>
    </row>
    <row r="1411" spans="1:8" ht="15.75" x14ac:dyDescent="0.25">
      <c r="A1411" s="666" t="s">
        <v>1587</v>
      </c>
      <c r="B1411" s="660"/>
      <c r="C1411" s="660">
        <v>1</v>
      </c>
      <c r="D1411" s="661">
        <f>FORNITURAS!H44</f>
        <v>485</v>
      </c>
      <c r="E1411" s="662">
        <f>C1411*D1411</f>
        <v>485</v>
      </c>
      <c r="F1411" s="658"/>
      <c r="G1411" s="653"/>
    </row>
    <row r="1412" spans="1:8" ht="15.75" x14ac:dyDescent="0.25">
      <c r="A1412" s="666" t="s">
        <v>1557</v>
      </c>
      <c r="B1412" s="660"/>
      <c r="C1412" s="660"/>
      <c r="D1412" s="661"/>
      <c r="E1412" s="667">
        <f>PACKAGING!E4</f>
        <v>80</v>
      </c>
      <c r="F1412" s="653"/>
      <c r="G1412" s="658"/>
    </row>
    <row r="1413" spans="1:8" ht="15.75" x14ac:dyDescent="0.25">
      <c r="A1413" s="666" t="s">
        <v>3362</v>
      </c>
      <c r="B1413" s="660"/>
      <c r="C1413" s="660"/>
      <c r="D1413" s="661"/>
      <c r="E1413" s="667">
        <f>PACKAGING!E17</f>
        <v>7.5</v>
      </c>
      <c r="F1413" s="653"/>
      <c r="G1413" s="658"/>
    </row>
    <row r="1414" spans="1:8" ht="15.75" x14ac:dyDescent="0.25">
      <c r="A1414" s="666" t="s">
        <v>1634</v>
      </c>
      <c r="B1414" s="660"/>
      <c r="C1414" s="660"/>
      <c r="D1414" s="661"/>
      <c r="E1414" s="667">
        <f>PACKAGING!E7</f>
        <v>170</v>
      </c>
      <c r="F1414" s="653"/>
      <c r="G1414" s="658"/>
    </row>
    <row r="1415" spans="1:8" ht="15.75" x14ac:dyDescent="0.25">
      <c r="A1415" s="1339" t="s">
        <v>3568</v>
      </c>
      <c r="B1415" s="660"/>
      <c r="C1415" s="660"/>
      <c r="D1415" s="668"/>
      <c r="E1415" s="667">
        <f>PACKAGING!I5</f>
        <v>845</v>
      </c>
      <c r="F1415" s="653"/>
      <c r="G1415" s="658"/>
    </row>
    <row r="1416" spans="1:8" ht="15.75" x14ac:dyDescent="0.25">
      <c r="A1416" s="683" t="s">
        <v>1618</v>
      </c>
      <c r="B1416" s="660">
        <v>60</v>
      </c>
      <c r="C1416" s="660">
        <v>30</v>
      </c>
      <c r="D1416" s="668">
        <f>'INSUMOS VARIOS'!B3</f>
        <v>3500</v>
      </c>
      <c r="E1416" s="669">
        <f>D1416*C1416/B1416</f>
        <v>1750</v>
      </c>
      <c r="F1416" s="1"/>
      <c r="G1416" s="658"/>
    </row>
    <row r="1417" spans="1:8" ht="16.5" thickBot="1" x14ac:dyDescent="0.3">
      <c r="A1417" s="670" t="s">
        <v>525</v>
      </c>
      <c r="B1417" s="671"/>
      <c r="C1417" s="671"/>
      <c r="D1417" s="672"/>
      <c r="E1417" s="673">
        <f>SUM(E1405:E1416)</f>
        <v>11647.794936708862</v>
      </c>
      <c r="F1417" s="698"/>
      <c r="G1417" s="653"/>
    </row>
    <row r="1418" spans="1:8" ht="16.5" thickBot="1" x14ac:dyDescent="0.3">
      <c r="A1418" s="675" t="s">
        <v>4918</v>
      </c>
      <c r="B1418" s="676"/>
      <c r="C1418" s="676"/>
      <c r="D1418" s="677"/>
      <c r="E1418" s="692">
        <f>E1417*2</f>
        <v>23295.589873417724</v>
      </c>
      <c r="F1418" s="957">
        <f>E1418+E1418*70%</f>
        <v>39602.502784810131</v>
      </c>
      <c r="G1418" s="681"/>
    </row>
    <row r="1419" spans="1:8" ht="16.5" thickBot="1" x14ac:dyDescent="0.3">
      <c r="A1419" s="684" t="s">
        <v>1559</v>
      </c>
      <c r="B1419" s="685"/>
      <c r="C1419" s="685"/>
      <c r="D1419" s="686"/>
      <c r="E1419" s="686"/>
      <c r="F1419" s="816"/>
      <c r="G1419" s="1275">
        <f>G1418*60%</f>
        <v>0</v>
      </c>
      <c r="H1419" t="s">
        <v>3688</v>
      </c>
    </row>
  </sheetData>
  <mergeCells count="138">
    <mergeCell ref="A1153:E1153"/>
    <mergeCell ref="A1160:A1161"/>
    <mergeCell ref="A1157:A1158"/>
    <mergeCell ref="A1337:E1337"/>
    <mergeCell ref="A1317:E1317"/>
    <mergeCell ref="A1321:A1322"/>
    <mergeCell ref="A1403:E1403"/>
    <mergeCell ref="A1407:A1408"/>
    <mergeCell ref="A1046:E1046"/>
    <mergeCell ref="A1349:A1350"/>
    <mergeCell ref="A1359:E1359"/>
    <mergeCell ref="A1367:A1368"/>
    <mergeCell ref="A1380:E1380"/>
    <mergeCell ref="A1394:A1395"/>
    <mergeCell ref="A1084:E1084"/>
    <mergeCell ref="A1105:A1106"/>
    <mergeCell ref="A1086:A1087"/>
    <mergeCell ref="A1114:E1114"/>
    <mergeCell ref="A1120:A1121"/>
    <mergeCell ref="A1133:E1133"/>
    <mergeCell ref="A1139:A1140"/>
    <mergeCell ref="A1213:E1213"/>
    <mergeCell ref="A865:E865"/>
    <mergeCell ref="A870:A871"/>
    <mergeCell ref="A1011:E1011"/>
    <mergeCell ref="A890:A891"/>
    <mergeCell ref="A947:E947"/>
    <mergeCell ref="A951:A953"/>
    <mergeCell ref="A907:E907"/>
    <mergeCell ref="A911:A913"/>
    <mergeCell ref="A925:E925"/>
    <mergeCell ref="A931:A932"/>
    <mergeCell ref="A893:A894"/>
    <mergeCell ref="A965:E965"/>
    <mergeCell ref="A980:E980"/>
    <mergeCell ref="A995:E995"/>
    <mergeCell ref="A1027:E1027"/>
    <mergeCell ref="A1029:A1031"/>
    <mergeCell ref="A886:E886"/>
    <mergeCell ref="A848:A850"/>
    <mergeCell ref="A1198:A1199"/>
    <mergeCell ref="A444:E444"/>
    <mergeCell ref="A450:A451"/>
    <mergeCell ref="A404:E404"/>
    <mergeCell ref="A407:A408"/>
    <mergeCell ref="A424:E424"/>
    <mergeCell ref="A752:A753"/>
    <mergeCell ref="A594:E594"/>
    <mergeCell ref="A827:A828"/>
    <mergeCell ref="A679:A680"/>
    <mergeCell ref="A748:E748"/>
    <mergeCell ref="A841:E841"/>
    <mergeCell ref="A788:E788"/>
    <mergeCell ref="A806:E806"/>
    <mergeCell ref="A716:A717"/>
    <mergeCell ref="A730:E730"/>
    <mergeCell ref="A460:F460"/>
    <mergeCell ref="A598:A599"/>
    <mergeCell ref="A614:E614"/>
    <mergeCell ref="A558:A559"/>
    <mergeCell ref="A81:A83"/>
    <mergeCell ref="A229:A230"/>
    <mergeCell ref="A1:E1"/>
    <mergeCell ref="A4:A5"/>
    <mergeCell ref="A20:E20"/>
    <mergeCell ref="A22:A23"/>
    <mergeCell ref="A53:E53"/>
    <mergeCell ref="A38:A39"/>
    <mergeCell ref="A189:A191"/>
    <mergeCell ref="A205:E205"/>
    <mergeCell ref="A210:A211"/>
    <mergeCell ref="A226:E226"/>
    <mergeCell ref="A182:E182"/>
    <mergeCell ref="A58:A59"/>
    <mergeCell ref="A74:E74"/>
    <mergeCell ref="A138:E138"/>
    <mergeCell ref="A161:E161"/>
    <mergeCell ref="A165:A167"/>
    <mergeCell ref="A97:E97"/>
    <mergeCell ref="A101:A102"/>
    <mergeCell ref="A1195:E1195"/>
    <mergeCell ref="A267:A268"/>
    <mergeCell ref="A362:E362"/>
    <mergeCell ref="A304:E304"/>
    <mergeCell ref="A320:E320"/>
    <mergeCell ref="A323:A324"/>
    <mergeCell ref="A366:A367"/>
    <mergeCell ref="A387:A388"/>
    <mergeCell ref="A343:E343"/>
    <mergeCell ref="A347:A348"/>
    <mergeCell ref="A327:A328"/>
    <mergeCell ref="A773:A774"/>
    <mergeCell ref="A284:E284"/>
    <mergeCell ref="A288:A289"/>
    <mergeCell ref="A381:E381"/>
    <mergeCell ref="A516:E516"/>
    <mergeCell ref="A519:A520"/>
    <mergeCell ref="A535:E535"/>
    <mergeCell ref="A538:A539"/>
    <mergeCell ref="A555:E555"/>
    <mergeCell ref="A470:A471"/>
    <mergeCell ref="A480:F480"/>
    <mergeCell ref="A495:E495"/>
    <mergeCell ref="A824:E824"/>
    <mergeCell ref="A1175:E1175"/>
    <mergeCell ref="A1180:A1181"/>
    <mergeCell ref="A1063:E1063"/>
    <mergeCell ref="A1068:A1069"/>
    <mergeCell ref="A117:E117"/>
    <mergeCell ref="A121:A122"/>
    <mergeCell ref="A143:A145"/>
    <mergeCell ref="A245:E245"/>
    <mergeCell ref="A262:E262"/>
    <mergeCell ref="A574:E574"/>
    <mergeCell ref="A578:A579"/>
    <mergeCell ref="A693:E693"/>
    <mergeCell ref="A696:A697"/>
    <mergeCell ref="A618:A619"/>
    <mergeCell ref="A660:A661"/>
    <mergeCell ref="A634:E634"/>
    <mergeCell ref="A638:A639"/>
    <mergeCell ref="A654:E654"/>
    <mergeCell ref="A657:A658"/>
    <mergeCell ref="A675:E675"/>
    <mergeCell ref="A712:E712"/>
    <mergeCell ref="A810:A811"/>
    <mergeCell ref="A734:A735"/>
    <mergeCell ref="A768:E768"/>
    <mergeCell ref="A1298:A1300"/>
    <mergeCell ref="A1219:A1220"/>
    <mergeCell ref="A1234:E1234"/>
    <mergeCell ref="A1237:A1238"/>
    <mergeCell ref="A1251:E1251"/>
    <mergeCell ref="A1255:A1256"/>
    <mergeCell ref="A1270:E1270"/>
    <mergeCell ref="A1276:A1277"/>
    <mergeCell ref="A1272:A1273"/>
    <mergeCell ref="A1292:E1292"/>
  </mergeCells>
  <pageMargins left="0.7" right="0.7" top="0.75" bottom="0.75" header="0.3" footer="0.3"/>
  <pageSetup paperSize="261" orientation="portrait" horizontalDpi="180" verticalDpi="180" r:id="rId1"/>
  <ignoredErrors>
    <ignoredError sqref="E7 E40 E43 E61 E33 E85 E77 E100 E104 D123 E124 E147 E169 E185 E193 E213 E232 E248:E249 E270 E291 E307:E308 E326 E330 E350 E409 E430 E452 F468 F484 E521 E600 E662 E678 E681 E715 E718:E719 E733 E736:E737 E777 E844 E852 E873 E895 E868 E955 E1049 E1162 E1182 E1070 E1221 E1257 E1278 E1281 E1301 E1324" formula="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B1C73-863B-42B7-B2F8-6E840411BA82}">
  <dimension ref="A1:J69"/>
  <sheetViews>
    <sheetView topLeftCell="A49" workbookViewId="0">
      <selection activeCell="K55" sqref="K55"/>
    </sheetView>
  </sheetViews>
  <sheetFormatPr baseColWidth="10" defaultRowHeight="15" x14ac:dyDescent="0.25"/>
  <cols>
    <col min="1" max="1" width="43.7109375" bestFit="1" customWidth="1"/>
    <col min="5" max="5" width="12.85546875" bestFit="1" customWidth="1"/>
    <col min="6" max="6" width="18.5703125" bestFit="1" customWidth="1"/>
    <col min="7" max="7" width="12.85546875" bestFit="1" customWidth="1"/>
    <col min="8" max="8" width="16" customWidth="1"/>
    <col min="9" max="9" width="12.85546875" bestFit="1" customWidth="1"/>
  </cols>
  <sheetData>
    <row r="1" spans="1:10" ht="16.5" thickBot="1" x14ac:dyDescent="0.3">
      <c r="A1" s="1794" t="s">
        <v>4303</v>
      </c>
      <c r="B1" s="1795"/>
      <c r="C1" s="1795"/>
      <c r="D1" s="1795"/>
      <c r="E1" s="1796"/>
      <c r="F1" s="1294"/>
      <c r="G1" s="653"/>
      <c r="H1" s="653"/>
    </row>
    <row r="2" spans="1:10" ht="15.75" x14ac:dyDescent="0.25">
      <c r="A2" s="654" t="s">
        <v>916</v>
      </c>
      <c r="B2" s="655" t="s">
        <v>743</v>
      </c>
      <c r="C2" s="655" t="s">
        <v>1566</v>
      </c>
      <c r="D2" s="656" t="s">
        <v>1035</v>
      </c>
      <c r="E2" s="657" t="s">
        <v>1549</v>
      </c>
      <c r="F2" s="658"/>
      <c r="G2" s="653"/>
      <c r="H2" s="653"/>
    </row>
    <row r="3" spans="1:10" ht="15.75" x14ac:dyDescent="0.25">
      <c r="A3" s="1736" t="s">
        <v>1971</v>
      </c>
      <c r="B3" s="660" t="s">
        <v>1573</v>
      </c>
      <c r="C3" s="660">
        <v>1</v>
      </c>
      <c r="D3" s="661">
        <f>FORNITURAS!D7</f>
        <v>52</v>
      </c>
      <c r="E3" s="662">
        <f t="shared" ref="E3:E4" si="0">D3*C3</f>
        <v>52</v>
      </c>
      <c r="F3" s="658"/>
      <c r="G3" s="653"/>
      <c r="H3" s="653"/>
    </row>
    <row r="4" spans="1:10" ht="15.75" x14ac:dyDescent="0.25">
      <c r="A4" s="1737"/>
      <c r="B4" s="660" t="s">
        <v>1658</v>
      </c>
      <c r="C4" s="660">
        <v>1</v>
      </c>
      <c r="D4" s="661">
        <f>FORNITURAS!D8</f>
        <v>192.77777777777777</v>
      </c>
      <c r="E4" s="662">
        <f t="shared" si="0"/>
        <v>192.77777777777777</v>
      </c>
      <c r="F4" s="658"/>
      <c r="G4" s="653"/>
      <c r="H4" s="653"/>
    </row>
    <row r="5" spans="1:10" ht="15.75" x14ac:dyDescent="0.25">
      <c r="A5" s="666" t="s">
        <v>3096</v>
      </c>
      <c r="B5" s="660"/>
      <c r="C5" s="660">
        <v>1</v>
      </c>
      <c r="D5" s="661">
        <f>FORNITURAS!H45</f>
        <v>563</v>
      </c>
      <c r="E5" s="662">
        <f>D5*C5</f>
        <v>563</v>
      </c>
      <c r="F5" s="658"/>
      <c r="G5" s="653"/>
      <c r="H5" s="653"/>
    </row>
    <row r="6" spans="1:10" ht="15.75" x14ac:dyDescent="0.25">
      <c r="A6" s="666" t="s">
        <v>4491</v>
      </c>
      <c r="B6" s="660"/>
      <c r="C6" s="660"/>
      <c r="D6" s="661">
        <f>'AROS, CADENAS, DIJES, ETC'!K85</f>
        <v>8989</v>
      </c>
      <c r="E6" s="662">
        <f>D6</f>
        <v>8989</v>
      </c>
      <c r="F6" s="658"/>
      <c r="G6" s="653"/>
      <c r="H6" s="653"/>
    </row>
    <row r="7" spans="1:10" ht="15.75" x14ac:dyDescent="0.25">
      <c r="A7" s="666" t="s">
        <v>1557</v>
      </c>
      <c r="B7" s="660"/>
      <c r="C7" s="660"/>
      <c r="D7" s="661"/>
      <c r="E7" s="667">
        <f>PACKAGING!E4</f>
        <v>80</v>
      </c>
      <c r="F7" s="653"/>
      <c r="G7" s="658"/>
      <c r="H7" s="653"/>
    </row>
    <row r="8" spans="1:10" ht="15.75" x14ac:dyDescent="0.25">
      <c r="A8" s="666" t="s">
        <v>3362</v>
      </c>
      <c r="B8" s="660"/>
      <c r="C8" s="660"/>
      <c r="D8" s="661"/>
      <c r="E8" s="667">
        <f>PACKAGING!E17</f>
        <v>7.5</v>
      </c>
      <c r="F8" s="653"/>
      <c r="G8" s="658"/>
      <c r="H8" s="653"/>
    </row>
    <row r="9" spans="1:10" ht="15.75" x14ac:dyDescent="0.25">
      <c r="A9" s="666" t="s">
        <v>1634</v>
      </c>
      <c r="B9" s="660"/>
      <c r="C9" s="660"/>
      <c r="D9" s="661"/>
      <c r="E9" s="667">
        <f>PACKAGING!E7</f>
        <v>170</v>
      </c>
      <c r="F9" s="653"/>
      <c r="G9" s="658"/>
      <c r="H9" s="653"/>
    </row>
    <row r="10" spans="1:10" ht="15.75" x14ac:dyDescent="0.25">
      <c r="A10" s="683" t="s">
        <v>1618</v>
      </c>
      <c r="B10" s="660">
        <v>60</v>
      </c>
      <c r="C10" s="660">
        <v>30</v>
      </c>
      <c r="D10" s="668">
        <f>'INSUMOS VARIOS'!B3</f>
        <v>3500</v>
      </c>
      <c r="E10" s="669">
        <f>D10*C10/B10</f>
        <v>1750</v>
      </c>
      <c r="F10" s="1" t="s">
        <v>3023</v>
      </c>
      <c r="G10" s="658"/>
      <c r="H10" s="653"/>
    </row>
    <row r="11" spans="1:10" ht="15.75" thickBot="1" x14ac:dyDescent="0.3">
      <c r="A11" s="670" t="s">
        <v>525</v>
      </c>
      <c r="B11" s="671"/>
      <c r="C11" s="671"/>
      <c r="D11" s="672"/>
      <c r="E11" s="673">
        <f>SUM(E3:E10)</f>
        <v>11804.277777777777</v>
      </c>
      <c r="F11" s="698">
        <f>E11+G12+G13</f>
        <v>15082.277777777777</v>
      </c>
      <c r="G11" s="658" t="s">
        <v>2028</v>
      </c>
      <c r="H11" s="674" t="s">
        <v>2029</v>
      </c>
    </row>
    <row r="12" spans="1:10" ht="16.5" thickBot="1" x14ac:dyDescent="0.3">
      <c r="A12" s="675" t="s">
        <v>544</v>
      </c>
      <c r="B12" s="676"/>
      <c r="C12" s="676"/>
      <c r="D12" s="677"/>
      <c r="E12" s="692">
        <f>E11*2</f>
        <v>23608.555555555555</v>
      </c>
      <c r="F12" s="957">
        <f>E12+E12*70%</f>
        <v>40134.544444444444</v>
      </c>
      <c r="G12" s="681">
        <f>PACKAGING!I3</f>
        <v>2433</v>
      </c>
      <c r="H12" s="681">
        <f>F12+G12+G13</f>
        <v>43412.544444444444</v>
      </c>
      <c r="I12" s="681">
        <v>52000</v>
      </c>
    </row>
    <row r="13" spans="1:10" ht="16.5" thickBot="1" x14ac:dyDescent="0.3">
      <c r="A13" s="684" t="s">
        <v>1559</v>
      </c>
      <c r="B13" s="685"/>
      <c r="C13" s="685"/>
      <c r="D13" s="686"/>
      <c r="E13" s="686"/>
      <c r="F13" s="816"/>
      <c r="G13" s="702">
        <f>PACKAGING!I5</f>
        <v>845</v>
      </c>
      <c r="H13" s="1276"/>
      <c r="I13" s="1275">
        <f>I12*60%</f>
        <v>31200</v>
      </c>
      <c r="J13" t="s">
        <v>3687</v>
      </c>
    </row>
    <row r="14" spans="1:10" ht="15.75" thickBot="1" x14ac:dyDescent="0.3"/>
    <row r="15" spans="1:10" ht="16.5" thickBot="1" x14ac:dyDescent="0.3">
      <c r="A15" s="1811" t="s">
        <v>4601</v>
      </c>
      <c r="B15" s="1812"/>
      <c r="C15" s="1812"/>
      <c r="D15" s="1812"/>
      <c r="E15" s="1813"/>
      <c r="F15" s="1294"/>
      <c r="G15" s="653"/>
      <c r="H15" s="653"/>
    </row>
    <row r="16" spans="1:10" ht="15.75" x14ac:dyDescent="0.25">
      <c r="A16" s="654" t="s">
        <v>916</v>
      </c>
      <c r="B16" s="655" t="s">
        <v>743</v>
      </c>
      <c r="C16" s="655" t="s">
        <v>1566</v>
      </c>
      <c r="D16" s="656" t="s">
        <v>1035</v>
      </c>
      <c r="E16" s="657" t="s">
        <v>1549</v>
      </c>
      <c r="F16" s="658"/>
      <c r="G16" s="653"/>
      <c r="H16" s="653"/>
    </row>
    <row r="17" spans="1:8" ht="15.75" x14ac:dyDescent="0.25">
      <c r="A17" s="659" t="s">
        <v>4563</v>
      </c>
      <c r="B17" s="660"/>
      <c r="C17" s="660"/>
      <c r="D17" s="661">
        <f>'AROS, CADENAS, DIJES, ETC'!K89</f>
        <v>5726</v>
      </c>
      <c r="E17" s="662">
        <f>D17</f>
        <v>5726</v>
      </c>
      <c r="F17" s="658"/>
      <c r="G17" s="653"/>
      <c r="H17" s="653"/>
    </row>
    <row r="18" spans="1:8" ht="15.75" x14ac:dyDescent="0.25">
      <c r="A18" s="1155" t="s">
        <v>3753</v>
      </c>
      <c r="B18" s="660"/>
      <c r="C18" s="660">
        <v>1</v>
      </c>
      <c r="D18" s="661">
        <f>PIEDRAS!K69</f>
        <v>1560</v>
      </c>
      <c r="E18" s="662">
        <f>D18*C18</f>
        <v>1560</v>
      </c>
      <c r="F18" s="658"/>
      <c r="G18" s="653"/>
      <c r="H18" s="653"/>
    </row>
    <row r="19" spans="1:8" ht="15.75" x14ac:dyDescent="0.25">
      <c r="A19" s="1155" t="s">
        <v>4562</v>
      </c>
      <c r="B19" s="660"/>
      <c r="C19" s="660">
        <v>1</v>
      </c>
      <c r="D19" s="661">
        <f>FORNITURAS!O11</f>
        <v>1800</v>
      </c>
      <c r="E19" s="662">
        <f>D19*C19</f>
        <v>1800</v>
      </c>
      <c r="F19" s="658"/>
      <c r="G19" s="653"/>
      <c r="H19" s="653"/>
    </row>
    <row r="20" spans="1:8" ht="15.75" x14ac:dyDescent="0.25">
      <c r="A20" s="1749" t="s">
        <v>4556</v>
      </c>
      <c r="B20" s="660">
        <v>0.35</v>
      </c>
      <c r="C20" s="660">
        <v>2</v>
      </c>
      <c r="D20" s="661">
        <f>'HILOS-CORDONES-TANZA-CUERO'!E24</f>
        <v>56</v>
      </c>
      <c r="E20" s="662">
        <f>D20*C20*B20</f>
        <v>39.199999999999996</v>
      </c>
      <c r="F20" s="658"/>
      <c r="G20" s="653"/>
      <c r="H20" s="653"/>
    </row>
    <row r="21" spans="1:8" ht="15.75" x14ac:dyDescent="0.25">
      <c r="A21" s="1751"/>
      <c r="B21" s="660">
        <v>0.65</v>
      </c>
      <c r="C21" s="660">
        <v>1</v>
      </c>
      <c r="D21" s="661">
        <f>'HILOS-CORDONES-TANZA-CUERO'!E24</f>
        <v>56</v>
      </c>
      <c r="E21" s="662">
        <f>D21*C21*B21</f>
        <v>36.4</v>
      </c>
      <c r="F21" s="658"/>
      <c r="G21" s="653"/>
      <c r="H21" s="653"/>
    </row>
    <row r="22" spans="1:8" ht="15.75" x14ac:dyDescent="0.25">
      <c r="A22" s="769" t="s">
        <v>4163</v>
      </c>
      <c r="B22" s="660"/>
      <c r="C22" s="660">
        <v>1</v>
      </c>
      <c r="D22" s="661">
        <f>'INSUMOS VARIOS'!E78</f>
        <v>300</v>
      </c>
      <c r="E22" s="662">
        <f t="shared" ref="E22" si="1">D22*C22</f>
        <v>300</v>
      </c>
      <c r="F22" s="658"/>
      <c r="G22" s="653"/>
      <c r="H22" s="653"/>
    </row>
    <row r="23" spans="1:8" ht="15.75" x14ac:dyDescent="0.25">
      <c r="A23" s="1762" t="s">
        <v>1572</v>
      </c>
      <c r="B23" s="660" t="s">
        <v>1933</v>
      </c>
      <c r="C23" s="660">
        <v>1</v>
      </c>
      <c r="D23" s="661">
        <f>FORNITURAS!D5</f>
        <v>46.8</v>
      </c>
      <c r="E23" s="662">
        <f>D23*C23</f>
        <v>46.8</v>
      </c>
      <c r="F23" s="658"/>
      <c r="G23" s="653"/>
      <c r="H23" s="653"/>
    </row>
    <row r="24" spans="1:8" ht="15.75" x14ac:dyDescent="0.25">
      <c r="A24" s="1815"/>
      <c r="B24" s="660" t="s">
        <v>1573</v>
      </c>
      <c r="C24" s="660">
        <v>1</v>
      </c>
      <c r="D24" s="661">
        <f>FORNITURAS!D7</f>
        <v>52</v>
      </c>
      <c r="E24" s="662">
        <f>D24*C24</f>
        <v>52</v>
      </c>
      <c r="F24" s="658"/>
      <c r="G24" s="653"/>
      <c r="H24" s="653"/>
    </row>
    <row r="25" spans="1:8" ht="15.75" x14ac:dyDescent="0.25">
      <c r="A25" s="665" t="s">
        <v>1587</v>
      </c>
      <c r="B25" s="660"/>
      <c r="C25" s="660">
        <v>1</v>
      </c>
      <c r="D25" s="661">
        <f>FORNITURAS!F44</f>
        <v>158</v>
      </c>
      <c r="E25" s="662">
        <f>C25*D25</f>
        <v>158</v>
      </c>
      <c r="F25" s="658"/>
      <c r="G25" s="653"/>
      <c r="H25" s="653"/>
    </row>
    <row r="26" spans="1:8" ht="15.75" x14ac:dyDescent="0.25">
      <c r="A26" s="666" t="s">
        <v>1557</v>
      </c>
      <c r="B26" s="660"/>
      <c r="C26" s="660"/>
      <c r="D26" s="661"/>
      <c r="E26" s="667">
        <f>PACKAGING!E4</f>
        <v>80</v>
      </c>
      <c r="F26" s="653"/>
      <c r="G26" s="658"/>
      <c r="H26" s="653"/>
    </row>
    <row r="27" spans="1:8" ht="15.75" x14ac:dyDescent="0.25">
      <c r="A27" s="666" t="s">
        <v>3362</v>
      </c>
      <c r="B27" s="660"/>
      <c r="C27" s="660"/>
      <c r="D27" s="661"/>
      <c r="E27" s="667">
        <f>PACKAGING!E17</f>
        <v>7.5</v>
      </c>
      <c r="F27" s="653"/>
      <c r="G27" s="658"/>
      <c r="H27" s="653"/>
    </row>
    <row r="28" spans="1:8" ht="15.75" x14ac:dyDescent="0.25">
      <c r="A28" s="666" t="s">
        <v>1634</v>
      </c>
      <c r="B28" s="660"/>
      <c r="C28" s="660"/>
      <c r="D28" s="661"/>
      <c r="E28" s="667">
        <f>PACKAGING!E7</f>
        <v>170</v>
      </c>
      <c r="F28" s="653"/>
      <c r="G28" s="658"/>
      <c r="H28" s="653"/>
    </row>
    <row r="29" spans="1:8" ht="15.75" x14ac:dyDescent="0.25">
      <c r="A29" s="666" t="s">
        <v>3568</v>
      </c>
      <c r="B29" s="660"/>
      <c r="C29" s="660"/>
      <c r="D29" s="661"/>
      <c r="E29" s="667">
        <f>PACKAGING!I5</f>
        <v>845</v>
      </c>
      <c r="F29" s="653"/>
      <c r="G29" s="658"/>
      <c r="H29" s="653"/>
    </row>
    <row r="30" spans="1:8" ht="15.75" x14ac:dyDescent="0.25">
      <c r="A30" s="683" t="s">
        <v>1618</v>
      </c>
      <c r="B30" s="660">
        <v>60</v>
      </c>
      <c r="C30" s="660">
        <v>45</v>
      </c>
      <c r="D30" s="668">
        <f>'INSUMOS VARIOS'!B3</f>
        <v>3500</v>
      </c>
      <c r="E30" s="669">
        <f>D30*C30/B30</f>
        <v>2625</v>
      </c>
      <c r="F30" s="653"/>
      <c r="G30" s="658"/>
      <c r="H30" s="653"/>
    </row>
    <row r="31" spans="1:8" ht="16.5" thickBot="1" x14ac:dyDescent="0.3">
      <c r="A31" s="670" t="s">
        <v>525</v>
      </c>
      <c r="B31" s="671"/>
      <c r="C31" s="671"/>
      <c r="D31" s="672"/>
      <c r="E31" s="673">
        <f>SUM(E17:E30)</f>
        <v>13445.9</v>
      </c>
      <c r="F31" s="658"/>
      <c r="H31" s="653"/>
    </row>
    <row r="32" spans="1:8" ht="16.5" thickBot="1" x14ac:dyDescent="0.3">
      <c r="A32" s="675" t="s">
        <v>544</v>
      </c>
      <c r="B32" s="676"/>
      <c r="C32" s="676"/>
      <c r="D32" s="677"/>
      <c r="E32" s="692">
        <f>E31*2</f>
        <v>26891.8</v>
      </c>
      <c r="F32" s="957">
        <f>E32+E32*70%</f>
        <v>45716.06</v>
      </c>
      <c r="G32" s="681">
        <v>48000</v>
      </c>
      <c r="H32" s="653"/>
    </row>
    <row r="33" spans="1:8" ht="16.5" thickBot="1" x14ac:dyDescent="0.3">
      <c r="A33" s="684" t="s">
        <v>1559</v>
      </c>
      <c r="B33" s="685"/>
      <c r="C33" s="685"/>
      <c r="D33" s="686"/>
      <c r="E33" s="686"/>
      <c r="F33" s="816"/>
      <c r="G33" s="1275">
        <f>G32*60%</f>
        <v>28800</v>
      </c>
      <c r="H33" s="1276" t="s">
        <v>3687</v>
      </c>
    </row>
    <row r="34" spans="1:8" ht="15.75" thickBot="1" x14ac:dyDescent="0.3"/>
    <row r="35" spans="1:8" ht="16.5" thickBot="1" x14ac:dyDescent="0.3">
      <c r="A35" s="1804" t="s">
        <v>286</v>
      </c>
      <c r="B35" s="1805"/>
      <c r="C35" s="1805"/>
      <c r="D35" s="1805"/>
      <c r="E35" s="1806"/>
      <c r="F35" s="1294"/>
      <c r="G35" s="653"/>
      <c r="H35" s="653"/>
    </row>
    <row r="36" spans="1:8" ht="15.75" x14ac:dyDescent="0.25">
      <c r="A36" s="654" t="s">
        <v>916</v>
      </c>
      <c r="B36" s="655" t="s">
        <v>743</v>
      </c>
      <c r="C36" s="655" t="s">
        <v>1566</v>
      </c>
      <c r="D36" s="656" t="s">
        <v>1035</v>
      </c>
      <c r="E36" s="657" t="s">
        <v>1549</v>
      </c>
      <c r="F36" s="658"/>
      <c r="G36" s="653"/>
      <c r="H36" s="653"/>
    </row>
    <row r="37" spans="1:8" ht="15.75" x14ac:dyDescent="0.25">
      <c r="A37" s="666" t="s">
        <v>1988</v>
      </c>
      <c r="B37" s="660"/>
      <c r="C37" s="660">
        <v>1</v>
      </c>
      <c r="D37" s="661">
        <f>FORNITURAS!H47</f>
        <v>2346</v>
      </c>
      <c r="E37" s="662">
        <f>D37*C37</f>
        <v>2346</v>
      </c>
      <c r="F37" s="658"/>
      <c r="G37" s="653"/>
      <c r="H37" s="653"/>
    </row>
    <row r="38" spans="1:8" ht="15.75" x14ac:dyDescent="0.25">
      <c r="A38" s="666" t="s">
        <v>3520</v>
      </c>
      <c r="B38" s="660">
        <v>1</v>
      </c>
      <c r="C38" s="660">
        <v>0.42</v>
      </c>
      <c r="D38" s="661">
        <f>'AROS, CADENAS, DIJES, ETC'!K66</f>
        <v>0</v>
      </c>
      <c r="E38" s="662">
        <f>D38*C38/B38</f>
        <v>0</v>
      </c>
      <c r="F38" s="658"/>
      <c r="G38" s="653"/>
      <c r="H38" s="653"/>
    </row>
    <row r="39" spans="1:8" ht="15.75" x14ac:dyDescent="0.25">
      <c r="A39" s="666" t="s">
        <v>1557</v>
      </c>
      <c r="B39" s="660"/>
      <c r="C39" s="660"/>
      <c r="D39" s="661"/>
      <c r="E39" s="667">
        <f>PACKAGING!E4</f>
        <v>80</v>
      </c>
      <c r="F39" s="653"/>
      <c r="G39" s="658"/>
      <c r="H39" s="653"/>
    </row>
    <row r="40" spans="1:8" ht="15.75" x14ac:dyDescent="0.25">
      <c r="A40" s="666" t="s">
        <v>3362</v>
      </c>
      <c r="B40" s="660"/>
      <c r="C40" s="660"/>
      <c r="D40" s="661"/>
      <c r="E40" s="667">
        <f>PACKAGING!E17</f>
        <v>7.5</v>
      </c>
      <c r="F40" s="653"/>
      <c r="G40" s="658"/>
      <c r="H40" s="653"/>
    </row>
    <row r="41" spans="1:8" ht="15.75" x14ac:dyDescent="0.25">
      <c r="A41" s="666" t="s">
        <v>1971</v>
      </c>
      <c r="B41" s="660" t="s">
        <v>1573</v>
      </c>
      <c r="C41" s="660">
        <v>1</v>
      </c>
      <c r="D41" s="661">
        <f>FORNITURAS!D7</f>
        <v>52</v>
      </c>
      <c r="E41" s="667">
        <f>D41*C41</f>
        <v>52</v>
      </c>
      <c r="F41" s="653"/>
      <c r="G41" s="658"/>
      <c r="H41" s="653"/>
    </row>
    <row r="42" spans="1:8" ht="15.75" x14ac:dyDescent="0.25">
      <c r="A42" s="666" t="s">
        <v>1634</v>
      </c>
      <c r="B42" s="660"/>
      <c r="C42" s="660"/>
      <c r="D42" s="661"/>
      <c r="E42" s="667">
        <f>PACKAGING!E7</f>
        <v>170</v>
      </c>
      <c r="F42" s="653"/>
      <c r="G42" s="658"/>
      <c r="H42" s="653"/>
    </row>
    <row r="43" spans="1:8" ht="15.75" x14ac:dyDescent="0.25">
      <c r="A43" s="1339" t="s">
        <v>4539</v>
      </c>
      <c r="B43" s="660"/>
      <c r="C43" s="660"/>
      <c r="D43" s="668"/>
      <c r="E43" s="667">
        <f>PACKAGING!I10</f>
        <v>1100</v>
      </c>
      <c r="F43" s="653"/>
      <c r="G43" s="658"/>
      <c r="H43" s="653"/>
    </row>
    <row r="44" spans="1:8" ht="15.75" x14ac:dyDescent="0.25">
      <c r="A44" s="683" t="s">
        <v>1618</v>
      </c>
      <c r="B44" s="660">
        <v>60</v>
      </c>
      <c r="C44" s="660">
        <v>20</v>
      </c>
      <c r="D44" s="668">
        <f>'INSUMOS VARIOS'!B3</f>
        <v>3500</v>
      </c>
      <c r="E44" s="669">
        <f>D44*C44/B44</f>
        <v>1166.6666666666667</v>
      </c>
      <c r="F44" s="1"/>
      <c r="G44" s="658"/>
      <c r="H44" s="653"/>
    </row>
    <row r="45" spans="1:8" ht="15.75" thickBot="1" x14ac:dyDescent="0.3">
      <c r="A45" s="670" t="s">
        <v>525</v>
      </c>
      <c r="B45" s="671"/>
      <c r="C45" s="671"/>
      <c r="D45" s="672"/>
      <c r="E45" s="673">
        <f>SUM(E37:E44)</f>
        <v>4922.166666666667</v>
      </c>
      <c r="F45" s="698"/>
    </row>
    <row r="46" spans="1:8" ht="16.5" thickBot="1" x14ac:dyDescent="0.3">
      <c r="A46" s="675" t="s">
        <v>544</v>
      </c>
      <c r="B46" s="676"/>
      <c r="C46" s="676"/>
      <c r="D46" s="677"/>
      <c r="E46" s="692">
        <f>E45*2</f>
        <v>9844.3333333333339</v>
      </c>
      <c r="F46" s="957">
        <f>E46+E46*70%</f>
        <v>16735.366666666669</v>
      </c>
      <c r="G46" s="681">
        <v>34000</v>
      </c>
    </row>
    <row r="47" spans="1:8" ht="16.5" thickBot="1" x14ac:dyDescent="0.3">
      <c r="A47" s="684" t="s">
        <v>1559</v>
      </c>
      <c r="B47" s="685"/>
      <c r="C47" s="685"/>
      <c r="D47" s="686"/>
      <c r="E47" s="686"/>
      <c r="F47" s="816"/>
      <c r="G47" s="1275">
        <f>G46*60%</f>
        <v>20400</v>
      </c>
      <c r="H47" t="s">
        <v>3687</v>
      </c>
    </row>
    <row r="48" spans="1:8" ht="15.75" thickBot="1" x14ac:dyDescent="0.3"/>
    <row r="49" spans="1:8" ht="16.5" thickBot="1" x14ac:dyDescent="0.3">
      <c r="A49" s="1804" t="s">
        <v>5023</v>
      </c>
      <c r="B49" s="1805"/>
      <c r="C49" s="1805"/>
      <c r="D49" s="1805"/>
      <c r="E49" s="1806"/>
      <c r="F49" s="653"/>
      <c r="G49" s="653"/>
      <c r="H49" s="653"/>
    </row>
    <row r="50" spans="1:8" ht="15.75" x14ac:dyDescent="0.25">
      <c r="A50" s="654" t="s">
        <v>916</v>
      </c>
      <c r="B50" s="655" t="s">
        <v>743</v>
      </c>
      <c r="C50" s="655" t="s">
        <v>1566</v>
      </c>
      <c r="D50" s="656" t="s">
        <v>1035</v>
      </c>
      <c r="E50" s="657" t="s">
        <v>1549</v>
      </c>
      <c r="F50" s="658"/>
      <c r="G50" s="653"/>
      <c r="H50" s="653"/>
    </row>
    <row r="51" spans="1:8" ht="15.75" x14ac:dyDescent="0.25">
      <c r="A51" s="769" t="s">
        <v>5021</v>
      </c>
      <c r="B51" s="660">
        <v>0.59</v>
      </c>
      <c r="C51" s="660">
        <v>0.42</v>
      </c>
      <c r="D51" s="661">
        <f>'AROS, CADENAS, DIJES, ETC'!K74</f>
        <v>9215</v>
      </c>
      <c r="E51" s="662">
        <f>D51*C51</f>
        <v>3870.2999999999997</v>
      </c>
      <c r="F51" s="658"/>
      <c r="G51" s="653"/>
      <c r="H51" s="653"/>
    </row>
    <row r="52" spans="1:8" ht="15.75" x14ac:dyDescent="0.25">
      <c r="A52" s="820" t="s">
        <v>1608</v>
      </c>
      <c r="B52" s="660"/>
      <c r="C52" s="660">
        <v>0.1</v>
      </c>
      <c r="D52" s="661">
        <f>'AROS, CADENAS, DIJES, ETC'!K70</f>
        <v>5986</v>
      </c>
      <c r="E52" s="662">
        <f>D52*C52</f>
        <v>598.6</v>
      </c>
      <c r="F52" s="658"/>
      <c r="G52" s="653"/>
      <c r="H52" s="653"/>
    </row>
    <row r="53" spans="1:8" ht="15.75" x14ac:dyDescent="0.25">
      <c r="A53" s="666" t="s">
        <v>5016</v>
      </c>
      <c r="B53" s="660"/>
      <c r="C53" s="660">
        <v>1</v>
      </c>
      <c r="D53" s="661">
        <f>'AROS, CADENAS, DIJES, ETC'!O83</f>
        <v>4097</v>
      </c>
      <c r="E53" s="662">
        <f>D53*C53</f>
        <v>4097</v>
      </c>
      <c r="F53" s="658"/>
      <c r="G53" s="653"/>
      <c r="H53" s="653"/>
    </row>
    <row r="54" spans="1:8" ht="15.75" x14ac:dyDescent="0.25">
      <c r="A54" s="666" t="s">
        <v>5017</v>
      </c>
      <c r="B54" s="660"/>
      <c r="C54" s="660">
        <v>1</v>
      </c>
      <c r="D54" s="661">
        <f>'AROS, CADENAS, DIJES, ETC'!O74</f>
        <v>3093</v>
      </c>
      <c r="E54" s="662">
        <f>D54*C54</f>
        <v>3093</v>
      </c>
      <c r="F54" s="658"/>
      <c r="G54" s="653"/>
      <c r="H54" s="653"/>
    </row>
    <row r="55" spans="1:8" ht="15.75" x14ac:dyDescent="0.25">
      <c r="A55" s="666" t="s">
        <v>5024</v>
      </c>
      <c r="B55" s="660"/>
      <c r="C55" s="660">
        <v>1</v>
      </c>
      <c r="D55" s="661">
        <f>'AROS, CADENAS, DIJES, ETC'!O77</f>
        <v>2885</v>
      </c>
      <c r="E55" s="662">
        <f>D55*C55</f>
        <v>2885</v>
      </c>
      <c r="F55" s="658"/>
      <c r="G55" s="653"/>
      <c r="H55" s="653"/>
    </row>
    <row r="56" spans="1:8" ht="15.75" x14ac:dyDescent="0.25">
      <c r="A56" s="666" t="s">
        <v>5018</v>
      </c>
      <c r="B56" s="660"/>
      <c r="C56" s="660">
        <v>1</v>
      </c>
      <c r="D56" s="661">
        <f>PIEDRAS!K85</f>
        <v>1990</v>
      </c>
      <c r="E56" s="662">
        <f>C56*D56</f>
        <v>1990</v>
      </c>
      <c r="F56" s="658"/>
      <c r="G56" s="653"/>
      <c r="H56" s="653"/>
    </row>
    <row r="57" spans="1:8" ht="15.75" x14ac:dyDescent="0.25">
      <c r="A57" s="666" t="s">
        <v>3117</v>
      </c>
      <c r="B57" s="660"/>
      <c r="C57" s="660">
        <v>2</v>
      </c>
      <c r="D57" s="661">
        <f>FORNITURAS!D14</f>
        <v>98.8</v>
      </c>
      <c r="E57" s="667">
        <f>D57*C57</f>
        <v>197.6</v>
      </c>
      <c r="F57" s="658"/>
      <c r="G57" s="653"/>
      <c r="H57" s="653"/>
    </row>
    <row r="58" spans="1:8" ht="15.75" x14ac:dyDescent="0.25">
      <c r="A58" s="1736" t="s">
        <v>1971</v>
      </c>
      <c r="B58" s="660" t="s">
        <v>1556</v>
      </c>
      <c r="C58" s="660">
        <v>4</v>
      </c>
      <c r="D58" s="661">
        <f>FORNITURAS!D4</f>
        <v>48.7</v>
      </c>
      <c r="E58" s="667">
        <f>D58*C58</f>
        <v>194.8</v>
      </c>
      <c r="F58" s="658"/>
      <c r="G58" s="653"/>
      <c r="H58" s="653"/>
    </row>
    <row r="59" spans="1:8" ht="15.75" x14ac:dyDescent="0.25">
      <c r="A59" s="1737"/>
      <c r="B59" s="660" t="s">
        <v>1573</v>
      </c>
      <c r="C59" s="660">
        <v>1</v>
      </c>
      <c r="D59" s="661">
        <f>FORNITURAS!D7</f>
        <v>52</v>
      </c>
      <c r="E59" s="667">
        <f>D59*C59</f>
        <v>52</v>
      </c>
      <c r="F59" s="658"/>
      <c r="G59" s="653"/>
      <c r="H59" s="653"/>
    </row>
    <row r="60" spans="1:8" ht="15.75" x14ac:dyDescent="0.25">
      <c r="A60" s="666" t="s">
        <v>1742</v>
      </c>
      <c r="B60" s="660"/>
      <c r="C60" s="660"/>
      <c r="D60" s="661">
        <f>'PERLAS 2'!H34</f>
        <v>421.05263157894734</v>
      </c>
      <c r="E60" s="667">
        <f>D60</f>
        <v>421.05263157894734</v>
      </c>
      <c r="F60" s="658"/>
      <c r="G60" s="653"/>
      <c r="H60" s="653"/>
    </row>
    <row r="61" spans="1:8" ht="15.75" x14ac:dyDescent="0.25">
      <c r="A61" s="666" t="s">
        <v>5019</v>
      </c>
      <c r="B61" s="660" t="s">
        <v>3521</v>
      </c>
      <c r="C61" s="660"/>
      <c r="D61" s="661">
        <f>PIEDRAS!F23</f>
        <v>102.05882352941177</v>
      </c>
      <c r="E61" s="667">
        <f>D61</f>
        <v>102.05882352941177</v>
      </c>
      <c r="F61" s="658"/>
      <c r="G61" s="653"/>
      <c r="H61" s="653"/>
    </row>
    <row r="62" spans="1:8" ht="15.75" x14ac:dyDescent="0.25">
      <c r="A62" s="666" t="s">
        <v>5020</v>
      </c>
      <c r="B62" s="660"/>
      <c r="C62" s="660"/>
      <c r="D62" s="661">
        <f>PIEDRAS!K81</f>
        <v>850</v>
      </c>
      <c r="E62" s="667">
        <f>D62</f>
        <v>850</v>
      </c>
      <c r="F62" s="658"/>
      <c r="G62" s="653"/>
      <c r="H62" s="653"/>
    </row>
    <row r="63" spans="1:8" ht="15.75" x14ac:dyDescent="0.25">
      <c r="A63" s="666" t="s">
        <v>1557</v>
      </c>
      <c r="B63" s="660"/>
      <c r="C63" s="660"/>
      <c r="D63" s="661"/>
      <c r="E63" s="667">
        <f>PACKAGING!E4</f>
        <v>80</v>
      </c>
      <c r="F63" s="653"/>
      <c r="G63" s="658"/>
      <c r="H63" s="653"/>
    </row>
    <row r="64" spans="1:8" ht="15.75" x14ac:dyDescent="0.25">
      <c r="A64" s="666" t="s">
        <v>3362</v>
      </c>
      <c r="B64" s="660"/>
      <c r="C64" s="660"/>
      <c r="D64" s="661"/>
      <c r="E64" s="667">
        <f>PACKAGING!E17</f>
        <v>7.5</v>
      </c>
      <c r="F64" s="653"/>
      <c r="G64" s="658"/>
      <c r="H64" s="653"/>
    </row>
    <row r="65" spans="1:9" ht="15.75" x14ac:dyDescent="0.25">
      <c r="A65" s="1339" t="s">
        <v>1537</v>
      </c>
      <c r="B65" s="660"/>
      <c r="C65" s="660"/>
      <c r="D65" s="668"/>
      <c r="E65" s="667">
        <f>PACKAGING!E7</f>
        <v>170</v>
      </c>
      <c r="F65" s="653"/>
      <c r="G65" s="658"/>
      <c r="H65" s="653"/>
    </row>
    <row r="66" spans="1:9" ht="15.75" x14ac:dyDescent="0.25">
      <c r="A66" s="683" t="s">
        <v>1618</v>
      </c>
      <c r="B66" s="660">
        <v>60</v>
      </c>
      <c r="C66" s="660">
        <v>40</v>
      </c>
      <c r="D66" s="668">
        <f>'INSUMOS VARIOS'!B3</f>
        <v>3500</v>
      </c>
      <c r="E66" s="669">
        <f>D66*C66/B66</f>
        <v>2333.3333333333335</v>
      </c>
      <c r="F66" s="1" t="s">
        <v>3023</v>
      </c>
      <c r="G66" s="658"/>
      <c r="H66" s="653"/>
    </row>
    <row r="67" spans="1:9" ht="15.75" thickBot="1" x14ac:dyDescent="0.3">
      <c r="A67" s="670" t="s">
        <v>525</v>
      </c>
      <c r="B67" s="671"/>
      <c r="C67" s="671"/>
      <c r="D67" s="672"/>
      <c r="E67" s="673">
        <f>SUM(E51:E66)</f>
        <v>20942.244788441691</v>
      </c>
      <c r="F67" s="698">
        <f>E67+G68+G69</f>
        <v>24220.244788441691</v>
      </c>
      <c r="G67" s="658" t="s">
        <v>2028</v>
      </c>
      <c r="H67" s="674" t="s">
        <v>2029</v>
      </c>
      <c r="I67" s="652"/>
    </row>
    <row r="68" spans="1:9" ht="16.5" thickBot="1" x14ac:dyDescent="0.3">
      <c r="A68" s="675" t="s">
        <v>4918</v>
      </c>
      <c r="B68" s="676"/>
      <c r="C68" s="676"/>
      <c r="D68" s="677"/>
      <c r="E68" s="692">
        <f>E67*2</f>
        <v>41884.489576883381</v>
      </c>
      <c r="F68" s="957">
        <f>E68+E68*70%</f>
        <v>71203.632280701742</v>
      </c>
      <c r="G68" s="680">
        <f>PACKAGING!I3</f>
        <v>2433</v>
      </c>
      <c r="H68" s="702">
        <f>F68+G68+G69</f>
        <v>74481.632280701742</v>
      </c>
      <c r="I68" s="702"/>
    </row>
    <row r="69" spans="1:9" ht="16.5" thickBot="1" x14ac:dyDescent="0.3">
      <c r="A69" s="684" t="s">
        <v>1559</v>
      </c>
      <c r="B69" s="685"/>
      <c r="C69" s="685"/>
      <c r="D69" s="686"/>
      <c r="E69" s="686"/>
      <c r="F69" s="816"/>
      <c r="G69" s="701">
        <f>PACKAGING!I5</f>
        <v>845</v>
      </c>
      <c r="H69" s="1446"/>
      <c r="I69" s="1447"/>
    </row>
  </sheetData>
  <mergeCells count="8">
    <mergeCell ref="A49:E49"/>
    <mergeCell ref="A58:A59"/>
    <mergeCell ref="A35:E35"/>
    <mergeCell ref="A1:E1"/>
    <mergeCell ref="A3:A4"/>
    <mergeCell ref="A15:E15"/>
    <mergeCell ref="A23:A24"/>
    <mergeCell ref="A20:A21"/>
  </mergeCell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5E7CA-89EA-4D1C-9FAA-A88C97943330}">
  <dimension ref="A1:Y833"/>
  <sheetViews>
    <sheetView tabSelected="1" topLeftCell="A712" workbookViewId="0">
      <selection activeCell="I720" sqref="I720"/>
    </sheetView>
  </sheetViews>
  <sheetFormatPr baseColWidth="10" defaultRowHeight="15" x14ac:dyDescent="0.25"/>
  <cols>
    <col min="1" max="1" width="39.7109375" customWidth="1"/>
    <col min="2" max="2" width="15.5703125" customWidth="1"/>
    <col min="3" max="3" width="11.7109375" bestFit="1" customWidth="1"/>
    <col min="4" max="4" width="12.85546875" bestFit="1" customWidth="1"/>
    <col min="5" max="5" width="15.140625" bestFit="1" customWidth="1"/>
    <col min="6" max="6" width="18.85546875" bestFit="1" customWidth="1"/>
    <col min="7" max="7" width="13.140625" bestFit="1" customWidth="1"/>
    <col min="8" max="8" width="15.42578125" bestFit="1" customWidth="1"/>
    <col min="10" max="10" width="40" customWidth="1"/>
    <col min="14" max="16" width="12.85546875" bestFit="1" customWidth="1"/>
    <col min="17" max="17" width="13.85546875" bestFit="1" customWidth="1"/>
    <col min="18" max="18" width="23" bestFit="1" customWidth="1"/>
    <col min="22" max="24" width="12.85546875" bestFit="1" customWidth="1"/>
  </cols>
  <sheetData>
    <row r="1" spans="1:8" ht="16.5" thickBot="1" x14ac:dyDescent="0.3">
      <c r="A1" s="1791" t="s">
        <v>4254</v>
      </c>
      <c r="B1" s="1792"/>
      <c r="C1" s="1792"/>
      <c r="D1" s="1792"/>
      <c r="E1" s="1793"/>
      <c r="F1" s="653"/>
      <c r="G1" s="653"/>
      <c r="H1" s="653"/>
    </row>
    <row r="2" spans="1:8" ht="15.75" x14ac:dyDescent="0.25">
      <c r="A2" s="654" t="s">
        <v>916</v>
      </c>
      <c r="B2" s="655" t="s">
        <v>743</v>
      </c>
      <c r="C2" s="655" t="s">
        <v>1566</v>
      </c>
      <c r="D2" s="656" t="s">
        <v>1035</v>
      </c>
      <c r="E2" s="657" t="s">
        <v>1549</v>
      </c>
      <c r="F2" s="658"/>
      <c r="G2" s="653"/>
      <c r="H2" s="653"/>
    </row>
    <row r="3" spans="1:8" ht="15.75" x14ac:dyDescent="0.25">
      <c r="A3" s="1734" t="s">
        <v>3456</v>
      </c>
      <c r="B3" s="660" t="s">
        <v>1022</v>
      </c>
      <c r="C3" s="660">
        <v>1</v>
      </c>
      <c r="D3" s="661">
        <f>PIEDRAS!F74</f>
        <v>103.44827586206897</v>
      </c>
      <c r="E3" s="662">
        <f t="shared" ref="E3:E12" si="0">D3*C3</f>
        <v>103.44827586206897</v>
      </c>
      <c r="F3" s="658"/>
      <c r="G3" s="653"/>
      <c r="H3" s="653"/>
    </row>
    <row r="4" spans="1:8" ht="15.75" x14ac:dyDescent="0.25">
      <c r="A4" s="1735"/>
      <c r="B4" s="660" t="s">
        <v>805</v>
      </c>
      <c r="C4" s="660">
        <v>1</v>
      </c>
      <c r="D4" s="661">
        <f>PIEDRAS!F75</f>
        <v>250.28571428571428</v>
      </c>
      <c r="E4" s="662">
        <f t="shared" si="0"/>
        <v>250.28571428571428</v>
      </c>
      <c r="F4" s="658"/>
      <c r="G4" s="653"/>
      <c r="H4" s="653"/>
    </row>
    <row r="5" spans="1:8" ht="15.75" x14ac:dyDescent="0.25">
      <c r="A5" s="683" t="s">
        <v>3719</v>
      </c>
      <c r="B5" s="660" t="s">
        <v>805</v>
      </c>
      <c r="C5" s="660">
        <v>2</v>
      </c>
      <c r="D5" s="661">
        <f>PIEDRAS!F79</f>
        <v>257.14285714285717</v>
      </c>
      <c r="E5" s="662">
        <f t="shared" si="0"/>
        <v>514.28571428571433</v>
      </c>
      <c r="F5" s="658"/>
      <c r="G5" s="653"/>
      <c r="H5" s="653"/>
    </row>
    <row r="6" spans="1:8" ht="15.75" x14ac:dyDescent="0.25">
      <c r="A6" s="683" t="s">
        <v>4129</v>
      </c>
      <c r="B6" s="660" t="s">
        <v>805</v>
      </c>
      <c r="C6" s="660">
        <v>2</v>
      </c>
      <c r="D6" s="661">
        <f>PIEDRAS!F119</f>
        <v>95.238095238095241</v>
      </c>
      <c r="E6" s="662">
        <f t="shared" si="0"/>
        <v>190.47619047619048</v>
      </c>
      <c r="F6" s="658"/>
      <c r="G6" s="653"/>
      <c r="H6" s="653"/>
    </row>
    <row r="7" spans="1:8" ht="15.75" x14ac:dyDescent="0.25">
      <c r="A7" s="683" t="s">
        <v>4130</v>
      </c>
      <c r="B7" s="660" t="s">
        <v>781</v>
      </c>
      <c r="C7" s="660">
        <v>1</v>
      </c>
      <c r="D7" s="661">
        <f>VIDRIOS!E29</f>
        <v>59.583333333333336</v>
      </c>
      <c r="E7" s="662">
        <f t="shared" si="0"/>
        <v>59.583333333333336</v>
      </c>
      <c r="F7" s="658"/>
      <c r="G7" s="653"/>
      <c r="H7" s="653"/>
    </row>
    <row r="8" spans="1:8" ht="15.75" x14ac:dyDescent="0.25">
      <c r="A8" s="683" t="s">
        <v>4131</v>
      </c>
      <c r="B8" s="660" t="s">
        <v>781</v>
      </c>
      <c r="C8" s="660">
        <v>2</v>
      </c>
      <c r="D8" s="661">
        <f>VIDRIOS!E32</f>
        <v>59.583333333333336</v>
      </c>
      <c r="E8" s="662">
        <f t="shared" si="0"/>
        <v>119.16666666666667</v>
      </c>
      <c r="F8" s="658"/>
      <c r="G8" s="653"/>
      <c r="H8" s="653"/>
    </row>
    <row r="9" spans="1:8" ht="15.75" x14ac:dyDescent="0.25">
      <c r="A9" s="683" t="s">
        <v>4132</v>
      </c>
      <c r="B9" s="660" t="s">
        <v>3521</v>
      </c>
      <c r="C9" s="660">
        <v>2</v>
      </c>
      <c r="D9" s="661">
        <f>PIEDRAS!F19</f>
        <v>102.05882352941177</v>
      </c>
      <c r="E9" s="662">
        <f t="shared" si="0"/>
        <v>204.11764705882354</v>
      </c>
      <c r="F9" s="658"/>
      <c r="G9" s="653"/>
      <c r="H9" s="653"/>
    </row>
    <row r="10" spans="1:8" ht="15.75" x14ac:dyDescent="0.25">
      <c r="A10" s="683" t="s">
        <v>4139</v>
      </c>
      <c r="B10" s="660" t="s">
        <v>989</v>
      </c>
      <c r="C10" s="660">
        <v>1</v>
      </c>
      <c r="D10" s="661">
        <f>PIEDRAS!F130</f>
        <v>96.15384615384616</v>
      </c>
      <c r="E10" s="662">
        <f t="shared" si="0"/>
        <v>96.15384615384616</v>
      </c>
      <c r="F10" s="658"/>
      <c r="G10" s="653"/>
      <c r="H10" s="653"/>
    </row>
    <row r="11" spans="1:8" ht="15.75" x14ac:dyDescent="0.25">
      <c r="A11" s="683" t="s">
        <v>4133</v>
      </c>
      <c r="B11" s="660" t="s">
        <v>937</v>
      </c>
      <c r="C11" s="660">
        <v>1</v>
      </c>
      <c r="D11" s="661">
        <f>PIEDRAS!F129</f>
        <v>257.57575757575756</v>
      </c>
      <c r="E11" s="662">
        <f t="shared" si="0"/>
        <v>257.57575757575756</v>
      </c>
      <c r="F11" s="658"/>
      <c r="G11" s="653"/>
      <c r="H11" s="653"/>
    </row>
    <row r="12" spans="1:8" ht="15.75" x14ac:dyDescent="0.25">
      <c r="A12" s="683" t="s">
        <v>4134</v>
      </c>
      <c r="B12" s="660"/>
      <c r="C12" s="660">
        <v>1</v>
      </c>
      <c r="D12" s="661">
        <f>PIEDRAS!F81</f>
        <v>181.66666666666666</v>
      </c>
      <c r="E12" s="662">
        <f t="shared" si="0"/>
        <v>181.66666666666666</v>
      </c>
      <c r="F12" s="658"/>
      <c r="G12" s="653"/>
      <c r="H12" s="653"/>
    </row>
    <row r="13" spans="1:8" ht="15.75" x14ac:dyDescent="0.25">
      <c r="A13" s="683" t="s">
        <v>4135</v>
      </c>
      <c r="B13" s="660">
        <v>0.6</v>
      </c>
      <c r="C13" s="660">
        <v>0.02</v>
      </c>
      <c r="D13" s="661">
        <f>PIEDRAS!E155</f>
        <v>2400</v>
      </c>
      <c r="E13" s="662">
        <f>D13*C13/B13</f>
        <v>80</v>
      </c>
      <c r="F13" s="658"/>
      <c r="G13" s="653"/>
      <c r="H13" s="653"/>
    </row>
    <row r="14" spans="1:8" ht="15.75" x14ac:dyDescent="0.25">
      <c r="A14" s="683" t="s">
        <v>4136</v>
      </c>
      <c r="B14" s="660"/>
      <c r="C14" s="660">
        <v>1</v>
      </c>
      <c r="D14" s="661">
        <f>PIEDRAS!F83</f>
        <v>253.11111111111111</v>
      </c>
      <c r="E14" s="662">
        <f>D14*C14</f>
        <v>253.11111111111111</v>
      </c>
      <c r="F14" s="658"/>
      <c r="G14" s="653"/>
      <c r="H14" s="653"/>
    </row>
    <row r="15" spans="1:8" ht="15.75" x14ac:dyDescent="0.25">
      <c r="A15" s="683" t="s">
        <v>3117</v>
      </c>
      <c r="B15" s="660"/>
      <c r="C15" s="660">
        <v>1</v>
      </c>
      <c r="D15" s="661">
        <f>FORNITURAS!D15</f>
        <v>142</v>
      </c>
      <c r="E15" s="662">
        <f>D15*C15</f>
        <v>142</v>
      </c>
      <c r="F15" s="658"/>
      <c r="G15" s="653"/>
      <c r="H15" s="653"/>
    </row>
    <row r="16" spans="1:8" ht="15.75" x14ac:dyDescent="0.25">
      <c r="A16" s="683" t="s">
        <v>1424</v>
      </c>
      <c r="B16" s="660"/>
      <c r="C16" s="660">
        <v>0.18</v>
      </c>
      <c r="D16" s="661">
        <f>'HILOS-CORDONES-TANZA-CUERO'!L9</f>
        <v>30</v>
      </c>
      <c r="E16" s="662">
        <f>D16*C16</f>
        <v>5.3999999999999995</v>
      </c>
      <c r="F16" s="658"/>
      <c r="G16" s="653"/>
      <c r="H16" s="653"/>
    </row>
    <row r="17" spans="1:8" ht="15.75" x14ac:dyDescent="0.25">
      <c r="A17" s="665" t="s">
        <v>4141</v>
      </c>
      <c r="B17" s="660"/>
      <c r="C17" s="660">
        <v>3.5000000000000003E-2</v>
      </c>
      <c r="D17" s="661">
        <f>'AROS, CADENAS, DIJES, ETC'!K66</f>
        <v>0</v>
      </c>
      <c r="E17" s="662">
        <f>C17*D17</f>
        <v>0</v>
      </c>
      <c r="F17" s="658"/>
      <c r="G17" s="653"/>
      <c r="H17" s="653"/>
    </row>
    <row r="18" spans="1:8" ht="15.75" x14ac:dyDescent="0.25">
      <c r="A18" s="666" t="s">
        <v>4128</v>
      </c>
      <c r="B18" s="660" t="s">
        <v>846</v>
      </c>
      <c r="C18" s="660">
        <v>2</v>
      </c>
      <c r="D18" s="661">
        <f>FORNITURAS!I5</f>
        <v>188.85714285714286</v>
      </c>
      <c r="E18" s="662">
        <f>D18*C18</f>
        <v>377.71428571428572</v>
      </c>
      <c r="F18" s="658"/>
      <c r="G18" s="653"/>
      <c r="H18" s="653"/>
    </row>
    <row r="19" spans="1:8" ht="15.75" x14ac:dyDescent="0.25">
      <c r="A19" s="666" t="s">
        <v>1012</v>
      </c>
      <c r="B19" s="660"/>
      <c r="C19" s="660">
        <v>2</v>
      </c>
      <c r="D19" s="661">
        <f>FORNITURAS!D16</f>
        <v>45.05</v>
      </c>
      <c r="E19" s="662">
        <f>D19*C19</f>
        <v>90.1</v>
      </c>
      <c r="F19" s="658"/>
      <c r="G19" s="653"/>
      <c r="H19" s="653"/>
    </row>
    <row r="20" spans="1:8" ht="15.75" x14ac:dyDescent="0.25">
      <c r="A20" s="666" t="s">
        <v>1587</v>
      </c>
      <c r="B20" s="660"/>
      <c r="C20" s="660">
        <v>1</v>
      </c>
      <c r="D20" s="661">
        <f>FORNITURAS!H44</f>
        <v>485</v>
      </c>
      <c r="E20" s="662">
        <f>C20*D20</f>
        <v>485</v>
      </c>
      <c r="F20" s="658"/>
      <c r="G20" s="653"/>
      <c r="H20" s="653"/>
    </row>
    <row r="21" spans="1:8" ht="15.75" x14ac:dyDescent="0.25">
      <c r="A21" s="666" t="s">
        <v>1557</v>
      </c>
      <c r="B21" s="660"/>
      <c r="C21" s="660"/>
      <c r="D21" s="661"/>
      <c r="E21" s="667">
        <f>PACKAGING!E4</f>
        <v>80</v>
      </c>
      <c r="F21" s="653"/>
      <c r="G21" s="658"/>
      <c r="H21" s="653"/>
    </row>
    <row r="22" spans="1:8" ht="15.75" x14ac:dyDescent="0.25">
      <c r="A22" s="666" t="s">
        <v>3362</v>
      </c>
      <c r="B22" s="660"/>
      <c r="C22" s="660"/>
      <c r="D22" s="661"/>
      <c r="E22" s="667">
        <f>PACKAGING!E17</f>
        <v>7.5</v>
      </c>
      <c r="F22" s="653"/>
      <c r="G22" s="658"/>
      <c r="H22" s="653"/>
    </row>
    <row r="23" spans="1:8" ht="15.75" x14ac:dyDescent="0.25">
      <c r="A23" s="666" t="s">
        <v>1634</v>
      </c>
      <c r="B23" s="660"/>
      <c r="C23" s="660"/>
      <c r="D23" s="661"/>
      <c r="E23" s="667">
        <f>PACKAGING!E7</f>
        <v>170</v>
      </c>
      <c r="F23" s="653"/>
      <c r="G23" s="658"/>
      <c r="H23" s="653"/>
    </row>
    <row r="24" spans="1:8" ht="15.75" x14ac:dyDescent="0.25">
      <c r="A24" s="1339" t="s">
        <v>3496</v>
      </c>
      <c r="B24" s="660"/>
      <c r="C24" s="660">
        <v>1</v>
      </c>
      <c r="D24" s="668"/>
      <c r="E24" s="667">
        <f>PACKAGING!E9</f>
        <v>450</v>
      </c>
      <c r="F24" s="653"/>
      <c r="G24" s="658"/>
    </row>
    <row r="25" spans="1:8" ht="15.75" x14ac:dyDescent="0.25">
      <c r="A25" s="683" t="s">
        <v>1618</v>
      </c>
      <c r="B25" s="660">
        <v>60</v>
      </c>
      <c r="C25" s="660">
        <v>20</v>
      </c>
      <c r="D25" s="668">
        <f>'INSUMOS VARIOS'!B3</f>
        <v>3500</v>
      </c>
      <c r="E25" s="669">
        <f>D25*C25/B25</f>
        <v>1166.6666666666667</v>
      </c>
      <c r="F25" s="1"/>
      <c r="G25" s="653"/>
    </row>
    <row r="26" spans="1:8" ht="15.75" thickBot="1" x14ac:dyDescent="0.3">
      <c r="A26" s="670" t="s">
        <v>525</v>
      </c>
      <c r="B26" s="671"/>
      <c r="C26" s="671"/>
      <c r="D26" s="672"/>
      <c r="E26" s="673">
        <f>SUM(E3:E25)</f>
        <v>5284.2518758568467</v>
      </c>
      <c r="F26" s="698"/>
      <c r="G26" s="658"/>
    </row>
    <row r="27" spans="1:8" ht="15.75" x14ac:dyDescent="0.25">
      <c r="A27" s="675" t="s">
        <v>544</v>
      </c>
      <c r="B27" s="676"/>
      <c r="C27" s="676"/>
      <c r="D27" s="677"/>
      <c r="E27" s="692">
        <f>E26*2</f>
        <v>10568.503751713693</v>
      </c>
      <c r="F27" s="679">
        <f>E27+E27*70%</f>
        <v>17966.45637791328</v>
      </c>
      <c r="G27" s="681">
        <v>28000</v>
      </c>
    </row>
    <row r="28" spans="1:8" ht="16.5" thickBot="1" x14ac:dyDescent="0.3">
      <c r="A28" s="684" t="s">
        <v>1559</v>
      </c>
      <c r="B28" s="685"/>
      <c r="C28" s="685"/>
      <c r="D28" s="686"/>
      <c r="E28" s="686"/>
      <c r="F28" s="688"/>
      <c r="G28" s="1392">
        <f>G27*60%</f>
        <v>16800</v>
      </c>
      <c r="H28" s="1273" t="s">
        <v>3687</v>
      </c>
    </row>
    <row r="29" spans="1:8" ht="15.75" thickBot="1" x14ac:dyDescent="0.3"/>
    <row r="30" spans="1:8" ht="16.5" thickBot="1" x14ac:dyDescent="0.3">
      <c r="A30" s="1791" t="s">
        <v>343</v>
      </c>
      <c r="B30" s="1792"/>
      <c r="C30" s="1792"/>
      <c r="D30" s="1792"/>
      <c r="E30" s="1793"/>
      <c r="F30" s="653"/>
      <c r="G30" s="653"/>
      <c r="H30" s="653"/>
    </row>
    <row r="31" spans="1:8" ht="15.75" x14ac:dyDescent="0.25">
      <c r="A31" s="654" t="s">
        <v>916</v>
      </c>
      <c r="B31" s="655" t="s">
        <v>743</v>
      </c>
      <c r="C31" s="655" t="s">
        <v>1566</v>
      </c>
      <c r="D31" s="656" t="s">
        <v>1035</v>
      </c>
      <c r="E31" s="657" t="s">
        <v>1549</v>
      </c>
      <c r="F31" s="658"/>
      <c r="G31" s="653"/>
      <c r="H31" s="653"/>
    </row>
    <row r="32" spans="1:8" ht="15.75" x14ac:dyDescent="0.25">
      <c r="A32" s="769" t="s">
        <v>4145</v>
      </c>
      <c r="B32" s="660" t="s">
        <v>781</v>
      </c>
      <c r="C32" s="660">
        <v>2</v>
      </c>
      <c r="D32" s="661">
        <f>VIDRIOS!E32</f>
        <v>59.583333333333336</v>
      </c>
      <c r="E32" s="662">
        <f>D32*C32</f>
        <v>119.16666666666667</v>
      </c>
      <c r="F32" s="658"/>
      <c r="G32" s="653"/>
      <c r="H32" s="653"/>
    </row>
    <row r="33" spans="1:8" ht="15.75" x14ac:dyDescent="0.25">
      <c r="A33" s="769" t="s">
        <v>4161</v>
      </c>
      <c r="B33" s="660">
        <v>0.22</v>
      </c>
      <c r="C33" s="660">
        <v>0.125</v>
      </c>
      <c r="D33" s="661">
        <f>PIEDRAS!E155</f>
        <v>2400</v>
      </c>
      <c r="E33" s="662">
        <f>D33*C33/B33</f>
        <v>1363.6363636363637</v>
      </c>
      <c r="F33" s="658"/>
      <c r="G33" s="653"/>
      <c r="H33" s="653"/>
    </row>
    <row r="34" spans="1:8" ht="15.75" x14ac:dyDescent="0.25">
      <c r="A34" s="769" t="s">
        <v>1742</v>
      </c>
      <c r="B34" s="660" t="s">
        <v>1345</v>
      </c>
      <c r="C34" s="660">
        <v>2</v>
      </c>
      <c r="D34" s="661">
        <f>'PERLAS 2'!H14</f>
        <v>324.8</v>
      </c>
      <c r="E34" s="662">
        <f t="shared" ref="E34:E38" si="1">D34*C34</f>
        <v>649.6</v>
      </c>
      <c r="F34" s="658"/>
      <c r="G34" s="653"/>
      <c r="H34" s="653"/>
    </row>
    <row r="35" spans="1:8" ht="15.75" x14ac:dyDescent="0.25">
      <c r="A35" s="769" t="s">
        <v>4146</v>
      </c>
      <c r="B35" s="660"/>
      <c r="C35" s="660">
        <v>1</v>
      </c>
      <c r="D35" s="661">
        <f>VIDRIOS!E33</f>
        <v>8.5</v>
      </c>
      <c r="E35" s="662">
        <f t="shared" si="1"/>
        <v>8.5</v>
      </c>
      <c r="F35" s="658"/>
      <c r="G35" s="653"/>
      <c r="H35" s="653"/>
    </row>
    <row r="36" spans="1:8" ht="15.75" x14ac:dyDescent="0.25">
      <c r="A36" s="1736" t="s">
        <v>1572</v>
      </c>
      <c r="B36" s="660" t="s">
        <v>1556</v>
      </c>
      <c r="C36" s="660">
        <v>2</v>
      </c>
      <c r="D36" s="661">
        <f>FORNITURAS!D4</f>
        <v>48.7</v>
      </c>
      <c r="E36" s="662">
        <f t="shared" si="1"/>
        <v>97.4</v>
      </c>
      <c r="F36" s="658"/>
      <c r="G36" s="653"/>
      <c r="H36" s="653"/>
    </row>
    <row r="37" spans="1:8" ht="15.75" x14ac:dyDescent="0.25">
      <c r="A37" s="1737"/>
      <c r="B37" s="660" t="s">
        <v>1573</v>
      </c>
      <c r="C37" s="660">
        <v>1</v>
      </c>
      <c r="D37" s="661">
        <f>FORNITURAS!D7</f>
        <v>52</v>
      </c>
      <c r="E37" s="662">
        <f t="shared" si="1"/>
        <v>52</v>
      </c>
      <c r="F37" s="658"/>
      <c r="G37" s="653"/>
      <c r="H37" s="653"/>
    </row>
    <row r="38" spans="1:8" ht="15.75" x14ac:dyDescent="0.25">
      <c r="A38" s="666" t="s">
        <v>1424</v>
      </c>
      <c r="B38" s="660"/>
      <c r="C38" s="660">
        <v>0.18</v>
      </c>
      <c r="D38" s="661">
        <f>'HILOS-CORDONES-TANZA-CUERO'!L9</f>
        <v>30</v>
      </c>
      <c r="E38" s="662">
        <f t="shared" si="1"/>
        <v>5.3999999999999995</v>
      </c>
      <c r="F38" s="658"/>
      <c r="G38" s="653"/>
      <c r="H38" s="653"/>
    </row>
    <row r="39" spans="1:8" ht="15.75" x14ac:dyDescent="0.25">
      <c r="A39" s="666" t="s">
        <v>1608</v>
      </c>
      <c r="B39" s="660"/>
      <c r="C39" s="660">
        <v>3.5000000000000003E-2</v>
      </c>
      <c r="D39" s="661">
        <f>'AROS, CADENAS, DIJES, ETC'!I38</f>
        <v>3630</v>
      </c>
      <c r="E39" s="662">
        <f>C39*D39</f>
        <v>127.05000000000001</v>
      </c>
      <c r="F39" s="658"/>
      <c r="G39" s="653"/>
      <c r="H39" s="653"/>
    </row>
    <row r="40" spans="1:8" ht="15.75" x14ac:dyDescent="0.25">
      <c r="A40" s="666" t="s">
        <v>1944</v>
      </c>
      <c r="B40" s="660" t="s">
        <v>777</v>
      </c>
      <c r="C40" s="660">
        <v>2</v>
      </c>
      <c r="D40" s="661">
        <f>FORNITURAS!I3</f>
        <v>66.099999999999994</v>
      </c>
      <c r="E40" s="662">
        <f>D40*C40</f>
        <v>132.19999999999999</v>
      </c>
      <c r="F40" s="658"/>
      <c r="G40" s="653"/>
      <c r="H40" s="653"/>
    </row>
    <row r="41" spans="1:8" ht="15.75" x14ac:dyDescent="0.25">
      <c r="A41" s="666" t="s">
        <v>1012</v>
      </c>
      <c r="B41" s="660"/>
      <c r="C41" s="660">
        <v>2</v>
      </c>
      <c r="D41" s="661">
        <f>FORNITURAS!D16</f>
        <v>45.05</v>
      </c>
      <c r="E41" s="662">
        <f>D41*C41</f>
        <v>90.1</v>
      </c>
      <c r="F41" s="658"/>
      <c r="G41" s="653"/>
      <c r="H41" s="653"/>
    </row>
    <row r="42" spans="1:8" ht="15.75" x14ac:dyDescent="0.25">
      <c r="A42" s="666" t="s">
        <v>1587</v>
      </c>
      <c r="B42" s="660"/>
      <c r="C42" s="660">
        <v>1</v>
      </c>
      <c r="D42" s="661">
        <f>FORNITURAS!H44</f>
        <v>485</v>
      </c>
      <c r="E42" s="662">
        <f>C42*D42</f>
        <v>485</v>
      </c>
      <c r="F42" s="658"/>
      <c r="G42" s="653"/>
      <c r="H42" s="653"/>
    </row>
    <row r="43" spans="1:8" ht="15.75" x14ac:dyDescent="0.25">
      <c r="A43" s="666" t="s">
        <v>1557</v>
      </c>
      <c r="B43" s="660"/>
      <c r="C43" s="660"/>
      <c r="D43" s="661"/>
      <c r="E43" s="667">
        <f>PACKAGING!E4</f>
        <v>80</v>
      </c>
      <c r="F43" s="653"/>
      <c r="G43" s="658"/>
      <c r="H43" s="653"/>
    </row>
    <row r="44" spans="1:8" ht="15.75" x14ac:dyDescent="0.25">
      <c r="A44" s="666" t="s">
        <v>3362</v>
      </c>
      <c r="B44" s="660"/>
      <c r="C44" s="660"/>
      <c r="D44" s="661"/>
      <c r="E44" s="667">
        <f>PACKAGING!E17</f>
        <v>7.5</v>
      </c>
      <c r="F44" s="653"/>
      <c r="G44" s="658"/>
      <c r="H44" s="653"/>
    </row>
    <row r="45" spans="1:8" ht="15.75" x14ac:dyDescent="0.25">
      <c r="A45" s="666" t="s">
        <v>1634</v>
      </c>
      <c r="B45" s="660"/>
      <c r="C45" s="660"/>
      <c r="D45" s="661"/>
      <c r="E45" s="667">
        <f>PACKAGING!E7</f>
        <v>170</v>
      </c>
      <c r="F45" s="653"/>
      <c r="G45" s="658"/>
      <c r="H45" s="653"/>
    </row>
    <row r="46" spans="1:8" ht="15.75" x14ac:dyDescent="0.25">
      <c r="A46" s="666" t="s">
        <v>3180</v>
      </c>
      <c r="B46" s="660"/>
      <c r="C46" s="660"/>
      <c r="D46" s="661"/>
      <c r="E46" s="667">
        <f>PACKAGING!E8</f>
        <v>420</v>
      </c>
      <c r="F46" s="653"/>
      <c r="G46" s="658"/>
      <c r="H46" s="653"/>
    </row>
    <row r="47" spans="1:8" ht="15.75" x14ac:dyDescent="0.25">
      <c r="A47" s="683" t="s">
        <v>1618</v>
      </c>
      <c r="B47" s="660">
        <v>60</v>
      </c>
      <c r="C47" s="660">
        <v>20</v>
      </c>
      <c r="D47" s="668">
        <f>'INSUMOS VARIOS'!B3</f>
        <v>3500</v>
      </c>
      <c r="E47" s="669">
        <f>D47*C47/B47</f>
        <v>1166.6666666666667</v>
      </c>
      <c r="F47" s="653"/>
      <c r="G47" s="658"/>
      <c r="H47" s="653"/>
    </row>
    <row r="48" spans="1:8" ht="16.5" thickBot="1" x14ac:dyDescent="0.3">
      <c r="A48" s="670" t="s">
        <v>525</v>
      </c>
      <c r="B48" s="671"/>
      <c r="C48" s="671"/>
      <c r="D48" s="672"/>
      <c r="E48" s="673">
        <f>SUM(E32:E47)</f>
        <v>4974.219696969697</v>
      </c>
      <c r="F48" s="658"/>
      <c r="G48" s="653"/>
      <c r="H48" s="653"/>
    </row>
    <row r="49" spans="1:8" ht="16.5" thickBot="1" x14ac:dyDescent="0.3">
      <c r="A49" s="675" t="s">
        <v>544</v>
      </c>
      <c r="B49" s="676"/>
      <c r="C49" s="676"/>
      <c r="D49" s="677"/>
      <c r="E49" s="692">
        <f>E48*2</f>
        <v>9948.439393939394</v>
      </c>
      <c r="F49" s="957">
        <f>E49+E49*70%</f>
        <v>16912.34696969697</v>
      </c>
      <c r="G49" s="681">
        <v>20000</v>
      </c>
      <c r="H49" s="653"/>
    </row>
    <row r="50" spans="1:8" ht="16.5" thickBot="1" x14ac:dyDescent="0.3">
      <c r="A50" s="684" t="s">
        <v>1559</v>
      </c>
      <c r="B50" s="685"/>
      <c r="C50" s="685"/>
      <c r="D50" s="686"/>
      <c r="E50" s="686"/>
      <c r="F50" s="816"/>
      <c r="G50" s="1275">
        <f>G49*60%</f>
        <v>12000</v>
      </c>
      <c r="H50" s="1276" t="s">
        <v>3687</v>
      </c>
    </row>
    <row r="51" spans="1:8" ht="15.75" thickBot="1" x14ac:dyDescent="0.3"/>
    <row r="52" spans="1:8" ht="16.5" thickBot="1" x14ac:dyDescent="0.3">
      <c r="A52" s="1791" t="s">
        <v>4256</v>
      </c>
      <c r="B52" s="1792"/>
      <c r="C52" s="1792"/>
      <c r="D52" s="1792"/>
      <c r="E52" s="1793"/>
      <c r="F52" s="653"/>
      <c r="G52" s="653"/>
      <c r="H52" s="653"/>
    </row>
    <row r="53" spans="1:8" ht="15.75" x14ac:dyDescent="0.25">
      <c r="A53" s="654" t="s">
        <v>916</v>
      </c>
      <c r="B53" s="655" t="s">
        <v>743</v>
      </c>
      <c r="C53" s="655" t="s">
        <v>1566</v>
      </c>
      <c r="D53" s="656" t="s">
        <v>1035</v>
      </c>
      <c r="E53" s="657" t="s">
        <v>1549</v>
      </c>
      <c r="F53" s="658"/>
      <c r="G53" s="653"/>
      <c r="H53" s="653"/>
    </row>
    <row r="54" spans="1:8" ht="15.75" x14ac:dyDescent="0.25">
      <c r="A54" s="769" t="s">
        <v>4143</v>
      </c>
      <c r="B54" s="660">
        <v>0.8</v>
      </c>
      <c r="C54" s="660">
        <v>0.13</v>
      </c>
      <c r="D54" s="661">
        <f>PIEDRAS!E151</f>
        <v>4600</v>
      </c>
      <c r="E54" s="662">
        <f>D54*C54/B54</f>
        <v>747.5</v>
      </c>
      <c r="F54" s="658"/>
      <c r="G54" s="653"/>
      <c r="H54" s="653"/>
    </row>
    <row r="55" spans="1:8" ht="15.75" x14ac:dyDescent="0.25">
      <c r="A55" s="769" t="s">
        <v>1742</v>
      </c>
      <c r="B55" s="660" t="s">
        <v>3564</v>
      </c>
      <c r="C55" s="660">
        <v>1</v>
      </c>
      <c r="D55" s="661">
        <f>'PERLAS 2'!H26</f>
        <v>651.20000000000005</v>
      </c>
      <c r="E55" s="662">
        <f t="shared" ref="E55:E58" si="2">D55*C55</f>
        <v>651.20000000000005</v>
      </c>
      <c r="F55" s="658"/>
      <c r="G55" s="653"/>
      <c r="H55" s="653"/>
    </row>
    <row r="56" spans="1:8" ht="15.75" x14ac:dyDescent="0.25">
      <c r="A56" s="1736" t="s">
        <v>1572</v>
      </c>
      <c r="B56" s="660" t="s">
        <v>1556</v>
      </c>
      <c r="C56" s="660">
        <v>2</v>
      </c>
      <c r="D56" s="661">
        <f>FORNITURAS!D4</f>
        <v>48.7</v>
      </c>
      <c r="E56" s="662">
        <f t="shared" si="2"/>
        <v>97.4</v>
      </c>
      <c r="F56" s="658"/>
      <c r="G56" s="653"/>
      <c r="H56" s="653"/>
    </row>
    <row r="57" spans="1:8" ht="15.75" x14ac:dyDescent="0.25">
      <c r="A57" s="1737"/>
      <c r="B57" s="660" t="s">
        <v>1573</v>
      </c>
      <c r="C57" s="660">
        <v>1</v>
      </c>
      <c r="D57" s="661">
        <f>FORNITURAS!D7</f>
        <v>52</v>
      </c>
      <c r="E57" s="662">
        <f t="shared" si="2"/>
        <v>52</v>
      </c>
      <c r="F57" s="658"/>
      <c r="G57" s="653"/>
      <c r="H57" s="653"/>
    </row>
    <row r="58" spans="1:8" ht="15.75" x14ac:dyDescent="0.25">
      <c r="A58" s="666" t="s">
        <v>1424</v>
      </c>
      <c r="B58" s="660"/>
      <c r="C58" s="660">
        <v>0.18</v>
      </c>
      <c r="D58" s="661">
        <f>'HILOS-CORDONES-TANZA-CUERO'!L9</f>
        <v>30</v>
      </c>
      <c r="E58" s="662">
        <f t="shared" si="2"/>
        <v>5.3999999999999995</v>
      </c>
      <c r="F58" s="658"/>
      <c r="G58" s="653"/>
      <c r="H58" s="653"/>
    </row>
    <row r="59" spans="1:8" ht="15.75" x14ac:dyDescent="0.25">
      <c r="A59" s="666" t="s">
        <v>1608</v>
      </c>
      <c r="B59" s="660"/>
      <c r="C59" s="660">
        <v>3.5000000000000003E-2</v>
      </c>
      <c r="D59" s="661">
        <f>'AROS, CADENAS, DIJES, ETC'!I38</f>
        <v>3630</v>
      </c>
      <c r="E59" s="662">
        <f>C59*D59</f>
        <v>127.05000000000001</v>
      </c>
      <c r="F59" s="658"/>
      <c r="G59" s="653"/>
      <c r="H59" s="653"/>
    </row>
    <row r="60" spans="1:8" ht="15.75" x14ac:dyDescent="0.25">
      <c r="A60" s="666" t="s">
        <v>1554</v>
      </c>
      <c r="B60" s="660" t="s">
        <v>777</v>
      </c>
      <c r="C60" s="660">
        <v>2</v>
      </c>
      <c r="D60" s="661">
        <f>FORNITURAS!D24</f>
        <v>34.666666666666664</v>
      </c>
      <c r="E60" s="662">
        <f>D60*C60</f>
        <v>69.333333333333329</v>
      </c>
      <c r="F60" s="658"/>
      <c r="G60" s="653"/>
      <c r="H60" s="653"/>
    </row>
    <row r="61" spans="1:8" ht="15.75" x14ac:dyDescent="0.25">
      <c r="A61" s="666" t="s">
        <v>1012</v>
      </c>
      <c r="B61" s="660"/>
      <c r="C61" s="660">
        <v>2</v>
      </c>
      <c r="D61" s="661">
        <f>FORNITURAS!D16</f>
        <v>45.05</v>
      </c>
      <c r="E61" s="662">
        <f>D61*C61</f>
        <v>90.1</v>
      </c>
      <c r="F61" s="658"/>
      <c r="G61" s="653"/>
      <c r="H61" s="653"/>
    </row>
    <row r="62" spans="1:8" ht="15.75" x14ac:dyDescent="0.25">
      <c r="A62" s="666" t="s">
        <v>1587</v>
      </c>
      <c r="B62" s="660"/>
      <c r="C62" s="660">
        <v>1</v>
      </c>
      <c r="D62" s="661">
        <f>FORNITURAS!H44</f>
        <v>485</v>
      </c>
      <c r="E62" s="662">
        <f>C62*D62</f>
        <v>485</v>
      </c>
      <c r="F62" s="658"/>
      <c r="G62" s="653"/>
      <c r="H62" s="653"/>
    </row>
    <row r="63" spans="1:8" ht="15.75" x14ac:dyDescent="0.25">
      <c r="A63" s="666" t="s">
        <v>1557</v>
      </c>
      <c r="B63" s="660"/>
      <c r="C63" s="660"/>
      <c r="D63" s="661"/>
      <c r="E63" s="667">
        <f>PACKAGING!E3</f>
        <v>150</v>
      </c>
      <c r="F63" s="653"/>
      <c r="G63" s="658"/>
      <c r="H63" s="653"/>
    </row>
    <row r="64" spans="1:8" ht="15.75" x14ac:dyDescent="0.25">
      <c r="A64" s="666" t="s">
        <v>3362</v>
      </c>
      <c r="B64" s="660"/>
      <c r="C64" s="660"/>
      <c r="D64" s="661"/>
      <c r="E64" s="667">
        <f>PACKAGING!E17</f>
        <v>7.5</v>
      </c>
      <c r="F64" s="653"/>
      <c r="G64" s="658"/>
      <c r="H64" s="653"/>
    </row>
    <row r="65" spans="1:8" ht="15.75" x14ac:dyDescent="0.25">
      <c r="A65" s="666" t="s">
        <v>1634</v>
      </c>
      <c r="B65" s="660"/>
      <c r="C65" s="660"/>
      <c r="D65" s="661"/>
      <c r="E65" s="667">
        <f>PACKAGING!E7</f>
        <v>170</v>
      </c>
      <c r="F65" s="653"/>
      <c r="G65" s="658"/>
      <c r="H65" s="653"/>
    </row>
    <row r="66" spans="1:8" ht="15.75" x14ac:dyDescent="0.25">
      <c r="A66" s="666" t="s">
        <v>3180</v>
      </c>
      <c r="B66" s="660"/>
      <c r="C66" s="660"/>
      <c r="D66" s="661"/>
      <c r="E66" s="667">
        <f>PACKAGING!E8</f>
        <v>420</v>
      </c>
      <c r="F66" s="653"/>
      <c r="G66" s="658"/>
      <c r="H66" s="653"/>
    </row>
    <row r="67" spans="1:8" ht="15.75" x14ac:dyDescent="0.25">
      <c r="A67" s="683" t="s">
        <v>1618</v>
      </c>
      <c r="B67" s="660">
        <v>60</v>
      </c>
      <c r="C67" s="660">
        <v>20</v>
      </c>
      <c r="D67" s="668">
        <f>'INSUMOS VARIOS'!B3</f>
        <v>3500</v>
      </c>
      <c r="E67" s="669">
        <f>D67*C67/B67</f>
        <v>1166.6666666666667</v>
      </c>
      <c r="F67" s="653"/>
      <c r="G67" s="658"/>
      <c r="H67" s="653"/>
    </row>
    <row r="68" spans="1:8" ht="16.5" thickBot="1" x14ac:dyDescent="0.3">
      <c r="A68" s="670" t="s">
        <v>525</v>
      </c>
      <c r="B68" s="671"/>
      <c r="C68" s="671"/>
      <c r="D68" s="672"/>
      <c r="E68" s="673">
        <f>SUM(E54:E67)</f>
        <v>4239.1500000000005</v>
      </c>
      <c r="F68" s="658"/>
      <c r="G68" s="653"/>
      <c r="H68" s="653"/>
    </row>
    <row r="69" spans="1:8" ht="16.5" thickBot="1" x14ac:dyDescent="0.3">
      <c r="A69" s="675" t="s">
        <v>544</v>
      </c>
      <c r="B69" s="676"/>
      <c r="C69" s="676"/>
      <c r="D69" s="677"/>
      <c r="E69" s="692">
        <f>E68*2</f>
        <v>8478.3000000000011</v>
      </c>
      <c r="F69" s="957">
        <f>E69+E69*70%</f>
        <v>14413.11</v>
      </c>
      <c r="G69" s="681">
        <v>18000</v>
      </c>
      <c r="H69" s="653"/>
    </row>
    <row r="70" spans="1:8" ht="16.5" thickBot="1" x14ac:dyDescent="0.3">
      <c r="A70" s="684" t="s">
        <v>1559</v>
      </c>
      <c r="B70" s="685"/>
      <c r="C70" s="685"/>
      <c r="D70" s="686"/>
      <c r="E70" s="686"/>
      <c r="F70" s="816"/>
      <c r="G70" s="1275">
        <f>G69*50%</f>
        <v>9000</v>
      </c>
      <c r="H70" s="1276" t="s">
        <v>3687</v>
      </c>
    </row>
    <row r="71" spans="1:8" ht="15.75" thickBot="1" x14ac:dyDescent="0.3"/>
    <row r="72" spans="1:8" ht="16.5" thickBot="1" x14ac:dyDescent="0.3">
      <c r="A72" s="1791" t="s">
        <v>4266</v>
      </c>
      <c r="B72" s="1792"/>
      <c r="C72" s="1792"/>
      <c r="D72" s="1792"/>
      <c r="E72" s="1793"/>
      <c r="F72" s="653"/>
      <c r="G72" s="653"/>
      <c r="H72" s="653"/>
    </row>
    <row r="73" spans="1:8" ht="15.75" x14ac:dyDescent="0.25">
      <c r="A73" s="654" t="s">
        <v>916</v>
      </c>
      <c r="B73" s="655" t="s">
        <v>743</v>
      </c>
      <c r="C73" s="655" t="s">
        <v>1566</v>
      </c>
      <c r="D73" s="656" t="s">
        <v>1035</v>
      </c>
      <c r="E73" s="657" t="s">
        <v>1549</v>
      </c>
      <c r="F73" s="658"/>
      <c r="G73" s="653"/>
      <c r="H73" s="653"/>
    </row>
    <row r="74" spans="1:8" ht="15.75" x14ac:dyDescent="0.25">
      <c r="A74" s="769" t="s">
        <v>4207</v>
      </c>
      <c r="B74" s="660">
        <v>0.93</v>
      </c>
      <c r="C74" s="660">
        <v>0.15</v>
      </c>
      <c r="D74" s="661">
        <f>PIEDRAS!E149</f>
        <v>3600</v>
      </c>
      <c r="E74" s="662">
        <f>D74*C74/B74</f>
        <v>580.64516129032256</v>
      </c>
      <c r="F74" s="658"/>
      <c r="G74" s="653"/>
      <c r="H74" s="653"/>
    </row>
    <row r="75" spans="1:8" ht="15.75" x14ac:dyDescent="0.25">
      <c r="A75" s="1736" t="s">
        <v>1572</v>
      </c>
      <c r="B75" s="660" t="s">
        <v>1556</v>
      </c>
      <c r="C75" s="660">
        <v>2</v>
      </c>
      <c r="D75" s="661">
        <f>FORNITURAS!D4</f>
        <v>48.7</v>
      </c>
      <c r="E75" s="662">
        <f t="shared" ref="E75:E77" si="3">D75*C75</f>
        <v>97.4</v>
      </c>
      <c r="F75" s="658"/>
      <c r="G75" s="653"/>
      <c r="H75" s="653"/>
    </row>
    <row r="76" spans="1:8" ht="15.75" x14ac:dyDescent="0.25">
      <c r="A76" s="1737"/>
      <c r="B76" s="660" t="s">
        <v>1573</v>
      </c>
      <c r="C76" s="660">
        <v>1</v>
      </c>
      <c r="D76" s="661">
        <f>FORNITURAS!D7</f>
        <v>52</v>
      </c>
      <c r="E76" s="662">
        <f t="shared" si="3"/>
        <v>52</v>
      </c>
      <c r="F76" s="658"/>
      <c r="G76" s="653"/>
      <c r="H76" s="653"/>
    </row>
    <row r="77" spans="1:8" ht="15.75" x14ac:dyDescent="0.25">
      <c r="A77" s="666" t="s">
        <v>1424</v>
      </c>
      <c r="B77" s="660"/>
      <c r="C77" s="660">
        <v>0.18</v>
      </c>
      <c r="D77" s="661">
        <f>'HILOS-CORDONES-TANZA-CUERO'!L9</f>
        <v>30</v>
      </c>
      <c r="E77" s="662">
        <f t="shared" si="3"/>
        <v>5.3999999999999995</v>
      </c>
      <c r="F77" s="658"/>
      <c r="G77" s="653"/>
      <c r="H77" s="653"/>
    </row>
    <row r="78" spans="1:8" ht="15.75" x14ac:dyDescent="0.25">
      <c r="A78" s="666" t="s">
        <v>1608</v>
      </c>
      <c r="B78" s="660"/>
      <c r="C78" s="660">
        <v>3.5000000000000003E-2</v>
      </c>
      <c r="D78" s="661">
        <f>'AROS, CADENAS, DIJES, ETC'!I38</f>
        <v>3630</v>
      </c>
      <c r="E78" s="662">
        <f>C78*D78</f>
        <v>127.05000000000001</v>
      </c>
      <c r="F78" s="658"/>
      <c r="G78" s="653"/>
      <c r="H78" s="653"/>
    </row>
    <row r="79" spans="1:8" ht="15.75" x14ac:dyDescent="0.25">
      <c r="A79" s="666" t="s">
        <v>1554</v>
      </c>
      <c r="B79" s="660" t="s">
        <v>777</v>
      </c>
      <c r="C79" s="660">
        <v>2</v>
      </c>
      <c r="D79" s="661">
        <f>FORNITURAS!D24</f>
        <v>34.666666666666664</v>
      </c>
      <c r="E79" s="662">
        <f>D79*C79</f>
        <v>69.333333333333329</v>
      </c>
      <c r="F79" s="658"/>
      <c r="G79" s="653"/>
      <c r="H79" s="653"/>
    </row>
    <row r="80" spans="1:8" ht="15.75" x14ac:dyDescent="0.25">
      <c r="A80" s="666" t="s">
        <v>1012</v>
      </c>
      <c r="B80" s="660"/>
      <c r="C80" s="660">
        <v>2</v>
      </c>
      <c r="D80" s="661">
        <f>FORNITURAS!D16</f>
        <v>45.05</v>
      </c>
      <c r="E80" s="662">
        <f>D80*C80</f>
        <v>90.1</v>
      </c>
      <c r="F80" s="658"/>
      <c r="G80" s="653"/>
      <c r="H80" s="653"/>
    </row>
    <row r="81" spans="1:8" ht="15.75" x14ac:dyDescent="0.25">
      <c r="A81" s="666" t="s">
        <v>1587</v>
      </c>
      <c r="B81" s="660"/>
      <c r="C81" s="660">
        <v>1</v>
      </c>
      <c r="D81" s="661">
        <f>FORNITURAS!H44</f>
        <v>485</v>
      </c>
      <c r="E81" s="662">
        <f>C81*D81</f>
        <v>485</v>
      </c>
      <c r="F81" s="658"/>
      <c r="G81" s="653"/>
      <c r="H81" s="653"/>
    </row>
    <row r="82" spans="1:8" ht="15.75" x14ac:dyDescent="0.25">
      <c r="A82" s="666" t="s">
        <v>1557</v>
      </c>
      <c r="B82" s="660"/>
      <c r="C82" s="660"/>
      <c r="D82" s="661"/>
      <c r="E82" s="667">
        <f>PACKAGING!E3</f>
        <v>150</v>
      </c>
      <c r="F82" s="653"/>
      <c r="G82" s="658"/>
      <c r="H82" s="653"/>
    </row>
    <row r="83" spans="1:8" ht="15.75" x14ac:dyDescent="0.25">
      <c r="A83" s="666" t="s">
        <v>3362</v>
      </c>
      <c r="B83" s="660"/>
      <c r="C83" s="660"/>
      <c r="D83" s="661"/>
      <c r="E83" s="667">
        <f>PACKAGING!E17</f>
        <v>7.5</v>
      </c>
      <c r="F83" s="653"/>
      <c r="G83" s="658"/>
      <c r="H83" s="653"/>
    </row>
    <row r="84" spans="1:8" ht="15.75" x14ac:dyDescent="0.25">
      <c r="A84" s="666" t="s">
        <v>1634</v>
      </c>
      <c r="B84" s="660"/>
      <c r="C84" s="660"/>
      <c r="D84" s="661"/>
      <c r="E84" s="667">
        <f>PACKAGING!E7</f>
        <v>170</v>
      </c>
      <c r="F84" s="653"/>
      <c r="G84" s="658"/>
      <c r="H84" s="653"/>
    </row>
    <row r="85" spans="1:8" ht="15.75" x14ac:dyDescent="0.25">
      <c r="A85" s="666" t="s">
        <v>3180</v>
      </c>
      <c r="B85" s="660"/>
      <c r="C85" s="660"/>
      <c r="D85" s="661"/>
      <c r="E85" s="667">
        <f>PACKAGING!E8</f>
        <v>420</v>
      </c>
      <c r="F85" s="653"/>
      <c r="G85" s="658"/>
      <c r="H85" s="653"/>
    </row>
    <row r="86" spans="1:8" ht="15.75" x14ac:dyDescent="0.25">
      <c r="A86" s="683" t="s">
        <v>1618</v>
      </c>
      <c r="B86" s="660">
        <v>60</v>
      </c>
      <c r="C86" s="660">
        <v>20</v>
      </c>
      <c r="D86" s="668">
        <f>'INSUMOS VARIOS'!B3</f>
        <v>3500</v>
      </c>
      <c r="E86" s="669">
        <f>D86*C86/B86</f>
        <v>1166.6666666666667</v>
      </c>
      <c r="F86" s="653"/>
      <c r="G86" s="658"/>
      <c r="H86" s="653"/>
    </row>
    <row r="87" spans="1:8" ht="16.5" thickBot="1" x14ac:dyDescent="0.3">
      <c r="A87" s="670" t="s">
        <v>525</v>
      </c>
      <c r="B87" s="671"/>
      <c r="C87" s="671"/>
      <c r="D87" s="672"/>
      <c r="E87" s="673">
        <f>SUM(E74:E86)</f>
        <v>3421.0951612903227</v>
      </c>
      <c r="F87" s="658"/>
      <c r="G87" s="653"/>
      <c r="H87" s="653"/>
    </row>
    <row r="88" spans="1:8" ht="16.5" thickBot="1" x14ac:dyDescent="0.3">
      <c r="A88" s="675" t="s">
        <v>544</v>
      </c>
      <c r="B88" s="676"/>
      <c r="C88" s="676"/>
      <c r="D88" s="677"/>
      <c r="E88" s="692">
        <f>E87*2</f>
        <v>6842.1903225806454</v>
      </c>
      <c r="F88" s="957">
        <f>E88+E88*70%</f>
        <v>11631.723548387097</v>
      </c>
      <c r="G88" s="681">
        <v>18000</v>
      </c>
      <c r="H88" s="653"/>
    </row>
    <row r="89" spans="1:8" ht="16.5" thickBot="1" x14ac:dyDescent="0.3">
      <c r="A89" s="684" t="s">
        <v>1559</v>
      </c>
      <c r="B89" s="685"/>
      <c r="C89" s="685"/>
      <c r="D89" s="686"/>
      <c r="E89" s="686"/>
      <c r="F89" s="816"/>
      <c r="G89" s="1275">
        <f>G88*50%</f>
        <v>9000</v>
      </c>
      <c r="H89" s="1276" t="s">
        <v>3687</v>
      </c>
    </row>
    <row r="90" spans="1:8" ht="15.75" thickBot="1" x14ac:dyDescent="0.3"/>
    <row r="91" spans="1:8" ht="16.5" customHeight="1" thickBot="1" x14ac:dyDescent="0.3">
      <c r="A91" s="1791" t="s">
        <v>4269</v>
      </c>
      <c r="B91" s="1792"/>
      <c r="C91" s="1792"/>
      <c r="D91" s="1792"/>
      <c r="E91" s="1793"/>
      <c r="F91" s="653"/>
      <c r="G91" s="653"/>
      <c r="H91" s="653"/>
    </row>
    <row r="92" spans="1:8" ht="15.75" x14ac:dyDescent="0.25">
      <c r="A92" s="654" t="s">
        <v>916</v>
      </c>
      <c r="B92" s="655" t="s">
        <v>743</v>
      </c>
      <c r="C92" s="655" t="s">
        <v>1566</v>
      </c>
      <c r="D92" s="656" t="s">
        <v>1035</v>
      </c>
      <c r="E92" s="657" t="s">
        <v>1549</v>
      </c>
      <c r="F92" s="658"/>
      <c r="G92" s="653"/>
      <c r="H92" s="653"/>
    </row>
    <row r="93" spans="1:8" ht="15.75" x14ac:dyDescent="0.25">
      <c r="A93" s="1734" t="s">
        <v>4208</v>
      </c>
      <c r="B93" s="660">
        <v>0.17</v>
      </c>
      <c r="C93" s="660">
        <v>2</v>
      </c>
      <c r="D93" s="661">
        <f>'HILOS-CORDONES-TANZA-CUERO'!E37</f>
        <v>329</v>
      </c>
      <c r="E93" s="662">
        <f>D93*C93*B93</f>
        <v>111.86000000000001</v>
      </c>
      <c r="F93" s="658"/>
      <c r="G93" s="653"/>
      <c r="H93" s="653"/>
    </row>
    <row r="94" spans="1:8" ht="15.75" x14ac:dyDescent="0.25">
      <c r="A94" s="1735"/>
      <c r="B94" s="660">
        <v>0.1</v>
      </c>
      <c r="C94" s="660">
        <v>1</v>
      </c>
      <c r="D94" s="661">
        <f>'HILOS-CORDONES-TANZA-CUERO'!E37</f>
        <v>329</v>
      </c>
      <c r="E94" s="662">
        <f>D94*C94*B94</f>
        <v>32.9</v>
      </c>
      <c r="F94" s="658"/>
      <c r="G94" s="653"/>
      <c r="H94" s="653"/>
    </row>
    <row r="95" spans="1:8" ht="15.75" x14ac:dyDescent="0.25">
      <c r="A95" s="666" t="s">
        <v>1742</v>
      </c>
      <c r="B95" s="660" t="s">
        <v>4119</v>
      </c>
      <c r="C95" s="660">
        <v>1</v>
      </c>
      <c r="D95" s="661">
        <f>'PERLAS 2'!O9</f>
        <v>672.86363636363637</v>
      </c>
      <c r="E95" s="662">
        <f t="shared" ref="E95" si="4">D95*C95</f>
        <v>672.86363636363637</v>
      </c>
      <c r="F95" s="658"/>
      <c r="G95" s="653"/>
      <c r="H95" s="653"/>
    </row>
    <row r="96" spans="1:8" ht="15.75" x14ac:dyDescent="0.25">
      <c r="A96" s="666" t="s">
        <v>2065</v>
      </c>
      <c r="B96" s="660"/>
      <c r="C96" s="660">
        <v>1</v>
      </c>
      <c r="D96" s="661">
        <f>'AROS, CADENAS, DIJES, ETC'!O67</f>
        <v>3186</v>
      </c>
      <c r="E96" s="662">
        <f>C96*D96</f>
        <v>3186</v>
      </c>
      <c r="F96" s="658"/>
      <c r="G96" s="653"/>
      <c r="H96" s="653"/>
    </row>
    <row r="97" spans="1:8" ht="15.75" x14ac:dyDescent="0.25">
      <c r="A97" s="666" t="s">
        <v>1557</v>
      </c>
      <c r="B97" s="660"/>
      <c r="C97" s="660"/>
      <c r="D97" s="661"/>
      <c r="E97" s="667">
        <f>PACKAGING!E5</f>
        <v>200</v>
      </c>
      <c r="F97" s="653"/>
      <c r="G97" s="658"/>
      <c r="H97" s="653"/>
    </row>
    <row r="98" spans="1:8" ht="15.75" x14ac:dyDescent="0.25">
      <c r="A98" s="683" t="s">
        <v>1618</v>
      </c>
      <c r="B98" s="660">
        <v>60</v>
      </c>
      <c r="C98" s="660">
        <v>20</v>
      </c>
      <c r="D98" s="668">
        <f>'INSUMOS VARIOS'!B3</f>
        <v>3500</v>
      </c>
      <c r="E98" s="669">
        <f>D98*C98/B98</f>
        <v>1166.6666666666667</v>
      </c>
      <c r="F98" s="653"/>
      <c r="G98" s="658"/>
      <c r="H98" s="653"/>
    </row>
    <row r="99" spans="1:8" ht="16.5" thickBot="1" x14ac:dyDescent="0.3">
      <c r="A99" s="670" t="s">
        <v>525</v>
      </c>
      <c r="B99" s="671"/>
      <c r="C99" s="671"/>
      <c r="D99" s="672"/>
      <c r="E99" s="673">
        <f>SUM(E93:E98)</f>
        <v>5370.2903030303032</v>
      </c>
      <c r="F99" s="658"/>
      <c r="G99" s="653"/>
      <c r="H99" s="653"/>
    </row>
    <row r="100" spans="1:8" ht="16.5" thickBot="1" x14ac:dyDescent="0.3">
      <c r="A100" s="675" t="s">
        <v>544</v>
      </c>
      <c r="B100" s="676"/>
      <c r="C100" s="676"/>
      <c r="D100" s="677"/>
      <c r="E100" s="692">
        <f>E99*2</f>
        <v>10740.580606060606</v>
      </c>
      <c r="F100" s="957">
        <f>E100+E100*60%</f>
        <v>17184.928969696972</v>
      </c>
      <c r="G100" s="681">
        <v>18000</v>
      </c>
      <c r="H100" s="653"/>
    </row>
    <row r="101" spans="1:8" ht="16.5" thickBot="1" x14ac:dyDescent="0.3">
      <c r="A101" s="684" t="s">
        <v>1559</v>
      </c>
      <c r="B101" s="685"/>
      <c r="C101" s="685"/>
      <c r="D101" s="686"/>
      <c r="E101" s="686"/>
      <c r="F101" s="816"/>
      <c r="G101" s="1275">
        <f>G100*70%</f>
        <v>12600</v>
      </c>
      <c r="H101" s="1276" t="s">
        <v>3687</v>
      </c>
    </row>
    <row r="102" spans="1:8" ht="15.75" thickBot="1" x14ac:dyDescent="0.3"/>
    <row r="103" spans="1:8" ht="16.5" thickBot="1" x14ac:dyDescent="0.3">
      <c r="A103" s="1791" t="s">
        <v>4257</v>
      </c>
      <c r="B103" s="1792"/>
      <c r="C103" s="1792"/>
      <c r="D103" s="1792"/>
      <c r="E103" s="1793"/>
      <c r="F103" s="653"/>
      <c r="G103" s="653"/>
      <c r="H103" s="653"/>
    </row>
    <row r="104" spans="1:8" ht="15.75" x14ac:dyDescent="0.25">
      <c r="A104" s="654" t="s">
        <v>916</v>
      </c>
      <c r="B104" s="655" t="s">
        <v>743</v>
      </c>
      <c r="C104" s="655" t="s">
        <v>1566</v>
      </c>
      <c r="D104" s="656" t="s">
        <v>1035</v>
      </c>
      <c r="E104" s="657" t="s">
        <v>1549</v>
      </c>
      <c r="F104" s="658"/>
      <c r="G104" s="653"/>
      <c r="H104" s="653"/>
    </row>
    <row r="105" spans="1:8" ht="15.75" x14ac:dyDescent="0.25">
      <c r="A105" s="1734" t="s">
        <v>4209</v>
      </c>
      <c r="B105" s="660">
        <v>0.2</v>
      </c>
      <c r="C105" s="660">
        <v>2</v>
      </c>
      <c r="D105" s="661">
        <f>'HILOS-CORDONES-TANZA-CUERO'!E40</f>
        <v>329</v>
      </c>
      <c r="E105" s="662">
        <f>D105*C105*B105</f>
        <v>131.6</v>
      </c>
      <c r="F105" s="658"/>
      <c r="G105" s="653"/>
      <c r="H105" s="653"/>
    </row>
    <row r="106" spans="1:8" ht="15.75" x14ac:dyDescent="0.25">
      <c r="A106" s="1735"/>
      <c r="B106" s="660">
        <v>0.1</v>
      </c>
      <c r="C106" s="660">
        <v>1</v>
      </c>
      <c r="D106" s="661">
        <f>'HILOS-CORDONES-TANZA-CUERO'!E40</f>
        <v>329</v>
      </c>
      <c r="E106" s="662">
        <f>D106*C106*B106</f>
        <v>32.9</v>
      </c>
      <c r="F106" s="658"/>
      <c r="G106" s="653"/>
      <c r="H106" s="653"/>
    </row>
    <row r="107" spans="1:8" ht="15.75" x14ac:dyDescent="0.25">
      <c r="A107" s="666" t="s">
        <v>2065</v>
      </c>
      <c r="B107" s="660"/>
      <c r="C107" s="660">
        <v>1</v>
      </c>
      <c r="D107" s="661">
        <f>'AROS, CADENAS, DIJES, ETC'!O65</f>
        <v>1290</v>
      </c>
      <c r="E107" s="662">
        <f>C107*D107</f>
        <v>1290</v>
      </c>
      <c r="F107" s="658"/>
      <c r="G107" s="653"/>
      <c r="H107" s="653"/>
    </row>
    <row r="108" spans="1:8" ht="15.75" x14ac:dyDescent="0.25">
      <c r="A108" s="666" t="s">
        <v>1557</v>
      </c>
      <c r="B108" s="660"/>
      <c r="C108" s="660"/>
      <c r="D108" s="661"/>
      <c r="E108" s="667">
        <f>PACKAGING!E5</f>
        <v>200</v>
      </c>
      <c r="F108" s="653"/>
      <c r="G108" s="658"/>
      <c r="H108" s="653"/>
    </row>
    <row r="109" spans="1:8" ht="15.75" x14ac:dyDescent="0.25">
      <c r="A109" s="683" t="s">
        <v>1618</v>
      </c>
      <c r="B109" s="660">
        <v>60</v>
      </c>
      <c r="C109" s="660">
        <v>20</v>
      </c>
      <c r="D109" s="668">
        <f>'INSUMOS VARIOS'!B3</f>
        <v>3500</v>
      </c>
      <c r="E109" s="669">
        <f>D109*C109/B109</f>
        <v>1166.6666666666667</v>
      </c>
      <c r="F109" s="653"/>
      <c r="G109" s="658"/>
      <c r="H109" s="653"/>
    </row>
    <row r="110" spans="1:8" ht="16.5" thickBot="1" x14ac:dyDescent="0.3">
      <c r="A110" s="670" t="s">
        <v>525</v>
      </c>
      <c r="B110" s="671"/>
      <c r="C110" s="671"/>
      <c r="D110" s="672"/>
      <c r="E110" s="673">
        <f>SUM(E105:E109)</f>
        <v>2821.166666666667</v>
      </c>
      <c r="F110" s="658"/>
      <c r="G110" s="653"/>
      <c r="H110" s="653"/>
    </row>
    <row r="111" spans="1:8" ht="16.5" thickBot="1" x14ac:dyDescent="0.3">
      <c r="A111" s="675" t="s">
        <v>544</v>
      </c>
      <c r="B111" s="676"/>
      <c r="C111" s="676"/>
      <c r="D111" s="677"/>
      <c r="E111" s="692">
        <f>E110*2</f>
        <v>5642.3333333333339</v>
      </c>
      <c r="F111" s="957">
        <f>E111+E111*70%</f>
        <v>9591.9666666666672</v>
      </c>
      <c r="G111" s="681">
        <v>16000</v>
      </c>
      <c r="H111" s="653"/>
    </row>
    <row r="112" spans="1:8" ht="16.5" thickBot="1" x14ac:dyDescent="0.3">
      <c r="A112" s="684" t="s">
        <v>1559</v>
      </c>
      <c r="B112" s="685"/>
      <c r="C112" s="685"/>
      <c r="D112" s="686"/>
      <c r="E112" s="686"/>
      <c r="F112" s="816"/>
      <c r="G112" s="1275">
        <f>G111*50%</f>
        <v>8000</v>
      </c>
      <c r="H112" s="1276" t="s">
        <v>3687</v>
      </c>
    </row>
    <row r="113" spans="1:8" ht="15.75" thickBot="1" x14ac:dyDescent="0.3"/>
    <row r="114" spans="1:8" ht="16.5" thickBot="1" x14ac:dyDescent="0.3">
      <c r="A114" s="1791" t="s">
        <v>4272</v>
      </c>
      <c r="B114" s="1792"/>
      <c r="C114" s="1792"/>
      <c r="D114" s="1792"/>
      <c r="E114" s="1793"/>
      <c r="F114" s="653"/>
      <c r="G114" s="653"/>
      <c r="H114" s="653"/>
    </row>
    <row r="115" spans="1:8" ht="15.75" x14ac:dyDescent="0.25">
      <c r="A115" s="654" t="s">
        <v>916</v>
      </c>
      <c r="B115" s="655" t="s">
        <v>743</v>
      </c>
      <c r="C115" s="655" t="s">
        <v>1566</v>
      </c>
      <c r="D115" s="656" t="s">
        <v>1035</v>
      </c>
      <c r="E115" s="657" t="s">
        <v>1549</v>
      </c>
      <c r="F115" s="658"/>
      <c r="G115" s="653"/>
      <c r="H115" s="653"/>
    </row>
    <row r="116" spans="1:8" ht="15.75" x14ac:dyDescent="0.25">
      <c r="A116" s="769" t="s">
        <v>3506</v>
      </c>
      <c r="B116" s="660"/>
      <c r="C116" s="660">
        <v>23</v>
      </c>
      <c r="D116" s="661">
        <f>'PALAIS DU BIJOU'!O18</f>
        <v>2.625</v>
      </c>
      <c r="E116" s="662">
        <f>D116*C116</f>
        <v>60.375</v>
      </c>
      <c r="F116" s="658"/>
      <c r="G116" s="653"/>
      <c r="H116" s="653"/>
    </row>
    <row r="117" spans="1:8" ht="15.75" x14ac:dyDescent="0.25">
      <c r="A117" s="769" t="s">
        <v>4210</v>
      </c>
      <c r="B117" s="660"/>
      <c r="C117" s="660">
        <v>24</v>
      </c>
      <c r="D117" s="661">
        <f>PIEDRAS!F23</f>
        <v>102.05882352941177</v>
      </c>
      <c r="E117" s="662">
        <f>D117*C117</f>
        <v>2449.4117647058824</v>
      </c>
      <c r="F117" s="658"/>
      <c r="G117" s="653"/>
      <c r="H117" s="653"/>
    </row>
    <row r="118" spans="1:8" ht="15.75" x14ac:dyDescent="0.25">
      <c r="A118" s="1736" t="s">
        <v>1572</v>
      </c>
      <c r="B118" s="660" t="s">
        <v>1556</v>
      </c>
      <c r="C118" s="660">
        <v>2</v>
      </c>
      <c r="D118" s="661">
        <f>FORNITURAS!D4</f>
        <v>48.7</v>
      </c>
      <c r="E118" s="662">
        <f t="shared" ref="E118:E120" si="5">D118*C118</f>
        <v>97.4</v>
      </c>
      <c r="F118" s="658"/>
      <c r="G118" s="653"/>
      <c r="H118" s="653"/>
    </row>
    <row r="119" spans="1:8" ht="15.75" x14ac:dyDescent="0.25">
      <c r="A119" s="1737"/>
      <c r="B119" s="660" t="s">
        <v>1573</v>
      </c>
      <c r="C119" s="660">
        <v>1</v>
      </c>
      <c r="D119" s="661">
        <f>FORNITURAS!D7</f>
        <v>52</v>
      </c>
      <c r="E119" s="662">
        <f t="shared" si="5"/>
        <v>52</v>
      </c>
      <c r="F119" s="658"/>
      <c r="G119" s="653"/>
      <c r="H119" s="653"/>
    </row>
    <row r="120" spans="1:8" ht="15.75" x14ac:dyDescent="0.25">
      <c r="A120" s="666" t="s">
        <v>1424</v>
      </c>
      <c r="B120" s="660"/>
      <c r="C120" s="660">
        <v>0.18</v>
      </c>
      <c r="D120" s="661">
        <f>'HILOS-CORDONES-TANZA-CUERO'!L9</f>
        <v>30</v>
      </c>
      <c r="E120" s="662">
        <f t="shared" si="5"/>
        <v>5.3999999999999995</v>
      </c>
      <c r="F120" s="658"/>
      <c r="G120" s="653"/>
      <c r="H120" s="653"/>
    </row>
    <row r="121" spans="1:8" ht="15.75" x14ac:dyDescent="0.25">
      <c r="A121" s="666" t="s">
        <v>1608</v>
      </c>
      <c r="B121" s="660"/>
      <c r="C121" s="660">
        <v>3.5000000000000003E-2</v>
      </c>
      <c r="D121" s="661">
        <f>'AROS, CADENAS, DIJES, ETC'!I38</f>
        <v>3630</v>
      </c>
      <c r="E121" s="662">
        <f>C121*D121</f>
        <v>127.05000000000001</v>
      </c>
      <c r="F121" s="658"/>
      <c r="G121" s="653"/>
      <c r="H121" s="653"/>
    </row>
    <row r="122" spans="1:8" ht="15.75" x14ac:dyDescent="0.25">
      <c r="A122" s="666" t="s">
        <v>1554</v>
      </c>
      <c r="B122" s="660" t="s">
        <v>777</v>
      </c>
      <c r="C122" s="660">
        <v>2</v>
      </c>
      <c r="D122" s="661">
        <f>FORNITURAS!D24</f>
        <v>34.666666666666664</v>
      </c>
      <c r="E122" s="662">
        <f>D122*C122</f>
        <v>69.333333333333329</v>
      </c>
      <c r="F122" s="658"/>
      <c r="G122" s="653"/>
      <c r="H122" s="653"/>
    </row>
    <row r="123" spans="1:8" ht="15.75" x14ac:dyDescent="0.25">
      <c r="A123" s="666" t="s">
        <v>1012</v>
      </c>
      <c r="B123" s="660"/>
      <c r="C123" s="660">
        <v>2</v>
      </c>
      <c r="D123" s="661">
        <f>FORNITURAS!D16</f>
        <v>45.05</v>
      </c>
      <c r="E123" s="662">
        <f>D123*C123</f>
        <v>90.1</v>
      </c>
      <c r="F123" s="658"/>
      <c r="G123" s="653"/>
      <c r="H123" s="653"/>
    </row>
    <row r="124" spans="1:8" ht="15.75" x14ac:dyDescent="0.25">
      <c r="A124" s="666" t="s">
        <v>1587</v>
      </c>
      <c r="B124" s="660"/>
      <c r="C124" s="660">
        <v>1</v>
      </c>
      <c r="D124" s="661">
        <f>FORNITURAS!H44</f>
        <v>485</v>
      </c>
      <c r="E124" s="662">
        <f>C124*D124</f>
        <v>485</v>
      </c>
      <c r="F124" s="658"/>
      <c r="G124" s="653"/>
      <c r="H124" s="653"/>
    </row>
    <row r="125" spans="1:8" ht="15.75" x14ac:dyDescent="0.25">
      <c r="A125" s="666" t="s">
        <v>1557</v>
      </c>
      <c r="B125" s="660"/>
      <c r="C125" s="660"/>
      <c r="D125" s="661"/>
      <c r="E125" s="667">
        <f>PACKAGING!E3</f>
        <v>150</v>
      </c>
      <c r="F125" s="653"/>
      <c r="G125" s="658"/>
      <c r="H125" s="653"/>
    </row>
    <row r="126" spans="1:8" ht="15.75" x14ac:dyDescent="0.25">
      <c r="A126" s="666" t="s">
        <v>3362</v>
      </c>
      <c r="B126" s="660"/>
      <c r="C126" s="660"/>
      <c r="D126" s="661"/>
      <c r="E126" s="667">
        <f>PACKAGING!E17</f>
        <v>7.5</v>
      </c>
      <c r="F126" s="653"/>
      <c r="G126" s="658"/>
      <c r="H126" s="653"/>
    </row>
    <row r="127" spans="1:8" ht="15.75" x14ac:dyDescent="0.25">
      <c r="A127" s="666" t="s">
        <v>1634</v>
      </c>
      <c r="B127" s="660"/>
      <c r="C127" s="660"/>
      <c r="D127" s="661"/>
      <c r="E127" s="667">
        <f>PACKAGING!E7</f>
        <v>170</v>
      </c>
      <c r="F127" s="653"/>
      <c r="G127" s="658"/>
      <c r="H127" s="653"/>
    </row>
    <row r="128" spans="1:8" ht="15.75" x14ac:dyDescent="0.25">
      <c r="A128" s="666" t="s">
        <v>3180</v>
      </c>
      <c r="B128" s="660"/>
      <c r="C128" s="660"/>
      <c r="D128" s="661"/>
      <c r="E128" s="667">
        <f>PACKAGING!E8</f>
        <v>420</v>
      </c>
      <c r="F128" s="653"/>
      <c r="G128" s="658"/>
      <c r="H128" s="653"/>
    </row>
    <row r="129" spans="1:8" ht="15.75" x14ac:dyDescent="0.25">
      <c r="A129" s="683" t="s">
        <v>1618</v>
      </c>
      <c r="B129" s="660">
        <v>60</v>
      </c>
      <c r="C129" s="660">
        <v>20</v>
      </c>
      <c r="D129" s="668">
        <f>'INSUMOS VARIOS'!B3</f>
        <v>3500</v>
      </c>
      <c r="E129" s="669">
        <f>D129*C129/B129</f>
        <v>1166.6666666666667</v>
      </c>
      <c r="F129" s="653"/>
      <c r="G129" s="658"/>
      <c r="H129" s="653"/>
    </row>
    <row r="130" spans="1:8" ht="16.5" thickBot="1" x14ac:dyDescent="0.3">
      <c r="A130" s="670" t="s">
        <v>525</v>
      </c>
      <c r="B130" s="671"/>
      <c r="C130" s="671"/>
      <c r="D130" s="672"/>
      <c r="E130" s="673">
        <f>SUM(E116:E129)</f>
        <v>5350.2367647058827</v>
      </c>
      <c r="F130" s="658"/>
      <c r="G130" s="653"/>
      <c r="H130" s="653"/>
    </row>
    <row r="131" spans="1:8" ht="16.5" thickBot="1" x14ac:dyDescent="0.3">
      <c r="A131" s="675" t="s">
        <v>544</v>
      </c>
      <c r="B131" s="676"/>
      <c r="C131" s="676"/>
      <c r="D131" s="677"/>
      <c r="E131" s="692">
        <f>E130*2</f>
        <v>10700.473529411765</v>
      </c>
      <c r="F131" s="957">
        <f>E131+E131*70%</f>
        <v>18190.805</v>
      </c>
      <c r="G131" s="681">
        <v>28000</v>
      </c>
      <c r="H131" s="653"/>
    </row>
    <row r="132" spans="1:8" ht="16.5" thickBot="1" x14ac:dyDescent="0.3">
      <c r="A132" s="684" t="s">
        <v>1559</v>
      </c>
      <c r="B132" s="685"/>
      <c r="C132" s="685"/>
      <c r="D132" s="686"/>
      <c r="E132" s="686"/>
      <c r="F132" s="816"/>
      <c r="G132" s="1275">
        <f>G131*60%</f>
        <v>16800</v>
      </c>
      <c r="H132" s="1276" t="s">
        <v>3687</v>
      </c>
    </row>
    <row r="133" spans="1:8" ht="15.75" thickBot="1" x14ac:dyDescent="0.3"/>
    <row r="134" spans="1:8" ht="16.5" thickBot="1" x14ac:dyDescent="0.3">
      <c r="A134" s="1791" t="s">
        <v>4259</v>
      </c>
      <c r="B134" s="1792"/>
      <c r="C134" s="1792"/>
      <c r="D134" s="1792"/>
      <c r="E134" s="1793"/>
      <c r="F134" s="653"/>
      <c r="G134" s="653"/>
      <c r="H134" s="653"/>
    </row>
    <row r="135" spans="1:8" ht="15.75" x14ac:dyDescent="0.25">
      <c r="A135" s="654" t="s">
        <v>916</v>
      </c>
      <c r="B135" s="655" t="s">
        <v>743</v>
      </c>
      <c r="C135" s="655" t="s">
        <v>1566</v>
      </c>
      <c r="D135" s="656" t="s">
        <v>1035</v>
      </c>
      <c r="E135" s="657" t="s">
        <v>1549</v>
      </c>
      <c r="F135" s="658"/>
      <c r="G135" s="653"/>
      <c r="H135" s="653"/>
    </row>
    <row r="136" spans="1:8" ht="15.75" x14ac:dyDescent="0.25">
      <c r="A136" s="666" t="s">
        <v>3183</v>
      </c>
      <c r="B136" s="660" t="s">
        <v>777</v>
      </c>
      <c r="C136" s="660">
        <v>40</v>
      </c>
      <c r="D136" s="661">
        <f>PIEDRAS!F123</f>
        <v>40.909090909090907</v>
      </c>
      <c r="E136" s="662">
        <f>D136*C136</f>
        <v>1636.3636363636363</v>
      </c>
      <c r="F136" s="658"/>
      <c r="G136" s="653"/>
      <c r="H136" s="653"/>
    </row>
    <row r="137" spans="1:8" ht="15.75" x14ac:dyDescent="0.25">
      <c r="A137" s="666" t="s">
        <v>4143</v>
      </c>
      <c r="B137" s="660">
        <v>0.8</v>
      </c>
      <c r="C137" s="660">
        <v>1.4999999999999999E-2</v>
      </c>
      <c r="D137" s="661">
        <f>PIEDRAS!E151</f>
        <v>4600</v>
      </c>
      <c r="E137" s="662">
        <f>D137*C137/B137</f>
        <v>86.25</v>
      </c>
      <c r="F137" s="658"/>
      <c r="G137" s="653"/>
      <c r="H137" s="653"/>
    </row>
    <row r="138" spans="1:8" ht="15.75" x14ac:dyDescent="0.25">
      <c r="A138" s="666" t="s">
        <v>3098</v>
      </c>
      <c r="B138" s="660"/>
      <c r="C138" s="660">
        <v>2</v>
      </c>
      <c r="D138" s="661">
        <f>FORNITURAS!D16</f>
        <v>45.05</v>
      </c>
      <c r="E138" s="662">
        <f>D138*C138</f>
        <v>90.1</v>
      </c>
      <c r="F138" s="658"/>
      <c r="G138" s="653"/>
      <c r="H138" s="653"/>
    </row>
    <row r="139" spans="1:8" ht="15.75" x14ac:dyDescent="0.25">
      <c r="A139" s="666" t="s">
        <v>4128</v>
      </c>
      <c r="B139" s="660" t="s">
        <v>777</v>
      </c>
      <c r="C139" s="660">
        <v>6</v>
      </c>
      <c r="D139" s="661">
        <f>FORNITURAS!I3</f>
        <v>66.099999999999994</v>
      </c>
      <c r="E139" s="662">
        <f>C139*D139</f>
        <v>396.59999999999997</v>
      </c>
      <c r="F139" s="658"/>
      <c r="G139" s="653"/>
      <c r="H139" s="653"/>
    </row>
    <row r="140" spans="1:8" ht="15.75" x14ac:dyDescent="0.25">
      <c r="A140" s="666" t="s">
        <v>4211</v>
      </c>
      <c r="B140" s="660"/>
      <c r="C140" s="660">
        <v>0.28000000000000003</v>
      </c>
      <c r="D140" s="661">
        <f>'HILOS-CORDONES-TANZA-CUERO'!L6</f>
        <v>8</v>
      </c>
      <c r="E140" s="667">
        <f>D140*C140</f>
        <v>2.2400000000000002</v>
      </c>
      <c r="F140" s="658"/>
      <c r="G140" s="653"/>
      <c r="H140" s="653"/>
    </row>
    <row r="141" spans="1:8" ht="15.75" x14ac:dyDescent="0.25">
      <c r="A141" s="666" t="s">
        <v>1557</v>
      </c>
      <c r="B141" s="660"/>
      <c r="C141" s="660"/>
      <c r="D141" s="661"/>
      <c r="E141" s="667">
        <f>PACKAGING!E5</f>
        <v>200</v>
      </c>
      <c r="F141" s="653"/>
      <c r="G141" s="658"/>
      <c r="H141" s="653"/>
    </row>
    <row r="142" spans="1:8" ht="15.75" x14ac:dyDescent="0.25">
      <c r="A142" s="683" t="s">
        <v>1618</v>
      </c>
      <c r="B142" s="660">
        <v>60</v>
      </c>
      <c r="C142" s="660">
        <v>20</v>
      </c>
      <c r="D142" s="668">
        <f>'INSUMOS VARIOS'!B3</f>
        <v>3500</v>
      </c>
      <c r="E142" s="669">
        <f>D142*C142/B142</f>
        <v>1166.6666666666667</v>
      </c>
      <c r="F142" s="653"/>
      <c r="G142" s="658"/>
      <c r="H142" s="653"/>
    </row>
    <row r="143" spans="1:8" ht="16.5" thickBot="1" x14ac:dyDescent="0.3">
      <c r="A143" s="670" t="s">
        <v>525</v>
      </c>
      <c r="B143" s="671"/>
      <c r="C143" s="671"/>
      <c r="D143" s="672"/>
      <c r="E143" s="673">
        <f>SUM(E136:E142)</f>
        <v>3578.2203030303026</v>
      </c>
      <c r="F143" s="658"/>
      <c r="G143" s="653"/>
      <c r="H143" s="653"/>
    </row>
    <row r="144" spans="1:8" ht="16.5" thickBot="1" x14ac:dyDescent="0.3">
      <c r="A144" s="675" t="s">
        <v>544</v>
      </c>
      <c r="B144" s="676"/>
      <c r="C144" s="676"/>
      <c r="D144" s="677"/>
      <c r="E144" s="692">
        <f>E143*2</f>
        <v>7156.4406060606052</v>
      </c>
      <c r="F144" s="957">
        <f>E144+E144*70%</f>
        <v>12165.949030303029</v>
      </c>
      <c r="G144" s="681">
        <v>18000</v>
      </c>
      <c r="H144" s="653"/>
    </row>
    <row r="145" spans="1:8" ht="16.5" thickBot="1" x14ac:dyDescent="0.3">
      <c r="A145" s="684" t="s">
        <v>1559</v>
      </c>
      <c r="B145" s="685"/>
      <c r="C145" s="685"/>
      <c r="D145" s="686"/>
      <c r="E145" s="686"/>
      <c r="F145" s="816"/>
      <c r="G145" s="1275">
        <f>G144*60%</f>
        <v>10800</v>
      </c>
      <c r="H145" s="1276" t="s">
        <v>3687</v>
      </c>
    </row>
    <row r="146" spans="1:8" ht="15.75" thickBot="1" x14ac:dyDescent="0.3"/>
    <row r="147" spans="1:8" ht="16.5" thickBot="1" x14ac:dyDescent="0.3">
      <c r="A147" s="1791" t="s">
        <v>4271</v>
      </c>
      <c r="B147" s="1792"/>
      <c r="C147" s="1792"/>
      <c r="D147" s="1792"/>
      <c r="E147" s="1793"/>
      <c r="F147" s="653"/>
      <c r="G147" s="653"/>
      <c r="H147" s="653"/>
    </row>
    <row r="148" spans="1:8" ht="15.75" x14ac:dyDescent="0.25">
      <c r="A148" s="654" t="s">
        <v>916</v>
      </c>
      <c r="B148" s="655" t="s">
        <v>743</v>
      </c>
      <c r="C148" s="655" t="s">
        <v>1566</v>
      </c>
      <c r="D148" s="656" t="s">
        <v>1035</v>
      </c>
      <c r="E148" s="657" t="s">
        <v>1549</v>
      </c>
      <c r="F148" s="658"/>
      <c r="G148" s="653"/>
      <c r="H148" s="653"/>
    </row>
    <row r="149" spans="1:8" ht="15.75" x14ac:dyDescent="0.25">
      <c r="A149" s="666" t="s">
        <v>4086</v>
      </c>
      <c r="B149" s="660">
        <v>0.39</v>
      </c>
      <c r="C149" s="660">
        <v>0.17499999999999999</v>
      </c>
      <c r="D149" s="661">
        <f>PIEDRAS!E5</f>
        <v>4000</v>
      </c>
      <c r="E149" s="662">
        <f>D149*C149/B149</f>
        <v>1794.8717948717949</v>
      </c>
      <c r="F149" s="658"/>
      <c r="G149" s="653"/>
      <c r="H149" s="653"/>
    </row>
    <row r="150" spans="1:8" ht="15.75" x14ac:dyDescent="0.25">
      <c r="A150" s="666" t="s">
        <v>1554</v>
      </c>
      <c r="B150" s="660" t="s">
        <v>777</v>
      </c>
      <c r="C150" s="660">
        <v>5</v>
      </c>
      <c r="D150" s="661">
        <f>FORNITURAS!D24</f>
        <v>34.666666666666664</v>
      </c>
      <c r="E150" s="662">
        <f>D150*C150</f>
        <v>173.33333333333331</v>
      </c>
      <c r="F150" s="658"/>
      <c r="G150" s="653"/>
      <c r="H150" s="653"/>
    </row>
    <row r="151" spans="1:8" ht="15.75" x14ac:dyDescent="0.25">
      <c r="A151" s="666" t="s">
        <v>4211</v>
      </c>
      <c r="B151" s="660"/>
      <c r="C151" s="660">
        <v>0.28000000000000003</v>
      </c>
      <c r="D151" s="661">
        <f>'HILOS-CORDONES-TANZA-CUERO'!L6</f>
        <v>8</v>
      </c>
      <c r="E151" s="667">
        <f>D151*C151</f>
        <v>2.2400000000000002</v>
      </c>
      <c r="F151" s="658"/>
      <c r="G151" s="653"/>
      <c r="H151" s="653"/>
    </row>
    <row r="152" spans="1:8" ht="15.75" x14ac:dyDescent="0.25">
      <c r="A152" s="666" t="s">
        <v>1557</v>
      </c>
      <c r="B152" s="660"/>
      <c r="C152" s="660"/>
      <c r="D152" s="661"/>
      <c r="E152" s="667">
        <f>PACKAGING!E5</f>
        <v>200</v>
      </c>
      <c r="F152" s="653"/>
      <c r="G152" s="658"/>
      <c r="H152" s="653"/>
    </row>
    <row r="153" spans="1:8" ht="15.75" x14ac:dyDescent="0.25">
      <c r="A153" s="683" t="s">
        <v>1618</v>
      </c>
      <c r="B153" s="660">
        <v>60</v>
      </c>
      <c r="C153" s="660">
        <v>20</v>
      </c>
      <c r="D153" s="668">
        <f>'INSUMOS VARIOS'!B3</f>
        <v>3500</v>
      </c>
      <c r="E153" s="669">
        <f>D153*C153/B153</f>
        <v>1166.6666666666667</v>
      </c>
      <c r="F153" s="653"/>
      <c r="G153" s="658"/>
      <c r="H153" s="653"/>
    </row>
    <row r="154" spans="1:8" ht="16.5" thickBot="1" x14ac:dyDescent="0.3">
      <c r="A154" s="670" t="s">
        <v>525</v>
      </c>
      <c r="B154" s="671"/>
      <c r="C154" s="671"/>
      <c r="D154" s="672"/>
      <c r="E154" s="673">
        <f>SUM(E149:E153)</f>
        <v>3337.1117948717947</v>
      </c>
      <c r="F154" s="658"/>
      <c r="G154" s="653"/>
      <c r="H154" s="653"/>
    </row>
    <row r="155" spans="1:8" ht="16.5" thickBot="1" x14ac:dyDescent="0.3">
      <c r="A155" s="675" t="s">
        <v>544</v>
      </c>
      <c r="B155" s="676"/>
      <c r="C155" s="676"/>
      <c r="D155" s="677"/>
      <c r="E155" s="692">
        <f>E154*2</f>
        <v>6674.2235897435894</v>
      </c>
      <c r="F155" s="957">
        <f>E155+E155*70%</f>
        <v>11346.180102564102</v>
      </c>
      <c r="G155" s="681">
        <v>14000</v>
      </c>
      <c r="H155" s="653"/>
    </row>
    <row r="156" spans="1:8" ht="16.5" thickBot="1" x14ac:dyDescent="0.3">
      <c r="A156" s="684" t="s">
        <v>1559</v>
      </c>
      <c r="B156" s="685"/>
      <c r="C156" s="685"/>
      <c r="D156" s="686"/>
      <c r="E156" s="686"/>
      <c r="F156" s="816"/>
      <c r="G156" s="1275">
        <f>G155*60%</f>
        <v>8400</v>
      </c>
      <c r="H156" s="1276" t="s">
        <v>3687</v>
      </c>
    </row>
    <row r="157" spans="1:8" ht="15.75" thickBot="1" x14ac:dyDescent="0.3"/>
    <row r="158" spans="1:8" ht="16.5" thickBot="1" x14ac:dyDescent="0.3">
      <c r="A158" s="1791" t="s">
        <v>4260</v>
      </c>
      <c r="B158" s="1792"/>
      <c r="C158" s="1792"/>
      <c r="D158" s="1792"/>
      <c r="E158" s="1793"/>
      <c r="F158" s="653"/>
      <c r="G158" s="653"/>
      <c r="H158" s="653"/>
    </row>
    <row r="159" spans="1:8" ht="15.75" x14ac:dyDescent="0.25">
      <c r="A159" s="654" t="s">
        <v>916</v>
      </c>
      <c r="B159" s="655" t="s">
        <v>743</v>
      </c>
      <c r="C159" s="655" t="s">
        <v>1566</v>
      </c>
      <c r="D159" s="656" t="s">
        <v>1035</v>
      </c>
      <c r="E159" s="657" t="s">
        <v>1549</v>
      </c>
      <c r="F159" s="658"/>
      <c r="G159" s="653"/>
      <c r="H159" s="653"/>
    </row>
    <row r="160" spans="1:8" ht="15.75" x14ac:dyDescent="0.25">
      <c r="A160" s="666" t="s">
        <v>4212</v>
      </c>
      <c r="B160" s="660" t="s">
        <v>846</v>
      </c>
      <c r="C160" s="660">
        <v>26</v>
      </c>
      <c r="D160" s="661">
        <f>PIEDRAS!F63</f>
        <v>47.590361445783131</v>
      </c>
      <c r="E160" s="662">
        <f>D160*C160</f>
        <v>1237.3493975903614</v>
      </c>
      <c r="F160" s="658"/>
      <c r="G160" s="653"/>
      <c r="H160" s="653"/>
    </row>
    <row r="161" spans="1:17" ht="15.75" x14ac:dyDescent="0.25">
      <c r="A161" s="666" t="s">
        <v>4143</v>
      </c>
      <c r="B161" s="660">
        <v>0.8</v>
      </c>
      <c r="C161" s="660">
        <v>5.5E-2</v>
      </c>
      <c r="D161" s="661">
        <f>PIEDRAS!E151</f>
        <v>4600</v>
      </c>
      <c r="E161" s="662">
        <f>D161*C161/B161</f>
        <v>316.25</v>
      </c>
      <c r="F161" s="658"/>
      <c r="G161" s="653"/>
      <c r="H161" s="653"/>
    </row>
    <row r="162" spans="1:17" ht="15.75" x14ac:dyDescent="0.25">
      <c r="A162" s="666" t="s">
        <v>4136</v>
      </c>
      <c r="B162" s="660" t="s">
        <v>781</v>
      </c>
      <c r="C162" s="660">
        <v>2</v>
      </c>
      <c r="D162" s="661">
        <f>PIEDRAS!F83</f>
        <v>253.11111111111111</v>
      </c>
      <c r="E162" s="662">
        <f>D162*C162</f>
        <v>506.22222222222223</v>
      </c>
      <c r="F162" s="658"/>
      <c r="G162" s="653"/>
      <c r="H162" s="653"/>
    </row>
    <row r="163" spans="1:17" ht="15.75" x14ac:dyDescent="0.25">
      <c r="A163" s="666" t="s">
        <v>1554</v>
      </c>
      <c r="B163" s="660" t="s">
        <v>777</v>
      </c>
      <c r="C163" s="660">
        <v>1</v>
      </c>
      <c r="D163" s="661">
        <f>FORNITURAS!D24</f>
        <v>34.666666666666664</v>
      </c>
      <c r="E163" s="662">
        <f>D163*C163</f>
        <v>34.666666666666664</v>
      </c>
      <c r="F163" s="658"/>
      <c r="G163" s="653"/>
      <c r="H163" s="653"/>
    </row>
    <row r="164" spans="1:17" ht="15.75" x14ac:dyDescent="0.25">
      <c r="A164" s="666" t="s">
        <v>4211</v>
      </c>
      <c r="B164" s="660"/>
      <c r="C164" s="660">
        <v>0.28000000000000003</v>
      </c>
      <c r="D164" s="661">
        <f>'HILOS-CORDONES-TANZA-CUERO'!L6</f>
        <v>8</v>
      </c>
      <c r="E164" s="667">
        <f>D164*C164</f>
        <v>2.2400000000000002</v>
      </c>
      <c r="F164" s="658"/>
      <c r="G164" s="653"/>
      <c r="H164" s="653"/>
    </row>
    <row r="165" spans="1:17" ht="15.75" x14ac:dyDescent="0.25">
      <c r="A165" s="666" t="s">
        <v>1557</v>
      </c>
      <c r="B165" s="660"/>
      <c r="C165" s="660"/>
      <c r="D165" s="661"/>
      <c r="E165" s="667">
        <f>PACKAGING!E5</f>
        <v>200</v>
      </c>
      <c r="F165" s="653"/>
      <c r="G165" s="658"/>
      <c r="H165" s="653"/>
    </row>
    <row r="166" spans="1:17" ht="15.75" x14ac:dyDescent="0.25">
      <c r="A166" s="683" t="s">
        <v>1618</v>
      </c>
      <c r="B166" s="660">
        <v>60</v>
      </c>
      <c r="C166" s="660">
        <v>20</v>
      </c>
      <c r="D166" s="668">
        <f>'INSUMOS VARIOS'!B3</f>
        <v>3500</v>
      </c>
      <c r="E166" s="669">
        <f>D166*C166/B166</f>
        <v>1166.6666666666667</v>
      </c>
      <c r="F166" s="653"/>
      <c r="G166" s="658"/>
      <c r="H166" s="653"/>
    </row>
    <row r="167" spans="1:17" ht="16.5" thickBot="1" x14ac:dyDescent="0.3">
      <c r="A167" s="670" t="s">
        <v>525</v>
      </c>
      <c r="B167" s="671"/>
      <c r="C167" s="671"/>
      <c r="D167" s="672"/>
      <c r="E167" s="673">
        <f>SUM(E160:E166)</f>
        <v>3463.3949531459166</v>
      </c>
      <c r="F167" s="658"/>
      <c r="G167" s="653"/>
      <c r="H167" s="653"/>
    </row>
    <row r="168" spans="1:17" ht="16.5" thickBot="1" x14ac:dyDescent="0.3">
      <c r="A168" s="675" t="s">
        <v>544</v>
      </c>
      <c r="B168" s="676"/>
      <c r="C168" s="676"/>
      <c r="D168" s="677"/>
      <c r="E168" s="692">
        <f>E167*2</f>
        <v>6926.7899062918332</v>
      </c>
      <c r="F168" s="957">
        <f>E168+E168*70%</f>
        <v>11775.542840696116</v>
      </c>
      <c r="G168" s="681">
        <v>18000</v>
      </c>
      <c r="H168" s="653"/>
    </row>
    <row r="169" spans="1:17" ht="16.5" thickBot="1" x14ac:dyDescent="0.3">
      <c r="A169" s="684" t="s">
        <v>1559</v>
      </c>
      <c r="B169" s="685"/>
      <c r="C169" s="685"/>
      <c r="D169" s="686"/>
      <c r="E169" s="686"/>
      <c r="F169" s="816"/>
      <c r="G169" s="1275">
        <f>G168*50%</f>
        <v>9000</v>
      </c>
      <c r="H169" s="1276" t="s">
        <v>3687</v>
      </c>
    </row>
    <row r="170" spans="1:17" ht="15.75" thickBot="1" x14ac:dyDescent="0.3"/>
    <row r="171" spans="1:17" ht="15.75" thickBot="1" x14ac:dyDescent="0.3">
      <c r="A171" s="1818" t="s">
        <v>3874</v>
      </c>
      <c r="B171" s="1819"/>
      <c r="C171" s="1819"/>
      <c r="D171" s="1819"/>
      <c r="E171" s="1819"/>
      <c r="F171" s="1820"/>
      <c r="G171" s="658"/>
      <c r="H171" s="658"/>
      <c r="J171" s="1818" t="s">
        <v>4485</v>
      </c>
      <c r="K171" s="1819"/>
      <c r="L171" s="1819"/>
      <c r="M171" s="1819"/>
      <c r="N171" s="1819"/>
      <c r="O171" s="1820"/>
      <c r="P171" s="658"/>
      <c r="Q171" s="658"/>
    </row>
    <row r="172" spans="1:17" x14ac:dyDescent="0.25">
      <c r="A172" s="654"/>
      <c r="B172" s="655" t="s">
        <v>742</v>
      </c>
      <c r="C172" s="655" t="s">
        <v>1547</v>
      </c>
      <c r="D172" s="656" t="s">
        <v>1089</v>
      </c>
      <c r="E172" s="773" t="s">
        <v>1035</v>
      </c>
      <c r="F172" s="657" t="s">
        <v>1549</v>
      </c>
      <c r="G172" s="658"/>
      <c r="H172" s="658"/>
      <c r="J172" s="654"/>
      <c r="K172" s="655" t="s">
        <v>742</v>
      </c>
      <c r="L172" s="655" t="s">
        <v>1547</v>
      </c>
      <c r="M172" s="656" t="s">
        <v>1089</v>
      </c>
      <c r="N172" s="773" t="s">
        <v>1035</v>
      </c>
      <c r="O172" s="657" t="s">
        <v>1549</v>
      </c>
      <c r="P172" s="658"/>
      <c r="Q172" s="658"/>
    </row>
    <row r="173" spans="1:17" ht="18.75" x14ac:dyDescent="0.25">
      <c r="A173" s="666" t="s">
        <v>1597</v>
      </c>
      <c r="B173" s="1111" t="s">
        <v>1316</v>
      </c>
      <c r="C173" s="820">
        <v>1</v>
      </c>
      <c r="D173" s="1383"/>
      <c r="E173" s="1385">
        <f>'PERLAS 2'!H34</f>
        <v>421.05263157894734</v>
      </c>
      <c r="F173" s="1386">
        <f>E173*C173</f>
        <v>421.05263157894734</v>
      </c>
      <c r="G173" s="658"/>
      <c r="H173" s="658"/>
      <c r="J173" s="666" t="s">
        <v>4486</v>
      </c>
      <c r="K173" s="820"/>
      <c r="L173" s="820">
        <v>1</v>
      </c>
      <c r="M173" s="1383"/>
      <c r="N173" s="1385">
        <f>'AROS, CADENAS, DIJES, ETC'!O155</f>
        <v>2868</v>
      </c>
      <c r="O173" s="1386">
        <f>N173*L173</f>
        <v>2868</v>
      </c>
      <c r="P173" s="658"/>
      <c r="Q173" s="658"/>
    </row>
    <row r="174" spans="1:17" x14ac:dyDescent="0.25">
      <c r="A174" s="666" t="s">
        <v>4274</v>
      </c>
      <c r="B174" s="820"/>
      <c r="C174" s="820">
        <v>1</v>
      </c>
      <c r="D174" s="1383"/>
      <c r="E174" s="1385">
        <f>'AROS, CADENAS, DIJES, ETC'!O68</f>
        <v>888</v>
      </c>
      <c r="F174" s="1386">
        <f>E174*C174</f>
        <v>888</v>
      </c>
      <c r="G174" s="658"/>
      <c r="H174" s="658"/>
      <c r="J174" s="666" t="s">
        <v>1586</v>
      </c>
      <c r="K174" s="820"/>
      <c r="L174" s="820">
        <v>2</v>
      </c>
      <c r="M174" s="1383"/>
      <c r="N174" s="1385">
        <f>FORNITURAS!D16</f>
        <v>45.05</v>
      </c>
      <c r="O174" s="1386">
        <f>N174*L174</f>
        <v>90.1</v>
      </c>
      <c r="P174" s="658"/>
      <c r="Q174" s="658"/>
    </row>
    <row r="175" spans="1:17" x14ac:dyDescent="0.25">
      <c r="A175" s="666" t="s">
        <v>1050</v>
      </c>
      <c r="B175" s="820" t="s">
        <v>1059</v>
      </c>
      <c r="C175" s="820">
        <v>1</v>
      </c>
      <c r="D175" s="1383">
        <v>0.06</v>
      </c>
      <c r="E175" s="1385">
        <f>FORNITURAS!W5</f>
        <v>906.42857142857144</v>
      </c>
      <c r="F175" s="1386">
        <f>E175*D175</f>
        <v>54.385714285714286</v>
      </c>
      <c r="G175" s="658"/>
      <c r="H175" s="658"/>
      <c r="J175" s="1741" t="s">
        <v>1224</v>
      </c>
      <c r="K175" s="769"/>
      <c r="L175" s="769">
        <v>2</v>
      </c>
      <c r="M175" s="769">
        <v>0.26</v>
      </c>
      <c r="N175" s="1385">
        <f>'HILOS-CORDONES-TANZA-CUERO'!E3</f>
        <v>50.35</v>
      </c>
      <c r="O175" s="1386">
        <f>M175*N175*L175</f>
        <v>26.182000000000002</v>
      </c>
      <c r="P175" s="658"/>
      <c r="Q175" s="658"/>
    </row>
    <row r="176" spans="1:17" x14ac:dyDescent="0.25">
      <c r="A176" s="666" t="s">
        <v>1555</v>
      </c>
      <c r="B176" s="820" t="s">
        <v>1556</v>
      </c>
      <c r="C176" s="820">
        <v>1</v>
      </c>
      <c r="D176" s="1383"/>
      <c r="E176" s="1385">
        <f>FORNITURAS!D4</f>
        <v>48.7</v>
      </c>
      <c r="F176" s="1386">
        <f>E176*C176</f>
        <v>48.7</v>
      </c>
      <c r="G176" s="658"/>
      <c r="H176" s="658"/>
      <c r="J176" s="1742"/>
      <c r="K176" s="1287"/>
      <c r="L176" s="1287">
        <v>1</v>
      </c>
      <c r="M176" s="769">
        <v>0.1</v>
      </c>
      <c r="N176" s="1385">
        <f>N175</f>
        <v>50.35</v>
      </c>
      <c r="O176" s="1386">
        <f>M176*N176*L176</f>
        <v>5.0350000000000001</v>
      </c>
      <c r="P176" s="658"/>
      <c r="Q176" s="658"/>
    </row>
    <row r="177" spans="1:17" x14ac:dyDescent="0.25">
      <c r="A177" s="666" t="s">
        <v>1586</v>
      </c>
      <c r="B177" s="820"/>
      <c r="C177" s="820">
        <v>4</v>
      </c>
      <c r="D177" s="1383"/>
      <c r="E177" s="1385">
        <f>FORNITURAS!D16</f>
        <v>45.05</v>
      </c>
      <c r="F177" s="1386">
        <f>E177*C177</f>
        <v>180.2</v>
      </c>
      <c r="G177" s="658"/>
      <c r="H177" s="658"/>
      <c r="J177" s="665" t="s">
        <v>1557</v>
      </c>
      <c r="K177" s="660"/>
      <c r="L177" s="660"/>
      <c r="M177" s="769"/>
      <c r="N177" s="779"/>
      <c r="O177" s="662">
        <f>PACKAGING!E5</f>
        <v>200</v>
      </c>
      <c r="P177" s="658"/>
      <c r="Q177" s="658"/>
    </row>
    <row r="178" spans="1:17" x14ac:dyDescent="0.25">
      <c r="A178" s="1741" t="s">
        <v>1224</v>
      </c>
      <c r="B178" s="769"/>
      <c r="C178" s="769">
        <v>2</v>
      </c>
      <c r="D178" s="769">
        <v>0.26</v>
      </c>
      <c r="E178" s="1385">
        <f>'HILOS-CORDONES-TANZA-CUERO'!E3</f>
        <v>50.35</v>
      </c>
      <c r="F178" s="1386">
        <f>D178*E178*C178</f>
        <v>26.182000000000002</v>
      </c>
      <c r="G178" s="658"/>
      <c r="H178" s="658"/>
      <c r="J178" s="665" t="s">
        <v>1558</v>
      </c>
      <c r="K178" s="660">
        <v>60</v>
      </c>
      <c r="L178" s="660">
        <v>15</v>
      </c>
      <c r="M178" s="769"/>
      <c r="N178" s="668">
        <f>'INSUMOS VARIOS'!B3</f>
        <v>3500</v>
      </c>
      <c r="O178" s="662">
        <f>N178*L178/K178</f>
        <v>875</v>
      </c>
      <c r="P178" s="658"/>
      <c r="Q178" s="658"/>
    </row>
    <row r="179" spans="1:17" ht="15.75" thickBot="1" x14ac:dyDescent="0.3">
      <c r="A179" s="1742"/>
      <c r="B179" s="1287"/>
      <c r="C179" s="1287">
        <v>1</v>
      </c>
      <c r="D179" s="769">
        <v>0.1</v>
      </c>
      <c r="E179" s="1385">
        <f>E178</f>
        <v>50.35</v>
      </c>
      <c r="F179" s="1386">
        <f>D179*E179*C179</f>
        <v>5.0350000000000001</v>
      </c>
      <c r="G179" s="658"/>
      <c r="H179" s="658"/>
      <c r="J179" s="670" t="s">
        <v>525</v>
      </c>
      <c r="K179" s="671"/>
      <c r="L179" s="671"/>
      <c r="M179" s="672"/>
      <c r="N179" s="780"/>
      <c r="O179" s="673">
        <f>SUM(O173:O178)</f>
        <v>4064.3169999999996</v>
      </c>
      <c r="P179" s="658"/>
      <c r="Q179" s="658"/>
    </row>
    <row r="180" spans="1:17" ht="18" x14ac:dyDescent="0.25">
      <c r="A180" s="665" t="s">
        <v>1557</v>
      </c>
      <c r="B180" s="660"/>
      <c r="C180" s="660"/>
      <c r="D180" s="769"/>
      <c r="E180" s="779"/>
      <c r="F180" s="662">
        <v>200</v>
      </c>
      <c r="G180" s="658"/>
      <c r="H180" s="658"/>
      <c r="J180" s="675" t="s">
        <v>544</v>
      </c>
      <c r="K180" s="676"/>
      <c r="L180" s="676"/>
      <c r="M180" s="677"/>
      <c r="N180" s="677"/>
      <c r="O180" s="692">
        <f>O179*2</f>
        <v>8128.6339999999991</v>
      </c>
      <c r="P180" s="680">
        <f>O180+O180*50%</f>
        <v>12192.950999999999</v>
      </c>
      <c r="Q180" s="1387"/>
    </row>
    <row r="181" spans="1:17" ht="18.75" thickBot="1" x14ac:dyDescent="0.3">
      <c r="A181" s="665" t="s">
        <v>1558</v>
      </c>
      <c r="B181" s="660">
        <v>60</v>
      </c>
      <c r="C181" s="660">
        <v>10</v>
      </c>
      <c r="D181" s="769"/>
      <c r="E181" s="668">
        <f>'INSUMOS VARIOS'!B3</f>
        <v>3500</v>
      </c>
      <c r="F181" s="662">
        <f>E181*C181/B181</f>
        <v>583.33333333333337</v>
      </c>
      <c r="G181" s="658"/>
      <c r="H181" s="658"/>
      <c r="J181" s="684" t="s">
        <v>1559</v>
      </c>
      <c r="K181" s="685"/>
      <c r="L181" s="685"/>
      <c r="M181" s="686"/>
      <c r="N181" s="686"/>
      <c r="O181" s="686"/>
      <c r="P181" s="1388"/>
      <c r="Q181" s="1389"/>
    </row>
    <row r="182" spans="1:17" x14ac:dyDescent="0.25">
      <c r="A182" s="665" t="s">
        <v>1750</v>
      </c>
      <c r="B182" s="660">
        <v>60</v>
      </c>
      <c r="C182" s="660">
        <v>10</v>
      </c>
      <c r="D182" s="769"/>
      <c r="E182" s="668">
        <f>E181</f>
        <v>3500</v>
      </c>
      <c r="F182" s="662">
        <f>E182*C182/B182</f>
        <v>583.33333333333337</v>
      </c>
      <c r="G182" s="658"/>
      <c r="H182" s="658"/>
    </row>
    <row r="183" spans="1:17" ht="15.75" thickBot="1" x14ac:dyDescent="0.3">
      <c r="A183" s="670" t="s">
        <v>525</v>
      </c>
      <c r="B183" s="671"/>
      <c r="C183" s="671"/>
      <c r="D183" s="672"/>
      <c r="E183" s="780"/>
      <c r="F183" s="673">
        <f>SUM(F173:F182)</f>
        <v>2990.2220125313288</v>
      </c>
      <c r="G183" s="658"/>
      <c r="H183" s="658"/>
    </row>
    <row r="184" spans="1:17" ht="18" x14ac:dyDescent="0.25">
      <c r="A184" s="675" t="s">
        <v>544</v>
      </c>
      <c r="B184" s="676"/>
      <c r="C184" s="676"/>
      <c r="D184" s="677"/>
      <c r="E184" s="677"/>
      <c r="F184" s="692">
        <f>F183*2</f>
        <v>5980.4440250626576</v>
      </c>
      <c r="G184" s="680">
        <f>F184+F184*50%</f>
        <v>8970.6660375939864</v>
      </c>
      <c r="H184" s="1387">
        <v>8100</v>
      </c>
    </row>
    <row r="185" spans="1:17" ht="18.75" thickBot="1" x14ac:dyDescent="0.3">
      <c r="A185" s="684" t="s">
        <v>1559</v>
      </c>
      <c r="B185" s="685"/>
      <c r="C185" s="685"/>
      <c r="D185" s="686"/>
      <c r="E185" s="686"/>
      <c r="F185" s="686"/>
      <c r="G185" s="1388"/>
      <c r="H185" s="1389"/>
    </row>
    <row r="186" spans="1:17" ht="15.75" thickBot="1" x14ac:dyDescent="0.3"/>
    <row r="187" spans="1:17" ht="16.5" thickBot="1" x14ac:dyDescent="0.3">
      <c r="A187" s="1794" t="s">
        <v>4305</v>
      </c>
      <c r="B187" s="1795"/>
      <c r="C187" s="1795"/>
      <c r="D187" s="1795"/>
      <c r="E187" s="1796"/>
      <c r="F187" s="653"/>
      <c r="G187" s="653"/>
      <c r="H187" s="653"/>
    </row>
    <row r="188" spans="1:17" ht="15.75" x14ac:dyDescent="0.25">
      <c r="A188" s="654" t="s">
        <v>916</v>
      </c>
      <c r="B188" s="655" t="s">
        <v>743</v>
      </c>
      <c r="C188" s="655" t="s">
        <v>1566</v>
      </c>
      <c r="D188" s="656" t="s">
        <v>1035</v>
      </c>
      <c r="E188" s="657" t="s">
        <v>1549</v>
      </c>
      <c r="F188" s="658"/>
      <c r="G188" s="653"/>
      <c r="H188" s="653"/>
    </row>
    <row r="189" spans="1:17" ht="15.75" x14ac:dyDescent="0.25">
      <c r="A189" s="666" t="s">
        <v>4155</v>
      </c>
      <c r="B189" s="660">
        <v>0.6</v>
      </c>
      <c r="C189" s="660">
        <v>0.17499999999999999</v>
      </c>
      <c r="D189" s="661">
        <f>PIEDRAS!E4</f>
        <v>4000</v>
      </c>
      <c r="E189" s="662">
        <f>D189*C189/B189</f>
        <v>1166.6666666666667</v>
      </c>
      <c r="F189" s="658"/>
      <c r="G189" s="653"/>
      <c r="H189" s="653"/>
    </row>
    <row r="190" spans="1:17" ht="15.75" x14ac:dyDescent="0.25">
      <c r="A190" s="666" t="s">
        <v>1554</v>
      </c>
      <c r="B190" s="660" t="s">
        <v>777</v>
      </c>
      <c r="C190" s="660">
        <v>1</v>
      </c>
      <c r="D190" s="661">
        <f>FORNITURAS!D24</f>
        <v>34.666666666666664</v>
      </c>
      <c r="E190" s="662">
        <f>D190*C190</f>
        <v>34.666666666666664</v>
      </c>
      <c r="F190" s="658"/>
      <c r="G190" s="653"/>
      <c r="H190" s="653"/>
    </row>
    <row r="191" spans="1:17" ht="15.75" x14ac:dyDescent="0.25">
      <c r="A191" s="666" t="s">
        <v>4156</v>
      </c>
      <c r="B191" s="660" t="s">
        <v>4157</v>
      </c>
      <c r="C191" s="660">
        <v>3</v>
      </c>
      <c r="D191" s="661">
        <f>FORNITURAS!I13</f>
        <v>274.44444444444446</v>
      </c>
      <c r="E191" s="667">
        <f>D191*C191</f>
        <v>823.33333333333337</v>
      </c>
      <c r="F191" s="658"/>
      <c r="G191" s="653"/>
      <c r="H191" s="653"/>
    </row>
    <row r="192" spans="1:17" ht="15.75" x14ac:dyDescent="0.25">
      <c r="A192" s="666" t="s">
        <v>4211</v>
      </c>
      <c r="B192" s="660"/>
      <c r="C192" s="660">
        <v>0.28000000000000003</v>
      </c>
      <c r="D192" s="661">
        <f>'HILOS-CORDONES-TANZA-CUERO'!L6</f>
        <v>8</v>
      </c>
      <c r="E192" s="667">
        <f>D192*C192</f>
        <v>2.2400000000000002</v>
      </c>
      <c r="F192" s="658"/>
      <c r="G192" s="653"/>
      <c r="H192" s="653"/>
    </row>
    <row r="193" spans="1:8" ht="15.75" x14ac:dyDescent="0.25">
      <c r="A193" s="666" t="s">
        <v>1557</v>
      </c>
      <c r="B193" s="660"/>
      <c r="C193" s="660"/>
      <c r="D193" s="661"/>
      <c r="E193" s="667">
        <f>PACKAGING!E5</f>
        <v>200</v>
      </c>
      <c r="F193" s="653"/>
      <c r="G193" s="658"/>
      <c r="H193" s="653"/>
    </row>
    <row r="194" spans="1:8" ht="15.75" x14ac:dyDescent="0.25">
      <c r="A194" s="683" t="s">
        <v>1618</v>
      </c>
      <c r="B194" s="660">
        <v>60</v>
      </c>
      <c r="C194" s="660">
        <v>20</v>
      </c>
      <c r="D194" s="668">
        <f>'INSUMOS VARIOS'!B3</f>
        <v>3500</v>
      </c>
      <c r="E194" s="669">
        <f>D194*C194/B194</f>
        <v>1166.6666666666667</v>
      </c>
      <c r="F194" s="653"/>
      <c r="G194" s="658"/>
      <c r="H194" s="653"/>
    </row>
    <row r="195" spans="1:8" ht="16.5" thickBot="1" x14ac:dyDescent="0.3">
      <c r="A195" s="670" t="s">
        <v>525</v>
      </c>
      <c r="B195" s="671"/>
      <c r="C195" s="671"/>
      <c r="D195" s="672"/>
      <c r="E195" s="673">
        <f>SUM(E189:E194)</f>
        <v>3393.5733333333337</v>
      </c>
      <c r="F195" s="658"/>
      <c r="G195" s="653"/>
      <c r="H195" s="653"/>
    </row>
    <row r="196" spans="1:8" ht="16.5" thickBot="1" x14ac:dyDescent="0.3">
      <c r="A196" s="675" t="s">
        <v>544</v>
      </c>
      <c r="B196" s="676"/>
      <c r="C196" s="676"/>
      <c r="D196" s="677"/>
      <c r="E196" s="692">
        <f>E195*2</f>
        <v>6787.1466666666674</v>
      </c>
      <c r="F196" s="957">
        <f>E196+E196*70%</f>
        <v>11538.149333333335</v>
      </c>
      <c r="G196" s="681">
        <v>16000</v>
      </c>
      <c r="H196" s="653"/>
    </row>
    <row r="197" spans="1:8" ht="16.5" thickBot="1" x14ac:dyDescent="0.3">
      <c r="A197" s="684" t="s">
        <v>1559</v>
      </c>
      <c r="B197" s="685"/>
      <c r="C197" s="685"/>
      <c r="D197" s="686"/>
      <c r="E197" s="686"/>
      <c r="F197" s="816"/>
      <c r="G197" s="1275">
        <f>G196*60%</f>
        <v>9600</v>
      </c>
      <c r="H197" s="1276" t="s">
        <v>3687</v>
      </c>
    </row>
    <row r="198" spans="1:8" ht="15.75" thickBot="1" x14ac:dyDescent="0.3"/>
    <row r="199" spans="1:8" ht="16.5" thickBot="1" x14ac:dyDescent="0.3">
      <c r="A199" s="1794" t="s">
        <v>4310</v>
      </c>
      <c r="B199" s="1795"/>
      <c r="C199" s="1795"/>
      <c r="D199" s="1795"/>
      <c r="E199" s="1796"/>
      <c r="F199" s="653"/>
      <c r="G199" s="653"/>
      <c r="H199" s="653"/>
    </row>
    <row r="200" spans="1:8" ht="15.75" x14ac:dyDescent="0.25">
      <c r="A200" s="654" t="s">
        <v>916</v>
      </c>
      <c r="B200" s="655" t="s">
        <v>743</v>
      </c>
      <c r="C200" s="655" t="s">
        <v>1566</v>
      </c>
      <c r="D200" s="656" t="s">
        <v>1035</v>
      </c>
      <c r="E200" s="657" t="s">
        <v>1549</v>
      </c>
      <c r="F200" s="658"/>
      <c r="G200" s="653"/>
      <c r="H200" s="653"/>
    </row>
    <row r="201" spans="1:8" ht="15.75" x14ac:dyDescent="0.25">
      <c r="A201" s="769" t="s">
        <v>4162</v>
      </c>
      <c r="B201" s="660">
        <v>0.8</v>
      </c>
      <c r="C201" s="660">
        <v>0.15</v>
      </c>
      <c r="D201" s="661">
        <f>PIEDRAS!E148</f>
        <v>3600</v>
      </c>
      <c r="E201" s="662">
        <f>D201*C201/B201</f>
        <v>675</v>
      </c>
      <c r="F201" s="658"/>
      <c r="G201" s="653"/>
      <c r="H201" s="653"/>
    </row>
    <row r="202" spans="1:8" ht="15.75" x14ac:dyDescent="0.25">
      <c r="A202" s="1736" t="s">
        <v>1572</v>
      </c>
      <c r="B202" s="660" t="s">
        <v>1556</v>
      </c>
      <c r="C202" s="660">
        <v>2</v>
      </c>
      <c r="D202" s="661">
        <f>FORNITURAS!D4</f>
        <v>48.7</v>
      </c>
      <c r="E202" s="662">
        <f t="shared" ref="E202:E205" si="6">D202*C202</f>
        <v>97.4</v>
      </c>
      <c r="F202" s="658"/>
      <c r="G202" s="653"/>
      <c r="H202" s="653"/>
    </row>
    <row r="203" spans="1:8" ht="15.75" x14ac:dyDescent="0.25">
      <c r="A203" s="1737"/>
      <c r="B203" s="660" t="s">
        <v>1573</v>
      </c>
      <c r="C203" s="660">
        <v>1</v>
      </c>
      <c r="D203" s="661">
        <f>FORNITURAS!D7</f>
        <v>52</v>
      </c>
      <c r="E203" s="662">
        <f t="shared" si="6"/>
        <v>52</v>
      </c>
      <c r="F203" s="658"/>
      <c r="G203" s="653"/>
      <c r="H203" s="653"/>
    </row>
    <row r="204" spans="1:8" ht="15.75" x14ac:dyDescent="0.25">
      <c r="A204" s="666" t="s">
        <v>4156</v>
      </c>
      <c r="B204" s="660" t="s">
        <v>4157</v>
      </c>
      <c r="C204" s="660">
        <v>6</v>
      </c>
      <c r="D204" s="661">
        <f>FORNITURAS!I13</f>
        <v>274.44444444444446</v>
      </c>
      <c r="E204" s="662">
        <f>D204*C204</f>
        <v>1646.6666666666667</v>
      </c>
      <c r="F204" s="658"/>
      <c r="G204" s="653"/>
      <c r="H204" s="653"/>
    </row>
    <row r="205" spans="1:8" ht="15.75" x14ac:dyDescent="0.25">
      <c r="A205" s="666" t="s">
        <v>1424</v>
      </c>
      <c r="B205" s="660"/>
      <c r="C205" s="660">
        <v>0.18</v>
      </c>
      <c r="D205" s="661">
        <f>'HILOS-CORDONES-TANZA-CUERO'!L9</f>
        <v>30</v>
      </c>
      <c r="E205" s="662">
        <f t="shared" si="6"/>
        <v>5.3999999999999995</v>
      </c>
      <c r="F205" s="658"/>
      <c r="G205" s="653"/>
      <c r="H205" s="653"/>
    </row>
    <row r="206" spans="1:8" ht="15.75" x14ac:dyDescent="0.25">
      <c r="A206" s="666" t="s">
        <v>1608</v>
      </c>
      <c r="B206" s="660"/>
      <c r="C206" s="660">
        <v>3.5000000000000003E-2</v>
      </c>
      <c r="D206" s="661">
        <f>'AROS, CADENAS, DIJES, ETC'!I38</f>
        <v>3630</v>
      </c>
      <c r="E206" s="662">
        <f>C206*D206</f>
        <v>127.05000000000001</v>
      </c>
      <c r="F206" s="658"/>
      <c r="G206" s="653"/>
      <c r="H206" s="653"/>
    </row>
    <row r="207" spans="1:8" ht="15.75" x14ac:dyDescent="0.25">
      <c r="A207" s="666" t="s">
        <v>1554</v>
      </c>
      <c r="B207" s="660" t="s">
        <v>777</v>
      </c>
      <c r="C207" s="660">
        <v>2</v>
      </c>
      <c r="D207" s="661">
        <f>FORNITURAS!D24</f>
        <v>34.666666666666664</v>
      </c>
      <c r="E207" s="662">
        <f>D207*C207</f>
        <v>69.333333333333329</v>
      </c>
      <c r="F207" s="658"/>
      <c r="G207" s="653"/>
      <c r="H207" s="653"/>
    </row>
    <row r="208" spans="1:8" ht="15.75" x14ac:dyDescent="0.25">
      <c r="A208" s="666" t="s">
        <v>1012</v>
      </c>
      <c r="B208" s="660"/>
      <c r="C208" s="660">
        <v>2</v>
      </c>
      <c r="D208" s="661">
        <f>FORNITURAS!D16</f>
        <v>45.05</v>
      </c>
      <c r="E208" s="662">
        <f>D208*C208</f>
        <v>90.1</v>
      </c>
      <c r="F208" s="658"/>
      <c r="G208" s="653"/>
      <c r="H208" s="653"/>
    </row>
    <row r="209" spans="1:8" ht="15.75" x14ac:dyDescent="0.25">
      <c r="A209" s="666" t="s">
        <v>1587</v>
      </c>
      <c r="B209" s="660"/>
      <c r="C209" s="660">
        <v>1</v>
      </c>
      <c r="D209" s="661">
        <f>FORNITURAS!H44</f>
        <v>485</v>
      </c>
      <c r="E209" s="662">
        <f>C209*D209</f>
        <v>485</v>
      </c>
      <c r="F209" s="658"/>
      <c r="G209" s="653"/>
      <c r="H209" s="653"/>
    </row>
    <row r="210" spans="1:8" ht="15.75" x14ac:dyDescent="0.25">
      <c r="A210" s="666" t="s">
        <v>1557</v>
      </c>
      <c r="B210" s="660"/>
      <c r="C210" s="660"/>
      <c r="D210" s="661"/>
      <c r="E210" s="667">
        <f>PACKAGING!E4</f>
        <v>80</v>
      </c>
      <c r="F210" s="653"/>
      <c r="G210" s="658"/>
      <c r="H210" s="653"/>
    </row>
    <row r="211" spans="1:8" ht="15.75" x14ac:dyDescent="0.25">
      <c r="A211" s="666" t="s">
        <v>3362</v>
      </c>
      <c r="B211" s="660"/>
      <c r="C211" s="660"/>
      <c r="D211" s="661"/>
      <c r="E211" s="667">
        <f>PACKAGING!E17</f>
        <v>7.5</v>
      </c>
      <c r="F211" s="653"/>
      <c r="G211" s="658"/>
      <c r="H211" s="653"/>
    </row>
    <row r="212" spans="1:8" ht="15.75" x14ac:dyDescent="0.25">
      <c r="A212" s="666" t="s">
        <v>1634</v>
      </c>
      <c r="B212" s="660"/>
      <c r="C212" s="660"/>
      <c r="D212" s="661"/>
      <c r="E212" s="667">
        <f>PACKAGING!E7</f>
        <v>170</v>
      </c>
      <c r="F212" s="653"/>
      <c r="G212" s="658"/>
      <c r="H212" s="653"/>
    </row>
    <row r="213" spans="1:8" ht="15.75" x14ac:dyDescent="0.25">
      <c r="A213" s="666" t="s">
        <v>3180</v>
      </c>
      <c r="B213" s="660"/>
      <c r="C213" s="660"/>
      <c r="D213" s="661"/>
      <c r="E213" s="667">
        <f>PACKAGING!E8</f>
        <v>420</v>
      </c>
      <c r="F213" s="653"/>
      <c r="G213" s="658"/>
      <c r="H213" s="653"/>
    </row>
    <row r="214" spans="1:8" ht="15.75" x14ac:dyDescent="0.25">
      <c r="A214" s="683" t="s">
        <v>1618</v>
      </c>
      <c r="B214" s="660">
        <v>60</v>
      </c>
      <c r="C214" s="660">
        <v>20</v>
      </c>
      <c r="D214" s="668">
        <f>'INSUMOS VARIOS'!B3</f>
        <v>3500</v>
      </c>
      <c r="E214" s="669">
        <f>D214*C214/B214</f>
        <v>1166.6666666666667</v>
      </c>
      <c r="F214" s="653"/>
      <c r="G214" s="658"/>
      <c r="H214" s="653"/>
    </row>
    <row r="215" spans="1:8" ht="16.5" thickBot="1" x14ac:dyDescent="0.3">
      <c r="A215" s="670" t="s">
        <v>525</v>
      </c>
      <c r="B215" s="671"/>
      <c r="C215" s="671"/>
      <c r="D215" s="672"/>
      <c r="E215" s="673">
        <f>SUM(E201:E214)</f>
        <v>5092.1166666666668</v>
      </c>
      <c r="F215" s="658"/>
      <c r="G215" s="653"/>
      <c r="H215" s="653"/>
    </row>
    <row r="216" spans="1:8" ht="16.5" thickBot="1" x14ac:dyDescent="0.3">
      <c r="A216" s="675" t="s">
        <v>544</v>
      </c>
      <c r="B216" s="676"/>
      <c r="C216" s="676"/>
      <c r="D216" s="677"/>
      <c r="E216" s="692">
        <f>E215*2</f>
        <v>10184.233333333334</v>
      </c>
      <c r="F216" s="957">
        <f>E216+E216*70%</f>
        <v>17313.196666666667</v>
      </c>
      <c r="G216" s="681">
        <v>20000</v>
      </c>
      <c r="H216" s="653"/>
    </row>
    <row r="217" spans="1:8" ht="16.5" thickBot="1" x14ac:dyDescent="0.3">
      <c r="A217" s="684" t="s">
        <v>1559</v>
      </c>
      <c r="B217" s="685"/>
      <c r="C217" s="685"/>
      <c r="D217" s="686"/>
      <c r="E217" s="686"/>
      <c r="F217" s="816"/>
      <c r="G217" s="1275">
        <f>G216*50%</f>
        <v>10000</v>
      </c>
      <c r="H217" s="1276" t="s">
        <v>3687</v>
      </c>
    </row>
    <row r="218" spans="1:8" ht="15.75" thickBot="1" x14ac:dyDescent="0.3"/>
    <row r="219" spans="1:8" ht="16.5" thickBot="1" x14ac:dyDescent="0.3">
      <c r="A219" s="1794" t="s">
        <v>4307</v>
      </c>
      <c r="B219" s="1795"/>
      <c r="C219" s="1795"/>
      <c r="D219" s="1795"/>
      <c r="E219" s="1796"/>
      <c r="F219" s="653"/>
      <c r="G219" s="653"/>
      <c r="H219" s="653"/>
    </row>
    <row r="220" spans="1:8" ht="15.75" x14ac:dyDescent="0.25">
      <c r="A220" s="654" t="s">
        <v>916</v>
      </c>
      <c r="B220" s="655" t="s">
        <v>743</v>
      </c>
      <c r="C220" s="655" t="s">
        <v>1566</v>
      </c>
      <c r="D220" s="656" t="s">
        <v>1035</v>
      </c>
      <c r="E220" s="657" t="s">
        <v>1549</v>
      </c>
      <c r="F220" s="658"/>
      <c r="G220" s="653"/>
      <c r="H220" s="653"/>
    </row>
    <row r="221" spans="1:8" ht="15.75" x14ac:dyDescent="0.25">
      <c r="A221" s="769" t="s">
        <v>4144</v>
      </c>
      <c r="B221" s="660">
        <v>0.8</v>
      </c>
      <c r="C221" s="660">
        <v>0.125</v>
      </c>
      <c r="D221" s="661">
        <f>PIEDRAS!E150</f>
        <v>3600</v>
      </c>
      <c r="E221" s="662">
        <f>D221*C221/B221</f>
        <v>562.5</v>
      </c>
      <c r="F221" s="658"/>
      <c r="G221" s="653"/>
      <c r="H221" s="653"/>
    </row>
    <row r="222" spans="1:8" ht="15.75" x14ac:dyDescent="0.25">
      <c r="A222" s="1736" t="s">
        <v>1572</v>
      </c>
      <c r="B222" s="660" t="s">
        <v>1556</v>
      </c>
      <c r="C222" s="660">
        <v>2</v>
      </c>
      <c r="D222" s="661">
        <f>FORNITURAS!D4</f>
        <v>48.7</v>
      </c>
      <c r="E222" s="662">
        <f t="shared" ref="E222:E223" si="7">D222*C222</f>
        <v>97.4</v>
      </c>
      <c r="F222" s="658"/>
      <c r="G222" s="653"/>
      <c r="H222" s="653"/>
    </row>
    <row r="223" spans="1:8" ht="15.75" x14ac:dyDescent="0.25">
      <c r="A223" s="1737"/>
      <c r="B223" s="660" t="s">
        <v>1573</v>
      </c>
      <c r="C223" s="660">
        <v>1</v>
      </c>
      <c r="D223" s="661">
        <f>FORNITURAS!D7</f>
        <v>52</v>
      </c>
      <c r="E223" s="662">
        <f t="shared" si="7"/>
        <v>52</v>
      </c>
      <c r="F223" s="658"/>
      <c r="G223" s="653"/>
      <c r="H223" s="653"/>
    </row>
    <row r="224" spans="1:8" ht="15.75" x14ac:dyDescent="0.25">
      <c r="A224" s="666" t="s">
        <v>1742</v>
      </c>
      <c r="B224" s="660" t="s">
        <v>1345</v>
      </c>
      <c r="C224" s="660">
        <v>2</v>
      </c>
      <c r="D224" s="661">
        <f>'PERLAS 2'!H14</f>
        <v>324.8</v>
      </c>
      <c r="E224" s="662">
        <f>D224*C224</f>
        <v>649.6</v>
      </c>
      <c r="F224" s="658"/>
      <c r="G224" s="653"/>
      <c r="H224" s="653"/>
    </row>
    <row r="225" spans="1:8" ht="15.75" x14ac:dyDescent="0.25">
      <c r="A225" s="769" t="s">
        <v>4146</v>
      </c>
      <c r="B225" s="660"/>
      <c r="C225" s="660">
        <v>1</v>
      </c>
      <c r="D225" s="661">
        <f>VIDRIOS!E33</f>
        <v>8.5</v>
      </c>
      <c r="E225" s="662">
        <f>D225*C225</f>
        <v>8.5</v>
      </c>
      <c r="F225" s="658"/>
      <c r="G225" s="653"/>
      <c r="H225" s="653"/>
    </row>
    <row r="226" spans="1:8" ht="15.75" x14ac:dyDescent="0.25">
      <c r="A226" s="769" t="s">
        <v>4145</v>
      </c>
      <c r="B226" s="660" t="s">
        <v>781</v>
      </c>
      <c r="C226" s="660">
        <v>2</v>
      </c>
      <c r="D226" s="661">
        <f>VIDRIOS!E32</f>
        <v>59.583333333333336</v>
      </c>
      <c r="E226" s="662">
        <f>D226*C226</f>
        <v>119.16666666666667</v>
      </c>
      <c r="F226" s="658"/>
      <c r="G226" s="653"/>
      <c r="H226" s="653"/>
    </row>
    <row r="227" spans="1:8" ht="15.75" x14ac:dyDescent="0.25">
      <c r="A227" s="666" t="s">
        <v>1944</v>
      </c>
      <c r="B227" s="660"/>
      <c r="C227" s="660">
        <v>2</v>
      </c>
      <c r="D227" s="661">
        <f>FORNITURAS!I3</f>
        <v>66.099999999999994</v>
      </c>
      <c r="E227" s="662">
        <f>D227*C227</f>
        <v>132.19999999999999</v>
      </c>
      <c r="F227" s="658"/>
      <c r="G227" s="653"/>
      <c r="H227" s="653"/>
    </row>
    <row r="228" spans="1:8" ht="15.75" x14ac:dyDescent="0.25">
      <c r="A228" s="666" t="s">
        <v>1424</v>
      </c>
      <c r="B228" s="660"/>
      <c r="C228" s="660">
        <v>0.18</v>
      </c>
      <c r="D228" s="661">
        <f>'HILOS-CORDONES-TANZA-CUERO'!L9</f>
        <v>30</v>
      </c>
      <c r="E228" s="662">
        <f t="shared" ref="E228" si="8">D228*C228</f>
        <v>5.3999999999999995</v>
      </c>
      <c r="F228" s="658"/>
      <c r="G228" s="653"/>
      <c r="H228" s="653"/>
    </row>
    <row r="229" spans="1:8" ht="15.75" x14ac:dyDescent="0.25">
      <c r="A229" s="666" t="s">
        <v>1608</v>
      </c>
      <c r="B229" s="660"/>
      <c r="C229" s="660">
        <v>3.5000000000000003E-2</v>
      </c>
      <c r="D229" s="661">
        <f>'AROS, CADENAS, DIJES, ETC'!I38</f>
        <v>3630</v>
      </c>
      <c r="E229" s="662">
        <f>C229*D229</f>
        <v>127.05000000000001</v>
      </c>
      <c r="F229" s="658"/>
      <c r="G229" s="653"/>
      <c r="H229" s="653"/>
    </row>
    <row r="230" spans="1:8" ht="15.75" x14ac:dyDescent="0.25">
      <c r="A230" s="666" t="s">
        <v>1554</v>
      </c>
      <c r="B230" s="660" t="s">
        <v>777</v>
      </c>
      <c r="C230" s="660">
        <v>2</v>
      </c>
      <c r="D230" s="661">
        <f>FORNITURAS!D24</f>
        <v>34.666666666666664</v>
      </c>
      <c r="E230" s="662">
        <f>D230*C230</f>
        <v>69.333333333333329</v>
      </c>
      <c r="F230" s="658"/>
      <c r="G230" s="653"/>
      <c r="H230" s="653"/>
    </row>
    <row r="231" spans="1:8" ht="15.75" x14ac:dyDescent="0.25">
      <c r="A231" s="666" t="s">
        <v>1012</v>
      </c>
      <c r="B231" s="660"/>
      <c r="C231" s="660">
        <v>2</v>
      </c>
      <c r="D231" s="661">
        <f>FORNITURAS!D17</f>
        <v>45.05</v>
      </c>
      <c r="E231" s="662">
        <f>D231*C231</f>
        <v>90.1</v>
      </c>
      <c r="F231" s="658"/>
      <c r="G231" s="653"/>
      <c r="H231" s="653"/>
    </row>
    <row r="232" spans="1:8" ht="15.75" x14ac:dyDescent="0.25">
      <c r="A232" s="666" t="s">
        <v>1587</v>
      </c>
      <c r="B232" s="660"/>
      <c r="C232" s="660">
        <v>1</v>
      </c>
      <c r="D232" s="661">
        <f>FORNITURAS!H44</f>
        <v>485</v>
      </c>
      <c r="E232" s="662">
        <f>C232*D232</f>
        <v>485</v>
      </c>
      <c r="F232" s="658"/>
      <c r="G232" s="653"/>
      <c r="H232" s="653"/>
    </row>
    <row r="233" spans="1:8" ht="15.75" x14ac:dyDescent="0.25">
      <c r="A233" s="666" t="s">
        <v>1557</v>
      </c>
      <c r="B233" s="660"/>
      <c r="C233" s="660"/>
      <c r="D233" s="661"/>
      <c r="E233" s="667">
        <f>PACKAGING!E4</f>
        <v>80</v>
      </c>
      <c r="F233" s="653"/>
      <c r="G233" s="658"/>
      <c r="H233" s="653"/>
    </row>
    <row r="234" spans="1:8" ht="15.75" x14ac:dyDescent="0.25">
      <c r="A234" s="666" t="s">
        <v>3362</v>
      </c>
      <c r="B234" s="660"/>
      <c r="C234" s="660"/>
      <c r="D234" s="661"/>
      <c r="E234" s="667">
        <f>PACKAGING!E17</f>
        <v>7.5</v>
      </c>
      <c r="F234" s="653"/>
      <c r="G234" s="658"/>
      <c r="H234" s="653"/>
    </row>
    <row r="235" spans="1:8" ht="15.75" x14ac:dyDescent="0.25">
      <c r="A235" s="666" t="s">
        <v>1634</v>
      </c>
      <c r="B235" s="660"/>
      <c r="C235" s="660"/>
      <c r="D235" s="661"/>
      <c r="E235" s="667">
        <f>PACKAGING!E7</f>
        <v>170</v>
      </c>
      <c r="F235" s="653"/>
      <c r="G235" s="658"/>
      <c r="H235" s="653"/>
    </row>
    <row r="236" spans="1:8" ht="15.75" x14ac:dyDescent="0.25">
      <c r="A236" s="666" t="s">
        <v>3180</v>
      </c>
      <c r="B236" s="660"/>
      <c r="C236" s="660"/>
      <c r="D236" s="661"/>
      <c r="E236" s="667">
        <f>PACKAGING!E8</f>
        <v>420</v>
      </c>
      <c r="F236" s="653"/>
      <c r="G236" s="658"/>
      <c r="H236" s="653"/>
    </row>
    <row r="237" spans="1:8" ht="15.75" x14ac:dyDescent="0.25">
      <c r="A237" s="683" t="s">
        <v>1618</v>
      </c>
      <c r="B237" s="660">
        <v>60</v>
      </c>
      <c r="C237" s="660">
        <v>20</v>
      </c>
      <c r="D237" s="668">
        <f>'INSUMOS VARIOS'!B3</f>
        <v>3500</v>
      </c>
      <c r="E237" s="669">
        <f>D237*C237/B237</f>
        <v>1166.6666666666667</v>
      </c>
      <c r="F237" s="653"/>
      <c r="G237" s="658"/>
      <c r="H237" s="653"/>
    </row>
    <row r="238" spans="1:8" ht="16.5" thickBot="1" x14ac:dyDescent="0.3">
      <c r="A238" s="670" t="s">
        <v>525</v>
      </c>
      <c r="B238" s="671"/>
      <c r="C238" s="671"/>
      <c r="D238" s="672"/>
      <c r="E238" s="673">
        <f>SUM(E221:E237)</f>
        <v>4242.416666666667</v>
      </c>
      <c r="F238" s="658"/>
      <c r="G238" s="653"/>
      <c r="H238" s="653"/>
    </row>
    <row r="239" spans="1:8" ht="16.5" thickBot="1" x14ac:dyDescent="0.3">
      <c r="A239" s="675" t="s">
        <v>544</v>
      </c>
      <c r="B239" s="676"/>
      <c r="C239" s="676"/>
      <c r="D239" s="677"/>
      <c r="E239" s="692">
        <f>E238*2</f>
        <v>8484.8333333333339</v>
      </c>
      <c r="F239" s="957">
        <f>E239+E239*70%</f>
        <v>14424.216666666667</v>
      </c>
      <c r="G239" s="681">
        <v>20000</v>
      </c>
      <c r="H239" s="653"/>
    </row>
    <row r="240" spans="1:8" ht="16.5" thickBot="1" x14ac:dyDescent="0.3">
      <c r="A240" s="684" t="s">
        <v>1559</v>
      </c>
      <c r="B240" s="685"/>
      <c r="C240" s="685"/>
      <c r="D240" s="686"/>
      <c r="E240" s="686"/>
      <c r="F240" s="816"/>
      <c r="G240" s="1275">
        <f>G239*50%</f>
        <v>10000</v>
      </c>
      <c r="H240" s="1276" t="s">
        <v>3687</v>
      </c>
    </row>
    <row r="241" spans="1:9" ht="15.75" thickBot="1" x14ac:dyDescent="0.3"/>
    <row r="242" spans="1:9" ht="15.75" thickBot="1" x14ac:dyDescent="0.3">
      <c r="A242" s="1788" t="s">
        <v>4313</v>
      </c>
      <c r="B242" s="1789"/>
      <c r="C242" s="1789"/>
      <c r="D242" s="1789"/>
      <c r="E242" s="1789"/>
      <c r="F242" s="1790"/>
      <c r="G242" s="658"/>
      <c r="H242" s="674"/>
      <c r="I242" s="652"/>
    </row>
    <row r="243" spans="1:9" x14ac:dyDescent="0.25">
      <c r="A243" s="1394" t="s">
        <v>916</v>
      </c>
      <c r="B243" s="655" t="s">
        <v>1194</v>
      </c>
      <c r="C243" s="655" t="s">
        <v>1089</v>
      </c>
      <c r="D243" s="656" t="s">
        <v>1547</v>
      </c>
      <c r="E243" s="773" t="s">
        <v>1035</v>
      </c>
      <c r="F243" s="657" t="s">
        <v>1549</v>
      </c>
      <c r="G243" s="658"/>
      <c r="H243" s="674"/>
      <c r="I243" s="652"/>
    </row>
    <row r="244" spans="1:9" x14ac:dyDescent="0.25">
      <c r="A244" s="660" t="s">
        <v>4291</v>
      </c>
      <c r="B244" s="820" t="s">
        <v>846</v>
      </c>
      <c r="C244" s="769">
        <v>0.37</v>
      </c>
      <c r="D244" s="1383">
        <v>0.16</v>
      </c>
      <c r="E244" s="1385">
        <f>PIEDRAS!E31</f>
        <v>5244</v>
      </c>
      <c r="F244" s="1386">
        <f>E244*D244/C244</f>
        <v>2267.6756756756754</v>
      </c>
      <c r="G244" s="658"/>
      <c r="H244" s="674"/>
      <c r="I244" s="652"/>
    </row>
    <row r="245" spans="1:9" x14ac:dyDescent="0.25">
      <c r="A245" s="666" t="s">
        <v>4164</v>
      </c>
      <c r="B245" s="820"/>
      <c r="C245" s="769"/>
      <c r="D245" s="1383">
        <v>1</v>
      </c>
      <c r="E245" s="1385">
        <f>FORNITURAS!O10</f>
        <v>1800</v>
      </c>
      <c r="F245" s="1386">
        <f>E245*D245</f>
        <v>1800</v>
      </c>
      <c r="G245" s="658"/>
      <c r="H245" s="674"/>
      <c r="I245" s="652"/>
    </row>
    <row r="246" spans="1:9" x14ac:dyDescent="0.25">
      <c r="A246" s="666" t="s">
        <v>1554</v>
      </c>
      <c r="B246" s="820"/>
      <c r="C246" s="660"/>
      <c r="D246" s="769">
        <v>2</v>
      </c>
      <c r="E246" s="1385">
        <f>FORNITURAS!D24</f>
        <v>34.666666666666664</v>
      </c>
      <c r="F246" s="1386">
        <f>E246*D246</f>
        <v>69.333333333333329</v>
      </c>
      <c r="G246" s="658"/>
      <c r="H246" s="674"/>
      <c r="I246" s="652"/>
    </row>
    <row r="247" spans="1:9" x14ac:dyDescent="0.25">
      <c r="A247" s="666" t="s">
        <v>3507</v>
      </c>
      <c r="B247" s="660"/>
      <c r="C247" s="660"/>
      <c r="D247" s="769">
        <v>2</v>
      </c>
      <c r="E247" s="668">
        <f>FORNITURAS!I13</f>
        <v>274.44444444444446</v>
      </c>
      <c r="F247" s="662">
        <f>E247*D247</f>
        <v>548.88888888888891</v>
      </c>
      <c r="G247" s="658"/>
      <c r="H247" s="674"/>
      <c r="I247" s="652"/>
    </row>
    <row r="248" spans="1:9" x14ac:dyDescent="0.25">
      <c r="A248" s="666" t="s">
        <v>4292</v>
      </c>
      <c r="B248" s="660"/>
      <c r="C248" s="660"/>
      <c r="D248" s="769">
        <v>0.8</v>
      </c>
      <c r="E248" s="668">
        <f>'HILOS-CORDONES-TANZA-CUERO'!E25</f>
        <v>25</v>
      </c>
      <c r="F248" s="662">
        <f>E248*D248</f>
        <v>20</v>
      </c>
      <c r="G248" s="658"/>
      <c r="H248" s="674"/>
      <c r="I248" s="652"/>
    </row>
    <row r="249" spans="1:9" x14ac:dyDescent="0.25">
      <c r="A249" s="666" t="s">
        <v>1557</v>
      </c>
      <c r="B249" s="660"/>
      <c r="C249" s="660"/>
      <c r="D249" s="769"/>
      <c r="E249" s="668"/>
      <c r="F249" s="662">
        <f>PACKAGING!E4</f>
        <v>80</v>
      </c>
      <c r="G249" s="658"/>
      <c r="H249" s="674"/>
      <c r="I249" s="652"/>
    </row>
    <row r="250" spans="1:9" x14ac:dyDescent="0.25">
      <c r="A250" s="665" t="s">
        <v>3180</v>
      </c>
      <c r="B250" s="660"/>
      <c r="C250" s="660"/>
      <c r="D250" s="769"/>
      <c r="E250" s="779"/>
      <c r="F250" s="662">
        <f>PACKAGING!E8</f>
        <v>420</v>
      </c>
      <c r="G250" s="658"/>
      <c r="H250" s="674"/>
      <c r="I250" s="652"/>
    </row>
    <row r="251" spans="1:9" ht="18" x14ac:dyDescent="0.25">
      <c r="A251" s="665" t="s">
        <v>1558</v>
      </c>
      <c r="B251" s="660">
        <v>60</v>
      </c>
      <c r="C251" s="1395"/>
      <c r="D251" s="769">
        <v>30</v>
      </c>
      <c r="E251" s="668">
        <f>'INSUMOS VARIOS'!B3</f>
        <v>3500</v>
      </c>
      <c r="F251" s="662">
        <f>D251*E251/B251</f>
        <v>1750</v>
      </c>
      <c r="G251" s="1396"/>
      <c r="H251" s="674"/>
      <c r="I251" s="652"/>
    </row>
    <row r="252" spans="1:9" ht="15.75" thickBot="1" x14ac:dyDescent="0.3">
      <c r="A252" s="670" t="s">
        <v>525</v>
      </c>
      <c r="B252" s="671"/>
      <c r="C252" s="671"/>
      <c r="D252" s="672"/>
      <c r="E252" s="780"/>
      <c r="F252" s="673">
        <f>SUM(F244:F251)</f>
        <v>6955.8978978978976</v>
      </c>
      <c r="G252" s="658"/>
      <c r="H252" s="674"/>
      <c r="I252" s="652"/>
    </row>
    <row r="253" spans="1:9" ht="16.5" thickBot="1" x14ac:dyDescent="0.3">
      <c r="A253" s="675" t="s">
        <v>544</v>
      </c>
      <c r="B253" s="676"/>
      <c r="C253" s="676"/>
      <c r="D253" s="677"/>
      <c r="E253" s="677"/>
      <c r="F253" s="692">
        <f>F252*2</f>
        <v>13911.795795795795</v>
      </c>
      <c r="G253" s="680">
        <f>F253+F253*70%</f>
        <v>23650.052852852852</v>
      </c>
      <c r="H253" s="681">
        <v>28000</v>
      </c>
      <c r="I253" s="652"/>
    </row>
    <row r="254" spans="1:9" ht="16.5" thickBot="1" x14ac:dyDescent="0.3">
      <c r="A254" s="684" t="s">
        <v>1559</v>
      </c>
      <c r="B254" s="685"/>
      <c r="C254" s="685"/>
      <c r="D254" s="686"/>
      <c r="E254" s="686"/>
      <c r="F254" s="686"/>
      <c r="G254" s="690"/>
      <c r="H254" s="1275">
        <f>H253*60%</f>
        <v>16800</v>
      </c>
      <c r="I254" s="1120" t="s">
        <v>3687</v>
      </c>
    </row>
    <row r="255" spans="1:9" ht="15.75" thickBot="1" x14ac:dyDescent="0.3"/>
    <row r="256" spans="1:9" ht="15.75" thickBot="1" x14ac:dyDescent="0.3">
      <c r="A256" s="1788" t="s">
        <v>4309</v>
      </c>
      <c r="B256" s="1789"/>
      <c r="C256" s="1789"/>
      <c r="D256" s="1789"/>
      <c r="E256" s="1789"/>
      <c r="F256" s="1790"/>
      <c r="G256" s="658"/>
      <c r="H256" s="674"/>
      <c r="I256" s="652"/>
    </row>
    <row r="257" spans="1:25" x14ac:dyDescent="0.25">
      <c r="A257" s="1394" t="s">
        <v>916</v>
      </c>
      <c r="B257" s="655" t="s">
        <v>1194</v>
      </c>
      <c r="C257" s="655" t="s">
        <v>1089</v>
      </c>
      <c r="D257" s="656" t="s">
        <v>1547</v>
      </c>
      <c r="E257" s="773" t="s">
        <v>1035</v>
      </c>
      <c r="F257" s="657" t="s">
        <v>1549</v>
      </c>
      <c r="G257" s="658"/>
      <c r="H257" s="674"/>
      <c r="I257" s="652"/>
    </row>
    <row r="258" spans="1:25" x14ac:dyDescent="0.25">
      <c r="A258" s="660" t="s">
        <v>4293</v>
      </c>
      <c r="B258" s="820" t="s">
        <v>777</v>
      </c>
      <c r="C258" s="769">
        <v>0.37</v>
      </c>
      <c r="D258" s="1383">
        <v>0.16</v>
      </c>
      <c r="E258" s="1385">
        <f>PIEDRAS!E36</f>
        <v>5000</v>
      </c>
      <c r="F258" s="1386">
        <f>E258*D258/C258</f>
        <v>2162.1621621621621</v>
      </c>
      <c r="G258" s="658"/>
      <c r="H258" s="674"/>
      <c r="I258" s="652"/>
    </row>
    <row r="259" spans="1:25" x14ac:dyDescent="0.25">
      <c r="A259" s="666" t="s">
        <v>4294</v>
      </c>
      <c r="B259" s="820"/>
      <c r="C259" s="769"/>
      <c r="D259" s="1383">
        <v>1</v>
      </c>
      <c r="E259" s="1385">
        <f>'AROS, CADENAS, DIJES, ETC'!O54</f>
        <v>2920</v>
      </c>
      <c r="F259" s="1386">
        <f>E259*D259</f>
        <v>2920</v>
      </c>
      <c r="G259" s="658"/>
      <c r="H259" s="674"/>
      <c r="I259" s="652"/>
    </row>
    <row r="260" spans="1:25" x14ac:dyDescent="0.25">
      <c r="A260" s="666" t="s">
        <v>1554</v>
      </c>
      <c r="B260" s="820"/>
      <c r="C260" s="660"/>
      <c r="D260" s="769">
        <v>2</v>
      </c>
      <c r="E260" s="1385">
        <f>FORNITURAS!D24</f>
        <v>34.666666666666664</v>
      </c>
      <c r="F260" s="1386">
        <f>E260*D260</f>
        <v>69.333333333333329</v>
      </c>
      <c r="G260" s="658"/>
      <c r="H260" s="674"/>
      <c r="I260" s="652"/>
    </row>
    <row r="261" spans="1:25" x14ac:dyDescent="0.25">
      <c r="A261" s="666" t="s">
        <v>3507</v>
      </c>
      <c r="B261" s="660"/>
      <c r="C261" s="660"/>
      <c r="D261" s="769">
        <v>2</v>
      </c>
      <c r="E261" s="668">
        <f>FORNITURAS!I13</f>
        <v>274.44444444444446</v>
      </c>
      <c r="F261" s="662">
        <f>E261*D261</f>
        <v>548.88888888888891</v>
      </c>
      <c r="G261" s="658"/>
      <c r="H261" s="674"/>
      <c r="I261" s="652"/>
    </row>
    <row r="262" spans="1:25" x14ac:dyDescent="0.25">
      <c r="A262" s="666" t="s">
        <v>3524</v>
      </c>
      <c r="B262" s="660"/>
      <c r="C262" s="660"/>
      <c r="D262" s="769">
        <v>0.8</v>
      </c>
      <c r="E262" s="668">
        <f>'HILOS-CORDONES-TANZA-CUERO'!E26</f>
        <v>33.333333333333336</v>
      </c>
      <c r="F262" s="662">
        <f>E262*D262</f>
        <v>26.666666666666671</v>
      </c>
      <c r="G262" s="658"/>
      <c r="H262" s="674"/>
      <c r="I262" s="652"/>
    </row>
    <row r="263" spans="1:25" x14ac:dyDescent="0.25">
      <c r="A263" s="666" t="s">
        <v>1557</v>
      </c>
      <c r="B263" s="660"/>
      <c r="C263" s="660"/>
      <c r="D263" s="769"/>
      <c r="E263" s="668"/>
      <c r="F263" s="662">
        <f>PACKAGING!E4</f>
        <v>80</v>
      </c>
      <c r="G263" s="658"/>
      <c r="H263" s="674"/>
      <c r="I263" s="652"/>
    </row>
    <row r="264" spans="1:25" x14ac:dyDescent="0.25">
      <c r="A264" s="665" t="s">
        <v>3180</v>
      </c>
      <c r="B264" s="660"/>
      <c r="C264" s="660"/>
      <c r="D264" s="769"/>
      <c r="E264" s="779"/>
      <c r="F264" s="662">
        <f>PACKAGING!E8</f>
        <v>420</v>
      </c>
      <c r="G264" s="658"/>
      <c r="H264" s="674"/>
      <c r="I264" s="652"/>
    </row>
    <row r="265" spans="1:25" ht="18.75" thickBot="1" x14ac:dyDescent="0.3">
      <c r="A265" s="665" t="s">
        <v>1558</v>
      </c>
      <c r="B265" s="660">
        <v>60</v>
      </c>
      <c r="C265" s="1395"/>
      <c r="D265" s="769">
        <v>30</v>
      </c>
      <c r="E265" s="668">
        <f>'INSUMOS VARIOS'!B3</f>
        <v>3500</v>
      </c>
      <c r="F265" s="662">
        <f>D265*E265/B265</f>
        <v>1750</v>
      </c>
      <c r="G265" s="1396"/>
      <c r="H265" s="674"/>
      <c r="I265" s="652"/>
    </row>
    <row r="266" spans="1:25" ht="16.5" thickBot="1" x14ac:dyDescent="0.3">
      <c r="A266" s="670" t="s">
        <v>525</v>
      </c>
      <c r="B266" s="671"/>
      <c r="C266" s="671"/>
      <c r="D266" s="672"/>
      <c r="E266" s="780"/>
      <c r="F266" s="673">
        <f>SUM(F258:F265)</f>
        <v>7977.0510510510503</v>
      </c>
      <c r="G266" s="658"/>
      <c r="H266" s="674"/>
      <c r="I266" s="652"/>
      <c r="J266" s="1778" t="s">
        <v>4475</v>
      </c>
      <c r="K266" s="1779"/>
      <c r="L266" s="1779"/>
      <c r="M266" s="1779"/>
      <c r="N266" s="1780"/>
      <c r="O266" s="653"/>
      <c r="P266" s="653"/>
      <c r="Q266" s="653"/>
      <c r="R266" s="1778" t="s">
        <v>4475</v>
      </c>
      <c r="S266" s="1779"/>
      <c r="T266" s="1779"/>
      <c r="U266" s="1779"/>
      <c r="V266" s="1780"/>
      <c r="W266" s="653"/>
      <c r="X266" s="653"/>
      <c r="Y266" s="653"/>
    </row>
    <row r="267" spans="1:25" ht="16.5" thickBot="1" x14ac:dyDescent="0.3">
      <c r="A267" s="675" t="s">
        <v>544</v>
      </c>
      <c r="B267" s="676"/>
      <c r="C267" s="676"/>
      <c r="D267" s="677"/>
      <c r="E267" s="677"/>
      <c r="F267" s="692">
        <f>F266*2</f>
        <v>15954.102102102101</v>
      </c>
      <c r="G267" s="680">
        <f>F267+F267*70%</f>
        <v>27121.97357357357</v>
      </c>
      <c r="H267" s="681">
        <v>28000</v>
      </c>
      <c r="I267" s="652"/>
      <c r="J267" s="654" t="s">
        <v>916</v>
      </c>
      <c r="K267" s="655" t="s">
        <v>743</v>
      </c>
      <c r="L267" s="655" t="s">
        <v>1566</v>
      </c>
      <c r="M267" s="656" t="s">
        <v>1035</v>
      </c>
      <c r="N267" s="657" t="s">
        <v>1549</v>
      </c>
      <c r="O267" s="658"/>
      <c r="P267" s="653"/>
      <c r="Q267" s="653"/>
      <c r="R267" s="654" t="s">
        <v>916</v>
      </c>
      <c r="S267" s="655" t="s">
        <v>743</v>
      </c>
      <c r="T267" s="655" t="s">
        <v>1566</v>
      </c>
      <c r="U267" s="656" t="s">
        <v>1035</v>
      </c>
      <c r="V267" s="657" t="s">
        <v>1549</v>
      </c>
      <c r="W267" s="658"/>
      <c r="X267" s="653"/>
      <c r="Y267" s="653"/>
    </row>
    <row r="268" spans="1:25" ht="16.5" thickBot="1" x14ac:dyDescent="0.3">
      <c r="A268" s="684" t="s">
        <v>1559</v>
      </c>
      <c r="B268" s="685"/>
      <c r="C268" s="685"/>
      <c r="D268" s="686"/>
      <c r="E268" s="686"/>
      <c r="F268" s="686"/>
      <c r="G268" s="690"/>
      <c r="H268" s="1275">
        <f>H267*60%</f>
        <v>16800</v>
      </c>
      <c r="I268" s="1120" t="s">
        <v>3687</v>
      </c>
      <c r="J268" s="1289" t="s">
        <v>4473</v>
      </c>
      <c r="K268" s="660">
        <v>0.94</v>
      </c>
      <c r="L268" s="660">
        <v>0.17499999999999999</v>
      </c>
      <c r="M268" s="661">
        <f>PIEDRAS!E150</f>
        <v>3600</v>
      </c>
      <c r="N268" s="662">
        <f>M268*L268/K268</f>
        <v>670.21276595744689</v>
      </c>
      <c r="O268" s="658"/>
      <c r="P268" s="653"/>
      <c r="Q268" s="1131"/>
      <c r="R268" s="1289" t="s">
        <v>4473</v>
      </c>
      <c r="S268" s="660">
        <v>0.94</v>
      </c>
      <c r="T268" s="660">
        <v>0.17499999999999999</v>
      </c>
      <c r="U268" s="661">
        <v>3600</v>
      </c>
      <c r="V268" s="662">
        <f>U268*T268/S268</f>
        <v>670.21276595744689</v>
      </c>
      <c r="W268" s="658"/>
      <c r="X268" s="653"/>
      <c r="Y268" s="653"/>
    </row>
    <row r="269" spans="1:25" ht="16.5" thickBot="1" x14ac:dyDescent="0.3">
      <c r="J269" s="820" t="s">
        <v>4408</v>
      </c>
      <c r="K269" s="660"/>
      <c r="L269" s="660">
        <v>1</v>
      </c>
      <c r="M269" s="661">
        <v>3331</v>
      </c>
      <c r="N269" s="662">
        <f>M269*L269</f>
        <v>3331</v>
      </c>
      <c r="O269" s="658"/>
      <c r="P269" s="653"/>
      <c r="Q269" s="1131"/>
      <c r="R269" s="820" t="s">
        <v>4408</v>
      </c>
      <c r="S269" s="660"/>
      <c r="T269" s="660">
        <v>1</v>
      </c>
      <c r="U269" s="661">
        <v>3331</v>
      </c>
      <c r="V269" s="662">
        <f>U269*T269</f>
        <v>3331</v>
      </c>
      <c r="W269" s="658"/>
      <c r="X269" s="653"/>
      <c r="Y269" s="653"/>
    </row>
    <row r="270" spans="1:25" ht="16.5" customHeight="1" thickBot="1" x14ac:dyDescent="0.3">
      <c r="A270" s="1778" t="s">
        <v>4407</v>
      </c>
      <c r="B270" s="1779"/>
      <c r="C270" s="1779"/>
      <c r="D270" s="1779"/>
      <c r="E270" s="1780"/>
      <c r="F270" s="653"/>
      <c r="G270" s="653"/>
      <c r="H270" s="653"/>
      <c r="J270" s="820" t="s">
        <v>4211</v>
      </c>
      <c r="K270" s="660"/>
      <c r="L270" s="660">
        <v>0.28000000000000003</v>
      </c>
      <c r="M270" s="661">
        <v>8</v>
      </c>
      <c r="N270" s="667">
        <f>M270*L270</f>
        <v>2.2400000000000002</v>
      </c>
      <c r="O270" s="658"/>
      <c r="P270" s="653"/>
      <c r="Q270" s="1131"/>
      <c r="R270" s="820" t="s">
        <v>4211</v>
      </c>
      <c r="S270" s="660"/>
      <c r="T270" s="660">
        <v>0.28000000000000003</v>
      </c>
      <c r="U270" s="661">
        <v>8</v>
      </c>
      <c r="V270" s="667">
        <f>U270*T270</f>
        <v>2.2400000000000002</v>
      </c>
      <c r="W270" s="658"/>
      <c r="X270" s="653"/>
      <c r="Y270" s="653"/>
    </row>
    <row r="271" spans="1:25" ht="15.75" x14ac:dyDescent="0.25">
      <c r="A271" s="654" t="s">
        <v>916</v>
      </c>
      <c r="B271" s="655" t="s">
        <v>743</v>
      </c>
      <c r="C271" s="655" t="s">
        <v>1566</v>
      </c>
      <c r="D271" s="656" t="s">
        <v>1035</v>
      </c>
      <c r="E271" s="657" t="s">
        <v>1549</v>
      </c>
      <c r="F271" s="658"/>
      <c r="G271" s="653"/>
      <c r="H271" s="653"/>
      <c r="J271" s="820" t="s">
        <v>1557</v>
      </c>
      <c r="K271" s="660"/>
      <c r="L271" s="660"/>
      <c r="M271" s="661"/>
      <c r="N271" s="667">
        <v>200</v>
      </c>
      <c r="O271" s="653"/>
      <c r="P271" s="658"/>
      <c r="Q271" s="1131"/>
      <c r="R271" s="820" t="s">
        <v>1557</v>
      </c>
      <c r="S271" s="660"/>
      <c r="T271" s="660"/>
      <c r="U271" s="661"/>
      <c r="V271" s="667">
        <v>200</v>
      </c>
      <c r="W271" s="653"/>
      <c r="X271" s="658"/>
      <c r="Y271" s="653"/>
    </row>
    <row r="272" spans="1:25" ht="30" customHeight="1" x14ac:dyDescent="0.25">
      <c r="A272" s="1241" t="s">
        <v>4410</v>
      </c>
      <c r="B272" s="660">
        <v>0.39</v>
      </c>
      <c r="C272" s="660">
        <v>0.17499999999999999</v>
      </c>
      <c r="D272" s="661">
        <f>PIEDRAS!E92</f>
        <v>2763</v>
      </c>
      <c r="E272" s="662">
        <f>D272*C272/B272</f>
        <v>1239.8076923076922</v>
      </c>
      <c r="F272" s="658"/>
      <c r="G272" s="653"/>
      <c r="H272" s="653"/>
      <c r="I272" s="1236"/>
      <c r="J272" s="683" t="s">
        <v>1618</v>
      </c>
      <c r="K272" s="660">
        <v>60</v>
      </c>
      <c r="L272" s="660">
        <v>20</v>
      </c>
      <c r="M272" s="668">
        <v>3000</v>
      </c>
      <c r="N272" s="669">
        <f>M272*L272/K272</f>
        <v>1000</v>
      </c>
      <c r="O272" s="653"/>
      <c r="P272" s="658"/>
      <c r="Q272" s="1131"/>
      <c r="R272" s="683" t="s">
        <v>1618</v>
      </c>
      <c r="S272" s="660">
        <v>60</v>
      </c>
      <c r="T272" s="660">
        <v>20</v>
      </c>
      <c r="U272" s="668">
        <v>3000</v>
      </c>
      <c r="V272" s="669">
        <f>U272*T272/S272</f>
        <v>1000</v>
      </c>
      <c r="W272" s="653"/>
      <c r="X272" s="658"/>
      <c r="Y272" s="653"/>
    </row>
    <row r="273" spans="1:25" ht="15.75" x14ac:dyDescent="0.25">
      <c r="A273" s="666" t="s">
        <v>4408</v>
      </c>
      <c r="B273" s="660"/>
      <c r="C273" s="660">
        <v>1</v>
      </c>
      <c r="D273" s="661">
        <f>'AROS, CADENAS, DIJES, ETC'!O69</f>
        <v>3331</v>
      </c>
      <c r="E273" s="662">
        <f>D273*C273</f>
        <v>3331</v>
      </c>
      <c r="F273" s="658"/>
      <c r="G273" s="653"/>
      <c r="H273" s="653"/>
      <c r="I273" s="1236"/>
      <c r="J273" s="683" t="s">
        <v>1979</v>
      </c>
      <c r="K273" s="660"/>
      <c r="L273" s="660">
        <v>1</v>
      </c>
      <c r="M273" s="668"/>
      <c r="N273" s="669">
        <f>PACKAGING!E9</f>
        <v>450</v>
      </c>
      <c r="O273" s="653"/>
      <c r="P273" s="658"/>
      <c r="Q273" s="1131"/>
      <c r="R273" s="683" t="s">
        <v>4474</v>
      </c>
      <c r="S273" s="660"/>
      <c r="T273" s="660">
        <v>1</v>
      </c>
      <c r="U273" s="668"/>
      <c r="V273" s="669">
        <f>PACKAGING!I5</f>
        <v>845</v>
      </c>
      <c r="W273" s="653"/>
      <c r="X273" s="658"/>
      <c r="Y273" s="653"/>
    </row>
    <row r="274" spans="1:25" ht="16.5" thickBot="1" x14ac:dyDescent="0.3">
      <c r="A274" s="666" t="s">
        <v>4211</v>
      </c>
      <c r="B274" s="660"/>
      <c r="C274" s="660">
        <v>0.28000000000000003</v>
      </c>
      <c r="D274" s="661">
        <f>'HILOS-CORDONES-TANZA-CUERO'!L6</f>
        <v>8</v>
      </c>
      <c r="E274" s="667">
        <f>D274*C274</f>
        <v>2.2400000000000002</v>
      </c>
      <c r="F274" s="658"/>
      <c r="G274" s="653"/>
      <c r="H274" s="653"/>
      <c r="I274" s="1236"/>
      <c r="J274" s="670" t="s">
        <v>525</v>
      </c>
      <c r="K274" s="671"/>
      <c r="L274" s="671"/>
      <c r="M274" s="672"/>
      <c r="N274" s="673">
        <f>SUM(N268:N273)</f>
        <v>5653.4527659574469</v>
      </c>
      <c r="O274" s="658"/>
      <c r="P274" s="653"/>
      <c r="Q274" s="1131"/>
      <c r="R274" s="671" t="s">
        <v>525</v>
      </c>
      <c r="S274" s="671"/>
      <c r="T274" s="671"/>
      <c r="U274" s="672"/>
      <c r="V274" s="673">
        <f>SUM(V268:V273)</f>
        <v>6048.4527659574469</v>
      </c>
      <c r="W274" s="658"/>
      <c r="X274" s="653"/>
      <c r="Y274" s="653"/>
    </row>
    <row r="275" spans="1:25" ht="16.5" thickBot="1" x14ac:dyDescent="0.3">
      <c r="A275" s="666" t="s">
        <v>1557</v>
      </c>
      <c r="B275" s="660"/>
      <c r="C275" s="660"/>
      <c r="D275" s="661"/>
      <c r="E275" s="667">
        <f>PACKAGING!E5</f>
        <v>200</v>
      </c>
      <c r="F275" s="653"/>
      <c r="G275" s="658"/>
      <c r="H275" s="653"/>
      <c r="I275" s="1236"/>
      <c r="J275" s="675" t="s">
        <v>544</v>
      </c>
      <c r="K275" s="676"/>
      <c r="L275" s="676"/>
      <c r="M275" s="677"/>
      <c r="N275" s="692">
        <f>N274*2</f>
        <v>11306.905531914894</v>
      </c>
      <c r="O275" s="957">
        <f>N275+N275*50%</f>
        <v>16960.358297872343</v>
      </c>
      <c r="P275" s="681">
        <v>17000</v>
      </c>
      <c r="Q275" s="653"/>
      <c r="R275" s="675" t="s">
        <v>544</v>
      </c>
      <c r="S275" s="676"/>
      <c r="T275" s="676"/>
      <c r="U275" s="677"/>
      <c r="V275" s="692">
        <f>V274*2</f>
        <v>12096.905531914894</v>
      </c>
      <c r="W275" s="957">
        <f>V275+V275*50%</f>
        <v>18145.358297872343</v>
      </c>
      <c r="X275" s="681">
        <v>19000</v>
      </c>
      <c r="Y275" s="653"/>
    </row>
    <row r="276" spans="1:25" ht="16.5" thickBot="1" x14ac:dyDescent="0.3">
      <c r="A276" s="683" t="s">
        <v>1618</v>
      </c>
      <c r="B276" s="660">
        <v>60</v>
      </c>
      <c r="C276" s="660">
        <v>20</v>
      </c>
      <c r="D276" s="668">
        <f>'INSUMOS VARIOS'!B3</f>
        <v>3500</v>
      </c>
      <c r="E276" s="669">
        <f>D276*C276/B276</f>
        <v>1166.6666666666667</v>
      </c>
      <c r="F276" s="653"/>
      <c r="G276" s="658"/>
      <c r="H276" s="653"/>
      <c r="I276" s="1236"/>
      <c r="J276" s="684" t="s">
        <v>1559</v>
      </c>
      <c r="K276" s="685"/>
      <c r="L276" s="685"/>
      <c r="M276" s="686"/>
      <c r="N276" s="686"/>
      <c r="O276" s="816"/>
      <c r="P276" s="1275"/>
      <c r="Q276" s="1276" t="s">
        <v>3687</v>
      </c>
      <c r="R276" s="684" t="s">
        <v>1559</v>
      </c>
      <c r="S276" s="685"/>
      <c r="T276" s="685"/>
      <c r="U276" s="686"/>
      <c r="V276" s="686"/>
      <c r="W276" s="816"/>
      <c r="X276" s="1275"/>
      <c r="Y276" s="1276" t="s">
        <v>3687</v>
      </c>
    </row>
    <row r="277" spans="1:25" ht="16.5" thickBot="1" x14ac:dyDescent="0.3">
      <c r="A277" s="670" t="s">
        <v>525</v>
      </c>
      <c r="B277" s="671"/>
      <c r="C277" s="671"/>
      <c r="D277" s="672"/>
      <c r="E277" s="673">
        <f>SUM(E272:E276)</f>
        <v>5939.7143589743591</v>
      </c>
      <c r="F277" s="658"/>
      <c r="G277" s="653"/>
      <c r="H277" s="653"/>
      <c r="I277" s="1236"/>
    </row>
    <row r="278" spans="1:25" ht="16.5" thickBot="1" x14ac:dyDescent="0.3">
      <c r="A278" s="675" t="s">
        <v>544</v>
      </c>
      <c r="B278" s="676"/>
      <c r="C278" s="676"/>
      <c r="D278" s="677"/>
      <c r="E278" s="692">
        <f>E277*2</f>
        <v>11879.428717948718</v>
      </c>
      <c r="F278" s="957">
        <f>E278+E278*70%</f>
        <v>20195.02882051282</v>
      </c>
      <c r="G278" s="681">
        <v>26000</v>
      </c>
      <c r="H278" s="653"/>
    </row>
    <row r="279" spans="1:25" ht="16.5" thickBot="1" x14ac:dyDescent="0.3">
      <c r="A279" s="684" t="s">
        <v>1559</v>
      </c>
      <c r="B279" s="685"/>
      <c r="C279" s="685"/>
      <c r="D279" s="686"/>
      <c r="E279" s="686"/>
      <c r="F279" s="816"/>
      <c r="G279" s="1275">
        <f>G278*60%</f>
        <v>15600</v>
      </c>
      <c r="H279" s="1276" t="s">
        <v>3687</v>
      </c>
    </row>
    <row r="280" spans="1:25" ht="15.75" thickBot="1" x14ac:dyDescent="0.3"/>
    <row r="281" spans="1:25" ht="16.5" customHeight="1" thickBot="1" x14ac:dyDescent="0.3">
      <c r="A281" s="1778" t="s">
        <v>4437</v>
      </c>
      <c r="B281" s="1779"/>
      <c r="C281" s="1779"/>
      <c r="D281" s="1779"/>
      <c r="E281" s="1780"/>
      <c r="F281" s="653"/>
      <c r="G281" s="653"/>
      <c r="H281" s="653"/>
    </row>
    <row r="282" spans="1:25" ht="15.75" x14ac:dyDescent="0.25">
      <c r="A282" s="654" t="s">
        <v>916</v>
      </c>
      <c r="B282" s="655" t="s">
        <v>743</v>
      </c>
      <c r="C282" s="655" t="s">
        <v>1566</v>
      </c>
      <c r="D282" s="656" t="s">
        <v>1035</v>
      </c>
      <c r="E282" s="657" t="s">
        <v>1549</v>
      </c>
      <c r="F282" s="658"/>
      <c r="G282" s="653"/>
      <c r="H282" s="653"/>
    </row>
    <row r="283" spans="1:25" ht="15.75" x14ac:dyDescent="0.25">
      <c r="A283" s="1241" t="s">
        <v>4422</v>
      </c>
      <c r="B283" s="660">
        <v>0.39</v>
      </c>
      <c r="C283" s="660">
        <v>0.17499999999999999</v>
      </c>
      <c r="D283" s="661">
        <f>PIEDRAS!E94</f>
        <v>2000</v>
      </c>
      <c r="E283" s="662">
        <f>D283*C283/B283</f>
        <v>897.43589743589746</v>
      </c>
      <c r="F283" s="658"/>
      <c r="G283" s="653"/>
      <c r="H283" s="653"/>
    </row>
    <row r="284" spans="1:25" ht="15.75" x14ac:dyDescent="0.25">
      <c r="A284" s="666" t="s">
        <v>1697</v>
      </c>
      <c r="B284" s="660" t="s">
        <v>777</v>
      </c>
      <c r="C284" s="660">
        <v>1</v>
      </c>
      <c r="D284" s="661">
        <f>FORNITURAS!D24</f>
        <v>34.666666666666664</v>
      </c>
      <c r="E284" s="662">
        <f>D284*C284</f>
        <v>34.666666666666664</v>
      </c>
      <c r="F284" s="658"/>
      <c r="G284" s="653"/>
      <c r="H284" s="653"/>
    </row>
    <row r="285" spans="1:25" ht="15.75" x14ac:dyDescent="0.25">
      <c r="A285" s="666" t="s">
        <v>4211</v>
      </c>
      <c r="B285" s="660"/>
      <c r="C285" s="660">
        <v>0.28000000000000003</v>
      </c>
      <c r="D285" s="661">
        <f>'HILOS-CORDONES-TANZA-CUERO'!L6</f>
        <v>8</v>
      </c>
      <c r="E285" s="667">
        <f>D285*C285</f>
        <v>2.2400000000000002</v>
      </c>
      <c r="F285" s="658"/>
      <c r="G285" s="653"/>
      <c r="H285" s="653"/>
    </row>
    <row r="286" spans="1:25" ht="15.75" x14ac:dyDescent="0.25">
      <c r="A286" s="666" t="s">
        <v>1557</v>
      </c>
      <c r="B286" s="660"/>
      <c r="C286" s="660"/>
      <c r="D286" s="661"/>
      <c r="E286" s="667">
        <f>PACKAGING!E5</f>
        <v>200</v>
      </c>
      <c r="F286" s="653"/>
      <c r="G286" s="658"/>
      <c r="H286" s="653"/>
    </row>
    <row r="287" spans="1:25" ht="15.75" x14ac:dyDescent="0.25">
      <c r="A287" s="683" t="s">
        <v>1618</v>
      </c>
      <c r="B287" s="660">
        <v>60</v>
      </c>
      <c r="C287" s="660">
        <v>20</v>
      </c>
      <c r="D287" s="668">
        <f>'INSUMOS VARIOS'!B3</f>
        <v>3500</v>
      </c>
      <c r="E287" s="669">
        <f>D287*C287/B287</f>
        <v>1166.6666666666667</v>
      </c>
      <c r="F287" s="653"/>
      <c r="G287" s="658"/>
      <c r="H287" s="653"/>
    </row>
    <row r="288" spans="1:25" ht="16.5" thickBot="1" x14ac:dyDescent="0.3">
      <c r="A288" s="670" t="s">
        <v>525</v>
      </c>
      <c r="B288" s="671"/>
      <c r="C288" s="671"/>
      <c r="D288" s="672"/>
      <c r="E288" s="673">
        <f>SUM(E283:E287)</f>
        <v>2301.0092307692312</v>
      </c>
      <c r="F288" s="658"/>
      <c r="G288" s="653"/>
      <c r="H288" s="653"/>
    </row>
    <row r="289" spans="1:8" ht="16.5" thickBot="1" x14ac:dyDescent="0.3">
      <c r="A289" s="675" t="s">
        <v>544</v>
      </c>
      <c r="B289" s="676"/>
      <c r="C289" s="676"/>
      <c r="D289" s="677"/>
      <c r="E289" s="692">
        <f>E288*2</f>
        <v>4602.0184615384624</v>
      </c>
      <c r="F289" s="957">
        <f>E289+E289*70%</f>
        <v>7823.4313846153855</v>
      </c>
      <c r="G289" s="681">
        <v>18000</v>
      </c>
      <c r="H289" s="653"/>
    </row>
    <row r="290" spans="1:8" ht="16.5" thickBot="1" x14ac:dyDescent="0.3">
      <c r="A290" s="684" t="s">
        <v>1559</v>
      </c>
      <c r="B290" s="685"/>
      <c r="C290" s="685"/>
      <c r="D290" s="686"/>
      <c r="E290" s="686"/>
      <c r="F290" s="816"/>
      <c r="G290" s="1275">
        <f>G289*60%</f>
        <v>10800</v>
      </c>
      <c r="H290" s="1276" t="s">
        <v>3687</v>
      </c>
    </row>
    <row r="291" spans="1:8" ht="15.75" thickBot="1" x14ac:dyDescent="0.3"/>
    <row r="292" spans="1:8" ht="16.5" thickBot="1" x14ac:dyDescent="0.3">
      <c r="A292" s="1778" t="s">
        <v>4443</v>
      </c>
      <c r="B292" s="1779"/>
      <c r="C292" s="1779"/>
      <c r="D292" s="1779"/>
      <c r="E292" s="1780"/>
      <c r="F292" s="653"/>
      <c r="G292" s="653"/>
      <c r="H292" s="653"/>
    </row>
    <row r="293" spans="1:8" ht="15.75" x14ac:dyDescent="0.25">
      <c r="A293" s="654" t="s">
        <v>916</v>
      </c>
      <c r="B293" s="655" t="s">
        <v>743</v>
      </c>
      <c r="C293" s="655" t="s">
        <v>1566</v>
      </c>
      <c r="D293" s="656" t="s">
        <v>1035</v>
      </c>
      <c r="E293" s="657" t="s">
        <v>1549</v>
      </c>
      <c r="F293" s="658"/>
      <c r="G293" s="653"/>
      <c r="H293" s="653"/>
    </row>
    <row r="294" spans="1:8" ht="15.75" x14ac:dyDescent="0.25">
      <c r="A294" s="1241" t="s">
        <v>4425</v>
      </c>
      <c r="B294" s="660"/>
      <c r="C294" s="660">
        <v>19</v>
      </c>
      <c r="D294" s="661">
        <f>PIEDRAS!F9</f>
        <v>63.636363636363633</v>
      </c>
      <c r="E294" s="662">
        <f>D294*C294</f>
        <v>1209.090909090909</v>
      </c>
      <c r="F294" s="658"/>
      <c r="G294" s="653"/>
      <c r="H294" s="653"/>
    </row>
    <row r="295" spans="1:8" ht="15.75" x14ac:dyDescent="0.25">
      <c r="A295" s="1287" t="s">
        <v>4427</v>
      </c>
      <c r="B295" s="660"/>
      <c r="C295" s="660">
        <v>18</v>
      </c>
      <c r="D295" s="661">
        <f>'PALAIS DU BIJOU'!O17</f>
        <v>3.4375</v>
      </c>
      <c r="E295" s="662">
        <f>D295*C295</f>
        <v>61.875</v>
      </c>
      <c r="F295" s="658"/>
      <c r="G295" s="653"/>
      <c r="H295" s="653"/>
    </row>
    <row r="296" spans="1:8" ht="15.75" x14ac:dyDescent="0.25">
      <c r="A296" s="666" t="s">
        <v>1697</v>
      </c>
      <c r="B296" s="660" t="s">
        <v>777</v>
      </c>
      <c r="C296" s="660">
        <v>1</v>
      </c>
      <c r="D296" s="661">
        <f>FORNITURAS!D24</f>
        <v>34.666666666666664</v>
      </c>
      <c r="E296" s="662">
        <f>D296*C296</f>
        <v>34.666666666666664</v>
      </c>
      <c r="F296" s="658"/>
      <c r="G296" s="653"/>
      <c r="H296" s="653"/>
    </row>
    <row r="297" spans="1:8" ht="15.75" x14ac:dyDescent="0.25">
      <c r="A297" s="666" t="s">
        <v>4211</v>
      </c>
      <c r="B297" s="660"/>
      <c r="C297" s="660">
        <v>0.28000000000000003</v>
      </c>
      <c r="D297" s="661">
        <f>'HILOS-CORDONES-TANZA-CUERO'!L6</f>
        <v>8</v>
      </c>
      <c r="E297" s="667">
        <f>D297*C297</f>
        <v>2.2400000000000002</v>
      </c>
      <c r="F297" s="658"/>
      <c r="G297" s="653"/>
      <c r="H297" s="653"/>
    </row>
    <row r="298" spans="1:8" ht="15.75" x14ac:dyDescent="0.25">
      <c r="A298" s="666" t="s">
        <v>1557</v>
      </c>
      <c r="B298" s="660"/>
      <c r="C298" s="660"/>
      <c r="D298" s="661"/>
      <c r="E298" s="667">
        <f>PACKAGING!E5</f>
        <v>200</v>
      </c>
      <c r="F298" s="653"/>
      <c r="G298" s="658"/>
      <c r="H298" s="653"/>
    </row>
    <row r="299" spans="1:8" ht="15.75" x14ac:dyDescent="0.25">
      <c r="A299" s="683" t="s">
        <v>1618</v>
      </c>
      <c r="B299" s="660">
        <v>60</v>
      </c>
      <c r="C299" s="660">
        <v>20</v>
      </c>
      <c r="D299" s="668">
        <f>'INSUMOS VARIOS'!B3</f>
        <v>3500</v>
      </c>
      <c r="E299" s="669">
        <f>D299*C299/B299</f>
        <v>1166.6666666666667</v>
      </c>
      <c r="F299" s="653"/>
      <c r="G299" s="658"/>
      <c r="H299" s="653"/>
    </row>
    <row r="300" spans="1:8" ht="16.5" thickBot="1" x14ac:dyDescent="0.3">
      <c r="A300" s="670" t="s">
        <v>525</v>
      </c>
      <c r="B300" s="671"/>
      <c r="C300" s="671"/>
      <c r="D300" s="672"/>
      <c r="E300" s="673">
        <f>SUM(E294:E299)</f>
        <v>2674.5392424242427</v>
      </c>
      <c r="F300" s="658"/>
      <c r="G300" s="653"/>
      <c r="H300" s="653"/>
    </row>
    <row r="301" spans="1:8" ht="16.5" thickBot="1" x14ac:dyDescent="0.3">
      <c r="A301" s="675" t="s">
        <v>544</v>
      </c>
      <c r="B301" s="676"/>
      <c r="C301" s="676"/>
      <c r="D301" s="677"/>
      <c r="E301" s="692">
        <f>E300*2</f>
        <v>5349.0784848484855</v>
      </c>
      <c r="F301" s="957">
        <f>E301+E301*70%</f>
        <v>9093.4334242424247</v>
      </c>
      <c r="G301" s="681">
        <v>20000</v>
      </c>
      <c r="H301" s="653"/>
    </row>
    <row r="302" spans="1:8" ht="16.5" thickBot="1" x14ac:dyDescent="0.3">
      <c r="A302" s="684" t="s">
        <v>1559</v>
      </c>
      <c r="B302" s="685"/>
      <c r="C302" s="685"/>
      <c r="D302" s="686"/>
      <c r="E302" s="686"/>
      <c r="F302" s="816"/>
      <c r="G302" s="1275">
        <f>G301*60%</f>
        <v>12000</v>
      </c>
      <c r="H302" s="1276" t="s">
        <v>3687</v>
      </c>
    </row>
    <row r="303" spans="1:8" ht="15.75" thickBot="1" x14ac:dyDescent="0.3"/>
    <row r="304" spans="1:8" ht="16.5" thickBot="1" x14ac:dyDescent="0.3">
      <c r="A304" s="1778" t="s">
        <v>4444</v>
      </c>
      <c r="B304" s="1779"/>
      <c r="C304" s="1779"/>
      <c r="D304" s="1779"/>
      <c r="E304" s="1780"/>
      <c r="F304" s="653"/>
      <c r="G304" s="653"/>
      <c r="H304" s="653"/>
    </row>
    <row r="305" spans="1:8" ht="15.75" x14ac:dyDescent="0.25">
      <c r="A305" s="654" t="s">
        <v>916</v>
      </c>
      <c r="B305" s="655" t="s">
        <v>743</v>
      </c>
      <c r="C305" s="655" t="s">
        <v>1566</v>
      </c>
      <c r="D305" s="656" t="s">
        <v>1035</v>
      </c>
      <c r="E305" s="657" t="s">
        <v>1549</v>
      </c>
      <c r="F305" s="658"/>
      <c r="G305" s="653"/>
      <c r="H305" s="653"/>
    </row>
    <row r="306" spans="1:8" ht="15.75" x14ac:dyDescent="0.25">
      <c r="A306" s="1241" t="s">
        <v>4436</v>
      </c>
      <c r="B306" s="660">
        <v>0.60499999999999998</v>
      </c>
      <c r="C306" s="660">
        <v>0.17499999999999999</v>
      </c>
      <c r="D306" s="661">
        <f>PIEDRAS!E11</f>
        <v>4200</v>
      </c>
      <c r="E306" s="662">
        <f>D306*C306/B306</f>
        <v>1214.8760330578514</v>
      </c>
      <c r="F306" s="658"/>
      <c r="G306" s="653"/>
      <c r="H306" s="653"/>
    </row>
    <row r="307" spans="1:8" ht="15.75" x14ac:dyDescent="0.25">
      <c r="A307" s="666" t="s">
        <v>1697</v>
      </c>
      <c r="B307" s="660" t="s">
        <v>777</v>
      </c>
      <c r="C307" s="660">
        <v>1</v>
      </c>
      <c r="D307" s="661">
        <f>FORNITURAS!D24</f>
        <v>34.666666666666664</v>
      </c>
      <c r="E307" s="662">
        <f>D307*C307</f>
        <v>34.666666666666664</v>
      </c>
      <c r="F307" s="658"/>
      <c r="G307" s="653"/>
      <c r="H307" s="653"/>
    </row>
    <row r="308" spans="1:8" ht="15.75" x14ac:dyDescent="0.25">
      <c r="A308" s="666" t="s">
        <v>4211</v>
      </c>
      <c r="B308" s="660"/>
      <c r="C308" s="660">
        <v>0.28000000000000003</v>
      </c>
      <c r="D308" s="661">
        <f>'HILOS-CORDONES-TANZA-CUERO'!L6</f>
        <v>8</v>
      </c>
      <c r="E308" s="667">
        <f>D308*C308</f>
        <v>2.2400000000000002</v>
      </c>
      <c r="F308" s="658"/>
      <c r="G308" s="653"/>
      <c r="H308" s="653"/>
    </row>
    <row r="309" spans="1:8" ht="15.75" x14ac:dyDescent="0.25">
      <c r="A309" s="666" t="s">
        <v>1557</v>
      </c>
      <c r="B309" s="660"/>
      <c r="C309" s="660"/>
      <c r="D309" s="661"/>
      <c r="E309" s="667">
        <f>PACKAGING!E5</f>
        <v>200</v>
      </c>
      <c r="F309" s="653"/>
      <c r="G309" s="658"/>
      <c r="H309" s="653"/>
    </row>
    <row r="310" spans="1:8" ht="15.75" x14ac:dyDescent="0.25">
      <c r="A310" s="683" t="s">
        <v>1618</v>
      </c>
      <c r="B310" s="660">
        <v>60</v>
      </c>
      <c r="C310" s="660">
        <v>20</v>
      </c>
      <c r="D310" s="668">
        <f>'INSUMOS VARIOS'!B3</f>
        <v>3500</v>
      </c>
      <c r="E310" s="669">
        <f>D310*C310/B310</f>
        <v>1166.6666666666667</v>
      </c>
      <c r="F310" s="653"/>
      <c r="G310" s="658"/>
      <c r="H310" s="653"/>
    </row>
    <row r="311" spans="1:8" ht="16.5" thickBot="1" x14ac:dyDescent="0.3">
      <c r="A311" s="670" t="s">
        <v>525</v>
      </c>
      <c r="B311" s="671"/>
      <c r="C311" s="671"/>
      <c r="D311" s="672"/>
      <c r="E311" s="673">
        <f>SUM(E306:E310)</f>
        <v>2618.4493663911849</v>
      </c>
      <c r="F311" s="658"/>
      <c r="G311" s="653"/>
      <c r="H311" s="653"/>
    </row>
    <row r="312" spans="1:8" ht="16.5" thickBot="1" x14ac:dyDescent="0.3">
      <c r="A312" s="675" t="s">
        <v>544</v>
      </c>
      <c r="B312" s="676"/>
      <c r="C312" s="676"/>
      <c r="D312" s="677"/>
      <c r="E312" s="692">
        <f>E311*2</f>
        <v>5236.8987327823697</v>
      </c>
      <c r="F312" s="957">
        <f>E312+E312*70%</f>
        <v>8902.7278457300272</v>
      </c>
      <c r="G312" s="681">
        <v>18000</v>
      </c>
      <c r="H312" s="653"/>
    </row>
    <row r="313" spans="1:8" ht="16.5" thickBot="1" x14ac:dyDescent="0.3">
      <c r="A313" s="684" t="s">
        <v>1559</v>
      </c>
      <c r="B313" s="685"/>
      <c r="C313" s="685"/>
      <c r="D313" s="686"/>
      <c r="E313" s="686"/>
      <c r="F313" s="816"/>
      <c r="G313" s="1275">
        <f>G312*60%</f>
        <v>10800</v>
      </c>
      <c r="H313" s="1276" t="s">
        <v>3687</v>
      </c>
    </row>
    <row r="314" spans="1:8" ht="15.75" thickBot="1" x14ac:dyDescent="0.3"/>
    <row r="315" spans="1:8" ht="16.5" thickBot="1" x14ac:dyDescent="0.3">
      <c r="A315" s="1778" t="s">
        <v>4445</v>
      </c>
      <c r="B315" s="1779"/>
      <c r="C315" s="1779"/>
      <c r="D315" s="1779"/>
      <c r="E315" s="1780"/>
      <c r="F315" s="653"/>
      <c r="G315" s="653"/>
      <c r="H315" s="653"/>
    </row>
    <row r="316" spans="1:8" ht="15.75" x14ac:dyDescent="0.25">
      <c r="A316" s="654" t="s">
        <v>916</v>
      </c>
      <c r="B316" s="655" t="s">
        <v>743</v>
      </c>
      <c r="C316" s="655" t="s">
        <v>1566</v>
      </c>
      <c r="D316" s="656" t="s">
        <v>1035</v>
      </c>
      <c r="E316" s="657" t="s">
        <v>1549</v>
      </c>
      <c r="F316" s="658"/>
      <c r="G316" s="653"/>
      <c r="H316" s="653"/>
    </row>
    <row r="317" spans="1:8" ht="15.75" x14ac:dyDescent="0.25">
      <c r="A317" s="1241" t="s">
        <v>4446</v>
      </c>
      <c r="B317" s="660"/>
      <c r="C317" s="660">
        <v>27</v>
      </c>
      <c r="D317" s="661">
        <f>PIEDRAS!F135</f>
        <v>37.974683544303801</v>
      </c>
      <c r="E317" s="662">
        <f>D317*C317</f>
        <v>1025.3164556962026</v>
      </c>
      <c r="F317" s="658"/>
      <c r="G317" s="653"/>
      <c r="H317" s="653"/>
    </row>
    <row r="318" spans="1:8" ht="15.75" x14ac:dyDescent="0.25">
      <c r="A318" s="1287" t="s">
        <v>4447</v>
      </c>
      <c r="B318" s="660" t="s">
        <v>846</v>
      </c>
      <c r="C318" s="660">
        <v>26</v>
      </c>
      <c r="D318" s="661">
        <f>PIEDRAS!F32</f>
        <v>49.55294117647059</v>
      </c>
      <c r="E318" s="662">
        <f>D318*C318</f>
        <v>1288.3764705882354</v>
      </c>
      <c r="F318" s="658"/>
      <c r="G318" s="653"/>
      <c r="H318" s="653"/>
    </row>
    <row r="319" spans="1:8" ht="15.75" x14ac:dyDescent="0.25">
      <c r="A319" s="666" t="s">
        <v>1697</v>
      </c>
      <c r="B319" s="660" t="s">
        <v>777</v>
      </c>
      <c r="C319" s="660">
        <v>1</v>
      </c>
      <c r="D319" s="661">
        <f>FORNITURAS!D24</f>
        <v>34.666666666666664</v>
      </c>
      <c r="E319" s="662">
        <f>D319*C319</f>
        <v>34.666666666666664</v>
      </c>
      <c r="F319" s="658"/>
      <c r="G319" s="653"/>
      <c r="H319" s="653"/>
    </row>
    <row r="320" spans="1:8" ht="15.75" x14ac:dyDescent="0.25">
      <c r="A320" s="666" t="s">
        <v>4211</v>
      </c>
      <c r="B320" s="660"/>
      <c r="C320" s="660">
        <v>0.28000000000000003</v>
      </c>
      <c r="D320" s="661">
        <f>'HILOS-CORDONES-TANZA-CUERO'!L6</f>
        <v>8</v>
      </c>
      <c r="E320" s="667">
        <f>D320*C320</f>
        <v>2.2400000000000002</v>
      </c>
      <c r="F320" s="658"/>
      <c r="G320" s="653"/>
      <c r="H320" s="653"/>
    </row>
    <row r="321" spans="1:8" ht="15.75" x14ac:dyDescent="0.25">
      <c r="A321" s="666" t="s">
        <v>1557</v>
      </c>
      <c r="B321" s="660"/>
      <c r="C321" s="660"/>
      <c r="D321" s="661"/>
      <c r="E321" s="667">
        <f>PACKAGING!E5</f>
        <v>200</v>
      </c>
      <c r="F321" s="653"/>
      <c r="G321" s="658"/>
      <c r="H321" s="653"/>
    </row>
    <row r="322" spans="1:8" ht="15.75" x14ac:dyDescent="0.25">
      <c r="A322" s="683" t="s">
        <v>1618</v>
      </c>
      <c r="B322" s="660">
        <v>60</v>
      </c>
      <c r="C322" s="660">
        <v>30</v>
      </c>
      <c r="D322" s="668">
        <f>'INSUMOS VARIOS'!B3</f>
        <v>3500</v>
      </c>
      <c r="E322" s="669">
        <f>D322*C322/B322</f>
        <v>1750</v>
      </c>
      <c r="F322" s="653"/>
      <c r="G322" s="658"/>
      <c r="H322" s="653"/>
    </row>
    <row r="323" spans="1:8" ht="16.5" thickBot="1" x14ac:dyDescent="0.3">
      <c r="A323" s="670" t="s">
        <v>525</v>
      </c>
      <c r="B323" s="671"/>
      <c r="C323" s="671"/>
      <c r="D323" s="672"/>
      <c r="E323" s="673">
        <f>SUM(E317:E322)</f>
        <v>4300.5995929511046</v>
      </c>
      <c r="F323" s="658"/>
      <c r="G323" s="653"/>
      <c r="H323" s="653"/>
    </row>
    <row r="324" spans="1:8" ht="16.5" thickBot="1" x14ac:dyDescent="0.3">
      <c r="A324" s="675" t="s">
        <v>544</v>
      </c>
      <c r="B324" s="676"/>
      <c r="C324" s="676"/>
      <c r="D324" s="677"/>
      <c r="E324" s="692">
        <f>E323*2</f>
        <v>8601.1991859022091</v>
      </c>
      <c r="F324" s="957">
        <f>E324+E324*70%</f>
        <v>14622.038616033755</v>
      </c>
      <c r="G324" s="681">
        <v>26000</v>
      </c>
      <c r="H324" s="653"/>
    </row>
    <row r="325" spans="1:8" ht="16.5" thickBot="1" x14ac:dyDescent="0.3">
      <c r="A325" s="684" t="s">
        <v>1559</v>
      </c>
      <c r="B325" s="685"/>
      <c r="C325" s="685"/>
      <c r="D325" s="686"/>
      <c r="E325" s="686"/>
      <c r="F325" s="816"/>
      <c r="G325" s="1275">
        <f>G324*60%</f>
        <v>15600</v>
      </c>
      <c r="H325" s="1276" t="s">
        <v>3687</v>
      </c>
    </row>
    <row r="326" spans="1:8" ht="15.75" thickBot="1" x14ac:dyDescent="0.3"/>
    <row r="327" spans="1:8" ht="16.5" thickBot="1" x14ac:dyDescent="0.3">
      <c r="A327" s="1778" t="s">
        <v>4448</v>
      </c>
      <c r="B327" s="1779"/>
      <c r="C327" s="1779"/>
      <c r="D327" s="1779"/>
      <c r="E327" s="1780"/>
      <c r="F327" s="653"/>
      <c r="G327" s="653"/>
      <c r="H327" s="653"/>
    </row>
    <row r="328" spans="1:8" ht="15.75" x14ac:dyDescent="0.25">
      <c r="A328" s="654" t="s">
        <v>916</v>
      </c>
      <c r="B328" s="655" t="s">
        <v>743</v>
      </c>
      <c r="C328" s="655" t="s">
        <v>1566</v>
      </c>
      <c r="D328" s="656" t="s">
        <v>1035</v>
      </c>
      <c r="E328" s="657" t="s">
        <v>1549</v>
      </c>
      <c r="F328" s="658"/>
      <c r="G328" s="653"/>
      <c r="H328" s="653"/>
    </row>
    <row r="329" spans="1:8" ht="15.75" x14ac:dyDescent="0.25">
      <c r="A329" s="1241" t="s">
        <v>4449</v>
      </c>
      <c r="B329" s="660"/>
      <c r="C329" s="660">
        <v>38</v>
      </c>
      <c r="D329" s="661">
        <f>PIEDRAS!F10</f>
        <v>26.923076923076923</v>
      </c>
      <c r="E329" s="662">
        <f t="shared" ref="E329:E334" si="9">D329*C329</f>
        <v>1023.0769230769231</v>
      </c>
      <c r="F329" s="658"/>
      <c r="G329" s="653"/>
      <c r="H329" s="653"/>
    </row>
    <row r="330" spans="1:8" ht="15.75" x14ac:dyDescent="0.25">
      <c r="A330" s="1749" t="s">
        <v>1742</v>
      </c>
      <c r="B330" s="660"/>
      <c r="C330" s="660">
        <v>5</v>
      </c>
      <c r="D330" s="661">
        <f>'PERLAS 2'!O14</f>
        <v>186.66666666666666</v>
      </c>
      <c r="E330" s="662">
        <f t="shared" si="9"/>
        <v>933.33333333333326</v>
      </c>
      <c r="F330" s="658"/>
      <c r="G330" s="653"/>
      <c r="H330" s="653"/>
    </row>
    <row r="331" spans="1:8" ht="15.75" x14ac:dyDescent="0.25">
      <c r="A331" s="1751"/>
      <c r="B331" s="660"/>
      <c r="C331" s="660">
        <v>1</v>
      </c>
      <c r="D331" s="661">
        <f>'PERLAS 2'!O17</f>
        <v>1118.75</v>
      </c>
      <c r="E331" s="662">
        <f t="shared" si="9"/>
        <v>1118.75</v>
      </c>
      <c r="F331" s="658"/>
      <c r="G331" s="653"/>
      <c r="H331" s="653"/>
    </row>
    <row r="332" spans="1:8" ht="15.75" x14ac:dyDescent="0.25">
      <c r="A332" s="1287" t="s">
        <v>4169</v>
      </c>
      <c r="B332" s="660"/>
      <c r="C332" s="660">
        <v>6</v>
      </c>
      <c r="D332" s="661">
        <f>'PALAIS DU BIJOU'!O17</f>
        <v>3.4375</v>
      </c>
      <c r="E332" s="662">
        <f t="shared" si="9"/>
        <v>20.625</v>
      </c>
      <c r="F332" s="658"/>
      <c r="G332" s="653"/>
      <c r="H332" s="653"/>
    </row>
    <row r="333" spans="1:8" ht="15.75" x14ac:dyDescent="0.25">
      <c r="A333" s="666" t="s">
        <v>1697</v>
      </c>
      <c r="B333" s="660" t="s">
        <v>777</v>
      </c>
      <c r="C333" s="660">
        <v>1</v>
      </c>
      <c r="D333" s="661">
        <f>FORNITURAS!D24</f>
        <v>34.666666666666664</v>
      </c>
      <c r="E333" s="662">
        <f t="shared" si="9"/>
        <v>34.666666666666664</v>
      </c>
      <c r="F333" s="658"/>
      <c r="G333" s="653"/>
      <c r="H333" s="653"/>
    </row>
    <row r="334" spans="1:8" ht="15.75" x14ac:dyDescent="0.25">
      <c r="A334" s="666" t="s">
        <v>4211</v>
      </c>
      <c r="B334" s="660"/>
      <c r="C334" s="660">
        <v>0.28000000000000003</v>
      </c>
      <c r="D334" s="661">
        <f>'HILOS-CORDONES-TANZA-CUERO'!L6</f>
        <v>8</v>
      </c>
      <c r="E334" s="667">
        <f t="shared" si="9"/>
        <v>2.2400000000000002</v>
      </c>
      <c r="F334" s="658"/>
      <c r="G334" s="653"/>
      <c r="H334" s="653"/>
    </row>
    <row r="335" spans="1:8" ht="15.75" x14ac:dyDescent="0.25">
      <c r="A335" s="666" t="s">
        <v>1557</v>
      </c>
      <c r="B335" s="660"/>
      <c r="C335" s="660"/>
      <c r="D335" s="661"/>
      <c r="E335" s="667">
        <f>PACKAGING!E5</f>
        <v>200</v>
      </c>
      <c r="F335" s="653"/>
      <c r="G335" s="658"/>
      <c r="H335" s="653"/>
    </row>
    <row r="336" spans="1:8" ht="15.75" x14ac:dyDescent="0.25">
      <c r="A336" s="683" t="s">
        <v>1618</v>
      </c>
      <c r="B336" s="660">
        <v>60</v>
      </c>
      <c r="C336" s="660">
        <v>30</v>
      </c>
      <c r="D336" s="668">
        <f>'INSUMOS VARIOS'!B3</f>
        <v>3500</v>
      </c>
      <c r="E336" s="669">
        <f>D336*C336/B336</f>
        <v>1750</v>
      </c>
      <c r="F336" s="653"/>
      <c r="G336" s="658"/>
      <c r="H336" s="653"/>
    </row>
    <row r="337" spans="1:8" ht="16.5" thickBot="1" x14ac:dyDescent="0.3">
      <c r="A337" s="670" t="s">
        <v>525</v>
      </c>
      <c r="B337" s="671"/>
      <c r="C337" s="671"/>
      <c r="D337" s="672"/>
      <c r="E337" s="673">
        <f>SUM(E329:E336)</f>
        <v>5082.6919230769226</v>
      </c>
      <c r="F337" s="658"/>
      <c r="G337" s="653"/>
      <c r="H337" s="653"/>
    </row>
    <row r="338" spans="1:8" ht="16.5" thickBot="1" x14ac:dyDescent="0.3">
      <c r="A338" s="675" t="s">
        <v>544</v>
      </c>
      <c r="B338" s="676"/>
      <c r="C338" s="676"/>
      <c r="D338" s="677"/>
      <c r="E338" s="692">
        <f>E337*2</f>
        <v>10165.383846153845</v>
      </c>
      <c r="F338" s="957">
        <f>E338+E338*70%</f>
        <v>17281.152538461538</v>
      </c>
      <c r="G338" s="681">
        <v>26000</v>
      </c>
      <c r="H338" s="653"/>
    </row>
    <row r="339" spans="1:8" ht="16.5" thickBot="1" x14ac:dyDescent="0.3">
      <c r="A339" s="684" t="s">
        <v>1559</v>
      </c>
      <c r="B339" s="685"/>
      <c r="C339" s="685"/>
      <c r="D339" s="686"/>
      <c r="E339" s="686"/>
      <c r="F339" s="816"/>
      <c r="G339" s="1275">
        <f>G338*60%</f>
        <v>15600</v>
      </c>
      <c r="H339" s="1276" t="s">
        <v>3687</v>
      </c>
    </row>
    <row r="340" spans="1:8" ht="15.75" thickBot="1" x14ac:dyDescent="0.3"/>
    <row r="341" spans="1:8" ht="16.5" thickBot="1" x14ac:dyDescent="0.3">
      <c r="A341" s="1778" t="s">
        <v>4450</v>
      </c>
      <c r="B341" s="1779"/>
      <c r="C341" s="1779"/>
      <c r="D341" s="1779"/>
      <c r="E341" s="1780"/>
      <c r="F341" s="653"/>
      <c r="G341" s="653"/>
      <c r="H341" s="653"/>
    </row>
    <row r="342" spans="1:8" ht="15.75" x14ac:dyDescent="0.25">
      <c r="A342" s="654" t="s">
        <v>916</v>
      </c>
      <c r="B342" s="655" t="s">
        <v>743</v>
      </c>
      <c r="C342" s="655" t="s">
        <v>1566</v>
      </c>
      <c r="D342" s="656" t="s">
        <v>1035</v>
      </c>
      <c r="E342" s="657" t="s">
        <v>1549</v>
      </c>
      <c r="F342" s="658"/>
      <c r="G342" s="653"/>
      <c r="H342" s="653"/>
    </row>
    <row r="343" spans="1:8" ht="15.75" x14ac:dyDescent="0.25">
      <c r="A343" s="1734" t="s">
        <v>3340</v>
      </c>
      <c r="B343" s="660">
        <v>0.32</v>
      </c>
      <c r="C343" s="660">
        <v>1</v>
      </c>
      <c r="D343" s="661">
        <f>'HILOS-CORDONES-TANZA-CUERO'!E7</f>
        <v>50.35</v>
      </c>
      <c r="E343" s="662">
        <f>D343*C343*B343</f>
        <v>16.112000000000002</v>
      </c>
      <c r="F343" s="658"/>
      <c r="G343" s="653"/>
      <c r="H343" s="653"/>
    </row>
    <row r="344" spans="1:8" ht="15.75" x14ac:dyDescent="0.25">
      <c r="A344" s="1735"/>
      <c r="B344" s="660">
        <v>0.1</v>
      </c>
      <c r="C344" s="660">
        <v>1</v>
      </c>
      <c r="D344" s="661">
        <f>'HILOS-CORDONES-TANZA-CUERO'!E7</f>
        <v>50.35</v>
      </c>
      <c r="E344" s="662">
        <f>D344*C344*B344</f>
        <v>5.0350000000000001</v>
      </c>
      <c r="F344" s="658"/>
      <c r="G344" s="653"/>
      <c r="H344" s="653"/>
    </row>
    <row r="345" spans="1:8" ht="15.75" x14ac:dyDescent="0.25">
      <c r="A345" s="666" t="s">
        <v>4406</v>
      </c>
      <c r="B345" s="660"/>
      <c r="C345" s="660">
        <v>1</v>
      </c>
      <c r="D345" s="661">
        <f>PIEDRAS!F91</f>
        <v>150.86206896551724</v>
      </c>
      <c r="E345" s="662">
        <f t="shared" ref="E345" si="10">D345*C345</f>
        <v>150.86206896551724</v>
      </c>
      <c r="F345" s="658"/>
      <c r="G345" s="653"/>
      <c r="H345" s="653"/>
    </row>
    <row r="346" spans="1:8" ht="15.75" x14ac:dyDescent="0.25">
      <c r="A346" s="666" t="s">
        <v>1554</v>
      </c>
      <c r="B346" s="660"/>
      <c r="C346" s="660">
        <v>4</v>
      </c>
      <c r="D346" s="661">
        <f>FORNITURAS!D24</f>
        <v>34.666666666666664</v>
      </c>
      <c r="E346" s="662">
        <f>C346*D346</f>
        <v>138.66666666666666</v>
      </c>
      <c r="F346" s="658"/>
      <c r="G346" s="653"/>
      <c r="H346" s="653"/>
    </row>
    <row r="347" spans="1:8" ht="15.75" x14ac:dyDescent="0.25">
      <c r="A347" s="666" t="s">
        <v>1557</v>
      </c>
      <c r="B347" s="660"/>
      <c r="C347" s="660"/>
      <c r="D347" s="661"/>
      <c r="E347" s="667">
        <f>PACKAGING!E5</f>
        <v>200</v>
      </c>
      <c r="F347" s="653"/>
      <c r="G347" s="658"/>
      <c r="H347" s="653"/>
    </row>
    <row r="348" spans="1:8" ht="15.75" x14ac:dyDescent="0.25">
      <c r="A348" s="683" t="s">
        <v>1618</v>
      </c>
      <c r="B348" s="660">
        <v>60</v>
      </c>
      <c r="C348" s="660">
        <v>20</v>
      </c>
      <c r="D348" s="668">
        <f>'INSUMOS VARIOS'!B3</f>
        <v>3500</v>
      </c>
      <c r="E348" s="669">
        <f>D348*C348/B348</f>
        <v>1166.6666666666667</v>
      </c>
      <c r="F348" s="653"/>
      <c r="G348" s="658"/>
      <c r="H348" s="653"/>
    </row>
    <row r="349" spans="1:8" ht="16.5" thickBot="1" x14ac:dyDescent="0.3">
      <c r="A349" s="670" t="s">
        <v>525</v>
      </c>
      <c r="B349" s="671"/>
      <c r="C349" s="671"/>
      <c r="D349" s="672"/>
      <c r="E349" s="673">
        <f>SUM(E343:E348)</f>
        <v>1677.3424022988506</v>
      </c>
      <c r="F349" s="658"/>
      <c r="G349" s="653"/>
      <c r="H349" s="653"/>
    </row>
    <row r="350" spans="1:8" ht="16.5" thickBot="1" x14ac:dyDescent="0.3">
      <c r="A350" s="675" t="s">
        <v>544</v>
      </c>
      <c r="B350" s="676"/>
      <c r="C350" s="676"/>
      <c r="D350" s="677"/>
      <c r="E350" s="692">
        <f>E349*2</f>
        <v>3354.6848045977013</v>
      </c>
      <c r="F350" s="957">
        <f>E350+E350*70%</f>
        <v>5702.9641678160915</v>
      </c>
      <c r="G350" s="681">
        <v>12000</v>
      </c>
      <c r="H350" s="653"/>
    </row>
    <row r="351" spans="1:8" ht="16.5" thickBot="1" x14ac:dyDescent="0.3">
      <c r="A351" s="684" t="s">
        <v>1559</v>
      </c>
      <c r="B351" s="685"/>
      <c r="C351" s="685"/>
      <c r="D351" s="686"/>
      <c r="E351" s="686"/>
      <c r="F351" s="816"/>
      <c r="G351" s="1275">
        <f>G350*70%</f>
        <v>8400</v>
      </c>
      <c r="H351" s="1276" t="s">
        <v>3687</v>
      </c>
    </row>
    <row r="352" spans="1:8" ht="15.75" thickBot="1" x14ac:dyDescent="0.3"/>
    <row r="353" spans="1:8" ht="16.5" thickBot="1" x14ac:dyDescent="0.3">
      <c r="A353" s="1778" t="s">
        <v>4462</v>
      </c>
      <c r="B353" s="1779"/>
      <c r="C353" s="1779"/>
      <c r="D353" s="1779"/>
      <c r="E353" s="1780"/>
      <c r="F353" s="653"/>
      <c r="G353" s="653"/>
      <c r="H353" s="653"/>
    </row>
    <row r="354" spans="1:8" ht="15.75" x14ac:dyDescent="0.25">
      <c r="A354" s="654" t="s">
        <v>916</v>
      </c>
      <c r="B354" s="655" t="s">
        <v>743</v>
      </c>
      <c r="C354" s="655" t="s">
        <v>1566</v>
      </c>
      <c r="D354" s="656" t="s">
        <v>1035</v>
      </c>
      <c r="E354" s="657" t="s">
        <v>1549</v>
      </c>
      <c r="F354" s="658"/>
      <c r="G354" s="653"/>
      <c r="H354" s="653"/>
    </row>
    <row r="355" spans="1:8" ht="15.75" x14ac:dyDescent="0.25">
      <c r="A355" s="1734" t="s">
        <v>1828</v>
      </c>
      <c r="B355" s="660">
        <v>0.32</v>
      </c>
      <c r="C355" s="660">
        <v>1</v>
      </c>
      <c r="D355" s="661">
        <f>'HILOS-CORDONES-TANZA-CUERO'!E3</f>
        <v>50.35</v>
      </c>
      <c r="E355" s="662">
        <f>D355*C355*B355</f>
        <v>16.112000000000002</v>
      </c>
      <c r="F355" s="658"/>
      <c r="G355" s="653"/>
      <c r="H355" s="653"/>
    </row>
    <row r="356" spans="1:8" ht="15.75" x14ac:dyDescent="0.25">
      <c r="A356" s="1735"/>
      <c r="B356" s="660">
        <v>0.1</v>
      </c>
      <c r="C356" s="660">
        <v>1</v>
      </c>
      <c r="D356" s="661">
        <f>'HILOS-CORDONES-TANZA-CUERO'!E3</f>
        <v>50.35</v>
      </c>
      <c r="E356" s="662">
        <f>D356*C356*B356</f>
        <v>5.0350000000000001</v>
      </c>
      <c r="F356" s="658"/>
      <c r="G356" s="653"/>
      <c r="H356" s="653"/>
    </row>
    <row r="357" spans="1:8" ht="15.75" x14ac:dyDescent="0.25">
      <c r="A357" s="666" t="s">
        <v>4463</v>
      </c>
      <c r="B357" s="660"/>
      <c r="C357" s="660">
        <v>1</v>
      </c>
      <c r="D357" s="661">
        <f>PIEDRAS!F89</f>
        <v>365.21739130434781</v>
      </c>
      <c r="E357" s="662">
        <f t="shared" ref="E357" si="11">D357*C357</f>
        <v>365.21739130434781</v>
      </c>
      <c r="F357" s="658"/>
      <c r="G357" s="653"/>
      <c r="H357" s="653"/>
    </row>
    <row r="358" spans="1:8" ht="15.75" x14ac:dyDescent="0.25">
      <c r="A358" s="666" t="s">
        <v>1554</v>
      </c>
      <c r="B358" s="660"/>
      <c r="C358" s="660">
        <v>4</v>
      </c>
      <c r="D358" s="661">
        <f>FORNITURAS!D24</f>
        <v>34.666666666666664</v>
      </c>
      <c r="E358" s="662">
        <f>C358*D358</f>
        <v>138.66666666666666</v>
      </c>
      <c r="F358" s="658"/>
      <c r="G358" s="653"/>
      <c r="H358" s="653"/>
    </row>
    <row r="359" spans="1:8" ht="15.75" x14ac:dyDescent="0.25">
      <c r="A359" s="666" t="s">
        <v>1557</v>
      </c>
      <c r="B359" s="660"/>
      <c r="C359" s="660"/>
      <c r="D359" s="661"/>
      <c r="E359" s="667">
        <f>PACKAGING!E5</f>
        <v>200</v>
      </c>
      <c r="F359" s="653"/>
      <c r="G359" s="658"/>
      <c r="H359" s="653"/>
    </row>
    <row r="360" spans="1:8" ht="15.75" x14ac:dyDescent="0.25">
      <c r="A360" s="683" t="s">
        <v>1618</v>
      </c>
      <c r="B360" s="660">
        <v>60</v>
      </c>
      <c r="C360" s="660">
        <v>20</v>
      </c>
      <c r="D360" s="668">
        <f>'INSUMOS VARIOS'!B3</f>
        <v>3500</v>
      </c>
      <c r="E360" s="669">
        <f>D360*C360/B360</f>
        <v>1166.6666666666667</v>
      </c>
      <c r="F360" s="653"/>
      <c r="G360" s="658"/>
      <c r="H360" s="653"/>
    </row>
    <row r="361" spans="1:8" ht="16.5" thickBot="1" x14ac:dyDescent="0.3">
      <c r="A361" s="670" t="s">
        <v>525</v>
      </c>
      <c r="B361" s="671"/>
      <c r="C361" s="671"/>
      <c r="D361" s="672"/>
      <c r="E361" s="673">
        <f>SUM(E355:E360)</f>
        <v>1891.6977246376812</v>
      </c>
      <c r="F361" s="658"/>
      <c r="G361" s="653"/>
      <c r="H361" s="653"/>
    </row>
    <row r="362" spans="1:8" ht="16.5" thickBot="1" x14ac:dyDescent="0.3">
      <c r="A362" s="675" t="s">
        <v>544</v>
      </c>
      <c r="B362" s="676"/>
      <c r="C362" s="676"/>
      <c r="D362" s="677"/>
      <c r="E362" s="692">
        <f>E361*2</f>
        <v>3783.3954492753624</v>
      </c>
      <c r="F362" s="957">
        <f>E362+E362*70%</f>
        <v>6431.7722637681163</v>
      </c>
      <c r="G362" s="681">
        <v>18000</v>
      </c>
      <c r="H362" s="653"/>
    </row>
    <row r="363" spans="1:8" ht="16.5" thickBot="1" x14ac:dyDescent="0.3">
      <c r="A363" s="684" t="s">
        <v>1559</v>
      </c>
      <c r="B363" s="685"/>
      <c r="C363" s="685"/>
      <c r="D363" s="686"/>
      <c r="E363" s="686"/>
      <c r="F363" s="816"/>
      <c r="G363" s="1275">
        <f>G362*70%</f>
        <v>12600</v>
      </c>
      <c r="H363" s="1276" t="s">
        <v>3687</v>
      </c>
    </row>
    <row r="364" spans="1:8" ht="15.75" thickBot="1" x14ac:dyDescent="0.3"/>
    <row r="365" spans="1:8" ht="16.5" thickBot="1" x14ac:dyDescent="0.3">
      <c r="A365" s="1811" t="s">
        <v>4303</v>
      </c>
      <c r="B365" s="1812"/>
      <c r="C365" s="1812"/>
      <c r="D365" s="1812"/>
      <c r="E365" s="1813"/>
      <c r="F365" s="653"/>
      <c r="G365" s="653"/>
      <c r="H365" s="653"/>
    </row>
    <row r="366" spans="1:8" ht="15.75" x14ac:dyDescent="0.25">
      <c r="A366" s="654" t="s">
        <v>916</v>
      </c>
      <c r="B366" s="655" t="s">
        <v>743</v>
      </c>
      <c r="C366" s="655" t="s">
        <v>1566</v>
      </c>
      <c r="D366" s="656" t="s">
        <v>1035</v>
      </c>
      <c r="E366" s="657" t="s">
        <v>1549</v>
      </c>
      <c r="F366" s="658"/>
      <c r="G366" s="653"/>
      <c r="H366" s="653"/>
    </row>
    <row r="367" spans="1:8" ht="15.75" x14ac:dyDescent="0.25">
      <c r="A367" s="666" t="s">
        <v>4548</v>
      </c>
      <c r="B367" s="660">
        <v>0.17</v>
      </c>
      <c r="C367" s="660">
        <v>1</v>
      </c>
      <c r="D367" s="661">
        <f>'AROS, CADENAS, DIJES, ETC'!K94</f>
        <v>3256</v>
      </c>
      <c r="E367" s="662">
        <f>D367</f>
        <v>3256</v>
      </c>
      <c r="F367" s="658"/>
      <c r="G367" s="653"/>
      <c r="H367" s="653"/>
    </row>
    <row r="368" spans="1:8" ht="15.75" x14ac:dyDescent="0.25">
      <c r="A368" s="666" t="s">
        <v>3096</v>
      </c>
      <c r="B368" s="660"/>
      <c r="C368" s="660">
        <v>1</v>
      </c>
      <c r="D368" s="661">
        <f>FORNITURAS!F45</f>
        <v>200</v>
      </c>
      <c r="E368" s="662">
        <f>C368*D368</f>
        <v>200</v>
      </c>
      <c r="F368" s="658"/>
      <c r="G368" s="653"/>
      <c r="H368" s="653"/>
    </row>
    <row r="369" spans="1:8" ht="15.75" x14ac:dyDescent="0.25">
      <c r="A369" s="1736" t="s">
        <v>1572</v>
      </c>
      <c r="B369" s="660" t="s">
        <v>1022</v>
      </c>
      <c r="C369" s="660">
        <v>1</v>
      </c>
      <c r="D369" s="661">
        <f>FORNITURAS!D7</f>
        <v>52</v>
      </c>
      <c r="E369" s="667">
        <f>D369*C369</f>
        <v>52</v>
      </c>
      <c r="F369" s="658"/>
      <c r="G369" s="653"/>
      <c r="H369" s="653"/>
    </row>
    <row r="370" spans="1:8" ht="15.75" x14ac:dyDescent="0.25">
      <c r="A370" s="1737"/>
      <c r="B370" s="660" t="s">
        <v>781</v>
      </c>
      <c r="C370" s="660">
        <v>2</v>
      </c>
      <c r="D370" s="661">
        <f>'INSUMOS VARIOS'!V30</f>
        <v>6.1538461538461542</v>
      </c>
      <c r="E370" s="667">
        <f>D370*C370</f>
        <v>12.307692307692308</v>
      </c>
      <c r="F370" s="658"/>
      <c r="G370" s="653"/>
      <c r="H370" s="653"/>
    </row>
    <row r="371" spans="1:8" ht="15.75" x14ac:dyDescent="0.25">
      <c r="A371" s="666" t="s">
        <v>3571</v>
      </c>
      <c r="B371" s="660"/>
      <c r="C371" s="660"/>
      <c r="D371" s="661"/>
      <c r="E371" s="667">
        <f>PACKAGING!E7</f>
        <v>170</v>
      </c>
      <c r="F371" s="658"/>
      <c r="G371" s="653"/>
      <c r="H371" s="653"/>
    </row>
    <row r="372" spans="1:8" ht="15.75" x14ac:dyDescent="0.25">
      <c r="A372" s="666" t="s">
        <v>1557</v>
      </c>
      <c r="B372" s="660"/>
      <c r="C372" s="660"/>
      <c r="D372" s="661"/>
      <c r="E372" s="667">
        <f>PACKAGING!E4</f>
        <v>80</v>
      </c>
      <c r="F372" s="653"/>
      <c r="G372" s="658"/>
      <c r="H372" s="653"/>
    </row>
    <row r="373" spans="1:8" ht="15.75" x14ac:dyDescent="0.25">
      <c r="A373" s="769" t="s">
        <v>3362</v>
      </c>
      <c r="B373" s="660"/>
      <c r="C373" s="660"/>
      <c r="D373" s="668"/>
      <c r="E373" s="667">
        <f>PACKAGING!E17</f>
        <v>7.5</v>
      </c>
      <c r="F373" s="653"/>
      <c r="G373" s="658"/>
      <c r="H373" s="653"/>
    </row>
    <row r="374" spans="1:8" ht="15.75" x14ac:dyDescent="0.25">
      <c r="A374" s="1339" t="s">
        <v>4539</v>
      </c>
      <c r="B374" s="660"/>
      <c r="C374" s="660"/>
      <c r="D374" s="668"/>
      <c r="E374" s="667">
        <f>PACKAGING!I10</f>
        <v>1100</v>
      </c>
      <c r="F374" s="653"/>
      <c r="G374" s="658"/>
      <c r="H374" s="653"/>
    </row>
    <row r="375" spans="1:8" ht="15.75" x14ac:dyDescent="0.25">
      <c r="A375" s="683" t="s">
        <v>1618</v>
      </c>
      <c r="B375" s="660">
        <v>60</v>
      </c>
      <c r="C375" s="660">
        <v>15</v>
      </c>
      <c r="D375" s="668">
        <f>'INSUMOS VARIOS'!B3</f>
        <v>3500</v>
      </c>
      <c r="E375" s="669">
        <f>D375*C375/B375</f>
        <v>875</v>
      </c>
      <c r="F375" s="653"/>
      <c r="G375" s="658"/>
      <c r="H375" s="653"/>
    </row>
    <row r="376" spans="1:8" ht="16.5" thickBot="1" x14ac:dyDescent="0.3">
      <c r="A376" s="670" t="s">
        <v>525</v>
      </c>
      <c r="B376" s="671"/>
      <c r="C376" s="671"/>
      <c r="D376" s="672"/>
      <c r="E376" s="673">
        <f>SUM(E367:E375)</f>
        <v>5752.8076923076924</v>
      </c>
      <c r="F376" s="658"/>
      <c r="G376" s="653"/>
      <c r="H376" s="653"/>
    </row>
    <row r="377" spans="1:8" ht="16.5" thickBot="1" x14ac:dyDescent="0.3">
      <c r="A377" s="675" t="s">
        <v>544</v>
      </c>
      <c r="B377" s="676"/>
      <c r="C377" s="676"/>
      <c r="D377" s="677"/>
      <c r="E377" s="692">
        <f>E376*2</f>
        <v>11505.615384615385</v>
      </c>
      <c r="F377" s="957">
        <f>E377+E377*70%</f>
        <v>19559.546153846153</v>
      </c>
      <c r="G377" s="681">
        <v>22000</v>
      </c>
      <c r="H377" s="653"/>
    </row>
    <row r="378" spans="1:8" ht="16.5" thickBot="1" x14ac:dyDescent="0.3">
      <c r="A378" s="684" t="s">
        <v>1559</v>
      </c>
      <c r="B378" s="685"/>
      <c r="C378" s="685"/>
      <c r="D378" s="686"/>
      <c r="E378" s="686"/>
      <c r="F378" s="816"/>
      <c r="G378" s="1275">
        <f>G377*70%</f>
        <v>15399.999999999998</v>
      </c>
      <c r="H378" s="1276" t="s">
        <v>3687</v>
      </c>
    </row>
    <row r="379" spans="1:8" ht="15.75" thickBot="1" x14ac:dyDescent="0.3"/>
    <row r="380" spans="1:8" ht="16.5" thickBot="1" x14ac:dyDescent="0.3">
      <c r="A380" s="1811" t="s">
        <v>3812</v>
      </c>
      <c r="B380" s="1812"/>
      <c r="C380" s="1812"/>
      <c r="D380" s="1812"/>
      <c r="E380" s="1812"/>
      <c r="F380" s="1294"/>
      <c r="G380" s="653"/>
    </row>
    <row r="381" spans="1:8" ht="15.75" x14ac:dyDescent="0.25">
      <c r="A381" s="654" t="s">
        <v>916</v>
      </c>
      <c r="B381" s="655" t="s">
        <v>743</v>
      </c>
      <c r="C381" s="655" t="s">
        <v>1566</v>
      </c>
      <c r="D381" s="656" t="s">
        <v>1035</v>
      </c>
      <c r="E381" s="657" t="s">
        <v>1549</v>
      </c>
      <c r="F381" s="658"/>
      <c r="G381" s="653"/>
    </row>
    <row r="382" spans="1:8" ht="15.75" x14ac:dyDescent="0.25">
      <c r="A382" s="666" t="s">
        <v>3404</v>
      </c>
      <c r="B382" s="660" t="s">
        <v>1022</v>
      </c>
      <c r="C382" s="660">
        <v>19</v>
      </c>
      <c r="D382" s="661">
        <f>PIEDRAS!F78</f>
        <v>93.793103448275858</v>
      </c>
      <c r="E382" s="662">
        <f>D382*C382</f>
        <v>1782.0689655172414</v>
      </c>
      <c r="F382" s="658"/>
      <c r="G382" s="653"/>
    </row>
    <row r="383" spans="1:8" ht="15.75" x14ac:dyDescent="0.25">
      <c r="A383" s="1287" t="s">
        <v>3716</v>
      </c>
      <c r="B383" s="660" t="s">
        <v>1022</v>
      </c>
      <c r="C383" s="660">
        <v>6</v>
      </c>
      <c r="D383" s="661">
        <f>VIDRIOS!E27</f>
        <v>23.611111111111111</v>
      </c>
      <c r="E383" s="662">
        <f>D383*C383</f>
        <v>141.66666666666666</v>
      </c>
      <c r="F383" s="658"/>
      <c r="G383" s="653"/>
    </row>
    <row r="384" spans="1:8" ht="15.75" x14ac:dyDescent="0.25">
      <c r="A384" s="666" t="s">
        <v>1742</v>
      </c>
      <c r="B384" s="660" t="s">
        <v>3532</v>
      </c>
      <c r="C384" s="660">
        <v>3</v>
      </c>
      <c r="D384" s="661">
        <f>'PERLAS 2'!H23</f>
        <v>281.60000000000002</v>
      </c>
      <c r="E384" s="662">
        <f>D384*C384</f>
        <v>844.80000000000007</v>
      </c>
      <c r="F384" s="658"/>
      <c r="G384" s="653"/>
    </row>
    <row r="385" spans="1:8" ht="15.75" x14ac:dyDescent="0.25">
      <c r="A385" s="666" t="s">
        <v>4178</v>
      </c>
      <c r="B385" s="660" t="s">
        <v>803</v>
      </c>
      <c r="C385" s="660">
        <v>1</v>
      </c>
      <c r="D385" s="661">
        <f>'AROS, CADENAS, DIJES, ETC'!X16</f>
        <v>139.88888888888889</v>
      </c>
      <c r="E385" s="662">
        <f>D385*C385</f>
        <v>139.88888888888889</v>
      </c>
      <c r="F385" s="658"/>
      <c r="G385" s="653"/>
    </row>
    <row r="386" spans="1:8" ht="15.75" x14ac:dyDescent="0.25">
      <c r="A386" s="666" t="s">
        <v>1594</v>
      </c>
      <c r="B386" s="660"/>
      <c r="C386" s="660">
        <v>0.28000000000000003</v>
      </c>
      <c r="D386" s="661">
        <f>'HILOS-CORDONES-TANZA-CUERO'!L6</f>
        <v>8</v>
      </c>
      <c r="E386" s="662">
        <f>C386*D386</f>
        <v>2.2400000000000002</v>
      </c>
      <c r="F386" s="658"/>
      <c r="G386" s="653"/>
    </row>
    <row r="387" spans="1:8" ht="15.75" x14ac:dyDescent="0.25">
      <c r="A387" s="666" t="s">
        <v>1557</v>
      </c>
      <c r="B387" s="660"/>
      <c r="C387" s="660"/>
      <c r="D387" s="661"/>
      <c r="E387" s="667">
        <f>PACKAGING!E5</f>
        <v>200</v>
      </c>
      <c r="F387" s="653"/>
      <c r="G387" s="658"/>
    </row>
    <row r="388" spans="1:8" ht="15.75" x14ac:dyDescent="0.25">
      <c r="A388" s="683" t="s">
        <v>1618</v>
      </c>
      <c r="B388" s="660">
        <v>60</v>
      </c>
      <c r="C388" s="660">
        <v>20</v>
      </c>
      <c r="D388" s="668">
        <f>'INSUMOS VARIOS'!B3</f>
        <v>3500</v>
      </c>
      <c r="E388" s="669">
        <f>D388*C388/B388</f>
        <v>1166.6666666666667</v>
      </c>
      <c r="F388" s="653"/>
      <c r="G388" s="658"/>
    </row>
    <row r="389" spans="1:8" ht="16.5" thickBot="1" x14ac:dyDescent="0.3">
      <c r="A389" s="670" t="s">
        <v>525</v>
      </c>
      <c r="B389" s="671"/>
      <c r="C389" s="671"/>
      <c r="D389" s="672"/>
      <c r="E389" s="673">
        <f>SUM(E382:E388)</f>
        <v>4277.3311877394635</v>
      </c>
      <c r="F389" s="658"/>
      <c r="G389" s="653"/>
    </row>
    <row r="390" spans="1:8" ht="16.5" thickBot="1" x14ac:dyDescent="0.3">
      <c r="A390" s="675" t="s">
        <v>544</v>
      </c>
      <c r="B390" s="676"/>
      <c r="C390" s="676"/>
      <c r="D390" s="677"/>
      <c r="E390" s="692">
        <f>E389*2</f>
        <v>8554.6623754789271</v>
      </c>
      <c r="F390" s="957">
        <f>E390+E390*70%</f>
        <v>14542.926038314175</v>
      </c>
      <c r="G390" s="681">
        <v>18000</v>
      </c>
      <c r="H390" s="1120"/>
    </row>
    <row r="391" spans="1:8" ht="16.5" thickBot="1" x14ac:dyDescent="0.3">
      <c r="A391" s="684" t="s">
        <v>1559</v>
      </c>
      <c r="B391" s="685"/>
      <c r="C391" s="685"/>
      <c r="D391" s="686"/>
      <c r="E391" s="686"/>
      <c r="F391" s="816"/>
      <c r="G391" s="1275">
        <f>G390*60%</f>
        <v>10800</v>
      </c>
      <c r="H391" s="1120" t="s">
        <v>3687</v>
      </c>
    </row>
    <row r="392" spans="1:8" ht="15.75" thickBot="1" x14ac:dyDescent="0.3"/>
    <row r="393" spans="1:8" ht="16.5" thickBot="1" x14ac:dyDescent="0.3">
      <c r="A393" s="1811" t="s">
        <v>5013</v>
      </c>
      <c r="B393" s="1812"/>
      <c r="C393" s="1812"/>
      <c r="D393" s="1812"/>
      <c r="E393" s="1812"/>
      <c r="F393" s="1294"/>
      <c r="G393" s="653"/>
    </row>
    <row r="394" spans="1:8" ht="15.75" x14ac:dyDescent="0.25">
      <c r="A394" s="654" t="s">
        <v>916</v>
      </c>
      <c r="B394" s="655" t="s">
        <v>743</v>
      </c>
      <c r="C394" s="655" t="s">
        <v>1566</v>
      </c>
      <c r="D394" s="656" t="s">
        <v>1035</v>
      </c>
      <c r="E394" s="657" t="s">
        <v>1549</v>
      </c>
      <c r="F394" s="658"/>
      <c r="G394" s="653"/>
    </row>
    <row r="395" spans="1:8" ht="15.75" x14ac:dyDescent="0.25">
      <c r="A395" s="666" t="s">
        <v>923</v>
      </c>
      <c r="B395" s="660"/>
      <c r="C395" s="660">
        <v>1</v>
      </c>
      <c r="D395" s="661">
        <f>'AROS, CADENAS, DIJES, ETC'!T4</f>
        <v>4395</v>
      </c>
      <c r="E395" s="662">
        <f>D395*C395</f>
        <v>4395</v>
      </c>
      <c r="F395" s="658"/>
      <c r="G395" s="653"/>
    </row>
    <row r="396" spans="1:8" ht="15.75" x14ac:dyDescent="0.25">
      <c r="A396" s="1287" t="s">
        <v>4478</v>
      </c>
      <c r="B396" s="660" t="s">
        <v>4479</v>
      </c>
      <c r="C396" s="660">
        <v>1</v>
      </c>
      <c r="D396" s="661">
        <f>'AROS, CADENAS, DIJES, ETC'!O173</f>
        <v>4775</v>
      </c>
      <c r="E396" s="662">
        <f>D396*C396</f>
        <v>4775</v>
      </c>
      <c r="F396" s="658"/>
      <c r="G396" s="653"/>
    </row>
    <row r="397" spans="1:8" ht="15.75" x14ac:dyDescent="0.25">
      <c r="A397" s="666" t="s">
        <v>1557</v>
      </c>
      <c r="B397" s="660"/>
      <c r="C397" s="660"/>
      <c r="D397" s="661"/>
      <c r="E397" s="667">
        <f>PACKAGING!E4</f>
        <v>80</v>
      </c>
      <c r="F397" s="653"/>
      <c r="G397" s="658"/>
    </row>
    <row r="398" spans="1:8" ht="15.75" x14ac:dyDescent="0.25">
      <c r="A398" s="769" t="s">
        <v>3362</v>
      </c>
      <c r="B398" s="660"/>
      <c r="C398" s="660"/>
      <c r="D398" s="668"/>
      <c r="E398" s="667">
        <f>PACKAGING!E17</f>
        <v>7.5</v>
      </c>
      <c r="F398" s="653"/>
      <c r="G398" s="658"/>
    </row>
    <row r="399" spans="1:8" ht="15.75" x14ac:dyDescent="0.25">
      <c r="A399" s="769" t="s">
        <v>3180</v>
      </c>
      <c r="B399" s="660"/>
      <c r="C399" s="660"/>
      <c r="D399" s="668"/>
      <c r="E399" s="667">
        <f>PACKAGING!E8</f>
        <v>420</v>
      </c>
      <c r="F399" s="653"/>
      <c r="G399" s="658"/>
    </row>
    <row r="400" spans="1:8" ht="15.75" x14ac:dyDescent="0.25">
      <c r="A400" s="683" t="s">
        <v>1618</v>
      </c>
      <c r="B400" s="660">
        <v>60</v>
      </c>
      <c r="C400" s="660">
        <v>15</v>
      </c>
      <c r="D400" s="668">
        <f>'INSUMOS VARIOS'!B3</f>
        <v>3500</v>
      </c>
      <c r="E400" s="669">
        <f>D400*C400/B400</f>
        <v>875</v>
      </c>
      <c r="F400" s="653"/>
      <c r="G400" s="658"/>
    </row>
    <row r="401" spans="1:8" ht="16.5" thickBot="1" x14ac:dyDescent="0.3">
      <c r="A401" s="670" t="s">
        <v>525</v>
      </c>
      <c r="B401" s="671"/>
      <c r="C401" s="671"/>
      <c r="D401" s="672"/>
      <c r="E401" s="673">
        <f>SUM(E395:E400)</f>
        <v>10552.5</v>
      </c>
      <c r="F401" s="658"/>
      <c r="G401" s="653"/>
    </row>
    <row r="402" spans="1:8" ht="16.5" thickBot="1" x14ac:dyDescent="0.3">
      <c r="A402" s="675" t="s">
        <v>544</v>
      </c>
      <c r="B402" s="676"/>
      <c r="C402" s="676"/>
      <c r="D402" s="677"/>
      <c r="E402" s="692">
        <f>E401*2</f>
        <v>21105</v>
      </c>
      <c r="F402" s="957">
        <f>E402+E402*70%</f>
        <v>35878.5</v>
      </c>
      <c r="G402" s="681">
        <v>42000</v>
      </c>
      <c r="H402" s="1120"/>
    </row>
    <row r="403" spans="1:8" ht="16.5" thickBot="1" x14ac:dyDescent="0.3">
      <c r="A403" s="684" t="s">
        <v>1559</v>
      </c>
      <c r="B403" s="685"/>
      <c r="C403" s="685"/>
      <c r="D403" s="686"/>
      <c r="E403" s="686"/>
      <c r="F403" s="816"/>
      <c r="G403" s="1275">
        <f>G402*60%</f>
        <v>25200</v>
      </c>
      <c r="H403" s="1120" t="s">
        <v>3687</v>
      </c>
    </row>
    <row r="404" spans="1:8" ht="15.75" thickBot="1" x14ac:dyDescent="0.3"/>
    <row r="405" spans="1:8" ht="16.5" thickBot="1" x14ac:dyDescent="0.3">
      <c r="A405" s="1811" t="s">
        <v>4602</v>
      </c>
      <c r="B405" s="1812"/>
      <c r="C405" s="1812"/>
      <c r="D405" s="1812"/>
      <c r="E405" s="1812"/>
      <c r="F405" s="1294"/>
      <c r="G405" s="653"/>
    </row>
    <row r="406" spans="1:8" ht="15.75" x14ac:dyDescent="0.25">
      <c r="A406" s="654" t="s">
        <v>916</v>
      </c>
      <c r="B406" s="655" t="s">
        <v>743</v>
      </c>
      <c r="C406" s="655" t="s">
        <v>1566</v>
      </c>
      <c r="D406" s="656" t="s">
        <v>1035</v>
      </c>
      <c r="E406" s="657" t="s">
        <v>1549</v>
      </c>
      <c r="F406" s="658"/>
      <c r="G406" s="653"/>
    </row>
    <row r="407" spans="1:8" ht="15.75" x14ac:dyDescent="0.25">
      <c r="A407" s="666" t="s">
        <v>923</v>
      </c>
      <c r="B407" s="660"/>
      <c r="C407" s="660">
        <v>1</v>
      </c>
      <c r="D407" s="661">
        <f>'AROS, CADENAS, DIJES, ETC'!T4</f>
        <v>4395</v>
      </c>
      <c r="E407" s="662">
        <f>D407*C407</f>
        <v>4395</v>
      </c>
      <c r="F407" s="658"/>
      <c r="G407" s="653"/>
    </row>
    <row r="408" spans="1:8" ht="15.75" x14ac:dyDescent="0.25">
      <c r="A408" s="1287" t="s">
        <v>4573</v>
      </c>
      <c r="B408" s="660" t="s">
        <v>4477</v>
      </c>
      <c r="C408" s="660">
        <v>1</v>
      </c>
      <c r="D408" s="661">
        <f>'AROS, CADENAS, DIJES, ETC'!O172</f>
        <v>1458</v>
      </c>
      <c r="E408" s="662">
        <f>D408*C408</f>
        <v>1458</v>
      </c>
      <c r="F408" s="658"/>
      <c r="G408" s="653"/>
    </row>
    <row r="409" spans="1:8" ht="15.75" x14ac:dyDescent="0.25">
      <c r="A409" s="1287" t="s">
        <v>1971</v>
      </c>
      <c r="B409" s="660" t="s">
        <v>3238</v>
      </c>
      <c r="C409" s="660">
        <v>2</v>
      </c>
      <c r="D409" s="661">
        <f>FORNITURAS!D3</f>
        <v>19.260000000000002</v>
      </c>
      <c r="E409" s="667">
        <f>D409*C409</f>
        <v>38.520000000000003</v>
      </c>
      <c r="F409" s="658"/>
      <c r="G409" s="653"/>
    </row>
    <row r="410" spans="1:8" ht="15.75" x14ac:dyDescent="0.25">
      <c r="A410" s="666" t="s">
        <v>1557</v>
      </c>
      <c r="B410" s="660"/>
      <c r="C410" s="660"/>
      <c r="D410" s="661"/>
      <c r="E410" s="667">
        <f>PACKAGING!E4</f>
        <v>80</v>
      </c>
      <c r="F410" s="653"/>
      <c r="G410" s="658"/>
    </row>
    <row r="411" spans="1:8" ht="15.75" x14ac:dyDescent="0.25">
      <c r="A411" s="769" t="s">
        <v>3362</v>
      </c>
      <c r="B411" s="660"/>
      <c r="C411" s="660"/>
      <c r="D411" s="668"/>
      <c r="E411" s="667">
        <f>PACKAGING!E17</f>
        <v>7.5</v>
      </c>
      <c r="F411" s="653"/>
      <c r="G411" s="658"/>
    </row>
    <row r="412" spans="1:8" ht="15.75" x14ac:dyDescent="0.25">
      <c r="A412" s="769" t="s">
        <v>3180</v>
      </c>
      <c r="B412" s="660"/>
      <c r="C412" s="660"/>
      <c r="D412" s="668"/>
      <c r="E412" s="667">
        <f>PACKAGING!E8</f>
        <v>420</v>
      </c>
      <c r="F412" s="653"/>
      <c r="G412" s="658"/>
    </row>
    <row r="413" spans="1:8" ht="15.75" x14ac:dyDescent="0.25">
      <c r="A413" s="683" t="s">
        <v>1618</v>
      </c>
      <c r="B413" s="660">
        <v>60</v>
      </c>
      <c r="C413" s="660">
        <v>15</v>
      </c>
      <c r="D413" s="668">
        <f>'INSUMOS VARIOS'!B3</f>
        <v>3500</v>
      </c>
      <c r="E413" s="669">
        <f>D413*C413/B413</f>
        <v>875</v>
      </c>
      <c r="F413" s="653"/>
      <c r="G413" s="658"/>
    </row>
    <row r="414" spans="1:8" ht="16.5" thickBot="1" x14ac:dyDescent="0.3">
      <c r="A414" s="670" t="s">
        <v>525</v>
      </c>
      <c r="B414" s="671"/>
      <c r="C414" s="671"/>
      <c r="D414" s="672"/>
      <c r="E414" s="673">
        <f>SUM(E407:E413)</f>
        <v>7274.02</v>
      </c>
      <c r="F414" s="658"/>
      <c r="G414" s="653"/>
    </row>
    <row r="415" spans="1:8" ht="16.5" thickBot="1" x14ac:dyDescent="0.3">
      <c r="A415" s="675" t="s">
        <v>544</v>
      </c>
      <c r="B415" s="676"/>
      <c r="C415" s="676"/>
      <c r="D415" s="677"/>
      <c r="E415" s="692">
        <f>E414*2</f>
        <v>14548.04</v>
      </c>
      <c r="F415" s="957">
        <f>E415+E415*70%</f>
        <v>24731.668000000001</v>
      </c>
      <c r="G415" s="681">
        <v>28000</v>
      </c>
      <c r="H415" s="1120"/>
    </row>
    <row r="416" spans="1:8" ht="16.5" thickBot="1" x14ac:dyDescent="0.3">
      <c r="A416" s="684" t="s">
        <v>1559</v>
      </c>
      <c r="B416" s="685"/>
      <c r="C416" s="685"/>
      <c r="D416" s="686"/>
      <c r="E416" s="686"/>
      <c r="F416" s="816"/>
      <c r="G416" s="1275">
        <f>G415*60%</f>
        <v>16800</v>
      </c>
      <c r="H416" s="1120" t="s">
        <v>3687</v>
      </c>
    </row>
    <row r="417" spans="1:8" ht="15.75" thickBot="1" x14ac:dyDescent="0.3"/>
    <row r="418" spans="1:8" ht="16.5" thickBot="1" x14ac:dyDescent="0.3">
      <c r="A418" s="1811" t="s">
        <v>4611</v>
      </c>
      <c r="B418" s="1812"/>
      <c r="C418" s="1812"/>
      <c r="D418" s="1812"/>
      <c r="E418" s="1812"/>
      <c r="F418" s="1294"/>
      <c r="G418" s="653"/>
    </row>
    <row r="419" spans="1:8" ht="15.75" x14ac:dyDescent="0.25">
      <c r="A419" s="654" t="s">
        <v>916</v>
      </c>
      <c r="B419" s="655" t="s">
        <v>743</v>
      </c>
      <c r="C419" s="655" t="s">
        <v>1566</v>
      </c>
      <c r="D419" s="656" t="s">
        <v>1035</v>
      </c>
      <c r="E419" s="657" t="s">
        <v>1549</v>
      </c>
      <c r="F419" s="658"/>
      <c r="G419" s="653"/>
    </row>
    <row r="420" spans="1:8" ht="15.75" x14ac:dyDescent="0.25">
      <c r="A420" s="666" t="s">
        <v>4574</v>
      </c>
      <c r="B420" s="660"/>
      <c r="C420" s="660">
        <v>1</v>
      </c>
      <c r="D420" s="661">
        <f>'AROS, CADENAS, DIJES, ETC'!T5</f>
        <v>3590</v>
      </c>
      <c r="E420" s="662">
        <f>D420*C420</f>
        <v>3590</v>
      </c>
      <c r="F420" s="658"/>
      <c r="G420" s="653"/>
    </row>
    <row r="421" spans="1:8" ht="15.75" x14ac:dyDescent="0.25">
      <c r="A421" s="1287" t="s">
        <v>4575</v>
      </c>
      <c r="B421" s="660" t="s">
        <v>4480</v>
      </c>
      <c r="C421" s="660">
        <v>1</v>
      </c>
      <c r="D421" s="661">
        <f>'AROS, CADENAS, DIJES, ETC'!O174</f>
        <v>2972</v>
      </c>
      <c r="E421" s="662">
        <f>D421*C421</f>
        <v>2972</v>
      </c>
      <c r="F421" s="658"/>
      <c r="G421" s="653"/>
    </row>
    <row r="422" spans="1:8" ht="15.75" x14ac:dyDescent="0.25">
      <c r="A422" s="666" t="s">
        <v>1557</v>
      </c>
      <c r="B422" s="660"/>
      <c r="C422" s="660"/>
      <c r="D422" s="661"/>
      <c r="E422" s="667">
        <f>PACKAGING!E4</f>
        <v>80</v>
      </c>
      <c r="F422" s="653"/>
      <c r="G422" s="658"/>
    </row>
    <row r="423" spans="1:8" ht="15.75" x14ac:dyDescent="0.25">
      <c r="A423" s="769" t="s">
        <v>3362</v>
      </c>
      <c r="B423" s="660"/>
      <c r="C423" s="660"/>
      <c r="D423" s="668"/>
      <c r="E423" s="667">
        <f>PACKAGING!E17</f>
        <v>7.5</v>
      </c>
      <c r="F423" s="653"/>
      <c r="G423" s="658"/>
    </row>
    <row r="424" spans="1:8" ht="15.75" x14ac:dyDescent="0.25">
      <c r="A424" s="769" t="s">
        <v>3180</v>
      </c>
      <c r="B424" s="660"/>
      <c r="C424" s="660"/>
      <c r="D424" s="668"/>
      <c r="E424" s="667">
        <f>PACKAGING!E8</f>
        <v>420</v>
      </c>
      <c r="F424" s="653"/>
      <c r="G424" s="658"/>
    </row>
    <row r="425" spans="1:8" ht="15.75" x14ac:dyDescent="0.25">
      <c r="A425" s="683" t="s">
        <v>1618</v>
      </c>
      <c r="B425" s="660">
        <v>60</v>
      </c>
      <c r="C425" s="660">
        <v>15</v>
      </c>
      <c r="D425" s="668">
        <f>'INSUMOS VARIOS'!B3</f>
        <v>3500</v>
      </c>
      <c r="E425" s="669">
        <f>D425*C425/B425</f>
        <v>875</v>
      </c>
      <c r="F425" s="653"/>
      <c r="G425" s="658"/>
    </row>
    <row r="426" spans="1:8" ht="16.5" thickBot="1" x14ac:dyDescent="0.3">
      <c r="A426" s="670" t="s">
        <v>525</v>
      </c>
      <c r="B426" s="671"/>
      <c r="C426" s="671"/>
      <c r="D426" s="672"/>
      <c r="E426" s="673">
        <f>SUM(E420:E425)</f>
        <v>7944.5</v>
      </c>
      <c r="F426" s="658"/>
      <c r="G426" s="653"/>
    </row>
    <row r="427" spans="1:8" ht="16.5" thickBot="1" x14ac:dyDescent="0.3">
      <c r="A427" s="675" t="s">
        <v>544</v>
      </c>
      <c r="B427" s="676"/>
      <c r="C427" s="676"/>
      <c r="D427" s="677"/>
      <c r="E427" s="692">
        <f>E426*2</f>
        <v>15889</v>
      </c>
      <c r="F427" s="957">
        <f>E427+E427*70%</f>
        <v>27011.3</v>
      </c>
      <c r="G427" s="681">
        <v>32000</v>
      </c>
      <c r="H427" s="1120"/>
    </row>
    <row r="428" spans="1:8" ht="16.5" thickBot="1" x14ac:dyDescent="0.3">
      <c r="A428" s="684" t="s">
        <v>1559</v>
      </c>
      <c r="B428" s="685"/>
      <c r="C428" s="685"/>
      <c r="D428" s="686"/>
      <c r="E428" s="686"/>
      <c r="F428" s="816"/>
      <c r="G428" s="1275">
        <f>G427*60%</f>
        <v>19200</v>
      </c>
      <c r="H428" s="1120" t="s">
        <v>3687</v>
      </c>
    </row>
    <row r="429" spans="1:8" ht="15.75" thickBot="1" x14ac:dyDescent="0.3"/>
    <row r="430" spans="1:8" ht="16.5" thickBot="1" x14ac:dyDescent="0.3">
      <c r="A430" s="1811" t="s">
        <v>4601</v>
      </c>
      <c r="B430" s="1812"/>
      <c r="C430" s="1812"/>
      <c r="D430" s="1812"/>
      <c r="E430" s="1813"/>
      <c r="F430" s="653"/>
      <c r="G430" s="653"/>
      <c r="H430" s="653"/>
    </row>
    <row r="431" spans="1:8" ht="15.75" x14ac:dyDescent="0.25">
      <c r="A431" s="654" t="s">
        <v>916</v>
      </c>
      <c r="B431" s="655" t="s">
        <v>743</v>
      </c>
      <c r="C431" s="655" t="s">
        <v>1566</v>
      </c>
      <c r="D431" s="656" t="s">
        <v>1035</v>
      </c>
      <c r="E431" s="657" t="s">
        <v>1549</v>
      </c>
      <c r="F431" s="658"/>
      <c r="G431" s="653"/>
      <c r="H431" s="653"/>
    </row>
    <row r="432" spans="1:8" ht="15.75" x14ac:dyDescent="0.25">
      <c r="A432" s="1762" t="s">
        <v>3340</v>
      </c>
      <c r="B432" s="660">
        <v>0.2</v>
      </c>
      <c r="C432" s="660">
        <v>2</v>
      </c>
      <c r="D432" s="661">
        <f>'HILOS-CORDONES-TANZA-CUERO'!E7</f>
        <v>50.35</v>
      </c>
      <c r="E432" s="662">
        <f>D432*C432*B432</f>
        <v>20.14</v>
      </c>
      <c r="F432" s="658"/>
      <c r="G432" s="653"/>
      <c r="H432" s="653"/>
    </row>
    <row r="433" spans="1:8" ht="15.75" x14ac:dyDescent="0.25">
      <c r="A433" s="1763"/>
      <c r="B433" s="660">
        <v>0.1</v>
      </c>
      <c r="C433" s="660">
        <v>1</v>
      </c>
      <c r="D433" s="661">
        <f>'HILOS-CORDONES-TANZA-CUERO'!E7</f>
        <v>50.35</v>
      </c>
      <c r="E433" s="662">
        <f>D433*C433*B433</f>
        <v>5.0350000000000001</v>
      </c>
      <c r="F433" s="658"/>
      <c r="G433" s="653"/>
      <c r="H433" s="653"/>
    </row>
    <row r="434" spans="1:8" ht="15.75" x14ac:dyDescent="0.25">
      <c r="A434" s="769" t="s">
        <v>4576</v>
      </c>
      <c r="B434" s="660"/>
      <c r="C434" s="660">
        <v>3</v>
      </c>
      <c r="D434" s="661">
        <f>PIEDRAS!F86</f>
        <v>400</v>
      </c>
      <c r="E434" s="662">
        <f t="shared" ref="E434" si="12">D434*C434</f>
        <v>1200</v>
      </c>
      <c r="F434" s="658"/>
      <c r="G434" s="653"/>
      <c r="H434" s="653"/>
    </row>
    <row r="435" spans="1:8" ht="15.75" x14ac:dyDescent="0.25">
      <c r="A435" s="666" t="s">
        <v>1012</v>
      </c>
      <c r="B435" s="660"/>
      <c r="C435" s="660">
        <v>4</v>
      </c>
      <c r="D435" s="661">
        <f>FORNITURAS!D16</f>
        <v>45.05</v>
      </c>
      <c r="E435" s="662">
        <f>D435*C435</f>
        <v>180.2</v>
      </c>
      <c r="F435" s="658"/>
      <c r="G435" s="653"/>
      <c r="H435" s="653"/>
    </row>
    <row r="436" spans="1:8" ht="15.75" x14ac:dyDescent="0.25">
      <c r="A436" s="666" t="s">
        <v>3237</v>
      </c>
      <c r="B436" s="660" t="s">
        <v>1059</v>
      </c>
      <c r="C436" s="660">
        <v>0.1</v>
      </c>
      <c r="D436" s="661">
        <f>FORNITURAS!W5</f>
        <v>906.42857142857144</v>
      </c>
      <c r="E436" s="667">
        <f>D436*C436</f>
        <v>90.642857142857153</v>
      </c>
      <c r="F436" s="658"/>
      <c r="G436" s="653"/>
      <c r="H436" s="653"/>
    </row>
    <row r="437" spans="1:8" ht="15.75" x14ac:dyDescent="0.25">
      <c r="A437" s="666" t="s">
        <v>1557</v>
      </c>
      <c r="B437" s="660"/>
      <c r="C437" s="660"/>
      <c r="D437" s="661"/>
      <c r="E437" s="667">
        <f>PACKAGING!E5</f>
        <v>200</v>
      </c>
      <c r="F437" s="653"/>
      <c r="G437" s="658"/>
      <c r="H437" s="653"/>
    </row>
    <row r="438" spans="1:8" ht="15.75" x14ac:dyDescent="0.25">
      <c r="A438" s="683" t="s">
        <v>1618</v>
      </c>
      <c r="B438" s="660">
        <v>60</v>
      </c>
      <c r="C438" s="660">
        <v>20</v>
      </c>
      <c r="D438" s="668">
        <f>'INSUMOS VARIOS'!B3</f>
        <v>3500</v>
      </c>
      <c r="E438" s="669">
        <f>D438*C438/B438</f>
        <v>1166.6666666666667</v>
      </c>
      <c r="F438" s="653"/>
      <c r="G438" s="658"/>
      <c r="H438" s="653"/>
    </row>
    <row r="439" spans="1:8" ht="16.5" thickBot="1" x14ac:dyDescent="0.3">
      <c r="A439" s="670" t="s">
        <v>525</v>
      </c>
      <c r="B439" s="671"/>
      <c r="C439" s="671"/>
      <c r="D439" s="672"/>
      <c r="E439" s="673">
        <f>SUM(E432:E438)</f>
        <v>2862.6845238095239</v>
      </c>
      <c r="F439" s="658"/>
      <c r="G439" s="653"/>
      <c r="H439" s="653"/>
    </row>
    <row r="440" spans="1:8" ht="16.5" thickBot="1" x14ac:dyDescent="0.3">
      <c r="A440" s="675" t="s">
        <v>544</v>
      </c>
      <c r="B440" s="676"/>
      <c r="C440" s="676"/>
      <c r="D440" s="677"/>
      <c r="E440" s="692">
        <f>E439*2</f>
        <v>5725.3690476190477</v>
      </c>
      <c r="F440" s="957">
        <f>E440+E440*70%</f>
        <v>9733.1273809523809</v>
      </c>
      <c r="G440" s="681">
        <v>12000</v>
      </c>
      <c r="H440" s="653"/>
    </row>
    <row r="441" spans="1:8" ht="16.5" thickBot="1" x14ac:dyDescent="0.3">
      <c r="A441" s="684" t="s">
        <v>1559</v>
      </c>
      <c r="B441" s="685"/>
      <c r="C441" s="685"/>
      <c r="D441" s="686"/>
      <c r="E441" s="686"/>
      <c r="F441" s="816"/>
      <c r="G441" s="1275">
        <f>G440*70%</f>
        <v>8400</v>
      </c>
      <c r="H441" s="1276" t="s">
        <v>3687</v>
      </c>
    </row>
    <row r="442" spans="1:8" ht="15.75" thickBot="1" x14ac:dyDescent="0.3"/>
    <row r="443" spans="1:8" ht="16.5" thickBot="1" x14ac:dyDescent="0.3">
      <c r="A443" s="1811" t="s">
        <v>4603</v>
      </c>
      <c r="B443" s="1812"/>
      <c r="C443" s="1812"/>
      <c r="D443" s="1812"/>
      <c r="E443" s="1813"/>
      <c r="F443" s="653"/>
      <c r="G443" s="653"/>
      <c r="H443" s="653"/>
    </row>
    <row r="444" spans="1:8" ht="15.75" x14ac:dyDescent="0.25">
      <c r="A444" s="654" t="s">
        <v>916</v>
      </c>
      <c r="B444" s="655" t="s">
        <v>743</v>
      </c>
      <c r="C444" s="655" t="s">
        <v>1566</v>
      </c>
      <c r="D444" s="656" t="s">
        <v>1035</v>
      </c>
      <c r="E444" s="657" t="s">
        <v>1549</v>
      </c>
      <c r="F444" s="658"/>
      <c r="G444" s="653"/>
      <c r="H444" s="653"/>
    </row>
    <row r="445" spans="1:8" ht="15.75" x14ac:dyDescent="0.25">
      <c r="A445" s="1762" t="s">
        <v>3340</v>
      </c>
      <c r="B445" s="660">
        <v>0.3</v>
      </c>
      <c r="C445" s="660">
        <v>2</v>
      </c>
      <c r="D445" s="661">
        <f>'HILOS-CORDONES-TANZA-CUERO'!E7</f>
        <v>50.35</v>
      </c>
      <c r="E445" s="662">
        <f>D445*C445*B445</f>
        <v>30.21</v>
      </c>
      <c r="F445" s="658"/>
      <c r="G445" s="653"/>
      <c r="H445" s="653"/>
    </row>
    <row r="446" spans="1:8" ht="15.75" x14ac:dyDescent="0.25">
      <c r="A446" s="1763"/>
      <c r="B446" s="660">
        <v>0.1</v>
      </c>
      <c r="C446" s="660">
        <v>1</v>
      </c>
      <c r="D446" s="661">
        <f>'HILOS-CORDONES-TANZA-CUERO'!E7</f>
        <v>50.35</v>
      </c>
      <c r="E446" s="662">
        <f>D446*C446*B446</f>
        <v>5.0350000000000001</v>
      </c>
      <c r="F446" s="658"/>
      <c r="G446" s="653"/>
      <c r="H446" s="653"/>
    </row>
    <row r="447" spans="1:8" ht="15.75" x14ac:dyDescent="0.25">
      <c r="A447" s="769" t="s">
        <v>4609</v>
      </c>
      <c r="B447" s="660"/>
      <c r="C447" s="660">
        <v>22</v>
      </c>
      <c r="D447" s="661">
        <f>PIEDRAS!F37</f>
        <v>58.823529411764703</v>
      </c>
      <c r="E447" s="662">
        <f t="shared" ref="E447" si="13">D447*C447</f>
        <v>1294.1176470588234</v>
      </c>
      <c r="F447" s="658"/>
      <c r="G447" s="653"/>
      <c r="H447" s="653"/>
    </row>
    <row r="448" spans="1:8" ht="15.75" x14ac:dyDescent="0.25">
      <c r="A448" s="666" t="s">
        <v>4156</v>
      </c>
      <c r="B448" s="660" t="s">
        <v>4157</v>
      </c>
      <c r="C448" s="660">
        <v>4</v>
      </c>
      <c r="D448" s="661">
        <f>FORNITURAS!I13</f>
        <v>274.44444444444446</v>
      </c>
      <c r="E448" s="662">
        <f>D448*C448</f>
        <v>1097.7777777777778</v>
      </c>
      <c r="F448" s="658"/>
      <c r="G448" s="653"/>
      <c r="H448" s="653"/>
    </row>
    <row r="449" spans="1:8" ht="15.75" x14ac:dyDescent="0.25">
      <c r="A449" s="666" t="s">
        <v>1557</v>
      </c>
      <c r="B449" s="660"/>
      <c r="C449" s="660"/>
      <c r="D449" s="661"/>
      <c r="E449" s="667">
        <f>PACKAGING!E5</f>
        <v>200</v>
      </c>
      <c r="F449" s="653"/>
      <c r="G449" s="658"/>
      <c r="H449" s="653"/>
    </row>
    <row r="450" spans="1:8" ht="15.75" x14ac:dyDescent="0.25">
      <c r="A450" s="683" t="s">
        <v>1618</v>
      </c>
      <c r="B450" s="660">
        <v>60</v>
      </c>
      <c r="C450" s="660">
        <v>20</v>
      </c>
      <c r="D450" s="668">
        <f>'INSUMOS VARIOS'!B3</f>
        <v>3500</v>
      </c>
      <c r="E450" s="669">
        <f>D450*C450/B450</f>
        <v>1166.6666666666667</v>
      </c>
      <c r="F450" s="653"/>
      <c r="G450" s="658"/>
      <c r="H450" s="653"/>
    </row>
    <row r="451" spans="1:8" ht="16.5" thickBot="1" x14ac:dyDescent="0.3">
      <c r="A451" s="670" t="s">
        <v>525</v>
      </c>
      <c r="B451" s="671"/>
      <c r="C451" s="671"/>
      <c r="D451" s="672"/>
      <c r="E451" s="673">
        <f>SUM(E445:E450)</f>
        <v>3793.8070915032677</v>
      </c>
      <c r="F451" s="658"/>
      <c r="G451" s="653"/>
      <c r="H451" s="653"/>
    </row>
    <row r="452" spans="1:8" ht="16.5" thickBot="1" x14ac:dyDescent="0.3">
      <c r="A452" s="675" t="s">
        <v>544</v>
      </c>
      <c r="B452" s="676"/>
      <c r="C452" s="676"/>
      <c r="D452" s="677"/>
      <c r="E452" s="692">
        <f>E451*2</f>
        <v>7587.6141830065353</v>
      </c>
      <c r="F452" s="957">
        <f>E452+E452*70%</f>
        <v>12898.94411111111</v>
      </c>
      <c r="G452" s="681">
        <v>18000</v>
      </c>
      <c r="H452" s="653"/>
    </row>
    <row r="453" spans="1:8" ht="16.5" thickBot="1" x14ac:dyDescent="0.3">
      <c r="A453" s="684" t="s">
        <v>1559</v>
      </c>
      <c r="B453" s="685"/>
      <c r="C453" s="685"/>
      <c r="D453" s="686"/>
      <c r="E453" s="686"/>
      <c r="F453" s="816"/>
      <c r="G453" s="1275">
        <f>G452*70%</f>
        <v>12600</v>
      </c>
      <c r="H453" s="1276" t="s">
        <v>3687</v>
      </c>
    </row>
    <row r="454" spans="1:8" ht="15.75" thickBot="1" x14ac:dyDescent="0.3"/>
    <row r="455" spans="1:8" ht="16.5" thickBot="1" x14ac:dyDescent="0.3">
      <c r="A455" s="1811" t="s">
        <v>4920</v>
      </c>
      <c r="B455" s="1812"/>
      <c r="C455" s="1812"/>
      <c r="D455" s="1812"/>
      <c r="E455" s="1813"/>
      <c r="F455" s="653"/>
      <c r="G455" s="653"/>
      <c r="H455" s="653"/>
    </row>
    <row r="456" spans="1:8" ht="15.75" x14ac:dyDescent="0.25">
      <c r="A456" s="654" t="s">
        <v>916</v>
      </c>
      <c r="B456" s="655" t="s">
        <v>743</v>
      </c>
      <c r="C456" s="655" t="s">
        <v>1566</v>
      </c>
      <c r="D456" s="656" t="s">
        <v>1035</v>
      </c>
      <c r="E456" s="657" t="s">
        <v>1549</v>
      </c>
      <c r="F456" s="658"/>
      <c r="G456" s="653"/>
      <c r="H456" s="653"/>
    </row>
    <row r="457" spans="1:8" ht="15.75" x14ac:dyDescent="0.25">
      <c r="A457" s="1762" t="s">
        <v>1828</v>
      </c>
      <c r="B457" s="660">
        <v>0.7</v>
      </c>
      <c r="C457" s="660">
        <v>2</v>
      </c>
      <c r="D457" s="661">
        <f>'HILOS-CORDONES-TANZA-CUERO'!E3</f>
        <v>50.35</v>
      </c>
      <c r="E457" s="662">
        <f>D457*C457*B457</f>
        <v>70.489999999999995</v>
      </c>
      <c r="F457" s="658"/>
      <c r="G457" s="653"/>
      <c r="H457" s="653"/>
    </row>
    <row r="458" spans="1:8" ht="15.75" x14ac:dyDescent="0.25">
      <c r="A458" s="1763"/>
      <c r="B458" s="660">
        <v>0.1</v>
      </c>
      <c r="C458" s="660">
        <v>1</v>
      </c>
      <c r="D458" s="661">
        <f>'HILOS-CORDONES-TANZA-CUERO'!E3</f>
        <v>50.35</v>
      </c>
      <c r="E458" s="662">
        <f>D458*C458*B458</f>
        <v>5.0350000000000001</v>
      </c>
      <c r="F458" s="658"/>
      <c r="G458" s="653"/>
      <c r="H458" s="653"/>
    </row>
    <row r="459" spans="1:8" ht="15.75" x14ac:dyDescent="0.25">
      <c r="A459" s="769" t="s">
        <v>4478</v>
      </c>
      <c r="B459" s="660"/>
      <c r="C459" s="660">
        <v>1</v>
      </c>
      <c r="D459" s="661">
        <f>'AROS, CADENAS, DIJES, ETC'!O173</f>
        <v>4775</v>
      </c>
      <c r="E459" s="662">
        <f t="shared" ref="E459" si="14">D459*C459</f>
        <v>4775</v>
      </c>
      <c r="F459" s="658"/>
      <c r="G459" s="653"/>
      <c r="H459" s="653"/>
    </row>
    <row r="460" spans="1:8" ht="15.75" x14ac:dyDescent="0.25">
      <c r="A460" s="666" t="s">
        <v>1012</v>
      </c>
      <c r="B460" s="660"/>
      <c r="C460" s="660">
        <v>4</v>
      </c>
      <c r="D460" s="661">
        <f>FORNITURAS!D16</f>
        <v>45.05</v>
      </c>
      <c r="E460" s="662">
        <f>D460*C460</f>
        <v>180.2</v>
      </c>
      <c r="F460" s="658"/>
      <c r="G460" s="653"/>
      <c r="H460" s="653"/>
    </row>
    <row r="461" spans="1:8" ht="15.75" x14ac:dyDescent="0.25">
      <c r="A461" s="666" t="s">
        <v>1557</v>
      </c>
      <c r="B461" s="660"/>
      <c r="C461" s="660"/>
      <c r="D461" s="661"/>
      <c r="E461" s="667">
        <f>PACKAGING!E5</f>
        <v>200</v>
      </c>
      <c r="F461" s="653"/>
      <c r="G461" s="658"/>
      <c r="H461" s="653"/>
    </row>
    <row r="462" spans="1:8" ht="15.75" x14ac:dyDescent="0.25">
      <c r="A462" s="1339" t="s">
        <v>4839</v>
      </c>
      <c r="B462" s="660"/>
      <c r="C462" s="660"/>
      <c r="D462" s="668"/>
      <c r="E462" s="667">
        <f>PACKAGING!E10</f>
        <v>20.5</v>
      </c>
      <c r="F462" s="653"/>
      <c r="G462" s="658"/>
      <c r="H462" s="653"/>
    </row>
    <row r="463" spans="1:8" ht="15.75" x14ac:dyDescent="0.25">
      <c r="A463" s="683" t="s">
        <v>1618</v>
      </c>
      <c r="B463" s="660">
        <v>60</v>
      </c>
      <c r="C463" s="660">
        <v>50</v>
      </c>
      <c r="D463" s="668">
        <f>'INSUMOS VARIOS'!B3</f>
        <v>3500</v>
      </c>
      <c r="E463" s="669">
        <f>D463*C463/B463</f>
        <v>2916.6666666666665</v>
      </c>
      <c r="F463" s="653"/>
      <c r="G463" s="658"/>
      <c r="H463" s="653"/>
    </row>
    <row r="464" spans="1:8" ht="16.5" thickBot="1" x14ac:dyDescent="0.3">
      <c r="A464" s="670" t="s">
        <v>525</v>
      </c>
      <c r="B464" s="671"/>
      <c r="C464" s="671"/>
      <c r="D464" s="672"/>
      <c r="E464" s="673">
        <f>SUM(E457:E463)</f>
        <v>8167.8916666666664</v>
      </c>
      <c r="F464" s="658"/>
      <c r="G464" s="653"/>
      <c r="H464" s="653"/>
    </row>
    <row r="465" spans="1:8" ht="16.5" thickBot="1" x14ac:dyDescent="0.3">
      <c r="A465" s="675" t="s">
        <v>544</v>
      </c>
      <c r="B465" s="676"/>
      <c r="C465" s="676"/>
      <c r="D465" s="677"/>
      <c r="E465" s="692">
        <f>E464*2</f>
        <v>16335.783333333333</v>
      </c>
      <c r="F465" s="957">
        <f>E465+E465*60%</f>
        <v>26137.253333333334</v>
      </c>
      <c r="G465" s="681">
        <v>28000</v>
      </c>
      <c r="H465" s="653"/>
    </row>
    <row r="466" spans="1:8" ht="16.5" thickBot="1" x14ac:dyDescent="0.3">
      <c r="A466" s="684" t="s">
        <v>1559</v>
      </c>
      <c r="B466" s="685"/>
      <c r="C466" s="685"/>
      <c r="D466" s="686"/>
      <c r="E466" s="686"/>
      <c r="F466" s="816"/>
      <c r="G466" s="1275">
        <f>G465*60%</f>
        <v>16800</v>
      </c>
      <c r="H466" s="1276" t="s">
        <v>3687</v>
      </c>
    </row>
    <row r="467" spans="1:8" ht="15.75" thickBot="1" x14ac:dyDescent="0.3"/>
    <row r="468" spans="1:8" ht="16.5" thickBot="1" x14ac:dyDescent="0.3">
      <c r="A468" s="1811" t="s">
        <v>4875</v>
      </c>
      <c r="B468" s="1812"/>
      <c r="C468" s="1812"/>
      <c r="D468" s="1812"/>
      <c r="E468" s="1813"/>
      <c r="F468" s="653"/>
      <c r="G468" s="653"/>
      <c r="H468" s="653"/>
    </row>
    <row r="469" spans="1:8" ht="15.75" x14ac:dyDescent="0.25">
      <c r="A469" s="654" t="s">
        <v>916</v>
      </c>
      <c r="B469" s="655" t="s">
        <v>743</v>
      </c>
      <c r="C469" s="655" t="s">
        <v>1566</v>
      </c>
      <c r="D469" s="656" t="s">
        <v>1035</v>
      </c>
      <c r="E469" s="657" t="s">
        <v>1549</v>
      </c>
      <c r="F469" s="658"/>
      <c r="G469" s="653"/>
      <c r="H469" s="653"/>
    </row>
    <row r="470" spans="1:8" ht="15.75" x14ac:dyDescent="0.25">
      <c r="A470" s="1734" t="s">
        <v>4840</v>
      </c>
      <c r="B470" s="660">
        <v>0.32</v>
      </c>
      <c r="C470" s="660">
        <v>2</v>
      </c>
      <c r="D470" s="661">
        <f>'HILOS-CORDONES-TANZA-CUERO'!E5</f>
        <v>50.35</v>
      </c>
      <c r="E470" s="662">
        <f>D470*C470*B470</f>
        <v>32.224000000000004</v>
      </c>
      <c r="F470" s="658"/>
      <c r="G470" s="653"/>
      <c r="H470" s="653"/>
    </row>
    <row r="471" spans="1:8" ht="15.75" x14ac:dyDescent="0.25">
      <c r="A471" s="1735"/>
      <c r="B471" s="660">
        <v>0.1</v>
      </c>
      <c r="C471" s="660">
        <v>1</v>
      </c>
      <c r="D471" s="661">
        <f>'HILOS-CORDONES-TANZA-CUERO'!E5</f>
        <v>50.35</v>
      </c>
      <c r="E471" s="662">
        <f>D471*C471*B471</f>
        <v>5.0350000000000001</v>
      </c>
      <c r="F471" s="658"/>
      <c r="G471" s="653"/>
      <c r="H471" s="653"/>
    </row>
    <row r="472" spans="1:8" ht="15.75" x14ac:dyDescent="0.25">
      <c r="A472" s="660" t="s">
        <v>4842</v>
      </c>
      <c r="B472" s="660"/>
      <c r="C472" s="660">
        <v>1</v>
      </c>
      <c r="D472" s="661">
        <f>'AROS, CADENAS, DIJES, ETC'!O175</f>
        <v>3261</v>
      </c>
      <c r="E472" s="662">
        <f t="shared" ref="E472" si="15">D472*C472</f>
        <v>3261</v>
      </c>
      <c r="F472" s="658"/>
      <c r="G472" s="653"/>
      <c r="H472" s="653"/>
    </row>
    <row r="473" spans="1:8" ht="15.75" x14ac:dyDescent="0.25">
      <c r="A473" s="820" t="s">
        <v>2049</v>
      </c>
      <c r="B473" s="660"/>
      <c r="C473" s="660">
        <v>4</v>
      </c>
      <c r="D473" s="661">
        <f>FORNITURAS!D24</f>
        <v>34.666666666666664</v>
      </c>
      <c r="E473" s="662">
        <f>D473*C473</f>
        <v>138.66666666666666</v>
      </c>
      <c r="F473" s="658"/>
      <c r="G473" s="653"/>
      <c r="H473" s="653"/>
    </row>
    <row r="474" spans="1:8" ht="15.75" x14ac:dyDescent="0.25">
      <c r="A474" s="820" t="s">
        <v>1557</v>
      </c>
      <c r="B474" s="660"/>
      <c r="C474" s="660"/>
      <c r="D474" s="661"/>
      <c r="E474" s="667">
        <f>PACKAGING!E5</f>
        <v>200</v>
      </c>
      <c r="F474" s="653"/>
      <c r="G474" s="658"/>
      <c r="H474" s="653"/>
    </row>
    <row r="475" spans="1:8" ht="15.75" x14ac:dyDescent="0.25">
      <c r="A475" s="1339" t="s">
        <v>4839</v>
      </c>
      <c r="B475" s="660"/>
      <c r="C475" s="660"/>
      <c r="D475" s="668"/>
      <c r="E475" s="667">
        <f>PACKAGING!E10</f>
        <v>20.5</v>
      </c>
      <c r="F475" s="653"/>
      <c r="G475" s="658"/>
      <c r="H475" s="653"/>
    </row>
    <row r="476" spans="1:8" ht="15.75" x14ac:dyDescent="0.25">
      <c r="A476" s="683" t="s">
        <v>1618</v>
      </c>
      <c r="B476" s="660">
        <v>60</v>
      </c>
      <c r="C476" s="660">
        <v>15</v>
      </c>
      <c r="D476" s="668">
        <f>'INSUMOS VARIOS'!B3</f>
        <v>3500</v>
      </c>
      <c r="E476" s="669">
        <f>D476*C476/B476</f>
        <v>875</v>
      </c>
      <c r="F476" s="653"/>
      <c r="G476" s="658"/>
      <c r="H476" s="653"/>
    </row>
    <row r="477" spans="1:8" ht="16.5" thickBot="1" x14ac:dyDescent="0.3">
      <c r="A477" s="671" t="s">
        <v>525</v>
      </c>
      <c r="B477" s="671"/>
      <c r="C477" s="671"/>
      <c r="D477" s="672"/>
      <c r="E477" s="673">
        <f>SUM(E470:E476)</f>
        <v>4532.4256666666661</v>
      </c>
      <c r="F477" s="658"/>
      <c r="G477" s="653"/>
      <c r="H477" s="653"/>
    </row>
    <row r="478" spans="1:8" ht="16.5" thickBot="1" x14ac:dyDescent="0.3">
      <c r="A478" s="675" t="s">
        <v>544</v>
      </c>
      <c r="B478" s="676"/>
      <c r="C478" s="676"/>
      <c r="D478" s="677"/>
      <c r="E478" s="692">
        <f>E477*2</f>
        <v>9064.8513333333321</v>
      </c>
      <c r="F478" s="957">
        <f>E478+E478*70%</f>
        <v>15410.247266666665</v>
      </c>
      <c r="G478" s="681">
        <v>18000</v>
      </c>
      <c r="H478" s="653"/>
    </row>
    <row r="479" spans="1:8" ht="16.5" thickBot="1" x14ac:dyDescent="0.3">
      <c r="A479" s="684" t="s">
        <v>1559</v>
      </c>
      <c r="B479" s="685"/>
      <c r="C479" s="685"/>
      <c r="D479" s="686"/>
      <c r="E479" s="686"/>
      <c r="F479" s="816"/>
      <c r="G479" s="1275">
        <f>G478*60%</f>
        <v>10800</v>
      </c>
      <c r="H479" s="1276" t="s">
        <v>3687</v>
      </c>
    </row>
    <row r="480" spans="1:8" ht="15.75" thickBot="1" x14ac:dyDescent="0.3"/>
    <row r="481" spans="1:8" ht="16.5" thickBot="1" x14ac:dyDescent="0.3">
      <c r="A481" s="1811" t="s">
        <v>4843</v>
      </c>
      <c r="B481" s="1812"/>
      <c r="C481" s="1812"/>
      <c r="D481" s="1812"/>
      <c r="E481" s="1813"/>
      <c r="F481" s="653"/>
      <c r="G481" s="653"/>
      <c r="H481" s="653"/>
    </row>
    <row r="482" spans="1:8" ht="15.75" x14ac:dyDescent="0.25">
      <c r="A482" s="654" t="s">
        <v>916</v>
      </c>
      <c r="B482" s="655" t="s">
        <v>743</v>
      </c>
      <c r="C482" s="655" t="s">
        <v>1566</v>
      </c>
      <c r="D482" s="656" t="s">
        <v>1035</v>
      </c>
      <c r="E482" s="657" t="s">
        <v>1549</v>
      </c>
      <c r="F482" s="658"/>
      <c r="G482" s="653"/>
      <c r="H482" s="653"/>
    </row>
    <row r="483" spans="1:8" ht="15.75" x14ac:dyDescent="0.25">
      <c r="A483" s="1762" t="s">
        <v>4840</v>
      </c>
      <c r="B483" s="660">
        <v>0.32</v>
      </c>
      <c r="C483" s="660">
        <v>2</v>
      </c>
      <c r="D483" s="661">
        <f>'HILOS-CORDONES-TANZA-CUERO'!E7</f>
        <v>50.35</v>
      </c>
      <c r="E483" s="662">
        <f>D483*C483*B483</f>
        <v>32.224000000000004</v>
      </c>
      <c r="F483" s="658"/>
      <c r="G483" s="653"/>
      <c r="H483" s="653"/>
    </row>
    <row r="484" spans="1:8" ht="15.75" x14ac:dyDescent="0.25">
      <c r="A484" s="1763"/>
      <c r="B484" s="660">
        <v>0.1</v>
      </c>
      <c r="C484" s="660">
        <v>1</v>
      </c>
      <c r="D484" s="661">
        <f>'HILOS-CORDONES-TANZA-CUERO'!E7</f>
        <v>50.35</v>
      </c>
      <c r="E484" s="662">
        <f>D484*C484*B484</f>
        <v>5.0350000000000001</v>
      </c>
      <c r="F484" s="658"/>
      <c r="G484" s="653"/>
      <c r="H484" s="653"/>
    </row>
    <row r="485" spans="1:8" ht="15.75" x14ac:dyDescent="0.25">
      <c r="A485" s="769" t="s">
        <v>4841</v>
      </c>
      <c r="B485" s="660"/>
      <c r="C485" s="660">
        <v>1</v>
      </c>
      <c r="D485" s="661">
        <f>'AROS, CADENAS, DIJES, ETC'!O172</f>
        <v>1458</v>
      </c>
      <c r="E485" s="662">
        <f t="shared" ref="E485" si="16">D485*C485</f>
        <v>1458</v>
      </c>
      <c r="F485" s="658"/>
      <c r="G485" s="653"/>
      <c r="H485" s="653"/>
    </row>
    <row r="486" spans="1:8" ht="15.75" x14ac:dyDescent="0.25">
      <c r="A486" s="666" t="s">
        <v>1554</v>
      </c>
      <c r="B486" s="660"/>
      <c r="C486" s="660">
        <v>4</v>
      </c>
      <c r="D486" s="661">
        <f>FORNITURAS!D24</f>
        <v>34.666666666666664</v>
      </c>
      <c r="E486" s="662">
        <f>D486*C486</f>
        <v>138.66666666666666</v>
      </c>
      <c r="F486" s="658"/>
      <c r="G486" s="653"/>
      <c r="H486" s="653"/>
    </row>
    <row r="487" spans="1:8" ht="15.75" x14ac:dyDescent="0.25">
      <c r="A487" s="666" t="s">
        <v>1557</v>
      </c>
      <c r="B487" s="660"/>
      <c r="C487" s="660"/>
      <c r="D487" s="661"/>
      <c r="E487" s="667">
        <f>PACKAGING!E5</f>
        <v>200</v>
      </c>
      <c r="F487" s="653"/>
      <c r="G487" s="658"/>
      <c r="H487" s="653"/>
    </row>
    <row r="488" spans="1:8" ht="15.75" x14ac:dyDescent="0.25">
      <c r="A488" s="1339" t="s">
        <v>4839</v>
      </c>
      <c r="B488" s="660"/>
      <c r="C488" s="660"/>
      <c r="D488" s="668"/>
      <c r="E488" s="667">
        <f>PACKAGING!E10</f>
        <v>20.5</v>
      </c>
      <c r="F488" s="653"/>
      <c r="G488" s="658"/>
      <c r="H488" s="653"/>
    </row>
    <row r="489" spans="1:8" ht="15.75" x14ac:dyDescent="0.25">
      <c r="A489" s="683" t="s">
        <v>1618</v>
      </c>
      <c r="B489" s="660">
        <v>60</v>
      </c>
      <c r="C489" s="660">
        <v>15</v>
      </c>
      <c r="D489" s="668">
        <f>'INSUMOS VARIOS'!B3</f>
        <v>3500</v>
      </c>
      <c r="E489" s="669">
        <f>D489*C489/B489</f>
        <v>875</v>
      </c>
      <c r="F489" s="653"/>
      <c r="G489" s="658"/>
      <c r="H489" s="653"/>
    </row>
    <row r="490" spans="1:8" ht="16.5" thickBot="1" x14ac:dyDescent="0.3">
      <c r="A490" s="670" t="s">
        <v>525</v>
      </c>
      <c r="B490" s="671"/>
      <c r="C490" s="671"/>
      <c r="D490" s="672"/>
      <c r="E490" s="673">
        <f>SUM(E483:E489)</f>
        <v>2729.425666666667</v>
      </c>
      <c r="F490" s="658"/>
      <c r="G490" s="653"/>
      <c r="H490" s="653"/>
    </row>
    <row r="491" spans="1:8" ht="16.5" thickBot="1" x14ac:dyDescent="0.3">
      <c r="A491" s="675" t="s">
        <v>544</v>
      </c>
      <c r="B491" s="676"/>
      <c r="C491" s="676"/>
      <c r="D491" s="677"/>
      <c r="E491" s="692">
        <f>E490*2</f>
        <v>5458.851333333334</v>
      </c>
      <c r="F491" s="957">
        <f>E491+E491*70%</f>
        <v>9280.0472666666683</v>
      </c>
      <c r="G491" s="681">
        <v>14000</v>
      </c>
      <c r="H491" s="653"/>
    </row>
    <row r="492" spans="1:8" ht="16.5" thickBot="1" x14ac:dyDescent="0.3">
      <c r="A492" s="684" t="s">
        <v>1559</v>
      </c>
      <c r="B492" s="685"/>
      <c r="C492" s="685"/>
      <c r="D492" s="686"/>
      <c r="E492" s="686"/>
      <c r="F492" s="816"/>
      <c r="G492" s="1275">
        <f>G491*60%</f>
        <v>8400</v>
      </c>
      <c r="H492" s="1276" t="s">
        <v>3687</v>
      </c>
    </row>
    <row r="493" spans="1:8" ht="15.75" thickBot="1" x14ac:dyDescent="0.3"/>
    <row r="494" spans="1:8" ht="16.5" thickBot="1" x14ac:dyDescent="0.3">
      <c r="A494" s="1809" t="s">
        <v>3010</v>
      </c>
      <c r="B494" s="1810"/>
      <c r="C494" s="1810"/>
      <c r="D494" s="1810"/>
      <c r="E494" s="1814"/>
      <c r="F494" s="653"/>
      <c r="G494" s="653"/>
      <c r="H494" s="653"/>
    </row>
    <row r="495" spans="1:8" ht="15.75" x14ac:dyDescent="0.25">
      <c r="A495" s="654" t="s">
        <v>916</v>
      </c>
      <c r="B495" s="655" t="s">
        <v>743</v>
      </c>
      <c r="C495" s="655" t="s">
        <v>1566</v>
      </c>
      <c r="D495" s="656" t="s">
        <v>1035</v>
      </c>
      <c r="E495" s="657" t="s">
        <v>1549</v>
      </c>
      <c r="F495" s="658"/>
      <c r="G495" s="653"/>
      <c r="H495" s="653"/>
    </row>
    <row r="496" spans="1:8" ht="15.75" x14ac:dyDescent="0.25">
      <c r="A496" s="1762" t="s">
        <v>4840</v>
      </c>
      <c r="B496" s="660">
        <v>0.28000000000000003</v>
      </c>
      <c r="C496" s="660">
        <v>1</v>
      </c>
      <c r="D496" s="661">
        <f>'HILOS-CORDONES-TANZA-CUERO'!E4</f>
        <v>50.35</v>
      </c>
      <c r="E496" s="662">
        <f>D496*C496*B496</f>
        <v>14.098000000000003</v>
      </c>
      <c r="F496" s="658"/>
      <c r="G496" s="653"/>
      <c r="H496" s="653"/>
    </row>
    <row r="497" spans="1:8" ht="15.75" x14ac:dyDescent="0.25">
      <c r="A497" s="1763"/>
      <c r="B497" s="660">
        <v>0.2</v>
      </c>
      <c r="C497" s="660">
        <v>1</v>
      </c>
      <c r="D497" s="661">
        <f>'HILOS-CORDONES-TANZA-CUERO'!E4</f>
        <v>50.35</v>
      </c>
      <c r="E497" s="662">
        <f>D497*C497*B497</f>
        <v>10.07</v>
      </c>
      <c r="F497" s="658"/>
      <c r="G497" s="653"/>
      <c r="H497" s="653"/>
    </row>
    <row r="498" spans="1:8" ht="15.75" x14ac:dyDescent="0.25">
      <c r="A498" s="769" t="s">
        <v>4876</v>
      </c>
      <c r="B498" s="660"/>
      <c r="C498" s="660">
        <v>1</v>
      </c>
      <c r="D498" s="661">
        <f>'AROS, CADENAS, DIJES, ETC'!O39</f>
        <v>1800</v>
      </c>
      <c r="E498" s="662">
        <f t="shared" ref="E498" si="17">D498*C498</f>
        <v>1800</v>
      </c>
      <c r="F498" s="658"/>
      <c r="G498" s="653"/>
      <c r="H498" s="653"/>
    </row>
    <row r="499" spans="1:8" ht="15.75" x14ac:dyDescent="0.25">
      <c r="A499" s="820" t="s">
        <v>1555</v>
      </c>
      <c r="B499" s="660"/>
      <c r="C499" s="660">
        <v>1</v>
      </c>
      <c r="D499" s="661">
        <f>FORNITURAS!D4</f>
        <v>48.7</v>
      </c>
      <c r="E499" s="662">
        <f>D499*C499</f>
        <v>48.7</v>
      </c>
      <c r="F499" s="658"/>
      <c r="G499" s="653"/>
      <c r="H499" s="653"/>
    </row>
    <row r="500" spans="1:8" ht="15.75" x14ac:dyDescent="0.25">
      <c r="A500" s="666" t="s">
        <v>1554</v>
      </c>
      <c r="B500" s="660"/>
      <c r="C500" s="660">
        <v>10</v>
      </c>
      <c r="D500" s="661">
        <f>FORNITURAS!D24</f>
        <v>34.666666666666664</v>
      </c>
      <c r="E500" s="662">
        <f>D500*C500</f>
        <v>346.66666666666663</v>
      </c>
      <c r="F500" s="658"/>
      <c r="G500" s="653"/>
      <c r="H500" s="653"/>
    </row>
    <row r="501" spans="1:8" ht="15.75" x14ac:dyDescent="0.25">
      <c r="A501" s="666" t="s">
        <v>1012</v>
      </c>
      <c r="B501" s="660"/>
      <c r="C501" s="660">
        <v>2</v>
      </c>
      <c r="D501" s="661">
        <f>FORNITURAS!D16</f>
        <v>45.05</v>
      </c>
      <c r="E501" s="667">
        <f>D501*C501</f>
        <v>90.1</v>
      </c>
      <c r="F501" s="658"/>
      <c r="G501" s="653"/>
      <c r="H501" s="653"/>
    </row>
    <row r="502" spans="1:8" ht="15.75" x14ac:dyDescent="0.25">
      <c r="A502" s="666" t="s">
        <v>1557</v>
      </c>
      <c r="B502" s="660"/>
      <c r="C502" s="660"/>
      <c r="D502" s="661"/>
      <c r="E502" s="667">
        <f>PACKAGING!E5</f>
        <v>200</v>
      </c>
      <c r="F502" s="653"/>
      <c r="G502" s="658"/>
      <c r="H502" s="653"/>
    </row>
    <row r="503" spans="1:8" ht="15.75" x14ac:dyDescent="0.25">
      <c r="A503" s="1339" t="s">
        <v>4839</v>
      </c>
      <c r="B503" s="660"/>
      <c r="C503" s="660"/>
      <c r="D503" s="668"/>
      <c r="E503" s="667">
        <f>PACKAGING!E10</f>
        <v>20.5</v>
      </c>
      <c r="F503" s="653"/>
      <c r="G503" s="658"/>
      <c r="H503" s="653"/>
    </row>
    <row r="504" spans="1:8" ht="15.75" x14ac:dyDescent="0.25">
      <c r="A504" s="683" t="s">
        <v>1618</v>
      </c>
      <c r="B504" s="660">
        <v>60</v>
      </c>
      <c r="C504" s="660">
        <v>25</v>
      </c>
      <c r="D504" s="668">
        <f>'INSUMOS VARIOS'!B3</f>
        <v>3500</v>
      </c>
      <c r="E504" s="669">
        <f>D504*C504/B504</f>
        <v>1458.3333333333333</v>
      </c>
      <c r="F504" s="653"/>
      <c r="G504" s="658"/>
      <c r="H504" s="653"/>
    </row>
    <row r="505" spans="1:8" ht="15.75" x14ac:dyDescent="0.25">
      <c r="A505" s="670" t="s">
        <v>525</v>
      </c>
      <c r="B505" s="671"/>
      <c r="C505" s="671"/>
      <c r="D505" s="672"/>
      <c r="E505" s="673">
        <f>SUM(E496:E504)</f>
        <v>3988.4679999999998</v>
      </c>
      <c r="F505" s="658"/>
      <c r="G505" s="653"/>
      <c r="H505" s="653"/>
    </row>
    <row r="506" spans="1:8" ht="16.5" thickBot="1" x14ac:dyDescent="0.3">
      <c r="A506" s="675" t="s">
        <v>4918</v>
      </c>
      <c r="B506" s="676"/>
      <c r="C506" s="676"/>
      <c r="D506" s="677"/>
      <c r="E506" s="1470">
        <f>E505*2</f>
        <v>7976.9359999999997</v>
      </c>
      <c r="F506" s="1471"/>
      <c r="H506" s="653"/>
    </row>
    <row r="507" spans="1:8" ht="16.5" thickBot="1" x14ac:dyDescent="0.3">
      <c r="A507" s="684" t="s">
        <v>1559</v>
      </c>
      <c r="B507" s="685"/>
      <c r="C507" s="685"/>
      <c r="D507" s="686"/>
      <c r="E507" s="784">
        <f>E506+E506*70%</f>
        <v>13560.7912</v>
      </c>
      <c r="F507" s="681">
        <v>16000</v>
      </c>
      <c r="G507" s="653"/>
    </row>
    <row r="508" spans="1:8" ht="16.5" thickBot="1" x14ac:dyDescent="0.3">
      <c r="A508" s="653"/>
      <c r="B508" s="653"/>
      <c r="C508" s="653"/>
      <c r="D508" s="653"/>
      <c r="E508" s="653"/>
      <c r="F508" s="1275">
        <f>F507*60%</f>
        <v>9600</v>
      </c>
      <c r="G508" s="1276" t="s">
        <v>3687</v>
      </c>
      <c r="H508" s="1276"/>
    </row>
    <row r="509" spans="1:8" ht="16.5" thickBot="1" x14ac:dyDescent="0.3">
      <c r="G509" s="653"/>
    </row>
    <row r="510" spans="1:8" ht="16.5" thickBot="1" x14ac:dyDescent="0.3">
      <c r="A510" s="1809" t="s">
        <v>4930</v>
      </c>
      <c r="B510" s="1810"/>
      <c r="C510" s="1810"/>
      <c r="D510" s="1810"/>
      <c r="E510" s="1814"/>
      <c r="F510" s="653"/>
      <c r="G510" s="653"/>
      <c r="H510" s="653"/>
    </row>
    <row r="511" spans="1:8" ht="15.75" x14ac:dyDescent="0.25">
      <c r="A511" s="654" t="s">
        <v>916</v>
      </c>
      <c r="B511" s="655" t="s">
        <v>743</v>
      </c>
      <c r="C511" s="655" t="s">
        <v>1566</v>
      </c>
      <c r="D511" s="656" t="s">
        <v>1035</v>
      </c>
      <c r="E511" s="657" t="s">
        <v>1549</v>
      </c>
      <c r="F511" s="658"/>
      <c r="G511" s="653"/>
      <c r="H511" s="653"/>
    </row>
    <row r="512" spans="1:8" ht="15.75" x14ac:dyDescent="0.25">
      <c r="A512" s="1762" t="s">
        <v>4840</v>
      </c>
      <c r="B512" s="660">
        <v>0.32</v>
      </c>
      <c r="C512" s="660">
        <v>1</v>
      </c>
      <c r="D512" s="661">
        <f>'HILOS-CORDONES-TANZA-CUERO'!E5</f>
        <v>50.35</v>
      </c>
      <c r="E512" s="662">
        <f>D512*C512*B512</f>
        <v>16.112000000000002</v>
      </c>
      <c r="F512" s="658"/>
      <c r="G512" s="653"/>
      <c r="H512" s="653"/>
    </row>
    <row r="513" spans="1:8" ht="15.75" x14ac:dyDescent="0.25">
      <c r="A513" s="1763"/>
      <c r="B513" s="660">
        <v>0.2</v>
      </c>
      <c r="C513" s="660">
        <v>1</v>
      </c>
      <c r="D513" s="661">
        <f>'HILOS-CORDONES-TANZA-CUERO'!E5</f>
        <v>50.35</v>
      </c>
      <c r="E513" s="662">
        <f>D513*C513*B513</f>
        <v>10.07</v>
      </c>
      <c r="F513" s="658"/>
      <c r="G513" s="653"/>
      <c r="H513" s="653"/>
    </row>
    <row r="514" spans="1:8" ht="15.75" x14ac:dyDescent="0.25">
      <c r="A514" s="769" t="s">
        <v>4877</v>
      </c>
      <c r="B514" s="660" t="s">
        <v>870</v>
      </c>
      <c r="C514" s="660">
        <v>1</v>
      </c>
      <c r="D514" s="661">
        <f>'AROS, CADENAS, DIJES, ETC'!O30</f>
        <v>589</v>
      </c>
      <c r="E514" s="662">
        <f t="shared" ref="E514" si="18">D514*C514</f>
        <v>589</v>
      </c>
      <c r="F514" s="658"/>
      <c r="G514" s="653"/>
      <c r="H514" s="653"/>
    </row>
    <row r="515" spans="1:8" ht="15.75" x14ac:dyDescent="0.25">
      <c r="A515" s="820" t="s">
        <v>1555</v>
      </c>
      <c r="B515" s="660"/>
      <c r="C515" s="660">
        <v>1</v>
      </c>
      <c r="D515" s="661">
        <f>FORNITURAS!D4</f>
        <v>48.7</v>
      </c>
      <c r="E515" s="662">
        <f>D515*C515</f>
        <v>48.7</v>
      </c>
      <c r="F515" s="658"/>
      <c r="G515" s="653"/>
      <c r="H515" s="653"/>
    </row>
    <row r="516" spans="1:8" ht="15.75" x14ac:dyDescent="0.25">
      <c r="A516" s="666" t="s">
        <v>1554</v>
      </c>
      <c r="B516" s="660"/>
      <c r="C516" s="660">
        <v>10</v>
      </c>
      <c r="D516" s="661">
        <f>FORNITURAS!D24</f>
        <v>34.666666666666664</v>
      </c>
      <c r="E516" s="662">
        <f>D516*C516</f>
        <v>346.66666666666663</v>
      </c>
      <c r="F516" s="658"/>
      <c r="G516" s="653"/>
      <c r="H516" s="653"/>
    </row>
    <row r="517" spans="1:8" ht="15.75" x14ac:dyDescent="0.25">
      <c r="A517" s="666" t="s">
        <v>1012</v>
      </c>
      <c r="B517" s="660"/>
      <c r="C517" s="660">
        <v>2</v>
      </c>
      <c r="D517" s="661">
        <f>FORNITURAS!D16</f>
        <v>45.05</v>
      </c>
      <c r="E517" s="667">
        <f>D517*C517</f>
        <v>90.1</v>
      </c>
      <c r="F517" s="658"/>
      <c r="G517" s="653"/>
      <c r="H517" s="653"/>
    </row>
    <row r="518" spans="1:8" ht="15.75" x14ac:dyDescent="0.25">
      <c r="A518" s="666" t="s">
        <v>1557</v>
      </c>
      <c r="B518" s="660"/>
      <c r="C518" s="660"/>
      <c r="D518" s="661"/>
      <c r="E518" s="667">
        <f>PACKAGING!E5</f>
        <v>200</v>
      </c>
      <c r="F518" s="653"/>
      <c r="G518" s="658"/>
      <c r="H518" s="653"/>
    </row>
    <row r="519" spans="1:8" ht="15.75" x14ac:dyDescent="0.25">
      <c r="A519" s="1339" t="s">
        <v>4839</v>
      </c>
      <c r="B519" s="660"/>
      <c r="C519" s="660"/>
      <c r="D519" s="668"/>
      <c r="E519" s="667">
        <f>PACKAGING!E10</f>
        <v>20.5</v>
      </c>
      <c r="F519" s="653"/>
      <c r="G519" s="658"/>
      <c r="H519" s="653"/>
    </row>
    <row r="520" spans="1:8" ht="15.75" x14ac:dyDescent="0.25">
      <c r="A520" s="683" t="s">
        <v>1618</v>
      </c>
      <c r="B520" s="660">
        <v>60</v>
      </c>
      <c r="C520" s="660">
        <v>25</v>
      </c>
      <c r="D520" s="668">
        <f>'INSUMOS VARIOS'!B3</f>
        <v>3500</v>
      </c>
      <c r="E520" s="669">
        <f>D520*C520/B520</f>
        <v>1458.3333333333333</v>
      </c>
      <c r="F520" s="653"/>
      <c r="G520" s="658"/>
      <c r="H520" s="653"/>
    </row>
    <row r="521" spans="1:8" ht="15.75" x14ac:dyDescent="0.25">
      <c r="A521" s="670" t="s">
        <v>525</v>
      </c>
      <c r="B521" s="671"/>
      <c r="C521" s="671"/>
      <c r="D521" s="672"/>
      <c r="E521" s="673">
        <f>SUM(E512:E520)</f>
        <v>2779.482</v>
      </c>
      <c r="F521" s="658"/>
      <c r="G521" s="653"/>
      <c r="H521" s="653"/>
    </row>
    <row r="522" spans="1:8" ht="16.5" thickBot="1" x14ac:dyDescent="0.3">
      <c r="A522" s="675" t="s">
        <v>4918</v>
      </c>
      <c r="B522" s="676"/>
      <c r="C522" s="676"/>
      <c r="D522" s="677"/>
      <c r="E522" s="1470">
        <f>E521*2</f>
        <v>5558.9639999999999</v>
      </c>
      <c r="F522" s="1471"/>
      <c r="H522" s="653"/>
    </row>
    <row r="523" spans="1:8" ht="16.5" thickBot="1" x14ac:dyDescent="0.3">
      <c r="A523" s="684" t="s">
        <v>1559</v>
      </c>
      <c r="B523" s="685"/>
      <c r="C523" s="685"/>
      <c r="D523" s="686"/>
      <c r="E523" s="1422">
        <f>E522+E522*70%</f>
        <v>9450.2387999999992</v>
      </c>
      <c r="F523" s="681">
        <v>14000</v>
      </c>
    </row>
    <row r="524" spans="1:8" ht="16.5" thickBot="1" x14ac:dyDescent="0.3">
      <c r="E524" s="1475"/>
      <c r="F524" s="1275">
        <f>F523*60%</f>
        <v>8400</v>
      </c>
      <c r="G524" s="1276" t="s">
        <v>3687</v>
      </c>
      <c r="H524" s="1276"/>
    </row>
    <row r="525" spans="1:8" ht="15.75" thickBot="1" x14ac:dyDescent="0.3"/>
    <row r="526" spans="1:8" ht="16.5" thickBot="1" x14ac:dyDescent="0.3">
      <c r="A526" s="1809" t="s">
        <v>462</v>
      </c>
      <c r="B526" s="1810"/>
      <c r="C526" s="1810"/>
      <c r="D526" s="1810"/>
      <c r="E526" s="1814"/>
      <c r="F526" s="653"/>
      <c r="G526" s="653"/>
      <c r="H526" s="653"/>
    </row>
    <row r="527" spans="1:8" ht="15.75" x14ac:dyDescent="0.25">
      <c r="A527" s="654" t="s">
        <v>916</v>
      </c>
      <c r="B527" s="655" t="s">
        <v>743</v>
      </c>
      <c r="C527" s="655" t="s">
        <v>1566</v>
      </c>
      <c r="D527" s="656" t="s">
        <v>1035</v>
      </c>
      <c r="E527" s="657" t="s">
        <v>1549</v>
      </c>
      <c r="F527" s="658"/>
      <c r="G527" s="653"/>
      <c r="H527" s="653"/>
    </row>
    <row r="528" spans="1:8" ht="15.75" x14ac:dyDescent="0.25">
      <c r="A528" s="769" t="s">
        <v>4890</v>
      </c>
      <c r="B528" s="660">
        <v>0.43</v>
      </c>
      <c r="C528" s="660">
        <v>1</v>
      </c>
      <c r="D528" s="661">
        <f>'HILOS-CORDONES-TANZA-CUERO'!M20</f>
        <v>2230.1999999999998</v>
      </c>
      <c r="E528" s="662">
        <f>D528*C528*B528</f>
        <v>958.98599999999988</v>
      </c>
      <c r="F528" s="658"/>
      <c r="G528" s="653"/>
      <c r="H528" s="653"/>
    </row>
    <row r="529" spans="1:8" ht="15.75" x14ac:dyDescent="0.25">
      <c r="A529" s="769" t="s">
        <v>4894</v>
      </c>
      <c r="B529" s="660"/>
      <c r="C529" s="660">
        <v>1</v>
      </c>
      <c r="D529" s="661">
        <f>'AROS, CADENAS, DIJES, ETC'!P204</f>
        <v>4133</v>
      </c>
      <c r="E529" s="662">
        <f t="shared" ref="E529" si="19">D529*C529</f>
        <v>4133</v>
      </c>
      <c r="F529" s="658"/>
      <c r="G529" s="653"/>
      <c r="H529" s="653"/>
    </row>
    <row r="530" spans="1:8" ht="15.75" x14ac:dyDescent="0.25">
      <c r="A530" s="666" t="s">
        <v>1557</v>
      </c>
      <c r="B530" s="660"/>
      <c r="C530" s="660"/>
      <c r="D530" s="661"/>
      <c r="E530" s="667">
        <f>PACKAGING!E4</f>
        <v>80</v>
      </c>
      <c r="F530" s="653"/>
      <c r="G530" s="658"/>
      <c r="H530" s="653"/>
    </row>
    <row r="531" spans="1:8" ht="15.75" x14ac:dyDescent="0.25">
      <c r="A531" s="769" t="s">
        <v>3362</v>
      </c>
      <c r="B531" s="660"/>
      <c r="C531" s="660"/>
      <c r="D531" s="668"/>
      <c r="E531" s="667">
        <f>PACKAGING!E17</f>
        <v>7.5</v>
      </c>
      <c r="F531" s="653"/>
      <c r="G531" s="658"/>
      <c r="H531" s="653"/>
    </row>
    <row r="532" spans="1:8" ht="15.75" x14ac:dyDescent="0.25">
      <c r="A532" s="769" t="s">
        <v>4900</v>
      </c>
      <c r="B532" s="660"/>
      <c r="C532" s="660"/>
      <c r="D532" s="668"/>
      <c r="E532" s="667">
        <f>PACKAGING!E8</f>
        <v>420</v>
      </c>
      <c r="F532" s="653"/>
      <c r="G532" s="658"/>
      <c r="H532" s="653"/>
    </row>
    <row r="533" spans="1:8" ht="15.75" x14ac:dyDescent="0.25">
      <c r="A533" s="683" t="s">
        <v>1618</v>
      </c>
      <c r="B533" s="660">
        <v>60</v>
      </c>
      <c r="C533" s="660">
        <v>20</v>
      </c>
      <c r="D533" s="668">
        <f>'INSUMOS VARIOS'!B3</f>
        <v>3500</v>
      </c>
      <c r="E533" s="669">
        <f>D533*C533/B533</f>
        <v>1166.6666666666667</v>
      </c>
      <c r="F533" s="653"/>
      <c r="G533" s="658"/>
      <c r="H533" s="653"/>
    </row>
    <row r="534" spans="1:8" ht="15.75" x14ac:dyDescent="0.25">
      <c r="A534" s="670" t="s">
        <v>525</v>
      </c>
      <c r="B534" s="671"/>
      <c r="C534" s="671"/>
      <c r="D534" s="672"/>
      <c r="E534" s="673">
        <f>SUM(E528:E533)</f>
        <v>6766.1526666666668</v>
      </c>
      <c r="F534" s="658"/>
      <c r="G534" s="653"/>
      <c r="H534" s="653"/>
    </row>
    <row r="535" spans="1:8" ht="16.5" thickBot="1" x14ac:dyDescent="0.3">
      <c r="A535" s="675" t="s">
        <v>4918</v>
      </c>
      <c r="B535" s="676"/>
      <c r="C535" s="676"/>
      <c r="D535" s="677"/>
      <c r="E535" s="678">
        <f>E534*2</f>
        <v>13532.305333333334</v>
      </c>
      <c r="F535" s="1471"/>
      <c r="H535" s="653"/>
    </row>
    <row r="536" spans="1:8" ht="16.5" thickBot="1" x14ac:dyDescent="0.3">
      <c r="A536" s="684" t="s">
        <v>1559</v>
      </c>
      <c r="B536" s="685"/>
      <c r="C536" s="685"/>
      <c r="D536" s="686"/>
      <c r="E536" s="707">
        <f>E535+E535*70%</f>
        <v>23004.919066666669</v>
      </c>
      <c r="F536" s="681">
        <v>26000</v>
      </c>
    </row>
    <row r="537" spans="1:8" ht="16.5" thickBot="1" x14ac:dyDescent="0.3">
      <c r="A537" s="653"/>
      <c r="B537" s="653"/>
      <c r="C537" s="653"/>
      <c r="D537" s="653"/>
      <c r="E537" s="653"/>
      <c r="F537" s="1275">
        <f>F536*60%</f>
        <v>15600</v>
      </c>
      <c r="G537" s="1276" t="s">
        <v>3687</v>
      </c>
      <c r="H537" s="1276"/>
    </row>
    <row r="538" spans="1:8" ht="15.75" thickBot="1" x14ac:dyDescent="0.3"/>
    <row r="539" spans="1:8" ht="16.5" thickBot="1" x14ac:dyDescent="0.3">
      <c r="A539" s="1809" t="s">
        <v>4929</v>
      </c>
      <c r="B539" s="1810"/>
      <c r="C539" s="1810"/>
      <c r="D539" s="1810"/>
      <c r="E539" s="1814"/>
      <c r="F539" s="653"/>
      <c r="G539" s="653"/>
      <c r="H539" s="653"/>
    </row>
    <row r="540" spans="1:8" ht="15.75" x14ac:dyDescent="0.25">
      <c r="A540" s="654" t="s">
        <v>916</v>
      </c>
      <c r="B540" s="655" t="s">
        <v>743</v>
      </c>
      <c r="C540" s="655" t="s">
        <v>1566</v>
      </c>
      <c r="D540" s="656" t="s">
        <v>1035</v>
      </c>
      <c r="E540" s="657" t="s">
        <v>1549</v>
      </c>
      <c r="F540" s="658"/>
      <c r="G540" s="653"/>
      <c r="H540" s="653"/>
    </row>
    <row r="541" spans="1:8" ht="15.75" x14ac:dyDescent="0.25">
      <c r="A541" s="1762" t="s">
        <v>4892</v>
      </c>
      <c r="B541" s="660">
        <v>0.27</v>
      </c>
      <c r="C541" s="660">
        <v>2</v>
      </c>
      <c r="D541" s="661">
        <f>'HILOS-CORDONES-TANZA-CUERO'!M21</f>
        <v>2230.1999999999998</v>
      </c>
      <c r="E541" s="662">
        <f>D541*C541*B541</f>
        <v>1204.308</v>
      </c>
      <c r="F541" s="658"/>
      <c r="G541" s="653"/>
      <c r="H541" s="653"/>
    </row>
    <row r="542" spans="1:8" ht="15.75" x14ac:dyDescent="0.25">
      <c r="A542" s="1763"/>
      <c r="B542" s="660">
        <v>0.15</v>
      </c>
      <c r="C542" s="660">
        <v>1</v>
      </c>
      <c r="D542" s="661">
        <f>'HILOS-CORDONES-TANZA-CUERO'!M18</f>
        <v>2230.1999999999998</v>
      </c>
      <c r="E542" s="662">
        <f>D542*C542*B542</f>
        <v>334.53</v>
      </c>
      <c r="F542" s="658"/>
      <c r="G542" s="653"/>
      <c r="H542" s="653"/>
    </row>
    <row r="543" spans="1:8" ht="15.75" x14ac:dyDescent="0.25">
      <c r="A543" s="769" t="s">
        <v>4893</v>
      </c>
      <c r="B543" s="660"/>
      <c r="C543" s="660">
        <v>1</v>
      </c>
      <c r="D543" s="661">
        <f>'AROS, CADENAS, DIJES, ETC'!P203</f>
        <v>2987</v>
      </c>
      <c r="E543" s="662">
        <f t="shared" ref="E543" si="20">D543*C543</f>
        <v>2987</v>
      </c>
      <c r="F543" s="658"/>
      <c r="G543" s="653"/>
      <c r="H543" s="653"/>
    </row>
    <row r="544" spans="1:8" ht="15.75" x14ac:dyDescent="0.25">
      <c r="A544" s="666" t="s">
        <v>1557</v>
      </c>
      <c r="B544" s="660"/>
      <c r="C544" s="660"/>
      <c r="D544" s="661"/>
      <c r="E544" s="667">
        <f>PACKAGING!E4</f>
        <v>80</v>
      </c>
      <c r="F544" s="653"/>
      <c r="G544" s="658"/>
      <c r="H544" s="653"/>
    </row>
    <row r="545" spans="1:8" ht="15.75" x14ac:dyDescent="0.25">
      <c r="A545" s="769" t="s">
        <v>3362</v>
      </c>
      <c r="B545" s="660"/>
      <c r="C545" s="660"/>
      <c r="D545" s="668"/>
      <c r="E545" s="667">
        <f>PACKAGING!E17</f>
        <v>7.5</v>
      </c>
      <c r="F545" s="653"/>
      <c r="G545" s="658"/>
      <c r="H545" s="653"/>
    </row>
    <row r="546" spans="1:8" ht="15.75" x14ac:dyDescent="0.25">
      <c r="A546" s="769" t="s">
        <v>4900</v>
      </c>
      <c r="B546" s="660"/>
      <c r="C546" s="660"/>
      <c r="D546" s="668"/>
      <c r="E546" s="667">
        <f>PACKAGING!E8</f>
        <v>420</v>
      </c>
      <c r="F546" s="653"/>
      <c r="G546" s="658"/>
      <c r="H546" s="653"/>
    </row>
    <row r="547" spans="1:8" ht="15.75" x14ac:dyDescent="0.25">
      <c r="A547" s="683" t="s">
        <v>1618</v>
      </c>
      <c r="B547" s="660">
        <v>60</v>
      </c>
      <c r="C547" s="660">
        <v>20</v>
      </c>
      <c r="D547" s="668">
        <f>'INSUMOS VARIOS'!B3</f>
        <v>3500</v>
      </c>
      <c r="E547" s="669">
        <f>D547*C547/B547</f>
        <v>1166.6666666666667</v>
      </c>
      <c r="F547" s="653"/>
      <c r="G547" s="658"/>
      <c r="H547" s="653"/>
    </row>
    <row r="548" spans="1:8" ht="15.75" x14ac:dyDescent="0.25">
      <c r="A548" s="670" t="s">
        <v>525</v>
      </c>
      <c r="B548" s="671"/>
      <c r="C548" s="671"/>
      <c r="D548" s="672"/>
      <c r="E548" s="673">
        <f>SUM(E542:E547)</f>
        <v>4995.6966666666667</v>
      </c>
      <c r="F548" s="658"/>
      <c r="G548" s="653"/>
      <c r="H548" s="653"/>
    </row>
    <row r="549" spans="1:8" ht="16.5" thickBot="1" x14ac:dyDescent="0.3">
      <c r="A549" s="675" t="s">
        <v>4918</v>
      </c>
      <c r="B549" s="676"/>
      <c r="C549" s="676"/>
      <c r="D549" s="677"/>
      <c r="E549" s="678">
        <f>E548*2</f>
        <v>9991.3933333333334</v>
      </c>
      <c r="H549" s="653"/>
    </row>
    <row r="550" spans="1:8" ht="16.5" thickBot="1" x14ac:dyDescent="0.3">
      <c r="A550" s="684" t="s">
        <v>1559</v>
      </c>
      <c r="B550" s="685"/>
      <c r="C550" s="685"/>
      <c r="D550" s="686"/>
      <c r="E550" s="707">
        <f>E549+E549*70%</f>
        <v>16985.368666666665</v>
      </c>
      <c r="F550" s="681">
        <v>26000</v>
      </c>
    </row>
    <row r="551" spans="1:8" ht="16.5" thickBot="1" x14ac:dyDescent="0.3">
      <c r="A551" s="653"/>
      <c r="B551" s="653"/>
      <c r="C551" s="653"/>
      <c r="D551" s="653"/>
      <c r="E551" s="653"/>
      <c r="F551" s="1275">
        <f>F550*60%</f>
        <v>15600</v>
      </c>
      <c r="G551" s="1276" t="s">
        <v>3687</v>
      </c>
      <c r="H551" s="1276"/>
    </row>
    <row r="552" spans="1:8" ht="15.75" thickBot="1" x14ac:dyDescent="0.3"/>
    <row r="553" spans="1:8" ht="16.5" thickBot="1" x14ac:dyDescent="0.3">
      <c r="A553" s="1809" t="s">
        <v>4921</v>
      </c>
      <c r="B553" s="1810"/>
      <c r="C553" s="1810"/>
      <c r="D553" s="1810"/>
      <c r="E553" s="1814"/>
      <c r="F553" s="653"/>
      <c r="G553" s="653"/>
      <c r="H553" s="653"/>
    </row>
    <row r="554" spans="1:8" ht="15.75" x14ac:dyDescent="0.25">
      <c r="A554" s="654" t="s">
        <v>916</v>
      </c>
      <c r="B554" s="655" t="s">
        <v>743</v>
      </c>
      <c r="C554" s="655" t="s">
        <v>1566</v>
      </c>
      <c r="D554" s="656" t="s">
        <v>1035</v>
      </c>
      <c r="E554" s="657" t="s">
        <v>1549</v>
      </c>
      <c r="F554" s="658"/>
      <c r="G554" s="653"/>
      <c r="H554" s="653"/>
    </row>
    <row r="555" spans="1:8" ht="15.75" x14ac:dyDescent="0.25">
      <c r="A555" s="769" t="s">
        <v>4895</v>
      </c>
      <c r="B555" s="660">
        <v>0.42</v>
      </c>
      <c r="C555" s="660">
        <v>1</v>
      </c>
      <c r="D555" s="661">
        <f>'HILOS-CORDONES-TANZA-CUERO'!M19</f>
        <v>2230.1999999999998</v>
      </c>
      <c r="E555" s="662">
        <f>D555*C555*B555</f>
        <v>936.68399999999986</v>
      </c>
      <c r="F555" s="658"/>
      <c r="G555" s="653"/>
      <c r="H555" s="653"/>
    </row>
    <row r="556" spans="1:8" ht="15.75" x14ac:dyDescent="0.25">
      <c r="A556" s="769" t="s">
        <v>4896</v>
      </c>
      <c r="B556" s="660"/>
      <c r="C556" s="660">
        <v>1</v>
      </c>
      <c r="D556" s="661">
        <f>'AROS, CADENAS, DIJES, ETC'!P183</f>
        <v>3857</v>
      </c>
      <c r="E556" s="662">
        <f t="shared" ref="E556" si="21">D556*C556</f>
        <v>3857</v>
      </c>
      <c r="F556" s="658"/>
      <c r="G556" s="653"/>
      <c r="H556" s="653"/>
    </row>
    <row r="557" spans="1:8" ht="15.75" x14ac:dyDescent="0.25">
      <c r="A557" s="666" t="s">
        <v>1557</v>
      </c>
      <c r="B557" s="660"/>
      <c r="C557" s="660"/>
      <c r="D557" s="661"/>
      <c r="E557" s="667">
        <f>PACKAGING!E4</f>
        <v>80</v>
      </c>
      <c r="F557" s="653"/>
      <c r="G557" s="658"/>
      <c r="H557" s="653"/>
    </row>
    <row r="558" spans="1:8" ht="15.75" x14ac:dyDescent="0.25">
      <c r="A558" s="769" t="s">
        <v>3362</v>
      </c>
      <c r="B558" s="660"/>
      <c r="C558" s="660"/>
      <c r="D558" s="668"/>
      <c r="E558" s="667">
        <f>PACKAGING!E17</f>
        <v>7.5</v>
      </c>
      <c r="F558" s="653"/>
      <c r="G558" s="658"/>
      <c r="H558" s="653"/>
    </row>
    <row r="559" spans="1:8" ht="15.75" x14ac:dyDescent="0.25">
      <c r="A559" s="769" t="s">
        <v>4900</v>
      </c>
      <c r="B559" s="660"/>
      <c r="C559" s="660"/>
      <c r="D559" s="668"/>
      <c r="E559" s="667">
        <f>PACKAGING!E8</f>
        <v>420</v>
      </c>
      <c r="F559" s="653"/>
      <c r="G559" s="658"/>
      <c r="H559" s="653"/>
    </row>
    <row r="560" spans="1:8" ht="15.75" x14ac:dyDescent="0.25">
      <c r="A560" s="683" t="s">
        <v>1618</v>
      </c>
      <c r="B560" s="660">
        <v>60</v>
      </c>
      <c r="C560" s="660">
        <v>20</v>
      </c>
      <c r="D560" s="668">
        <f>'INSUMOS VARIOS'!B3</f>
        <v>3500</v>
      </c>
      <c r="E560" s="669">
        <f>D560*C560/B560</f>
        <v>1166.6666666666667</v>
      </c>
      <c r="F560" s="653"/>
      <c r="G560" s="658"/>
      <c r="H560" s="653"/>
    </row>
    <row r="561" spans="1:8" ht="15.75" x14ac:dyDescent="0.25">
      <c r="A561" s="670" t="s">
        <v>525</v>
      </c>
      <c r="B561" s="671"/>
      <c r="C561" s="671"/>
      <c r="D561" s="672"/>
      <c r="E561" s="673">
        <f>SUM(E555:E560)</f>
        <v>6467.8506666666672</v>
      </c>
      <c r="F561" s="658"/>
      <c r="G561" s="653"/>
      <c r="H561" s="653"/>
    </row>
    <row r="562" spans="1:8" ht="15.75" thickBot="1" x14ac:dyDescent="0.3">
      <c r="A562" s="675" t="s">
        <v>4918</v>
      </c>
      <c r="B562" s="676"/>
      <c r="C562" s="676"/>
      <c r="D562" s="677"/>
      <c r="E562" s="1470">
        <f>E561*2</f>
        <v>12935.701333333334</v>
      </c>
      <c r="F562" s="1471"/>
    </row>
    <row r="563" spans="1:8" ht="16.5" thickBot="1" x14ac:dyDescent="0.3">
      <c r="A563" s="684" t="s">
        <v>1559</v>
      </c>
      <c r="B563" s="685"/>
      <c r="C563" s="685"/>
      <c r="D563" s="686"/>
      <c r="E563" s="1422">
        <f>E562+E562*70%</f>
        <v>21990.692266666665</v>
      </c>
      <c r="F563" s="681">
        <v>26000</v>
      </c>
      <c r="G563" s="653"/>
    </row>
    <row r="564" spans="1:8" ht="16.5" thickBot="1" x14ac:dyDescent="0.3">
      <c r="A564" s="653"/>
      <c r="B564" s="653"/>
      <c r="C564" s="653"/>
      <c r="D564" s="653"/>
      <c r="E564" s="1476"/>
      <c r="F564" s="1275">
        <f>F563*60%</f>
        <v>15600</v>
      </c>
      <c r="G564" s="1276" t="s">
        <v>3687</v>
      </c>
      <c r="H564" s="653"/>
    </row>
    <row r="565" spans="1:8" ht="16.5" thickBot="1" x14ac:dyDescent="0.3">
      <c r="A565" s="653"/>
      <c r="B565" s="653"/>
      <c r="C565" s="653"/>
      <c r="D565" s="653"/>
      <c r="E565" s="653"/>
      <c r="F565" s="653"/>
      <c r="G565" s="653"/>
      <c r="H565" s="653"/>
    </row>
    <row r="566" spans="1:8" ht="16.5" thickBot="1" x14ac:dyDescent="0.3">
      <c r="A566" s="1809" t="s">
        <v>4928</v>
      </c>
      <c r="B566" s="1810"/>
      <c r="C566" s="1810"/>
      <c r="D566" s="1810"/>
      <c r="E566" s="1814"/>
      <c r="F566" s="653"/>
      <c r="G566" s="653"/>
      <c r="H566" s="653"/>
    </row>
    <row r="567" spans="1:8" ht="15.75" x14ac:dyDescent="0.25">
      <c r="A567" s="654" t="s">
        <v>916</v>
      </c>
      <c r="B567" s="655" t="s">
        <v>743</v>
      </c>
      <c r="C567" s="655" t="s">
        <v>1566</v>
      </c>
      <c r="D567" s="656" t="s">
        <v>1035</v>
      </c>
      <c r="E567" s="657" t="s">
        <v>1549</v>
      </c>
      <c r="F567" s="658"/>
      <c r="G567" s="653"/>
      <c r="H567" s="653"/>
    </row>
    <row r="568" spans="1:8" ht="15.75" x14ac:dyDescent="0.25">
      <c r="A568" s="1762" t="s">
        <v>4897</v>
      </c>
      <c r="B568" s="660">
        <v>0.2</v>
      </c>
      <c r="C568" s="660">
        <v>1</v>
      </c>
      <c r="D568" s="661">
        <f>'HILOS-CORDONES-TANZA-CUERO'!E11</f>
        <v>210.25</v>
      </c>
      <c r="E568" s="662">
        <f>D568*C568*B568</f>
        <v>42.050000000000004</v>
      </c>
      <c r="F568" s="658"/>
      <c r="G568" s="653"/>
      <c r="H568" s="653"/>
    </row>
    <row r="569" spans="1:8" ht="15.75" x14ac:dyDescent="0.25">
      <c r="A569" s="1763"/>
      <c r="B569" s="660">
        <v>0.43</v>
      </c>
      <c r="C569" s="660">
        <v>1</v>
      </c>
      <c r="D569" s="661">
        <f>'HILOS-CORDONES-TANZA-CUERO'!E11</f>
        <v>210.25</v>
      </c>
      <c r="E569" s="662">
        <f>D569*C569*B569</f>
        <v>90.407499999999999</v>
      </c>
      <c r="F569" s="658"/>
      <c r="G569" s="653"/>
      <c r="H569" s="653"/>
    </row>
    <row r="570" spans="1:8" ht="15.75" x14ac:dyDescent="0.25">
      <c r="A570" s="769" t="s">
        <v>4881</v>
      </c>
      <c r="B570" s="660"/>
      <c r="C570" s="660">
        <v>1</v>
      </c>
      <c r="D570" s="661">
        <f>'AROS, CADENAS, DIJES, ETC'!P198</f>
        <v>3629</v>
      </c>
      <c r="E570" s="662">
        <f t="shared" ref="E570" si="22">D570*C570</f>
        <v>3629</v>
      </c>
      <c r="F570" s="658"/>
      <c r="G570" s="653"/>
      <c r="H570" s="653"/>
    </row>
    <row r="571" spans="1:8" ht="15.75" x14ac:dyDescent="0.25">
      <c r="A571" s="820" t="s">
        <v>4594</v>
      </c>
      <c r="B571" s="660" t="s">
        <v>1556</v>
      </c>
      <c r="C571" s="660">
        <v>2</v>
      </c>
      <c r="D571" s="661">
        <f>'AROS, CADENAS, DIJES, ETC'!X15</f>
        <v>210.47222222222223</v>
      </c>
      <c r="E571" s="667">
        <f>D571*C571</f>
        <v>420.94444444444446</v>
      </c>
      <c r="F571" s="658"/>
      <c r="G571" s="653"/>
      <c r="H571" s="653"/>
    </row>
    <row r="572" spans="1:8" ht="15.75" x14ac:dyDescent="0.25">
      <c r="A572" s="820" t="s">
        <v>4898</v>
      </c>
      <c r="B572" s="660" t="s">
        <v>4899</v>
      </c>
      <c r="C572" s="660">
        <v>1</v>
      </c>
      <c r="D572" s="661">
        <f>FORNITURAS!J56</f>
        <v>1035.8</v>
      </c>
      <c r="E572" s="667">
        <f>D572*C572</f>
        <v>1035.8</v>
      </c>
      <c r="F572" s="658"/>
      <c r="G572" s="653"/>
      <c r="H572" s="653"/>
    </row>
    <row r="573" spans="1:8" ht="15.75" x14ac:dyDescent="0.25">
      <c r="A573" s="666" t="s">
        <v>1557</v>
      </c>
      <c r="B573" s="660"/>
      <c r="C573" s="660"/>
      <c r="D573" s="661"/>
      <c r="E573" s="667">
        <f>PACKAGING!E4</f>
        <v>80</v>
      </c>
      <c r="F573" s="653"/>
      <c r="G573" s="658"/>
      <c r="H573" s="653"/>
    </row>
    <row r="574" spans="1:8" ht="15.75" x14ac:dyDescent="0.25">
      <c r="A574" s="820" t="s">
        <v>3362</v>
      </c>
      <c r="B574" s="660"/>
      <c r="C574" s="660"/>
      <c r="D574" s="668"/>
      <c r="E574" s="667">
        <f>PACKAGING!E17</f>
        <v>7.5</v>
      </c>
      <c r="F574" s="653"/>
      <c r="G574" s="658"/>
      <c r="H574" s="653"/>
    </row>
    <row r="575" spans="1:8" ht="15.75" x14ac:dyDescent="0.25">
      <c r="A575" s="820" t="s">
        <v>1979</v>
      </c>
      <c r="B575" s="660"/>
      <c r="C575" s="660"/>
      <c r="D575" s="668"/>
      <c r="E575" s="667">
        <f>PACKAGING!E9</f>
        <v>450</v>
      </c>
      <c r="F575" s="653"/>
      <c r="G575" s="658"/>
      <c r="H575" s="653"/>
    </row>
    <row r="576" spans="1:8" ht="15.75" x14ac:dyDescent="0.25">
      <c r="A576" s="683" t="s">
        <v>1618</v>
      </c>
      <c r="B576" s="660">
        <v>60</v>
      </c>
      <c r="C576" s="660">
        <v>25</v>
      </c>
      <c r="D576" s="668">
        <f>'INSUMOS VARIOS'!B3</f>
        <v>3500</v>
      </c>
      <c r="E576" s="669">
        <f>D576*C576/B576</f>
        <v>1458.3333333333333</v>
      </c>
      <c r="F576" s="653"/>
      <c r="G576" s="658"/>
      <c r="H576" s="653"/>
    </row>
    <row r="577" spans="1:8" ht="15.75" x14ac:dyDescent="0.25">
      <c r="A577" s="670" t="s">
        <v>525</v>
      </c>
      <c r="B577" s="671"/>
      <c r="C577" s="671"/>
      <c r="D577" s="672"/>
      <c r="E577" s="673">
        <f>SUM(E568:E576)</f>
        <v>7214.035277777778</v>
      </c>
      <c r="F577" s="658"/>
      <c r="G577" s="653"/>
      <c r="H577" s="653"/>
    </row>
    <row r="578" spans="1:8" ht="15.75" thickBot="1" x14ac:dyDescent="0.3">
      <c r="A578" s="675" t="s">
        <v>4918</v>
      </c>
      <c r="B578" s="676"/>
      <c r="C578" s="676"/>
      <c r="D578" s="677"/>
      <c r="E578" s="1422">
        <f>E577*2</f>
        <v>14428.070555555556</v>
      </c>
    </row>
    <row r="579" spans="1:8" ht="16.5" thickBot="1" x14ac:dyDescent="0.3">
      <c r="A579" s="684" t="s">
        <v>1559</v>
      </c>
      <c r="B579" s="685"/>
      <c r="C579" s="685"/>
      <c r="D579" s="686"/>
      <c r="E579" s="784">
        <f>E578+E578*70%</f>
        <v>24527.719944444445</v>
      </c>
      <c r="F579" s="681">
        <v>30000</v>
      </c>
      <c r="G579" s="653"/>
    </row>
    <row r="580" spans="1:8" ht="16.5" thickBot="1" x14ac:dyDescent="0.3">
      <c r="E580" s="1476"/>
      <c r="F580" s="1275">
        <f>F579*60%</f>
        <v>18000</v>
      </c>
      <c r="G580" s="1276" t="s">
        <v>3687</v>
      </c>
    </row>
    <row r="581" spans="1:8" ht="15.75" thickBot="1" x14ac:dyDescent="0.3"/>
    <row r="582" spans="1:8" ht="16.5" thickBot="1" x14ac:dyDescent="0.3">
      <c r="A582" s="1809" t="s">
        <v>4922</v>
      </c>
      <c r="B582" s="1810"/>
      <c r="C582" s="1810"/>
      <c r="D582" s="1810"/>
      <c r="E582" s="1814"/>
      <c r="F582" s="653"/>
      <c r="G582" s="653"/>
      <c r="H582" s="653"/>
    </row>
    <row r="583" spans="1:8" ht="15.75" x14ac:dyDescent="0.25">
      <c r="A583" s="654" t="s">
        <v>916</v>
      </c>
      <c r="B583" s="655" t="s">
        <v>743</v>
      </c>
      <c r="C583" s="655" t="s">
        <v>1566</v>
      </c>
      <c r="D583" s="656" t="s">
        <v>1035</v>
      </c>
      <c r="E583" s="657" t="s">
        <v>1549</v>
      </c>
      <c r="F583" s="658"/>
      <c r="G583" s="653"/>
      <c r="H583" s="653"/>
    </row>
    <row r="584" spans="1:8" ht="15.75" x14ac:dyDescent="0.25">
      <c r="A584" s="1762" t="s">
        <v>4901</v>
      </c>
      <c r="B584" s="660">
        <v>0.2</v>
      </c>
      <c r="C584" s="660">
        <v>1</v>
      </c>
      <c r="D584" s="661">
        <f>'HILOS-CORDONES-TANZA-CUERO'!E10</f>
        <v>210.25</v>
      </c>
      <c r="E584" s="662">
        <f>D584*C584*B584</f>
        <v>42.050000000000004</v>
      </c>
      <c r="F584" s="658"/>
      <c r="G584" s="653"/>
      <c r="H584" s="653"/>
    </row>
    <row r="585" spans="1:8" ht="15.75" x14ac:dyDescent="0.25">
      <c r="A585" s="1763"/>
      <c r="B585" s="660">
        <v>0.57999999999999996</v>
      </c>
      <c r="C585" s="660">
        <v>1</v>
      </c>
      <c r="D585" s="661">
        <f>'HILOS-CORDONES-TANZA-CUERO'!E10</f>
        <v>210.25</v>
      </c>
      <c r="E585" s="662">
        <f>D585*C585*B585</f>
        <v>121.94499999999999</v>
      </c>
      <c r="F585" s="658"/>
      <c r="G585" s="653"/>
      <c r="H585" s="653"/>
    </row>
    <row r="586" spans="1:8" ht="15.75" x14ac:dyDescent="0.25">
      <c r="A586" s="769" t="s">
        <v>4567</v>
      </c>
      <c r="B586" s="660" t="s">
        <v>4899</v>
      </c>
      <c r="C586" s="660">
        <v>3</v>
      </c>
      <c r="D586" s="661">
        <f>PLATEADO!F6</f>
        <v>561.98</v>
      </c>
      <c r="E586" s="662">
        <f t="shared" ref="E586:E591" si="23">D586*C586</f>
        <v>1685.94</v>
      </c>
      <c r="F586" s="658"/>
      <c r="G586" s="653"/>
      <c r="H586" s="653"/>
    </row>
    <row r="587" spans="1:8" ht="15.75" x14ac:dyDescent="0.25">
      <c r="A587" s="820" t="s">
        <v>3436</v>
      </c>
      <c r="B587" s="660" t="s">
        <v>4903</v>
      </c>
      <c r="C587" s="660">
        <v>1</v>
      </c>
      <c r="D587" s="661">
        <f>PLATEADO!F7</f>
        <v>824.54</v>
      </c>
      <c r="E587" s="662">
        <f t="shared" si="23"/>
        <v>824.54</v>
      </c>
      <c r="F587" s="658"/>
      <c r="G587" s="653"/>
      <c r="H587" s="653"/>
    </row>
    <row r="588" spans="1:8" ht="15.75" x14ac:dyDescent="0.25">
      <c r="A588" s="820" t="s">
        <v>4594</v>
      </c>
      <c r="B588" s="660" t="s">
        <v>1556</v>
      </c>
      <c r="C588" s="660">
        <v>2</v>
      </c>
      <c r="D588" s="661">
        <f>'AROS, CADENAS, DIJES, ETC'!X15</f>
        <v>210.47222222222223</v>
      </c>
      <c r="E588" s="662">
        <f t="shared" si="23"/>
        <v>420.94444444444446</v>
      </c>
      <c r="F588" s="658"/>
      <c r="G588" s="653"/>
      <c r="H588" s="653"/>
    </row>
    <row r="589" spans="1:8" ht="15.75" x14ac:dyDescent="0.25">
      <c r="A589" s="1339" t="s">
        <v>4902</v>
      </c>
      <c r="B589" s="660" t="s">
        <v>4903</v>
      </c>
      <c r="C589" s="660">
        <v>1</v>
      </c>
      <c r="D589" s="661">
        <f>FORNITURAS!H60</f>
        <v>2941.54</v>
      </c>
      <c r="E589" s="662">
        <f t="shared" si="23"/>
        <v>2941.54</v>
      </c>
      <c r="F589" s="658"/>
      <c r="G589" s="653"/>
      <c r="H589" s="653"/>
    </row>
    <row r="590" spans="1:8" ht="15.75" x14ac:dyDescent="0.25">
      <c r="A590" s="1734" t="s">
        <v>4898</v>
      </c>
      <c r="B590" s="660" t="s">
        <v>4899</v>
      </c>
      <c r="C590" s="660">
        <v>1</v>
      </c>
      <c r="D590" s="661">
        <f>FORNITURAS!H56</f>
        <v>1694</v>
      </c>
      <c r="E590" s="662">
        <f t="shared" si="23"/>
        <v>1694</v>
      </c>
      <c r="F590" s="658"/>
      <c r="G590" s="653"/>
      <c r="H590" s="653"/>
    </row>
    <row r="591" spans="1:8" ht="15.75" x14ac:dyDescent="0.25">
      <c r="A591" s="1735"/>
      <c r="B591" s="660" t="s">
        <v>4241</v>
      </c>
      <c r="C591" s="660">
        <v>1</v>
      </c>
      <c r="D591" s="661">
        <f>FORNITURAS!H57</f>
        <v>2178</v>
      </c>
      <c r="E591" s="662">
        <f t="shared" si="23"/>
        <v>2178</v>
      </c>
      <c r="F591" s="658"/>
      <c r="G591" s="653"/>
      <c r="H591" s="653"/>
    </row>
    <row r="592" spans="1:8" ht="15.75" x14ac:dyDescent="0.25">
      <c r="A592" s="666" t="s">
        <v>1557</v>
      </c>
      <c r="B592" s="660"/>
      <c r="C592" s="660"/>
      <c r="D592" s="661"/>
      <c r="E592" s="667">
        <f>PACKAGING!E4</f>
        <v>80</v>
      </c>
      <c r="F592" s="653"/>
      <c r="G592" s="658"/>
      <c r="H592" s="653"/>
    </row>
    <row r="593" spans="1:10" ht="15.75" x14ac:dyDescent="0.25">
      <c r="A593" s="820" t="s">
        <v>3362</v>
      </c>
      <c r="B593" s="660"/>
      <c r="C593" s="660"/>
      <c r="D593" s="668"/>
      <c r="E593" s="667">
        <f>PACKAGING!E17</f>
        <v>7.5</v>
      </c>
      <c r="F593" s="653"/>
      <c r="G593" s="658"/>
      <c r="H593" s="653"/>
    </row>
    <row r="594" spans="1:10" ht="15.75" x14ac:dyDescent="0.25">
      <c r="A594" s="820" t="s">
        <v>1979</v>
      </c>
      <c r="B594" s="660"/>
      <c r="C594" s="660"/>
      <c r="D594" s="668"/>
      <c r="E594" s="667">
        <f>PACKAGING!E9</f>
        <v>450</v>
      </c>
      <c r="F594" s="653"/>
      <c r="G594" s="658"/>
      <c r="H594" s="653"/>
    </row>
    <row r="595" spans="1:10" ht="15.75" x14ac:dyDescent="0.25">
      <c r="A595" s="683" t="s">
        <v>1618</v>
      </c>
      <c r="B595" s="660">
        <v>60</v>
      </c>
      <c r="C595" s="660">
        <v>20</v>
      </c>
      <c r="D595" s="668">
        <f>'INSUMOS VARIOS'!B3</f>
        <v>3500</v>
      </c>
      <c r="E595" s="669">
        <f>D595*C595/B595</f>
        <v>1166.6666666666667</v>
      </c>
      <c r="F595" s="653"/>
      <c r="G595" s="658"/>
      <c r="H595" s="653"/>
    </row>
    <row r="596" spans="1:10" ht="15.75" x14ac:dyDescent="0.25">
      <c r="A596" s="670" t="s">
        <v>525</v>
      </c>
      <c r="B596" s="671"/>
      <c r="C596" s="671"/>
      <c r="D596" s="672"/>
      <c r="E596" s="673">
        <f>SUM(E585:E595)</f>
        <v>11571.076111111111</v>
      </c>
      <c r="F596" s="658"/>
      <c r="G596" s="653"/>
      <c r="H596" s="653"/>
    </row>
    <row r="597" spans="1:10" ht="15.75" thickBot="1" x14ac:dyDescent="0.3">
      <c r="A597" s="675" t="s">
        <v>4918</v>
      </c>
      <c r="B597" s="676"/>
      <c r="C597" s="676"/>
      <c r="D597" s="677"/>
      <c r="E597" s="1470">
        <f>E596*2</f>
        <v>23142.152222222223</v>
      </c>
      <c r="F597" s="1471"/>
    </row>
    <row r="598" spans="1:10" ht="16.5" thickBot="1" x14ac:dyDescent="0.3">
      <c r="A598" s="684" t="s">
        <v>1559</v>
      </c>
      <c r="B598" s="685"/>
      <c r="C598" s="685"/>
      <c r="D598" s="686"/>
      <c r="E598" s="784">
        <f>E597+E597*70%</f>
        <v>39341.658777777775</v>
      </c>
      <c r="F598" s="681">
        <v>42000</v>
      </c>
      <c r="G598" s="653"/>
    </row>
    <row r="599" spans="1:10" ht="16.5" thickBot="1" x14ac:dyDescent="0.3">
      <c r="E599" s="1472"/>
      <c r="F599" s="1275">
        <f>F598*60%</f>
        <v>25200</v>
      </c>
      <c r="G599" s="1276" t="s">
        <v>3687</v>
      </c>
    </row>
    <row r="600" spans="1:10" ht="15.75" x14ac:dyDescent="0.25">
      <c r="G600" s="1276"/>
    </row>
    <row r="601" spans="1:10" ht="18.75" x14ac:dyDescent="0.3">
      <c r="A601" s="1508" t="s">
        <v>5109</v>
      </c>
      <c r="B601" s="1507"/>
      <c r="C601" s="1507"/>
      <c r="D601" s="1507"/>
      <c r="E601" s="1507"/>
      <c r="F601" s="1507"/>
      <c r="G601" s="1507"/>
      <c r="H601" s="1507"/>
      <c r="I601" s="1507"/>
      <c r="J601" s="1508"/>
    </row>
    <row r="602" spans="1:10" ht="15.75" thickBot="1" x14ac:dyDescent="0.3"/>
    <row r="603" spans="1:10" ht="15.75" thickBot="1" x14ac:dyDescent="0.3">
      <c r="A603" s="1804" t="s">
        <v>4946</v>
      </c>
      <c r="B603" s="1805"/>
      <c r="C603" s="1805"/>
      <c r="D603" s="1805"/>
      <c r="E603" s="1805"/>
      <c r="F603" s="1806"/>
      <c r="G603" s="658"/>
      <c r="H603" s="674"/>
      <c r="I603" s="652"/>
    </row>
    <row r="604" spans="1:10" x14ac:dyDescent="0.25">
      <c r="A604" s="1394" t="s">
        <v>916</v>
      </c>
      <c r="B604" s="655" t="s">
        <v>1194</v>
      </c>
      <c r="C604" s="655" t="s">
        <v>1089</v>
      </c>
      <c r="D604" s="656" t="s">
        <v>1547</v>
      </c>
      <c r="E604" s="773" t="s">
        <v>1035</v>
      </c>
      <c r="F604" s="657" t="s">
        <v>1549</v>
      </c>
      <c r="G604" s="658"/>
      <c r="H604" s="674"/>
      <c r="I604" s="652"/>
    </row>
    <row r="605" spans="1:10" x14ac:dyDescent="0.25">
      <c r="A605" s="660" t="s">
        <v>4947</v>
      </c>
      <c r="B605" s="820" t="s">
        <v>777</v>
      </c>
      <c r="C605" s="769">
        <v>0.35</v>
      </c>
      <c r="D605" s="1383">
        <v>0.15</v>
      </c>
      <c r="E605" s="1385">
        <f>PIEDRAS!E26</f>
        <v>5930</v>
      </c>
      <c r="F605" s="1386">
        <f>E605*D605/C605</f>
        <v>2541.4285714285716</v>
      </c>
      <c r="G605" s="658"/>
      <c r="H605" s="674"/>
      <c r="I605" s="652"/>
    </row>
    <row r="606" spans="1:10" x14ac:dyDescent="0.25">
      <c r="A606" s="666" t="s">
        <v>4948</v>
      </c>
      <c r="B606" s="820"/>
      <c r="C606" s="769"/>
      <c r="D606" s="1383">
        <v>1</v>
      </c>
      <c r="E606" s="1385">
        <f>'AROS, CADENAS, DIJES, ETC'!O73</f>
        <v>1820</v>
      </c>
      <c r="F606" s="1386">
        <f>E606*D606</f>
        <v>1820</v>
      </c>
      <c r="G606" s="658"/>
      <c r="H606" s="674"/>
      <c r="I606" s="652"/>
    </row>
    <row r="607" spans="1:10" x14ac:dyDescent="0.25">
      <c r="A607" s="666" t="s">
        <v>1554</v>
      </c>
      <c r="B607" s="820"/>
      <c r="C607" s="660"/>
      <c r="D607" s="769">
        <v>2</v>
      </c>
      <c r="E607" s="1385">
        <f>FORNITURAS!D24</f>
        <v>34.666666666666664</v>
      </c>
      <c r="F607" s="1386">
        <f>E607*D607</f>
        <v>69.333333333333329</v>
      </c>
      <c r="G607" s="658"/>
      <c r="H607" s="674"/>
      <c r="I607" s="652"/>
    </row>
    <row r="608" spans="1:10" x14ac:dyDescent="0.25">
      <c r="A608" s="666" t="s">
        <v>3507</v>
      </c>
      <c r="B608" s="660"/>
      <c r="C608" s="660"/>
      <c r="D608" s="769">
        <v>2</v>
      </c>
      <c r="E608" s="668">
        <f>FORNITURAS!I13</f>
        <v>274.44444444444446</v>
      </c>
      <c r="F608" s="662">
        <f>E608*D608</f>
        <v>548.88888888888891</v>
      </c>
      <c r="G608" s="658"/>
      <c r="H608" s="674"/>
      <c r="I608" s="652"/>
    </row>
    <row r="609" spans="1:9" x14ac:dyDescent="0.25">
      <c r="A609" s="666" t="s">
        <v>1012</v>
      </c>
      <c r="B609" s="660"/>
      <c r="C609" s="660"/>
      <c r="D609" s="769">
        <v>8</v>
      </c>
      <c r="E609" s="668">
        <f>FORNITURAS!D16</f>
        <v>45.05</v>
      </c>
      <c r="F609" s="662">
        <f>E609*D609</f>
        <v>360.4</v>
      </c>
      <c r="G609" s="658"/>
      <c r="H609" s="674"/>
      <c r="I609" s="652"/>
    </row>
    <row r="610" spans="1:9" x14ac:dyDescent="0.25">
      <c r="A610" s="666" t="s">
        <v>4949</v>
      </c>
      <c r="B610" s="660"/>
      <c r="C610" s="660"/>
      <c r="D610" s="769">
        <v>0.8</v>
      </c>
      <c r="E610" s="668">
        <f>'HILOS-CORDONES-TANZA-CUERO'!E30</f>
        <v>30</v>
      </c>
      <c r="F610" s="662">
        <f>E610*D610</f>
        <v>24</v>
      </c>
      <c r="G610" s="658"/>
      <c r="H610" s="674"/>
      <c r="I610" s="652"/>
    </row>
    <row r="611" spans="1:9" x14ac:dyDescent="0.25">
      <c r="A611" s="666" t="s">
        <v>1557</v>
      </c>
      <c r="B611" s="660"/>
      <c r="C611" s="660"/>
      <c r="D611" s="769"/>
      <c r="E611" s="668"/>
      <c r="F611" s="662">
        <f>PACKAGING!E4</f>
        <v>80</v>
      </c>
      <c r="G611" s="658"/>
      <c r="H611" s="674"/>
      <c r="I611" s="652"/>
    </row>
    <row r="612" spans="1:9" x14ac:dyDescent="0.25">
      <c r="A612" s="665" t="s">
        <v>3180</v>
      </c>
      <c r="B612" s="660"/>
      <c r="C612" s="660"/>
      <c r="D612" s="769"/>
      <c r="E612" s="779"/>
      <c r="F612" s="662">
        <f>PACKAGING!E8</f>
        <v>420</v>
      </c>
      <c r="G612" s="658"/>
      <c r="H612" s="674"/>
      <c r="I612" s="652"/>
    </row>
    <row r="613" spans="1:9" ht="18" x14ac:dyDescent="0.25">
      <c r="A613" s="665" t="s">
        <v>1558</v>
      </c>
      <c r="B613" s="660">
        <v>60</v>
      </c>
      <c r="C613" s="1395"/>
      <c r="D613" s="769">
        <v>30</v>
      </c>
      <c r="E613" s="668">
        <f>'INSUMOS VARIOS'!B3</f>
        <v>3500</v>
      </c>
      <c r="F613" s="662">
        <f>D613*E613/B613</f>
        <v>1750</v>
      </c>
      <c r="G613" s="1396"/>
      <c r="H613" s="674"/>
      <c r="I613" s="652"/>
    </row>
    <row r="614" spans="1:9" ht="15.75" thickBot="1" x14ac:dyDescent="0.3">
      <c r="A614" s="670" t="s">
        <v>525</v>
      </c>
      <c r="B614" s="671"/>
      <c r="C614" s="671"/>
      <c r="D614" s="672"/>
      <c r="E614" s="780"/>
      <c r="F614" s="673">
        <f>SUM(F605:F613)</f>
        <v>7614.0507936507929</v>
      </c>
      <c r="G614" s="658"/>
      <c r="H614" s="674"/>
      <c r="I614" s="652"/>
    </row>
    <row r="615" spans="1:9" ht="16.5" thickBot="1" x14ac:dyDescent="0.3">
      <c r="A615" s="675" t="s">
        <v>4918</v>
      </c>
      <c r="B615" s="676"/>
      <c r="C615" s="676"/>
      <c r="D615" s="677"/>
      <c r="E615" s="677"/>
      <c r="F615" s="692">
        <f>F614*2</f>
        <v>15228.101587301586</v>
      </c>
      <c r="G615" s="680">
        <f>F615+F615*70%</f>
        <v>25887.772698412693</v>
      </c>
      <c r="H615" s="681"/>
      <c r="I615" s="652"/>
    </row>
    <row r="616" spans="1:9" ht="16.5" thickBot="1" x14ac:dyDescent="0.3">
      <c r="A616" s="684" t="s">
        <v>1559</v>
      </c>
      <c r="B616" s="685"/>
      <c r="C616" s="685"/>
      <c r="D616" s="686"/>
      <c r="E616" s="686"/>
      <c r="F616" s="686"/>
      <c r="G616" s="690"/>
      <c r="H616" s="1275">
        <f>H615*60%</f>
        <v>0</v>
      </c>
      <c r="I616" s="1120" t="s">
        <v>3687</v>
      </c>
    </row>
    <row r="617" spans="1:9" ht="15.75" thickBot="1" x14ac:dyDescent="0.3"/>
    <row r="618" spans="1:9" ht="16.5" thickBot="1" x14ac:dyDescent="0.3">
      <c r="A618" s="1804" t="s">
        <v>5025</v>
      </c>
      <c r="B618" s="1805"/>
      <c r="C618" s="1805"/>
      <c r="D618" s="1805"/>
      <c r="E618" s="1806"/>
      <c r="F618" s="653"/>
      <c r="G618" s="653"/>
      <c r="H618" s="653"/>
    </row>
    <row r="619" spans="1:9" ht="15.75" x14ac:dyDescent="0.25">
      <c r="A619" s="654" t="s">
        <v>916</v>
      </c>
      <c r="B619" s="655" t="s">
        <v>743</v>
      </c>
      <c r="C619" s="655" t="s">
        <v>1566</v>
      </c>
      <c r="D619" s="656" t="s">
        <v>1035</v>
      </c>
      <c r="E619" s="657" t="s">
        <v>1549</v>
      </c>
      <c r="F619" s="658"/>
      <c r="G619" s="653"/>
      <c r="H619" s="653"/>
    </row>
    <row r="620" spans="1:9" ht="15.75" x14ac:dyDescent="0.25">
      <c r="A620" s="769" t="s">
        <v>4156</v>
      </c>
      <c r="B620" s="660" t="s">
        <v>5030</v>
      </c>
      <c r="C620" s="660">
        <v>2</v>
      </c>
      <c r="D620" s="661">
        <f>FORNITURAS!I15</f>
        <v>387.66666666666669</v>
      </c>
      <c r="E620" s="662">
        <f t="shared" ref="E620:E628" si="24">D620*C620</f>
        <v>775.33333333333337</v>
      </c>
      <c r="F620" s="658"/>
      <c r="G620" s="653"/>
      <c r="H620" s="653"/>
    </row>
    <row r="621" spans="1:9" ht="15.75" x14ac:dyDescent="0.25">
      <c r="A621" s="769" t="s">
        <v>5031</v>
      </c>
      <c r="B621" s="660" t="s">
        <v>846</v>
      </c>
      <c r="C621" s="660">
        <v>2</v>
      </c>
      <c r="D621" s="661">
        <f>FORNITURAS!I5</f>
        <v>188.85714285714286</v>
      </c>
      <c r="E621" s="662">
        <f t="shared" si="24"/>
        <v>377.71428571428572</v>
      </c>
      <c r="F621" s="658"/>
      <c r="G621" s="653"/>
      <c r="H621" s="653"/>
    </row>
    <row r="622" spans="1:9" ht="15.75" x14ac:dyDescent="0.25">
      <c r="A622" s="769" t="s">
        <v>3173</v>
      </c>
      <c r="B622" s="660"/>
      <c r="C622" s="660">
        <v>2</v>
      </c>
      <c r="D622" s="661">
        <f>FORNITURAS!D37</f>
        <v>299.5</v>
      </c>
      <c r="E622" s="662">
        <f t="shared" si="24"/>
        <v>599</v>
      </c>
      <c r="F622" s="658"/>
      <c r="G622" s="653"/>
      <c r="H622" s="653"/>
    </row>
    <row r="623" spans="1:9" ht="15.75" x14ac:dyDescent="0.25">
      <c r="A623" s="769" t="s">
        <v>1012</v>
      </c>
      <c r="B623" s="660"/>
      <c r="C623" s="660">
        <v>2</v>
      </c>
      <c r="D623" s="661">
        <f>FORNITURAS!D16</f>
        <v>45.05</v>
      </c>
      <c r="E623" s="662">
        <f t="shared" si="24"/>
        <v>90.1</v>
      </c>
      <c r="F623" s="658"/>
      <c r="G623" s="653"/>
      <c r="H623" s="653"/>
    </row>
    <row r="624" spans="1:9" ht="15.75" x14ac:dyDescent="0.25">
      <c r="A624" s="769" t="s">
        <v>1742</v>
      </c>
      <c r="B624" s="660" t="s">
        <v>5047</v>
      </c>
      <c r="C624" s="660">
        <v>2</v>
      </c>
      <c r="D624" s="661">
        <f>'PERLAS 2'!H24</f>
        <v>812</v>
      </c>
      <c r="E624" s="662">
        <f t="shared" si="24"/>
        <v>1624</v>
      </c>
      <c r="F624" s="658"/>
      <c r="G624" s="653"/>
      <c r="H624" s="653"/>
    </row>
    <row r="625" spans="1:8" ht="15.75" x14ac:dyDescent="0.25">
      <c r="A625" s="769" t="s">
        <v>5028</v>
      </c>
      <c r="B625" s="660"/>
      <c r="C625" s="660">
        <v>2</v>
      </c>
      <c r="D625" s="661">
        <f>PIEDRAS!F48</f>
        <v>293.75</v>
      </c>
      <c r="E625" s="662">
        <f t="shared" si="24"/>
        <v>587.5</v>
      </c>
      <c r="F625" s="658"/>
      <c r="G625" s="653"/>
      <c r="H625" s="653"/>
    </row>
    <row r="626" spans="1:8" ht="15.75" x14ac:dyDescent="0.25">
      <c r="A626" s="769" t="s">
        <v>5027</v>
      </c>
      <c r="B626" s="660" t="s">
        <v>3521</v>
      </c>
      <c r="C626" s="660">
        <v>2</v>
      </c>
      <c r="D626" s="661">
        <f>PIEDRAS!F25</f>
        <v>102.05882352941177</v>
      </c>
      <c r="E626" s="662">
        <f t="shared" si="24"/>
        <v>204.11764705882354</v>
      </c>
      <c r="F626" s="658"/>
      <c r="G626" s="653"/>
      <c r="H626" s="653"/>
    </row>
    <row r="627" spans="1:8" ht="15.75" x14ac:dyDescent="0.25">
      <c r="A627" s="769" t="s">
        <v>4251</v>
      </c>
      <c r="B627" s="660" t="s">
        <v>781</v>
      </c>
      <c r="C627" s="660">
        <v>1</v>
      </c>
      <c r="D627" s="661">
        <f>PIEDRAS!F64</f>
        <v>138.06818181818181</v>
      </c>
      <c r="E627" s="662">
        <f t="shared" si="24"/>
        <v>138.06818181818181</v>
      </c>
      <c r="F627" s="658"/>
      <c r="G627" s="653"/>
      <c r="H627" s="653"/>
    </row>
    <row r="628" spans="1:8" ht="15.75" x14ac:dyDescent="0.25">
      <c r="A628" s="769" t="s">
        <v>4251</v>
      </c>
      <c r="B628" s="660" t="s">
        <v>805</v>
      </c>
      <c r="C628" s="660">
        <v>2</v>
      </c>
      <c r="D628" s="661">
        <f>PIEDRAS!F65</f>
        <v>198.75</v>
      </c>
      <c r="E628" s="662">
        <f t="shared" si="24"/>
        <v>397.5</v>
      </c>
      <c r="F628" s="658"/>
      <c r="G628" s="653"/>
      <c r="H628" s="653"/>
    </row>
    <row r="629" spans="1:8" ht="15.75" x14ac:dyDescent="0.25">
      <c r="A629" s="769" t="s">
        <v>5090</v>
      </c>
      <c r="B629" s="660"/>
      <c r="C629" s="660">
        <v>2</v>
      </c>
      <c r="D629" s="661">
        <f>PIEDRAS!F102</f>
        <v>139.33333333333334</v>
      </c>
      <c r="E629" s="662">
        <f>D629*C629</f>
        <v>278.66666666666669</v>
      </c>
      <c r="F629" s="658"/>
      <c r="G629" s="653"/>
      <c r="H629" s="653"/>
    </row>
    <row r="630" spans="1:8" ht="15.75" x14ac:dyDescent="0.25">
      <c r="A630" s="820" t="s">
        <v>5034</v>
      </c>
      <c r="B630" s="660" t="s">
        <v>5035</v>
      </c>
      <c r="C630" s="660">
        <v>2</v>
      </c>
      <c r="D630" s="661">
        <f>PIEDRAS!F85</f>
        <v>232.5</v>
      </c>
      <c r="E630" s="662">
        <f t="shared" ref="E630:E635" si="25">D630*C630</f>
        <v>465</v>
      </c>
      <c r="F630" s="658"/>
      <c r="G630" s="653"/>
      <c r="H630" s="653"/>
    </row>
    <row r="631" spans="1:8" ht="15.75" x14ac:dyDescent="0.25">
      <c r="A631" s="666" t="s">
        <v>5026</v>
      </c>
      <c r="B631" s="660" t="s">
        <v>805</v>
      </c>
      <c r="C631" s="660">
        <v>2</v>
      </c>
      <c r="D631" s="661">
        <f>PIEDRAS!F71</f>
        <v>329.55882352941177</v>
      </c>
      <c r="E631" s="662">
        <f t="shared" si="25"/>
        <v>659.11764705882354</v>
      </c>
      <c r="F631" s="658"/>
      <c r="G631" s="653"/>
      <c r="H631" s="653"/>
    </row>
    <row r="632" spans="1:8" ht="15.75" x14ac:dyDescent="0.25">
      <c r="A632" s="666" t="s">
        <v>3111</v>
      </c>
      <c r="B632" s="660" t="s">
        <v>5032</v>
      </c>
      <c r="C632" s="660">
        <v>1</v>
      </c>
      <c r="D632" s="661">
        <f>FORNITURAS!D14</f>
        <v>98.8</v>
      </c>
      <c r="E632" s="662">
        <f t="shared" si="25"/>
        <v>98.8</v>
      </c>
      <c r="F632" s="658"/>
      <c r="G632" s="653"/>
      <c r="H632" s="653"/>
    </row>
    <row r="633" spans="1:8" ht="15.75" x14ac:dyDescent="0.25">
      <c r="A633" s="666" t="s">
        <v>4141</v>
      </c>
      <c r="B633" s="660"/>
      <c r="C633" s="660">
        <v>3.5000000000000003E-2</v>
      </c>
      <c r="D633" s="661">
        <f>'AROS, CADENAS, DIJES, ETC'!K65</f>
        <v>11098</v>
      </c>
      <c r="E633" s="662">
        <f t="shared" si="25"/>
        <v>388.43000000000006</v>
      </c>
      <c r="F633" s="658"/>
      <c r="G633" s="653"/>
      <c r="H633" s="653"/>
    </row>
    <row r="634" spans="1:8" ht="15.75" x14ac:dyDescent="0.25">
      <c r="A634" s="666" t="s">
        <v>3096</v>
      </c>
      <c r="B634" s="660" t="s">
        <v>930</v>
      </c>
      <c r="C634" s="660">
        <v>1</v>
      </c>
      <c r="D634" s="661">
        <f>FORNITURAS!D20</f>
        <v>1066</v>
      </c>
      <c r="E634" s="662">
        <f t="shared" si="25"/>
        <v>1066</v>
      </c>
      <c r="F634" s="658"/>
      <c r="G634" s="653"/>
      <c r="H634" s="653"/>
    </row>
    <row r="635" spans="1:8" ht="15.75" x14ac:dyDescent="0.25">
      <c r="A635" s="666" t="s">
        <v>3411</v>
      </c>
      <c r="B635" s="660"/>
      <c r="C635" s="660">
        <v>2</v>
      </c>
      <c r="D635" s="661">
        <f>PIEDRAS!F140</f>
        <v>60</v>
      </c>
      <c r="E635" s="662">
        <f t="shared" si="25"/>
        <v>120</v>
      </c>
      <c r="F635" s="658"/>
      <c r="G635" s="653"/>
      <c r="H635" s="653"/>
    </row>
    <row r="636" spans="1:8" ht="15.75" x14ac:dyDescent="0.25">
      <c r="A636" s="666" t="s">
        <v>5036</v>
      </c>
      <c r="B636" s="660"/>
      <c r="C636" s="660">
        <v>0.6</v>
      </c>
      <c r="D636" s="661">
        <f>'HILOS-CORDONES-TANZA-CUERO'!E28</f>
        <v>19</v>
      </c>
      <c r="E636" s="662">
        <f>C636*D636</f>
        <v>11.4</v>
      </c>
      <c r="F636" s="658"/>
      <c r="G636" s="653"/>
      <c r="H636" s="653"/>
    </row>
    <row r="637" spans="1:8" ht="15.75" x14ac:dyDescent="0.25">
      <c r="A637" s="1736" t="s">
        <v>1971</v>
      </c>
      <c r="B637" s="660" t="s">
        <v>1556</v>
      </c>
      <c r="C637" s="660">
        <v>1</v>
      </c>
      <c r="D637" s="661">
        <f>FORNITURAS!D4</f>
        <v>48.7</v>
      </c>
      <c r="E637" s="667">
        <f>D637*C637</f>
        <v>48.7</v>
      </c>
      <c r="F637" s="658"/>
      <c r="G637" s="653"/>
      <c r="H637" s="653"/>
    </row>
    <row r="638" spans="1:8" ht="15.75" x14ac:dyDescent="0.25">
      <c r="A638" s="1737"/>
      <c r="B638" s="660" t="s">
        <v>1573</v>
      </c>
      <c r="C638" s="660">
        <v>1</v>
      </c>
      <c r="D638" s="661">
        <f>FORNITURAS!D7</f>
        <v>52</v>
      </c>
      <c r="E638" s="667">
        <f>D638*C638</f>
        <v>52</v>
      </c>
      <c r="F638" s="658"/>
      <c r="G638" s="653"/>
      <c r="H638" s="653"/>
    </row>
    <row r="639" spans="1:8" ht="15.75" x14ac:dyDescent="0.25">
      <c r="A639" s="666" t="s">
        <v>3362</v>
      </c>
      <c r="B639" s="660"/>
      <c r="C639" s="660"/>
      <c r="D639" s="661"/>
      <c r="E639" s="667">
        <f>PACKAGING!E17</f>
        <v>7.5</v>
      </c>
      <c r="F639" s="658"/>
      <c r="G639" s="653"/>
      <c r="H639" s="653"/>
    </row>
    <row r="640" spans="1:8" ht="15.75" x14ac:dyDescent="0.25">
      <c r="A640" s="666" t="s">
        <v>1537</v>
      </c>
      <c r="B640" s="660"/>
      <c r="C640" s="660"/>
      <c r="D640" s="661"/>
      <c r="E640" s="667">
        <f>PACKAGING!E7</f>
        <v>170</v>
      </c>
      <c r="F640" s="658"/>
      <c r="G640" s="653"/>
      <c r="H640" s="653"/>
    </row>
    <row r="641" spans="1:8" ht="15.75" x14ac:dyDescent="0.25">
      <c r="A641" s="666" t="s">
        <v>5120</v>
      </c>
      <c r="B641" s="660"/>
      <c r="C641" s="660"/>
      <c r="D641" s="661"/>
      <c r="E641" s="667">
        <f>PACKAGING!E8</f>
        <v>420</v>
      </c>
      <c r="F641" s="658"/>
      <c r="G641" s="653"/>
      <c r="H641" s="653"/>
    </row>
    <row r="642" spans="1:8" ht="15.75" x14ac:dyDescent="0.25">
      <c r="A642" s="666" t="s">
        <v>1557</v>
      </c>
      <c r="B642" s="660"/>
      <c r="C642" s="660"/>
      <c r="D642" s="661"/>
      <c r="E642" s="667">
        <f>PACKAGING!E3</f>
        <v>150</v>
      </c>
      <c r="F642" s="653"/>
      <c r="G642" s="658"/>
      <c r="H642" s="653"/>
    </row>
    <row r="643" spans="1:8" ht="15.75" x14ac:dyDescent="0.25">
      <c r="A643" s="683" t="s">
        <v>1618</v>
      </c>
      <c r="B643" s="660">
        <v>60</v>
      </c>
      <c r="C643" s="660">
        <v>20</v>
      </c>
      <c r="D643" s="668">
        <f>'INSUMOS VARIOS'!B3</f>
        <v>3500</v>
      </c>
      <c r="E643" s="669">
        <f>D643*C643/B643</f>
        <v>1166.6666666666667</v>
      </c>
      <c r="F643" s="653"/>
      <c r="G643" s="658"/>
      <c r="H643" s="653"/>
    </row>
    <row r="644" spans="1:8" ht="16.5" thickBot="1" x14ac:dyDescent="0.3">
      <c r="A644" s="670" t="s">
        <v>525</v>
      </c>
      <c r="B644" s="671"/>
      <c r="C644" s="671"/>
      <c r="D644" s="672"/>
      <c r="E644" s="673">
        <f>SUM(E620:E643)</f>
        <v>9895.6144283167796</v>
      </c>
      <c r="F644" s="658"/>
      <c r="G644" s="653"/>
      <c r="H644" s="653"/>
    </row>
    <row r="645" spans="1:8" ht="16.5" thickBot="1" x14ac:dyDescent="0.3">
      <c r="A645" s="675" t="s">
        <v>4918</v>
      </c>
      <c r="B645" s="676"/>
      <c r="C645" s="676"/>
      <c r="D645" s="677"/>
      <c r="E645" s="692">
        <f>E644*2</f>
        <v>19791.228856633559</v>
      </c>
      <c r="F645" s="957">
        <f>E645+E645*70%</f>
        <v>33645.089056277051</v>
      </c>
      <c r="G645" s="681"/>
      <c r="H645" s="653"/>
    </row>
    <row r="646" spans="1:8" ht="16.5" thickBot="1" x14ac:dyDescent="0.3">
      <c r="A646" s="684" t="s">
        <v>1559</v>
      </c>
      <c r="B646" s="685"/>
      <c r="C646" s="685"/>
      <c r="D646" s="686"/>
      <c r="E646" s="686"/>
      <c r="F646" s="816"/>
      <c r="G646" s="1275">
        <f>G645*60%</f>
        <v>0</v>
      </c>
      <c r="H646" s="1276" t="s">
        <v>3687</v>
      </c>
    </row>
    <row r="647" spans="1:8" ht="15.75" thickBot="1" x14ac:dyDescent="0.3"/>
    <row r="648" spans="1:8" ht="16.5" thickBot="1" x14ac:dyDescent="0.3">
      <c r="A648" s="1804" t="s">
        <v>5042</v>
      </c>
      <c r="B648" s="1805"/>
      <c r="C648" s="1805"/>
      <c r="D648" s="1805"/>
      <c r="E648" s="1806"/>
      <c r="F648" s="653"/>
      <c r="G648" s="653"/>
      <c r="H648" s="653"/>
    </row>
    <row r="649" spans="1:8" ht="15.75" x14ac:dyDescent="0.25">
      <c r="A649" s="654" t="s">
        <v>916</v>
      </c>
      <c r="B649" s="655" t="s">
        <v>743</v>
      </c>
      <c r="C649" s="655" t="s">
        <v>1566</v>
      </c>
      <c r="D649" s="656" t="s">
        <v>1035</v>
      </c>
      <c r="E649" s="657" t="s">
        <v>1549</v>
      </c>
      <c r="F649" s="658"/>
      <c r="G649" s="653"/>
      <c r="H649" s="653"/>
    </row>
    <row r="650" spans="1:8" ht="15.75" x14ac:dyDescent="0.25">
      <c r="A650" s="769" t="s">
        <v>5041</v>
      </c>
      <c r="B650" s="660">
        <v>0.94</v>
      </c>
      <c r="C650" s="660">
        <v>0.13</v>
      </c>
      <c r="D650" s="661">
        <f>PIEDRAS!E157</f>
        <v>4900</v>
      </c>
      <c r="E650" s="662">
        <f t="shared" ref="E650:E656" si="26">D650*C650</f>
        <v>637</v>
      </c>
      <c r="F650" s="658"/>
      <c r="G650" s="653"/>
      <c r="H650" s="653"/>
    </row>
    <row r="651" spans="1:8" ht="15.75" x14ac:dyDescent="0.25">
      <c r="A651" s="666" t="s">
        <v>5031</v>
      </c>
      <c r="B651" s="660" t="s">
        <v>3590</v>
      </c>
      <c r="C651" s="660">
        <v>5</v>
      </c>
      <c r="D651" s="661">
        <f>FORNITURAS!I4</f>
        <v>66.099999999999994</v>
      </c>
      <c r="E651" s="662">
        <f t="shared" si="26"/>
        <v>330.5</v>
      </c>
      <c r="F651" s="658"/>
      <c r="G651" s="653"/>
      <c r="H651" s="653"/>
    </row>
    <row r="652" spans="1:8" ht="15.75" x14ac:dyDescent="0.25">
      <c r="A652" s="666" t="s">
        <v>1012</v>
      </c>
      <c r="B652" s="660"/>
      <c r="C652" s="660">
        <v>2</v>
      </c>
      <c r="D652" s="661">
        <f>FORNITURAS!D16</f>
        <v>45.05</v>
      </c>
      <c r="E652" s="662">
        <f t="shared" si="26"/>
        <v>90.1</v>
      </c>
      <c r="F652" s="658"/>
      <c r="G652" s="653"/>
      <c r="H652" s="653"/>
    </row>
    <row r="653" spans="1:8" ht="15.75" x14ac:dyDescent="0.25">
      <c r="A653" s="666" t="s">
        <v>1424</v>
      </c>
      <c r="B653" s="660"/>
      <c r="C653" s="660">
        <v>0.18</v>
      </c>
      <c r="D653" s="661">
        <f>'HILOS-CORDONES-TANZA-CUERO'!L9</f>
        <v>30</v>
      </c>
      <c r="E653" s="667">
        <f t="shared" si="26"/>
        <v>5.3999999999999995</v>
      </c>
      <c r="F653" s="658"/>
      <c r="G653" s="653"/>
      <c r="H653" s="653"/>
    </row>
    <row r="654" spans="1:8" ht="15.75" x14ac:dyDescent="0.25">
      <c r="A654" s="1736" t="s">
        <v>1555</v>
      </c>
      <c r="B654" s="660" t="s">
        <v>1556</v>
      </c>
      <c r="C654" s="660">
        <v>2</v>
      </c>
      <c r="D654" s="661">
        <f>FORNITURAS!D4</f>
        <v>48.7</v>
      </c>
      <c r="E654" s="667">
        <f t="shared" si="26"/>
        <v>97.4</v>
      </c>
      <c r="F654" s="658"/>
      <c r="G654" s="653"/>
      <c r="H654" s="653"/>
    </row>
    <row r="655" spans="1:8" ht="15.75" x14ac:dyDescent="0.25">
      <c r="A655" s="1737"/>
      <c r="B655" s="660" t="s">
        <v>1573</v>
      </c>
      <c r="C655" s="660">
        <v>1</v>
      </c>
      <c r="D655" s="661">
        <f>FORNITURAS!D7</f>
        <v>52</v>
      </c>
      <c r="E655" s="667">
        <f t="shared" si="26"/>
        <v>52</v>
      </c>
      <c r="F655" s="658"/>
      <c r="G655" s="653"/>
      <c r="H655" s="653"/>
    </row>
    <row r="656" spans="1:8" ht="15.75" x14ac:dyDescent="0.25">
      <c r="A656" s="666" t="s">
        <v>1587</v>
      </c>
      <c r="B656" s="660" t="s">
        <v>937</v>
      </c>
      <c r="C656" s="660">
        <v>1</v>
      </c>
      <c r="D656" s="661">
        <f>FORNITURAS!D19</f>
        <v>855</v>
      </c>
      <c r="E656" s="667">
        <f t="shared" si="26"/>
        <v>855</v>
      </c>
      <c r="F656" s="658"/>
      <c r="G656" s="653"/>
      <c r="H656" s="653"/>
    </row>
    <row r="657" spans="1:8" ht="15.75" x14ac:dyDescent="0.25">
      <c r="A657" s="666" t="s">
        <v>3362</v>
      </c>
      <c r="B657" s="660"/>
      <c r="C657" s="660"/>
      <c r="D657" s="661"/>
      <c r="E657" s="667">
        <f>PACKAGING!E17</f>
        <v>7.5</v>
      </c>
      <c r="F657" s="658"/>
      <c r="G657" s="653"/>
      <c r="H657" s="653"/>
    </row>
    <row r="658" spans="1:8" ht="15.75" x14ac:dyDescent="0.25">
      <c r="A658" s="666" t="s">
        <v>1537</v>
      </c>
      <c r="B658" s="660"/>
      <c r="C658" s="660"/>
      <c r="D658" s="661"/>
      <c r="E658" s="667">
        <f>PACKAGING!E7</f>
        <v>170</v>
      </c>
      <c r="F658" s="658"/>
      <c r="G658" s="653"/>
      <c r="H658" s="653"/>
    </row>
    <row r="659" spans="1:8" ht="15.75" x14ac:dyDescent="0.25">
      <c r="A659" s="666" t="s">
        <v>3180</v>
      </c>
      <c r="B659" s="660"/>
      <c r="C659" s="660"/>
      <c r="D659" s="661"/>
      <c r="E659" s="667">
        <f>PACKAGING!E8</f>
        <v>420</v>
      </c>
      <c r="F659" s="658"/>
      <c r="G659" s="653"/>
      <c r="H659" s="653"/>
    </row>
    <row r="660" spans="1:8" ht="15.75" x14ac:dyDescent="0.25">
      <c r="A660" s="666" t="s">
        <v>1557</v>
      </c>
      <c r="B660" s="660"/>
      <c r="C660" s="660"/>
      <c r="D660" s="661"/>
      <c r="E660" s="667">
        <f>PACKAGING!E3</f>
        <v>150</v>
      </c>
      <c r="F660" s="653"/>
      <c r="G660" s="658"/>
      <c r="H660" s="653"/>
    </row>
    <row r="661" spans="1:8" ht="15.75" x14ac:dyDescent="0.25">
      <c r="A661" s="683" t="s">
        <v>1618</v>
      </c>
      <c r="B661" s="660">
        <v>60</v>
      </c>
      <c r="C661" s="660">
        <v>20</v>
      </c>
      <c r="D661" s="668">
        <f>'INSUMOS VARIOS'!B3</f>
        <v>3500</v>
      </c>
      <c r="E661" s="669">
        <f>D661*C661/B661</f>
        <v>1166.6666666666667</v>
      </c>
      <c r="F661" s="653"/>
      <c r="G661" s="658"/>
      <c r="H661" s="653"/>
    </row>
    <row r="662" spans="1:8" ht="16.5" thickBot="1" x14ac:dyDescent="0.3">
      <c r="A662" s="670" t="s">
        <v>525</v>
      </c>
      <c r="B662" s="671"/>
      <c r="C662" s="671"/>
      <c r="D662" s="672"/>
      <c r="E662" s="673">
        <f>SUM(E650:E661)</f>
        <v>3981.5666666666666</v>
      </c>
      <c r="F662" s="658"/>
      <c r="G662" s="653"/>
      <c r="H662" s="653"/>
    </row>
    <row r="663" spans="1:8" ht="16.5" thickBot="1" x14ac:dyDescent="0.3">
      <c r="A663" s="675" t="s">
        <v>4918</v>
      </c>
      <c r="B663" s="676"/>
      <c r="C663" s="676"/>
      <c r="D663" s="677"/>
      <c r="E663" s="692">
        <f>E662*2</f>
        <v>7963.1333333333332</v>
      </c>
      <c r="F663" s="957">
        <f>E663+E663*70%</f>
        <v>13537.326666666666</v>
      </c>
      <c r="G663" s="681"/>
      <c r="H663" s="653"/>
    </row>
    <row r="664" spans="1:8" ht="16.5" thickBot="1" x14ac:dyDescent="0.3">
      <c r="A664" s="684" t="s">
        <v>1559</v>
      </c>
      <c r="B664" s="685"/>
      <c r="C664" s="685"/>
      <c r="D664" s="686"/>
      <c r="E664" s="686"/>
      <c r="F664" s="816"/>
      <c r="G664" s="1275">
        <f>G663*60%</f>
        <v>0</v>
      </c>
      <c r="H664" s="1276" t="s">
        <v>3687</v>
      </c>
    </row>
    <row r="665" spans="1:8" ht="15.75" thickBot="1" x14ac:dyDescent="0.3"/>
    <row r="666" spans="1:8" ht="16.5" thickBot="1" x14ac:dyDescent="0.3">
      <c r="A666" s="1804" t="s">
        <v>5102</v>
      </c>
      <c r="B666" s="1805"/>
      <c r="C666" s="1805"/>
      <c r="D666" s="1805"/>
      <c r="E666" s="1806"/>
      <c r="F666" s="653"/>
      <c r="G666" s="653"/>
      <c r="H666" s="653"/>
    </row>
    <row r="667" spans="1:8" ht="15.75" x14ac:dyDescent="0.25">
      <c r="A667" s="654" t="s">
        <v>916</v>
      </c>
      <c r="B667" s="655" t="s">
        <v>743</v>
      </c>
      <c r="C667" s="655" t="s">
        <v>1566</v>
      </c>
      <c r="D667" s="656" t="s">
        <v>1035</v>
      </c>
      <c r="E667" s="657" t="s">
        <v>1549</v>
      </c>
      <c r="F667" s="658"/>
      <c r="G667" s="653"/>
      <c r="H667" s="653"/>
    </row>
    <row r="668" spans="1:8" ht="15.75" x14ac:dyDescent="0.25">
      <c r="A668" s="769" t="s">
        <v>3099</v>
      </c>
      <c r="B668" s="660">
        <v>0.34</v>
      </c>
      <c r="C668" s="660">
        <v>0.16</v>
      </c>
      <c r="D668" s="661">
        <f>'PERLAS 2'!N10</f>
        <v>16500</v>
      </c>
      <c r="E668" s="662">
        <f>D668*C668/B668</f>
        <v>7764.7058823529405</v>
      </c>
      <c r="F668" s="658"/>
      <c r="G668" s="653"/>
      <c r="H668" s="653"/>
    </row>
    <row r="669" spans="1:8" ht="15.75" x14ac:dyDescent="0.25">
      <c r="A669" s="666" t="s">
        <v>5103</v>
      </c>
      <c r="B669" s="660"/>
      <c r="C669" s="660">
        <v>1</v>
      </c>
      <c r="D669" s="661">
        <f>'AROS, CADENAS, DIJES, ETC'!O76</f>
        <v>2550</v>
      </c>
      <c r="E669" s="662">
        <f>D669*C669</f>
        <v>2550</v>
      </c>
      <c r="F669" s="658"/>
      <c r="G669" s="653"/>
      <c r="H669" s="653"/>
    </row>
    <row r="670" spans="1:8" ht="15.75" x14ac:dyDescent="0.25">
      <c r="A670" s="666" t="s">
        <v>1594</v>
      </c>
      <c r="B670" s="660"/>
      <c r="C670" s="660">
        <v>0.28000000000000003</v>
      </c>
      <c r="D670" s="661">
        <f>'HILOS-CORDONES-TANZA-CUERO'!L6</f>
        <v>8</v>
      </c>
      <c r="E670" s="667">
        <f>D670*C670</f>
        <v>2.2400000000000002</v>
      </c>
      <c r="F670" s="658"/>
      <c r="G670" s="653"/>
      <c r="H670" s="653"/>
    </row>
    <row r="671" spans="1:8" ht="15.75" x14ac:dyDescent="0.25">
      <c r="A671" s="666" t="s">
        <v>1697</v>
      </c>
      <c r="B671" s="660" t="s">
        <v>777</v>
      </c>
      <c r="C671" s="660">
        <v>2</v>
      </c>
      <c r="D671" s="661">
        <f>FORNITURAS!D24</f>
        <v>34.666666666666664</v>
      </c>
      <c r="E671" s="667">
        <f>D671*C671</f>
        <v>69.333333333333329</v>
      </c>
      <c r="F671" s="658"/>
      <c r="G671" s="653"/>
      <c r="H671" s="653"/>
    </row>
    <row r="672" spans="1:8" ht="15.75" x14ac:dyDescent="0.25">
      <c r="A672" s="666" t="s">
        <v>3484</v>
      </c>
      <c r="B672" s="660"/>
      <c r="C672" s="660"/>
      <c r="D672" s="661"/>
      <c r="E672" s="667">
        <f>PACKAGING!I5</f>
        <v>845</v>
      </c>
      <c r="F672" s="658"/>
      <c r="G672" s="653"/>
      <c r="H672" s="653"/>
    </row>
    <row r="673" spans="1:8" ht="15.75" x14ac:dyDescent="0.25">
      <c r="A673" s="666" t="s">
        <v>1557</v>
      </c>
      <c r="B673" s="660"/>
      <c r="C673" s="660"/>
      <c r="D673" s="661"/>
      <c r="E673" s="667">
        <f>PACKAGING!E5</f>
        <v>200</v>
      </c>
      <c r="F673" s="653"/>
      <c r="G673" s="658"/>
      <c r="H673" s="653"/>
    </row>
    <row r="674" spans="1:8" ht="15.75" x14ac:dyDescent="0.25">
      <c r="A674" s="683" t="s">
        <v>1618</v>
      </c>
      <c r="B674" s="660">
        <v>60</v>
      </c>
      <c r="C674" s="660">
        <v>20</v>
      </c>
      <c r="D674" s="668">
        <f>'INSUMOS VARIOS'!B3</f>
        <v>3500</v>
      </c>
      <c r="E674" s="669">
        <f>D674*C674/B674</f>
        <v>1166.6666666666667</v>
      </c>
      <c r="F674" s="653"/>
      <c r="G674" s="658"/>
      <c r="H674" s="653"/>
    </row>
    <row r="675" spans="1:8" ht="16.5" thickBot="1" x14ac:dyDescent="0.3">
      <c r="A675" s="670" t="s">
        <v>525</v>
      </c>
      <c r="B675" s="671"/>
      <c r="C675" s="671"/>
      <c r="D675" s="672"/>
      <c r="E675" s="673">
        <f>SUM(E668:E674)</f>
        <v>12597.94588235294</v>
      </c>
      <c r="F675" s="658"/>
      <c r="G675" s="653"/>
      <c r="H675" s="653"/>
    </row>
    <row r="676" spans="1:8" ht="16.5" thickBot="1" x14ac:dyDescent="0.3">
      <c r="A676" s="675" t="s">
        <v>4918</v>
      </c>
      <c r="B676" s="676"/>
      <c r="C676" s="676"/>
      <c r="D676" s="677"/>
      <c r="E676" s="692">
        <f>E675*2</f>
        <v>25195.891764705881</v>
      </c>
      <c r="F676" s="957">
        <f>E676+E676*70%</f>
        <v>42833.015999999996</v>
      </c>
      <c r="G676" s="681"/>
      <c r="H676" s="653"/>
    </row>
    <row r="677" spans="1:8" ht="16.5" thickBot="1" x14ac:dyDescent="0.3">
      <c r="A677" s="684" t="s">
        <v>1559</v>
      </c>
      <c r="B677" s="685"/>
      <c r="C677" s="685"/>
      <c r="D677" s="686"/>
      <c r="E677" s="686"/>
      <c r="F677" s="816"/>
      <c r="G677" s="1275">
        <f>G676*60%</f>
        <v>0</v>
      </c>
      <c r="H677" s="1276" t="s">
        <v>3687</v>
      </c>
    </row>
    <row r="678" spans="1:8" ht="15.75" thickBot="1" x14ac:dyDescent="0.3"/>
    <row r="679" spans="1:8" ht="16.5" thickBot="1" x14ac:dyDescent="0.3">
      <c r="A679" s="1804" t="s">
        <v>214</v>
      </c>
      <c r="B679" s="1805"/>
      <c r="C679" s="1805"/>
      <c r="D679" s="1805"/>
      <c r="E679" s="1806"/>
      <c r="F679" s="653"/>
      <c r="G679" s="653"/>
      <c r="H679" s="653"/>
    </row>
    <row r="680" spans="1:8" ht="15.75" x14ac:dyDescent="0.25">
      <c r="A680" s="654" t="s">
        <v>916</v>
      </c>
      <c r="B680" s="655" t="s">
        <v>743</v>
      </c>
      <c r="C680" s="655" t="s">
        <v>1566</v>
      </c>
      <c r="D680" s="656" t="s">
        <v>1035</v>
      </c>
      <c r="E680" s="657" t="s">
        <v>1549</v>
      </c>
      <c r="F680" s="658"/>
      <c r="G680" s="653"/>
      <c r="H680" s="653"/>
    </row>
    <row r="681" spans="1:8" ht="15.75" x14ac:dyDescent="0.25">
      <c r="A681" s="769" t="s">
        <v>5027</v>
      </c>
      <c r="B681" s="660" t="s">
        <v>4371</v>
      </c>
      <c r="C681" s="660">
        <v>54</v>
      </c>
      <c r="D681" s="661">
        <f>PIEDRAS!F27</f>
        <v>40.330188679245282</v>
      </c>
      <c r="E681" s="662">
        <f>D681*C681</f>
        <v>2177.8301886792451</v>
      </c>
      <c r="F681" s="658"/>
      <c r="G681" s="653"/>
      <c r="H681" s="653"/>
    </row>
    <row r="682" spans="1:8" ht="15.75" x14ac:dyDescent="0.25">
      <c r="A682" s="666" t="s">
        <v>5121</v>
      </c>
      <c r="B682" s="660"/>
      <c r="C682" s="660">
        <v>1</v>
      </c>
      <c r="D682" s="661">
        <f>FORNITURAS!I18</f>
        <v>527.5</v>
      </c>
      <c r="E682" s="662">
        <f>D682*C682</f>
        <v>527.5</v>
      </c>
      <c r="F682" s="658"/>
      <c r="G682" s="653"/>
      <c r="H682" s="653"/>
    </row>
    <row r="683" spans="1:8" ht="15.75" x14ac:dyDescent="0.25">
      <c r="A683" s="666" t="s">
        <v>1594</v>
      </c>
      <c r="B683" s="660"/>
      <c r="C683" s="660">
        <v>0.28000000000000003</v>
      </c>
      <c r="D683" s="661">
        <f>'HILOS-CORDONES-TANZA-CUERO'!L6</f>
        <v>8</v>
      </c>
      <c r="E683" s="667">
        <f>D683*C683</f>
        <v>2.2400000000000002</v>
      </c>
      <c r="F683" s="658"/>
      <c r="G683" s="653"/>
      <c r="H683" s="653"/>
    </row>
    <row r="684" spans="1:8" ht="15.75" x14ac:dyDescent="0.25">
      <c r="A684" s="666" t="s">
        <v>1697</v>
      </c>
      <c r="B684" s="660" t="s">
        <v>777</v>
      </c>
      <c r="C684" s="660">
        <v>5</v>
      </c>
      <c r="D684" s="661">
        <f>FORNITURAS!D24</f>
        <v>34.666666666666664</v>
      </c>
      <c r="E684" s="667">
        <f>D684*C684</f>
        <v>173.33333333333331</v>
      </c>
      <c r="F684" s="658"/>
      <c r="G684" s="653"/>
      <c r="H684" s="653"/>
    </row>
    <row r="685" spans="1:8" ht="15.75" x14ac:dyDescent="0.25">
      <c r="A685" s="666" t="s">
        <v>5122</v>
      </c>
      <c r="B685" s="660" t="s">
        <v>5123</v>
      </c>
      <c r="C685" s="660"/>
      <c r="D685" s="661"/>
      <c r="E685" s="667">
        <f>PACKAGING!E10</f>
        <v>20.5</v>
      </c>
      <c r="F685" s="658"/>
      <c r="G685" s="653"/>
      <c r="H685" s="653"/>
    </row>
    <row r="686" spans="1:8" ht="15.75" x14ac:dyDescent="0.25">
      <c r="A686" s="666" t="s">
        <v>1557</v>
      </c>
      <c r="B686" s="660"/>
      <c r="C686" s="660"/>
      <c r="D686" s="661"/>
      <c r="E686" s="667">
        <f>PACKAGING!E5</f>
        <v>200</v>
      </c>
      <c r="F686" s="653"/>
      <c r="G686" s="658"/>
      <c r="H686" s="653"/>
    </row>
    <row r="687" spans="1:8" ht="15.75" x14ac:dyDescent="0.25">
      <c r="A687" s="683" t="s">
        <v>1618</v>
      </c>
      <c r="B687" s="660">
        <v>60</v>
      </c>
      <c r="C687" s="660">
        <v>20</v>
      </c>
      <c r="D687" s="668">
        <f>'INSUMOS VARIOS'!B3</f>
        <v>3500</v>
      </c>
      <c r="E687" s="669">
        <f>D687*C687/B687</f>
        <v>1166.6666666666667</v>
      </c>
      <c r="F687" s="653"/>
      <c r="G687" s="658"/>
      <c r="H687" s="653"/>
    </row>
    <row r="688" spans="1:8" ht="16.5" thickBot="1" x14ac:dyDescent="0.3">
      <c r="A688" s="670" t="s">
        <v>525</v>
      </c>
      <c r="B688" s="671"/>
      <c r="C688" s="671"/>
      <c r="D688" s="672"/>
      <c r="E688" s="673">
        <f>SUM(E681:E687)</f>
        <v>4268.0701886792449</v>
      </c>
      <c r="F688" s="658"/>
      <c r="G688" s="653"/>
      <c r="H688" s="653"/>
    </row>
    <row r="689" spans="1:8" ht="16.5" thickBot="1" x14ac:dyDescent="0.3">
      <c r="A689" s="675" t="s">
        <v>4918</v>
      </c>
      <c r="B689" s="676"/>
      <c r="C689" s="676"/>
      <c r="D689" s="677"/>
      <c r="E689" s="692">
        <f>E688*2</f>
        <v>8536.1403773584898</v>
      </c>
      <c r="F689" s="957">
        <f>E689+E689*70%</f>
        <v>14511.438641509432</v>
      </c>
      <c r="G689" s="681"/>
      <c r="H689" s="653"/>
    </row>
    <row r="690" spans="1:8" ht="16.5" thickBot="1" x14ac:dyDescent="0.3">
      <c r="A690" s="684" t="s">
        <v>1559</v>
      </c>
      <c r="B690" s="685"/>
      <c r="C690" s="685"/>
      <c r="D690" s="686"/>
      <c r="E690" s="686"/>
      <c r="F690" s="816"/>
      <c r="G690" s="1275">
        <f>G689*60%</f>
        <v>0</v>
      </c>
      <c r="H690" s="1276" t="s">
        <v>3687</v>
      </c>
    </row>
    <row r="691" spans="1:8" ht="15.75" thickBot="1" x14ac:dyDescent="0.3"/>
    <row r="692" spans="1:8" ht="16.5" thickBot="1" x14ac:dyDescent="0.3">
      <c r="A692" s="1804" t="s">
        <v>5124</v>
      </c>
      <c r="B692" s="1805"/>
      <c r="C692" s="1805"/>
      <c r="D692" s="1805"/>
      <c r="E692" s="1806"/>
      <c r="F692" s="653"/>
      <c r="G692" s="653"/>
      <c r="H692" s="653"/>
    </row>
    <row r="693" spans="1:8" ht="15.75" x14ac:dyDescent="0.25">
      <c r="A693" s="654" t="s">
        <v>916</v>
      </c>
      <c r="B693" s="655" t="s">
        <v>743</v>
      </c>
      <c r="C693" s="655" t="s">
        <v>1566</v>
      </c>
      <c r="D693" s="656" t="s">
        <v>1035</v>
      </c>
      <c r="E693" s="657" t="s">
        <v>1549</v>
      </c>
      <c r="F693" s="658"/>
      <c r="G693" s="653"/>
      <c r="H693" s="653"/>
    </row>
    <row r="694" spans="1:8" ht="15.75" x14ac:dyDescent="0.25">
      <c r="A694" s="769" t="s">
        <v>3641</v>
      </c>
      <c r="B694" s="660" t="s">
        <v>4371</v>
      </c>
      <c r="C694" s="660">
        <v>52</v>
      </c>
      <c r="D694" s="661">
        <f>PIEDRAS!F27</f>
        <v>40.330188679245282</v>
      </c>
      <c r="E694" s="662">
        <f>D694*C694</f>
        <v>2097.1698113207549</v>
      </c>
      <c r="F694" s="658"/>
      <c r="G694" s="653"/>
      <c r="H694" s="653"/>
    </row>
    <row r="695" spans="1:8" ht="15.75" x14ac:dyDescent="0.25">
      <c r="A695" s="666" t="s">
        <v>1594</v>
      </c>
      <c r="B695" s="660"/>
      <c r="C695" s="660">
        <v>0.28000000000000003</v>
      </c>
      <c r="D695" s="661">
        <f>'HILOS-CORDONES-TANZA-CUERO'!L6</f>
        <v>8</v>
      </c>
      <c r="E695" s="667">
        <f>D695*C695</f>
        <v>2.2400000000000002</v>
      </c>
      <c r="F695" s="658"/>
      <c r="G695" s="653"/>
      <c r="H695" s="653"/>
    </row>
    <row r="696" spans="1:8" ht="15.75" x14ac:dyDescent="0.25">
      <c r="A696" s="666" t="s">
        <v>1697</v>
      </c>
      <c r="B696" s="660" t="s">
        <v>777</v>
      </c>
      <c r="C696" s="660">
        <v>4</v>
      </c>
      <c r="D696" s="661">
        <f>FORNITURAS!D24</f>
        <v>34.666666666666664</v>
      </c>
      <c r="E696" s="667">
        <f>D696*C696</f>
        <v>138.66666666666666</v>
      </c>
      <c r="F696" s="658"/>
      <c r="G696" s="653"/>
      <c r="H696" s="653"/>
    </row>
    <row r="697" spans="1:8" ht="15.75" x14ac:dyDescent="0.25">
      <c r="A697" s="666" t="s">
        <v>5122</v>
      </c>
      <c r="B697" s="660" t="s">
        <v>5123</v>
      </c>
      <c r="C697" s="660"/>
      <c r="D697" s="661"/>
      <c r="E697" s="667">
        <f>PACKAGING!E7</f>
        <v>170</v>
      </c>
      <c r="F697" s="658"/>
      <c r="G697" s="653"/>
      <c r="H697" s="653"/>
    </row>
    <row r="698" spans="1:8" ht="15.75" x14ac:dyDescent="0.25">
      <c r="A698" s="666" t="s">
        <v>1557</v>
      </c>
      <c r="B698" s="660"/>
      <c r="C698" s="660"/>
      <c r="D698" s="661"/>
      <c r="E698" s="667">
        <f>PACKAGING!E5</f>
        <v>200</v>
      </c>
      <c r="F698" s="653"/>
      <c r="G698" s="658"/>
      <c r="H698" s="653"/>
    </row>
    <row r="699" spans="1:8" ht="15.75" x14ac:dyDescent="0.25">
      <c r="A699" s="683" t="s">
        <v>1618</v>
      </c>
      <c r="B699" s="660">
        <v>60</v>
      </c>
      <c r="C699" s="660">
        <v>20</v>
      </c>
      <c r="D699" s="668">
        <f>'INSUMOS VARIOS'!B3</f>
        <v>3500</v>
      </c>
      <c r="E699" s="669">
        <f>D699*C699/B699</f>
        <v>1166.6666666666667</v>
      </c>
      <c r="F699" s="653"/>
      <c r="G699" s="658"/>
      <c r="H699" s="653"/>
    </row>
    <row r="700" spans="1:8" ht="16.5" thickBot="1" x14ac:dyDescent="0.3">
      <c r="A700" s="670" t="s">
        <v>525</v>
      </c>
      <c r="B700" s="671"/>
      <c r="C700" s="671"/>
      <c r="D700" s="672"/>
      <c r="E700" s="673">
        <f>SUM(E694:E699)</f>
        <v>3774.7431446540877</v>
      </c>
      <c r="F700" s="658"/>
      <c r="G700" s="653"/>
      <c r="H700" s="653"/>
    </row>
    <row r="701" spans="1:8" ht="16.5" thickBot="1" x14ac:dyDescent="0.3">
      <c r="A701" s="675" t="s">
        <v>4918</v>
      </c>
      <c r="B701" s="676"/>
      <c r="C701" s="676"/>
      <c r="D701" s="677"/>
      <c r="E701" s="692">
        <f>E700*2</f>
        <v>7549.4862893081754</v>
      </c>
      <c r="F701" s="957">
        <f>E701+E701*70%</f>
        <v>12834.126691823898</v>
      </c>
      <c r="G701" s="681"/>
      <c r="H701" s="653"/>
    </row>
    <row r="702" spans="1:8" ht="16.5" thickBot="1" x14ac:dyDescent="0.3">
      <c r="A702" s="684" t="s">
        <v>1559</v>
      </c>
      <c r="B702" s="685"/>
      <c r="C702" s="685"/>
      <c r="D702" s="686"/>
      <c r="E702" s="686"/>
      <c r="F702" s="816"/>
      <c r="G702" s="1275">
        <f>G701*60%</f>
        <v>0</v>
      </c>
      <c r="H702" s="1276" t="s">
        <v>3687</v>
      </c>
    </row>
    <row r="703" spans="1:8" ht="15.75" thickBot="1" x14ac:dyDescent="0.3"/>
    <row r="704" spans="1:8" ht="16.5" thickBot="1" x14ac:dyDescent="0.3">
      <c r="A704" s="1804" t="s">
        <v>5125</v>
      </c>
      <c r="B704" s="1805"/>
      <c r="C704" s="1805"/>
      <c r="D704" s="1805"/>
      <c r="E704" s="1806"/>
      <c r="F704" s="653"/>
      <c r="G704" s="653"/>
      <c r="H704" s="653"/>
    </row>
    <row r="705" spans="1:8" ht="15.75" x14ac:dyDescent="0.25">
      <c r="A705" s="654" t="s">
        <v>916</v>
      </c>
      <c r="B705" s="655" t="s">
        <v>743</v>
      </c>
      <c r="C705" s="655" t="s">
        <v>1566</v>
      </c>
      <c r="D705" s="656" t="s">
        <v>1035</v>
      </c>
      <c r="E705" s="657" t="s">
        <v>1549</v>
      </c>
      <c r="F705" s="658"/>
      <c r="G705" s="653"/>
      <c r="H705" s="653"/>
    </row>
    <row r="706" spans="1:8" ht="15.75" x14ac:dyDescent="0.25">
      <c r="A706" s="769" t="s">
        <v>4950</v>
      </c>
      <c r="B706" s="660" t="s">
        <v>4371</v>
      </c>
      <c r="C706" s="660">
        <v>57</v>
      </c>
      <c r="D706" s="661">
        <f>PIEDRAS!F26</f>
        <v>42.357142857142854</v>
      </c>
      <c r="E706" s="662">
        <f>D706*C706</f>
        <v>2414.3571428571427</v>
      </c>
      <c r="F706" s="658"/>
      <c r="G706" s="653"/>
      <c r="H706" s="653"/>
    </row>
    <row r="707" spans="1:8" ht="15.75" x14ac:dyDescent="0.25">
      <c r="A707" s="666" t="s">
        <v>1594</v>
      </c>
      <c r="B707" s="660"/>
      <c r="C707" s="660">
        <v>0.28000000000000003</v>
      </c>
      <c r="D707" s="661">
        <f>'HILOS-CORDONES-TANZA-CUERO'!L6</f>
        <v>8</v>
      </c>
      <c r="E707" s="667">
        <f>D707*C707</f>
        <v>2.2400000000000002</v>
      </c>
      <c r="F707" s="658"/>
      <c r="G707" s="653"/>
      <c r="H707" s="653"/>
    </row>
    <row r="708" spans="1:8" ht="15.75" x14ac:dyDescent="0.25">
      <c r="A708" s="666" t="s">
        <v>1748</v>
      </c>
      <c r="B708" s="660" t="s">
        <v>686</v>
      </c>
      <c r="C708" s="660">
        <v>5</v>
      </c>
      <c r="D708" s="661">
        <f>'PERLAS 2'!O10</f>
        <v>242.64705882352942</v>
      </c>
      <c r="E708" s="667">
        <f>D708*C708</f>
        <v>1213.2352941176471</v>
      </c>
      <c r="F708" s="658"/>
      <c r="G708" s="653"/>
      <c r="H708" s="653"/>
    </row>
    <row r="709" spans="1:8" ht="15.75" x14ac:dyDescent="0.25">
      <c r="A709" s="666" t="s">
        <v>3098</v>
      </c>
      <c r="B709" s="660"/>
      <c r="C709" s="660">
        <v>4</v>
      </c>
      <c r="D709" s="661">
        <f>FORNITURAS!D17</f>
        <v>45.05</v>
      </c>
      <c r="E709" s="667">
        <f>D709*C709</f>
        <v>180.2</v>
      </c>
      <c r="F709" s="658"/>
      <c r="G709" s="653"/>
      <c r="H709" s="653"/>
    </row>
    <row r="710" spans="1:8" ht="15.75" x14ac:dyDescent="0.25">
      <c r="A710" s="666" t="s">
        <v>1697</v>
      </c>
      <c r="B710" s="660" t="s">
        <v>777</v>
      </c>
      <c r="C710" s="660">
        <v>1</v>
      </c>
      <c r="D710" s="661">
        <f>FORNITURAS!D24</f>
        <v>34.666666666666664</v>
      </c>
      <c r="E710" s="667">
        <f>D710*C710</f>
        <v>34.666666666666664</v>
      </c>
      <c r="F710" s="658"/>
      <c r="G710" s="653"/>
      <c r="H710" s="653"/>
    </row>
    <row r="711" spans="1:8" ht="15.75" x14ac:dyDescent="0.25">
      <c r="A711" s="666" t="s">
        <v>5122</v>
      </c>
      <c r="B711" s="660" t="s">
        <v>5123</v>
      </c>
      <c r="C711" s="660"/>
      <c r="D711" s="661"/>
      <c r="E711" s="667">
        <f>PACKAGING!E10</f>
        <v>20.5</v>
      </c>
      <c r="F711" s="658"/>
      <c r="G711" s="653"/>
      <c r="H711" s="653"/>
    </row>
    <row r="712" spans="1:8" ht="15.75" x14ac:dyDescent="0.25">
      <c r="A712" s="666" t="s">
        <v>1557</v>
      </c>
      <c r="B712" s="660"/>
      <c r="C712" s="660"/>
      <c r="D712" s="661"/>
      <c r="E712" s="667">
        <f>PACKAGING!E5</f>
        <v>200</v>
      </c>
      <c r="F712" s="653"/>
      <c r="G712" s="658"/>
      <c r="H712" s="653"/>
    </row>
    <row r="713" spans="1:8" ht="15.75" x14ac:dyDescent="0.25">
      <c r="A713" s="683" t="s">
        <v>1618</v>
      </c>
      <c r="B713" s="660">
        <v>60</v>
      </c>
      <c r="C713" s="660">
        <v>20</v>
      </c>
      <c r="D713" s="668">
        <f>'INSUMOS VARIOS'!B3</f>
        <v>3500</v>
      </c>
      <c r="E713" s="669">
        <f>D713*C713/B713</f>
        <v>1166.6666666666667</v>
      </c>
      <c r="F713" s="653"/>
      <c r="G713" s="658"/>
      <c r="H713" s="653"/>
    </row>
    <row r="714" spans="1:8" ht="16.5" thickBot="1" x14ac:dyDescent="0.3">
      <c r="A714" s="670" t="s">
        <v>525</v>
      </c>
      <c r="B714" s="671"/>
      <c r="C714" s="671"/>
      <c r="D714" s="672"/>
      <c r="E714" s="673">
        <f>SUM(E706:E713)</f>
        <v>5231.8657703081226</v>
      </c>
      <c r="F714" s="658"/>
      <c r="G714" s="653"/>
      <c r="H714" s="653"/>
    </row>
    <row r="715" spans="1:8" ht="16.5" thickBot="1" x14ac:dyDescent="0.3">
      <c r="A715" s="675" t="s">
        <v>4918</v>
      </c>
      <c r="B715" s="676"/>
      <c r="C715" s="676"/>
      <c r="D715" s="677"/>
      <c r="E715" s="692">
        <f>E714*2</f>
        <v>10463.731540616245</v>
      </c>
      <c r="F715" s="957">
        <f>E715+E715*70%</f>
        <v>17788.343619047617</v>
      </c>
      <c r="G715" s="681"/>
      <c r="H715" s="653"/>
    </row>
    <row r="716" spans="1:8" ht="16.5" thickBot="1" x14ac:dyDescent="0.3">
      <c r="A716" s="684" t="s">
        <v>1559</v>
      </c>
      <c r="B716" s="685"/>
      <c r="C716" s="685"/>
      <c r="D716" s="686"/>
      <c r="E716" s="686"/>
      <c r="F716" s="816"/>
      <c r="G716" s="1275">
        <f>G715*60%</f>
        <v>0</v>
      </c>
      <c r="H716" s="1276" t="s">
        <v>3687</v>
      </c>
    </row>
    <row r="717" spans="1:8" ht="15.75" thickBot="1" x14ac:dyDescent="0.3"/>
    <row r="718" spans="1:8" ht="16.5" thickBot="1" x14ac:dyDescent="0.3">
      <c r="A718" s="1804" t="s">
        <v>5127</v>
      </c>
      <c r="B718" s="1805"/>
      <c r="C718" s="1805"/>
      <c r="D718" s="1805"/>
      <c r="E718" s="1806"/>
      <c r="F718" s="653"/>
      <c r="G718" s="653"/>
      <c r="H718" s="653"/>
    </row>
    <row r="719" spans="1:8" ht="15.75" x14ac:dyDescent="0.25">
      <c r="A719" s="654" t="s">
        <v>916</v>
      </c>
      <c r="B719" s="655" t="s">
        <v>743</v>
      </c>
      <c r="C719" s="655" t="s">
        <v>1566</v>
      </c>
      <c r="D719" s="656" t="s">
        <v>1035</v>
      </c>
      <c r="E719" s="657" t="s">
        <v>1549</v>
      </c>
      <c r="F719" s="658"/>
      <c r="G719" s="653"/>
      <c r="H719" s="653"/>
    </row>
    <row r="720" spans="1:8" ht="15.75" x14ac:dyDescent="0.25">
      <c r="A720" s="1734" t="s">
        <v>5128</v>
      </c>
      <c r="B720" s="660" t="s">
        <v>777</v>
      </c>
      <c r="C720" s="660"/>
      <c r="D720" s="661"/>
      <c r="E720" s="662">
        <f>D720*C720</f>
        <v>0</v>
      </c>
      <c r="F720" s="658"/>
      <c r="G720" s="653"/>
      <c r="H720" s="653"/>
    </row>
    <row r="721" spans="1:8" ht="15.75" x14ac:dyDescent="0.25">
      <c r="A721" s="1735"/>
      <c r="B721" s="660" t="s">
        <v>846</v>
      </c>
      <c r="C721" s="660"/>
      <c r="D721" s="661"/>
      <c r="E721" s="667"/>
      <c r="F721" s="658"/>
      <c r="G721" s="653"/>
      <c r="H721" s="653"/>
    </row>
    <row r="722" spans="1:8" ht="15.75" x14ac:dyDescent="0.25">
      <c r="A722" s="666" t="s">
        <v>1594</v>
      </c>
      <c r="B722" s="660"/>
      <c r="C722" s="660">
        <v>0.28000000000000003</v>
      </c>
      <c r="D722" s="661">
        <f>'HILOS-CORDONES-TANZA-CUERO'!L20</f>
        <v>11151</v>
      </c>
      <c r="E722" s="667">
        <f>D722*C722</f>
        <v>3122.28</v>
      </c>
      <c r="F722" s="658"/>
      <c r="G722" s="653"/>
      <c r="H722" s="653"/>
    </row>
    <row r="723" spans="1:8" ht="15.75" x14ac:dyDescent="0.25">
      <c r="A723" s="666" t="s">
        <v>5129</v>
      </c>
      <c r="B723" s="660"/>
      <c r="C723" s="660">
        <v>5</v>
      </c>
      <c r="D723" s="661">
        <f>'PERLAS 2'!O24</f>
        <v>0</v>
      </c>
      <c r="E723" s="667">
        <f>D723*C723</f>
        <v>0</v>
      </c>
      <c r="F723" s="658"/>
      <c r="G723" s="653"/>
      <c r="H723" s="653"/>
    </row>
    <row r="724" spans="1:8" ht="15.75" x14ac:dyDescent="0.25">
      <c r="A724" s="666" t="s">
        <v>1971</v>
      </c>
      <c r="B724" s="660"/>
      <c r="C724" s="660">
        <v>4</v>
      </c>
      <c r="D724" s="661">
        <f>FORNITURAS!D31</f>
        <v>235</v>
      </c>
      <c r="E724" s="667">
        <f>D724*C724</f>
        <v>940</v>
      </c>
      <c r="F724" s="658"/>
      <c r="G724" s="653"/>
      <c r="H724" s="653"/>
    </row>
    <row r="725" spans="1:8" ht="15.75" x14ac:dyDescent="0.25">
      <c r="A725" s="666" t="s">
        <v>5122</v>
      </c>
      <c r="B725" s="660" t="s">
        <v>5123</v>
      </c>
      <c r="C725" s="660"/>
      <c r="D725" s="661"/>
      <c r="E725" s="667">
        <f>PACKAGING!E24</f>
        <v>0</v>
      </c>
      <c r="F725" s="658"/>
      <c r="G725" s="653"/>
      <c r="H725" s="653"/>
    </row>
    <row r="726" spans="1:8" ht="15.75" x14ac:dyDescent="0.25">
      <c r="A726" s="666" t="s">
        <v>1557</v>
      </c>
      <c r="B726" s="660"/>
      <c r="C726" s="660"/>
      <c r="D726" s="661"/>
      <c r="E726" s="667">
        <f>PACKAGING!E19</f>
        <v>0</v>
      </c>
      <c r="F726" s="653"/>
      <c r="G726" s="658"/>
      <c r="H726" s="653"/>
    </row>
    <row r="727" spans="1:8" ht="15.75" x14ac:dyDescent="0.25">
      <c r="A727" s="683" t="s">
        <v>1618</v>
      </c>
      <c r="B727" s="660">
        <v>60</v>
      </c>
      <c r="C727" s="660">
        <v>20</v>
      </c>
      <c r="D727" s="668">
        <f>'INSUMOS VARIOS'!B17</f>
        <v>0</v>
      </c>
      <c r="E727" s="669">
        <f>D727*C727/B727</f>
        <v>0</v>
      </c>
      <c r="F727" s="653"/>
      <c r="G727" s="658"/>
      <c r="H727" s="653"/>
    </row>
    <row r="728" spans="1:8" ht="16.5" thickBot="1" x14ac:dyDescent="0.3">
      <c r="A728" s="670" t="s">
        <v>525</v>
      </c>
      <c r="B728" s="671"/>
      <c r="C728" s="671"/>
      <c r="D728" s="672"/>
      <c r="E728" s="673">
        <f>SUM(E720:E727)</f>
        <v>4062.28</v>
      </c>
      <c r="F728" s="658"/>
      <c r="G728" s="653"/>
      <c r="H728" s="653"/>
    </row>
    <row r="729" spans="1:8" ht="16.5" thickBot="1" x14ac:dyDescent="0.3">
      <c r="A729" s="675" t="s">
        <v>4918</v>
      </c>
      <c r="B729" s="676"/>
      <c r="C729" s="676"/>
      <c r="D729" s="677"/>
      <c r="E729" s="692">
        <f>E728*2</f>
        <v>8124.56</v>
      </c>
      <c r="F729" s="957">
        <f>E729+E729*70%</f>
        <v>13811.752</v>
      </c>
      <c r="G729" s="681"/>
      <c r="H729" s="653"/>
    </row>
    <row r="730" spans="1:8" ht="16.5" thickBot="1" x14ac:dyDescent="0.3">
      <c r="A730" s="684" t="s">
        <v>1559</v>
      </c>
      <c r="B730" s="685"/>
      <c r="C730" s="685"/>
      <c r="D730" s="686"/>
      <c r="E730" s="686"/>
      <c r="F730" s="816"/>
      <c r="G730" s="1275">
        <f>G729*60%</f>
        <v>0</v>
      </c>
      <c r="H730" s="1276" t="s">
        <v>3687</v>
      </c>
    </row>
    <row r="751" spans="1:10" ht="18.75" x14ac:dyDescent="0.3">
      <c r="A751" s="1508" t="s">
        <v>5119</v>
      </c>
      <c r="B751" s="1507"/>
      <c r="C751" s="1507"/>
      <c r="D751" s="1507"/>
      <c r="E751" s="1507"/>
      <c r="F751" s="1507"/>
      <c r="G751" s="1507"/>
      <c r="H751" s="1507"/>
      <c r="I751" s="1507"/>
      <c r="J751" s="1508"/>
    </row>
    <row r="752" spans="1:10" ht="15.75" thickBot="1" x14ac:dyDescent="0.3"/>
    <row r="753" spans="1:9" ht="15.75" thickBot="1" x14ac:dyDescent="0.3">
      <c r="A753" s="1804" t="s">
        <v>4951</v>
      </c>
      <c r="B753" s="1805"/>
      <c r="C753" s="1805"/>
      <c r="D753" s="1805"/>
      <c r="E753" s="1805"/>
      <c r="F753" s="1806"/>
      <c r="G753" s="658"/>
      <c r="H753" s="674"/>
      <c r="I753" s="652"/>
    </row>
    <row r="754" spans="1:9" x14ac:dyDescent="0.25">
      <c r="A754" s="1394" t="s">
        <v>916</v>
      </c>
      <c r="B754" s="655" t="s">
        <v>1194</v>
      </c>
      <c r="C754" s="655" t="s">
        <v>1089</v>
      </c>
      <c r="D754" s="656" t="s">
        <v>1547</v>
      </c>
      <c r="E754" s="773" t="s">
        <v>1035</v>
      </c>
      <c r="F754" s="657" t="s">
        <v>1549</v>
      </c>
      <c r="G754" s="658"/>
      <c r="H754" s="674"/>
      <c r="I754" s="652"/>
    </row>
    <row r="755" spans="1:9" x14ac:dyDescent="0.25">
      <c r="A755" s="660" t="s">
        <v>4952</v>
      </c>
      <c r="B755" s="820"/>
      <c r="C755" s="769">
        <v>0.9</v>
      </c>
      <c r="D755" s="1383">
        <v>0.13500000000000001</v>
      </c>
      <c r="E755" s="1385">
        <f>PIEDRAS!E156</f>
        <v>11500</v>
      </c>
      <c r="F755" s="1386">
        <f>E755*D755/C755</f>
        <v>1725</v>
      </c>
      <c r="G755" s="658"/>
      <c r="H755" s="674"/>
      <c r="I755" s="652"/>
    </row>
    <row r="756" spans="1:9" x14ac:dyDescent="0.25">
      <c r="A756" s="820" t="s">
        <v>4950</v>
      </c>
      <c r="B756" s="820"/>
      <c r="C756" s="769"/>
      <c r="D756" s="1383">
        <v>4</v>
      </c>
      <c r="E756" s="1385">
        <f>PIEDRAS!F26</f>
        <v>42.357142857142854</v>
      </c>
      <c r="F756" s="1386">
        <f t="shared" ref="F756:F763" si="27">E756*D756</f>
        <v>169.42857142857142</v>
      </c>
      <c r="G756" s="658"/>
      <c r="H756" s="674"/>
      <c r="I756" s="652"/>
    </row>
    <row r="757" spans="1:9" x14ac:dyDescent="0.25">
      <c r="A757" s="666" t="s">
        <v>1608</v>
      </c>
      <c r="B757" s="820"/>
      <c r="C757" s="769"/>
      <c r="D757" s="1383">
        <v>3.5000000000000003E-2</v>
      </c>
      <c r="E757" s="1385">
        <f>'AROS, CADENAS, DIJES, ETC'!K70</f>
        <v>5986</v>
      </c>
      <c r="F757" s="1386">
        <f t="shared" si="27"/>
        <v>209.51000000000002</v>
      </c>
      <c r="G757" s="658"/>
      <c r="H757" s="674"/>
      <c r="I757" s="652"/>
    </row>
    <row r="758" spans="1:9" x14ac:dyDescent="0.25">
      <c r="A758" s="666" t="s">
        <v>1554</v>
      </c>
      <c r="B758" s="820"/>
      <c r="C758" s="660"/>
      <c r="D758" s="769">
        <v>2</v>
      </c>
      <c r="E758" s="1385">
        <f>FORNITURAS!D24</f>
        <v>34.666666666666664</v>
      </c>
      <c r="F758" s="1386">
        <f t="shared" si="27"/>
        <v>69.333333333333329</v>
      </c>
      <c r="G758" s="658"/>
      <c r="H758" s="674"/>
      <c r="I758" s="652"/>
    </row>
    <row r="759" spans="1:9" x14ac:dyDescent="0.25">
      <c r="A759" s="666" t="s">
        <v>3507</v>
      </c>
      <c r="B759" s="660"/>
      <c r="C759" s="660"/>
      <c r="D759" s="769">
        <v>6</v>
      </c>
      <c r="E759" s="668">
        <f>FORNITURAS!I13</f>
        <v>274.44444444444446</v>
      </c>
      <c r="F759" s="662">
        <f t="shared" si="27"/>
        <v>1646.6666666666667</v>
      </c>
      <c r="G759" s="658"/>
      <c r="H759" s="674"/>
      <c r="I759" s="652"/>
    </row>
    <row r="760" spans="1:9" x14ac:dyDescent="0.25">
      <c r="A760" s="666" t="s">
        <v>1424</v>
      </c>
      <c r="B760" s="660"/>
      <c r="C760" s="660"/>
      <c r="D760" s="769">
        <v>0.18</v>
      </c>
      <c r="E760" s="668">
        <f>'HILOS-CORDONES-TANZA-CUERO'!L9</f>
        <v>30</v>
      </c>
      <c r="F760" s="662">
        <f>E760*D760</f>
        <v>5.3999999999999995</v>
      </c>
      <c r="G760" s="658"/>
      <c r="H760" s="674"/>
      <c r="I760" s="652"/>
    </row>
    <row r="761" spans="1:9" x14ac:dyDescent="0.25">
      <c r="A761" s="666" t="s">
        <v>1012</v>
      </c>
      <c r="B761" s="660"/>
      <c r="C761" s="660"/>
      <c r="D761" s="769">
        <v>2</v>
      </c>
      <c r="E761" s="668">
        <f>FORNITURAS!D16</f>
        <v>45.05</v>
      </c>
      <c r="F761" s="662">
        <f t="shared" si="27"/>
        <v>90.1</v>
      </c>
      <c r="G761" s="658"/>
      <c r="H761" s="674"/>
      <c r="I761" s="652"/>
    </row>
    <row r="762" spans="1:9" x14ac:dyDescent="0.25">
      <c r="A762" s="1736" t="s">
        <v>1971</v>
      </c>
      <c r="B762" s="660" t="s">
        <v>1556</v>
      </c>
      <c r="C762" s="660"/>
      <c r="D762" s="769">
        <v>2</v>
      </c>
      <c r="E762" s="668">
        <f>FORNITURAS!D4</f>
        <v>48.7</v>
      </c>
      <c r="F762" s="662">
        <f t="shared" si="27"/>
        <v>97.4</v>
      </c>
      <c r="G762" s="658"/>
      <c r="H762" s="674"/>
      <c r="I762" s="652"/>
    </row>
    <row r="763" spans="1:9" x14ac:dyDescent="0.25">
      <c r="A763" s="1737"/>
      <c r="B763" s="660" t="s">
        <v>1573</v>
      </c>
      <c r="C763" s="660"/>
      <c r="D763" s="769">
        <v>1</v>
      </c>
      <c r="E763" s="668">
        <f>FORNITURAS!D7</f>
        <v>52</v>
      </c>
      <c r="F763" s="662">
        <f t="shared" si="27"/>
        <v>52</v>
      </c>
      <c r="G763" s="658"/>
      <c r="H763" s="674"/>
      <c r="I763" s="652"/>
    </row>
    <row r="764" spans="1:9" x14ac:dyDescent="0.25">
      <c r="A764" s="666" t="s">
        <v>1557</v>
      </c>
      <c r="B764" s="660"/>
      <c r="C764" s="660"/>
      <c r="D764" s="769"/>
      <c r="E764" s="668"/>
      <c r="F764" s="662">
        <f>PACKAGING!E4</f>
        <v>80</v>
      </c>
      <c r="G764" s="658"/>
      <c r="H764" s="674"/>
      <c r="I764" s="652"/>
    </row>
    <row r="765" spans="1:9" x14ac:dyDescent="0.25">
      <c r="A765" s="666" t="s">
        <v>1537</v>
      </c>
      <c r="B765" s="660"/>
      <c r="C765" s="660"/>
      <c r="D765" s="769"/>
      <c r="E765" s="668"/>
      <c r="F765" s="662">
        <f>PACKAGING!E7</f>
        <v>170</v>
      </c>
      <c r="G765" s="658"/>
      <c r="H765" s="674"/>
      <c r="I765" s="652"/>
    </row>
    <row r="766" spans="1:9" x14ac:dyDescent="0.25">
      <c r="A766" s="666" t="s">
        <v>3362</v>
      </c>
      <c r="B766" s="660"/>
      <c r="C766" s="660"/>
      <c r="D766" s="769"/>
      <c r="E766" s="668"/>
      <c r="F766" s="662">
        <f>PACKAGING!E17</f>
        <v>7.5</v>
      </c>
      <c r="G766" s="658"/>
      <c r="H766" s="674"/>
      <c r="I766" s="652"/>
    </row>
    <row r="767" spans="1:9" x14ac:dyDescent="0.25">
      <c r="A767" s="665" t="s">
        <v>3180</v>
      </c>
      <c r="B767" s="660"/>
      <c r="C767" s="660"/>
      <c r="D767" s="769"/>
      <c r="E767" s="779"/>
      <c r="F767" s="662">
        <f>PACKAGING!E8</f>
        <v>420</v>
      </c>
      <c r="G767" s="658"/>
      <c r="H767" s="674"/>
      <c r="I767" s="652"/>
    </row>
    <row r="768" spans="1:9" ht="18" x14ac:dyDescent="0.25">
      <c r="A768" s="665" t="s">
        <v>1558</v>
      </c>
      <c r="B768" s="660">
        <v>60</v>
      </c>
      <c r="C768" s="1395"/>
      <c r="D768" s="769">
        <v>20</v>
      </c>
      <c r="E768" s="668">
        <f>'INSUMOS VARIOS'!B3</f>
        <v>3500</v>
      </c>
      <c r="F768" s="662">
        <f>D768*E768/B768</f>
        <v>1166.6666666666667</v>
      </c>
      <c r="G768" s="1396"/>
      <c r="H768" s="674"/>
      <c r="I768" s="652"/>
    </row>
    <row r="769" spans="1:9" ht="15.75" thickBot="1" x14ac:dyDescent="0.3">
      <c r="A769" s="670" t="s">
        <v>525</v>
      </c>
      <c r="B769" s="671"/>
      <c r="C769" s="671"/>
      <c r="D769" s="672"/>
      <c r="E769" s="780"/>
      <c r="F769" s="673">
        <f>SUM(F755:F768)</f>
        <v>5909.0052380952393</v>
      </c>
      <c r="G769" s="658"/>
      <c r="H769" s="674"/>
      <c r="I769" s="652"/>
    </row>
    <row r="770" spans="1:9" ht="16.5" thickBot="1" x14ac:dyDescent="0.3">
      <c r="A770" s="675" t="s">
        <v>4918</v>
      </c>
      <c r="B770" s="676"/>
      <c r="C770" s="676"/>
      <c r="D770" s="677"/>
      <c r="E770" s="677"/>
      <c r="F770" s="692">
        <f>F769*2</f>
        <v>11818.010476190479</v>
      </c>
      <c r="G770" s="680">
        <f>F770+F770*70%</f>
        <v>20090.617809523814</v>
      </c>
      <c r="H770" s="681"/>
      <c r="I770" s="652"/>
    </row>
    <row r="771" spans="1:9" ht="16.5" thickBot="1" x14ac:dyDescent="0.3">
      <c r="A771" s="684" t="s">
        <v>1559</v>
      </c>
      <c r="B771" s="685"/>
      <c r="C771" s="685"/>
      <c r="D771" s="686"/>
      <c r="E771" s="686"/>
      <c r="F771" s="686"/>
      <c r="G771" s="690"/>
      <c r="H771" s="1275">
        <f>H770*60%</f>
        <v>0</v>
      </c>
      <c r="I771" s="1120" t="s">
        <v>3687</v>
      </c>
    </row>
    <row r="772" spans="1:9" ht="15.75" thickBot="1" x14ac:dyDescent="0.3"/>
    <row r="773" spans="1:9" ht="16.5" thickBot="1" x14ac:dyDescent="0.3">
      <c r="A773" s="1804" t="s">
        <v>4958</v>
      </c>
      <c r="B773" s="1805"/>
      <c r="C773" s="1805"/>
      <c r="D773" s="1805"/>
      <c r="E773" s="1806"/>
      <c r="F773" s="653"/>
      <c r="G773" s="653"/>
      <c r="H773" s="653"/>
      <c r="I773" s="652"/>
    </row>
    <row r="774" spans="1:9" ht="15.75" x14ac:dyDescent="0.25">
      <c r="A774" s="654" t="s">
        <v>916</v>
      </c>
      <c r="B774" s="655" t="s">
        <v>743</v>
      </c>
      <c r="C774" s="655" t="s">
        <v>1566</v>
      </c>
      <c r="D774" s="656" t="s">
        <v>1035</v>
      </c>
      <c r="E774" s="657" t="s">
        <v>1549</v>
      </c>
      <c r="F774" s="658"/>
      <c r="G774" s="653"/>
      <c r="H774" s="653"/>
      <c r="I774" s="652"/>
    </row>
    <row r="775" spans="1:9" ht="15.75" x14ac:dyDescent="0.25">
      <c r="A775" s="769" t="s">
        <v>3504</v>
      </c>
      <c r="B775" s="660" t="s">
        <v>4864</v>
      </c>
      <c r="C775" s="660">
        <v>20</v>
      </c>
      <c r="D775" s="661">
        <f>PIEDRAS!F137</f>
        <v>76.5</v>
      </c>
      <c r="E775" s="662">
        <f>D775*C775</f>
        <v>1530</v>
      </c>
      <c r="F775" s="658"/>
      <c r="G775" s="653"/>
      <c r="H775" s="653"/>
      <c r="I775" s="652"/>
    </row>
    <row r="776" spans="1:9" ht="15.75" x14ac:dyDescent="0.25">
      <c r="A776" s="666" t="s">
        <v>3505</v>
      </c>
      <c r="B776" s="660" t="s">
        <v>4864</v>
      </c>
      <c r="C776" s="660">
        <v>8</v>
      </c>
      <c r="D776" s="661">
        <f>PIEDRAS!F142</f>
        <v>76.5</v>
      </c>
      <c r="E776" s="662">
        <f>D776*C776</f>
        <v>612</v>
      </c>
      <c r="F776" s="658"/>
      <c r="G776" s="653"/>
      <c r="H776" s="653"/>
      <c r="I776" s="652"/>
    </row>
    <row r="777" spans="1:9" ht="15.75" x14ac:dyDescent="0.25">
      <c r="A777" s="666" t="s">
        <v>4954</v>
      </c>
      <c r="B777" s="660"/>
      <c r="C777" s="660">
        <v>26</v>
      </c>
      <c r="D777" s="661">
        <f>'PALAIS DU BIJOU'!O18</f>
        <v>2.625</v>
      </c>
      <c r="E777" s="662">
        <f>D777*C777</f>
        <v>68.25</v>
      </c>
      <c r="F777" s="658"/>
      <c r="G777" s="653"/>
      <c r="H777" s="653"/>
      <c r="I777" s="652"/>
    </row>
    <row r="778" spans="1:9" ht="15.75" x14ac:dyDescent="0.25">
      <c r="A778" s="666" t="s">
        <v>4156</v>
      </c>
      <c r="B778" s="660" t="s">
        <v>4957</v>
      </c>
      <c r="C778" s="660">
        <v>3</v>
      </c>
      <c r="D778" s="661">
        <f>FORNITURAS!I14</f>
        <v>145.375</v>
      </c>
      <c r="E778" s="662">
        <f>D778*C778</f>
        <v>436.125</v>
      </c>
      <c r="F778" s="658"/>
      <c r="G778" s="653"/>
      <c r="H778" s="653"/>
      <c r="I778" s="652"/>
    </row>
    <row r="779" spans="1:9" ht="15.75" x14ac:dyDescent="0.25">
      <c r="A779" s="666" t="s">
        <v>1594</v>
      </c>
      <c r="B779" s="660"/>
      <c r="C779" s="660">
        <v>0.28000000000000003</v>
      </c>
      <c r="D779" s="661">
        <f>'HILOS-CORDONES-TANZA-CUERO'!L6</f>
        <v>8</v>
      </c>
      <c r="E779" s="662">
        <f>D779*C779</f>
        <v>2.2400000000000002</v>
      </c>
      <c r="F779" s="658"/>
      <c r="G779" s="653"/>
      <c r="H779" s="653"/>
      <c r="I779" s="652"/>
    </row>
    <row r="780" spans="1:9" ht="15.75" x14ac:dyDescent="0.25">
      <c r="A780" s="666" t="s">
        <v>4955</v>
      </c>
      <c r="B780" s="660" t="s">
        <v>846</v>
      </c>
      <c r="C780" s="660">
        <v>1</v>
      </c>
      <c r="D780" s="661">
        <f>FORNITURAS!I5</f>
        <v>188.85714285714286</v>
      </c>
      <c r="E780" s="662">
        <f>C780*D780</f>
        <v>188.85714285714286</v>
      </c>
      <c r="F780" s="658"/>
      <c r="G780" s="653"/>
      <c r="H780" s="653"/>
      <c r="I780" s="652"/>
    </row>
    <row r="781" spans="1:9" ht="15.75" x14ac:dyDescent="0.25">
      <c r="A781" s="1736" t="s">
        <v>1971</v>
      </c>
      <c r="B781" s="660" t="s">
        <v>1556</v>
      </c>
      <c r="C781" s="660">
        <v>1</v>
      </c>
      <c r="D781" s="661">
        <f>FORNITURAS!D4</f>
        <v>48.7</v>
      </c>
      <c r="E781" s="667">
        <f>D781*C781</f>
        <v>48.7</v>
      </c>
      <c r="F781" s="658"/>
      <c r="G781" s="653"/>
      <c r="H781" s="653"/>
      <c r="I781" s="652"/>
    </row>
    <row r="782" spans="1:9" ht="15.75" x14ac:dyDescent="0.25">
      <c r="A782" s="1737"/>
      <c r="B782" s="660" t="s">
        <v>1573</v>
      </c>
      <c r="C782" s="660">
        <v>1</v>
      </c>
      <c r="D782" s="661">
        <f>FORNITURAS!D7</f>
        <v>52</v>
      </c>
      <c r="E782" s="667">
        <f>D782*C782</f>
        <v>52</v>
      </c>
      <c r="F782" s="658"/>
      <c r="G782" s="653"/>
      <c r="H782" s="653"/>
      <c r="I782" s="652"/>
    </row>
    <row r="783" spans="1:9" ht="15.75" x14ac:dyDescent="0.25">
      <c r="A783" s="666" t="s">
        <v>1557</v>
      </c>
      <c r="B783" s="660"/>
      <c r="C783" s="660"/>
      <c r="D783" s="661"/>
      <c r="E783" s="667">
        <f>PACKAGING!E5</f>
        <v>200</v>
      </c>
      <c r="F783" s="653"/>
      <c r="G783" s="658"/>
      <c r="H783" s="653"/>
      <c r="I783" s="652"/>
    </row>
    <row r="784" spans="1:9" ht="15.75" x14ac:dyDescent="0.25">
      <c r="A784" s="683" t="s">
        <v>1618</v>
      </c>
      <c r="B784" s="660">
        <v>60</v>
      </c>
      <c r="C784" s="660">
        <v>20</v>
      </c>
      <c r="D784" s="668">
        <f>'INSUMOS VARIOS'!B3</f>
        <v>3500</v>
      </c>
      <c r="E784" s="669">
        <f>D784*C784/B784</f>
        <v>1166.6666666666667</v>
      </c>
      <c r="F784" s="653"/>
      <c r="G784" s="658"/>
      <c r="H784" s="653"/>
      <c r="I784" s="652"/>
    </row>
    <row r="785" spans="1:9" ht="16.5" thickBot="1" x14ac:dyDescent="0.3">
      <c r="A785" s="670" t="s">
        <v>525</v>
      </c>
      <c r="B785" s="671"/>
      <c r="C785" s="671"/>
      <c r="D785" s="672"/>
      <c r="E785" s="673">
        <f>SUM(E775:E784)</f>
        <v>4304.8388095238088</v>
      </c>
      <c r="F785" s="658"/>
      <c r="G785" s="653"/>
      <c r="H785" s="653"/>
      <c r="I785" s="652"/>
    </row>
    <row r="786" spans="1:9" ht="16.5" thickBot="1" x14ac:dyDescent="0.3">
      <c r="A786" s="675" t="s">
        <v>4918</v>
      </c>
      <c r="B786" s="676"/>
      <c r="C786" s="676"/>
      <c r="D786" s="677"/>
      <c r="E786" s="692">
        <f>E785*2</f>
        <v>8609.6776190476176</v>
      </c>
      <c r="F786" s="957">
        <f>E786+E786*70%</f>
        <v>14636.45195238095</v>
      </c>
      <c r="G786" s="681"/>
      <c r="H786" s="653"/>
      <c r="I786" s="1120"/>
    </row>
    <row r="787" spans="1:9" ht="16.5" thickBot="1" x14ac:dyDescent="0.3">
      <c r="A787" s="684" t="s">
        <v>1559</v>
      </c>
      <c r="B787" s="685"/>
      <c r="C787" s="685"/>
      <c r="D787" s="686"/>
      <c r="E787" s="686"/>
      <c r="F787" s="816"/>
      <c r="G787" s="1275">
        <f>G786*60%</f>
        <v>0</v>
      </c>
      <c r="H787" s="1276" t="s">
        <v>3687</v>
      </c>
    </row>
    <row r="788" spans="1:9" ht="15.75" thickBot="1" x14ac:dyDescent="0.3"/>
    <row r="789" spans="1:9" ht="16.5" thickBot="1" x14ac:dyDescent="0.3">
      <c r="A789" s="1804" t="s">
        <v>170</v>
      </c>
      <c r="B789" s="1805"/>
      <c r="C789" s="1805"/>
      <c r="D789" s="1805"/>
      <c r="E789" s="1806"/>
      <c r="F789" s="653"/>
      <c r="G789" s="653"/>
      <c r="H789" s="653"/>
    </row>
    <row r="790" spans="1:9" ht="15.75" x14ac:dyDescent="0.25">
      <c r="A790" s="654" t="s">
        <v>916</v>
      </c>
      <c r="B790" s="655" t="s">
        <v>743</v>
      </c>
      <c r="C790" s="655" t="s">
        <v>1566</v>
      </c>
      <c r="D790" s="656" t="s">
        <v>1035</v>
      </c>
      <c r="E790" s="657" t="s">
        <v>1549</v>
      </c>
      <c r="F790" s="658"/>
      <c r="G790" s="653"/>
      <c r="H790" s="653"/>
    </row>
    <row r="791" spans="1:9" ht="15.75" x14ac:dyDescent="0.25">
      <c r="A791" s="769" t="s">
        <v>4939</v>
      </c>
      <c r="B791" s="660"/>
      <c r="C791" s="660">
        <v>52</v>
      </c>
      <c r="D791" s="661">
        <f>PIEDRAS!F27</f>
        <v>40.330188679245282</v>
      </c>
      <c r="E791" s="662">
        <f>D791*C791</f>
        <v>2097.1698113207549</v>
      </c>
      <c r="F791" s="658"/>
      <c r="G791" s="653"/>
      <c r="H791" s="653"/>
    </row>
    <row r="792" spans="1:9" ht="15.75" x14ac:dyDescent="0.25">
      <c r="A792" s="666" t="s">
        <v>1554</v>
      </c>
      <c r="B792" s="660"/>
      <c r="C792" s="660">
        <v>1</v>
      </c>
      <c r="D792" s="661">
        <f>FORNITURAS!D24</f>
        <v>34.666666666666664</v>
      </c>
      <c r="E792" s="662">
        <f>D792*C792</f>
        <v>34.666666666666664</v>
      </c>
      <c r="F792" s="658"/>
      <c r="G792" s="653"/>
      <c r="H792" s="653"/>
    </row>
    <row r="793" spans="1:9" ht="15.75" x14ac:dyDescent="0.25">
      <c r="A793" s="666" t="s">
        <v>4156</v>
      </c>
      <c r="B793" s="660" t="s">
        <v>4157</v>
      </c>
      <c r="C793" s="660">
        <v>3</v>
      </c>
      <c r="D793" s="661">
        <f>FORNITURAS!I13</f>
        <v>274.44444444444446</v>
      </c>
      <c r="E793" s="662">
        <f>D793*C793</f>
        <v>823.33333333333337</v>
      </c>
      <c r="F793" s="658"/>
      <c r="G793" s="653"/>
      <c r="H793" s="653"/>
    </row>
    <row r="794" spans="1:9" ht="15.75" x14ac:dyDescent="0.25">
      <c r="A794" s="666" t="s">
        <v>1594</v>
      </c>
      <c r="B794" s="660"/>
      <c r="C794" s="660">
        <v>0.28000000000000003</v>
      </c>
      <c r="D794" s="661">
        <f>'HILOS-CORDONES-TANZA-CUERO'!L6</f>
        <v>8</v>
      </c>
      <c r="E794" s="667">
        <f>D794*C794</f>
        <v>2.2400000000000002</v>
      </c>
      <c r="F794" s="658"/>
      <c r="G794" s="653"/>
      <c r="H794" s="653"/>
    </row>
    <row r="795" spans="1:9" ht="15.75" x14ac:dyDescent="0.25">
      <c r="A795" s="666" t="s">
        <v>1557</v>
      </c>
      <c r="B795" s="660"/>
      <c r="C795" s="660"/>
      <c r="D795" s="661"/>
      <c r="E795" s="667">
        <f>PACKAGING!E5</f>
        <v>200</v>
      </c>
      <c r="F795" s="653"/>
      <c r="G795" s="658"/>
      <c r="H795" s="653"/>
    </row>
    <row r="796" spans="1:9" ht="15.75" x14ac:dyDescent="0.25">
      <c r="A796" s="683" t="s">
        <v>1618</v>
      </c>
      <c r="B796" s="660">
        <v>60</v>
      </c>
      <c r="C796" s="660">
        <v>20</v>
      </c>
      <c r="D796" s="668">
        <f>'INSUMOS VARIOS'!B3</f>
        <v>3500</v>
      </c>
      <c r="E796" s="669">
        <f>D796*C796/B796</f>
        <v>1166.6666666666667</v>
      </c>
      <c r="F796" s="653"/>
      <c r="G796" s="658"/>
      <c r="H796" s="653"/>
    </row>
    <row r="797" spans="1:9" ht="16.5" thickBot="1" x14ac:dyDescent="0.3">
      <c r="A797" s="670" t="s">
        <v>525</v>
      </c>
      <c r="B797" s="671"/>
      <c r="C797" s="671"/>
      <c r="D797" s="672"/>
      <c r="E797" s="673">
        <f>SUM(E791:E796)</f>
        <v>4324.0764779874216</v>
      </c>
      <c r="F797" s="658"/>
      <c r="G797" s="653"/>
      <c r="H797" s="653"/>
    </row>
    <row r="798" spans="1:9" ht="16.5" thickBot="1" x14ac:dyDescent="0.3">
      <c r="A798" s="675" t="s">
        <v>4918</v>
      </c>
      <c r="B798" s="676"/>
      <c r="C798" s="676"/>
      <c r="D798" s="677"/>
      <c r="E798" s="692">
        <f>E797*2</f>
        <v>8648.1529559748433</v>
      </c>
      <c r="F798" s="957">
        <f>E798+E798*70%</f>
        <v>14701.860025157233</v>
      </c>
      <c r="G798" s="681"/>
      <c r="H798" s="653"/>
    </row>
    <row r="799" spans="1:9" ht="16.5" thickBot="1" x14ac:dyDescent="0.3">
      <c r="A799" s="684" t="s">
        <v>1559</v>
      </c>
      <c r="B799" s="685"/>
      <c r="C799" s="685"/>
      <c r="D799" s="686"/>
      <c r="E799" s="686"/>
      <c r="F799" s="816"/>
      <c r="G799" s="1275">
        <f>G798*60%</f>
        <v>0</v>
      </c>
      <c r="H799" s="1276" t="s">
        <v>3687</v>
      </c>
    </row>
    <row r="800" spans="1:9" ht="15.75" thickBot="1" x14ac:dyDescent="0.3"/>
    <row r="801" spans="1:8" ht="16.5" thickBot="1" x14ac:dyDescent="0.3">
      <c r="A801" s="1804" t="s">
        <v>4941</v>
      </c>
      <c r="B801" s="1805"/>
      <c r="C801" s="1805"/>
      <c r="D801" s="1805"/>
      <c r="E801" s="1806"/>
      <c r="F801" s="653"/>
      <c r="G801" s="653"/>
      <c r="H801" s="653"/>
    </row>
    <row r="802" spans="1:8" ht="15.75" x14ac:dyDescent="0.25">
      <c r="A802" s="654" t="s">
        <v>916</v>
      </c>
      <c r="B802" s="655" t="s">
        <v>743</v>
      </c>
      <c r="C802" s="655" t="s">
        <v>1566</v>
      </c>
      <c r="D802" s="656" t="s">
        <v>1035</v>
      </c>
      <c r="E802" s="657" t="s">
        <v>1549</v>
      </c>
      <c r="F802" s="658"/>
      <c r="G802" s="653"/>
      <c r="H802" s="653"/>
    </row>
    <row r="803" spans="1:8" ht="15.75" x14ac:dyDescent="0.25">
      <c r="A803" s="769" t="s">
        <v>4942</v>
      </c>
      <c r="B803" s="660">
        <v>0.39500000000000002</v>
      </c>
      <c r="C803" s="660">
        <v>0.17</v>
      </c>
      <c r="D803" s="661">
        <f>PIEDRAS!E44</f>
        <v>7600</v>
      </c>
      <c r="E803" s="662">
        <f>D803*C803/B803</f>
        <v>3270.8860759493668</v>
      </c>
      <c r="F803" s="658"/>
      <c r="G803" s="653"/>
      <c r="H803" s="653"/>
    </row>
    <row r="804" spans="1:8" ht="15.75" x14ac:dyDescent="0.25">
      <c r="A804" s="666" t="s">
        <v>4128</v>
      </c>
      <c r="B804" s="660"/>
      <c r="C804" s="660">
        <v>1</v>
      </c>
      <c r="D804" s="661">
        <f>FORNITURAS!I4</f>
        <v>66.099999999999994</v>
      </c>
      <c r="E804" s="662">
        <f>D804*C804</f>
        <v>66.099999999999994</v>
      </c>
      <c r="F804" s="658"/>
      <c r="G804" s="653"/>
      <c r="H804" s="653"/>
    </row>
    <row r="805" spans="1:8" ht="15.75" x14ac:dyDescent="0.25">
      <c r="A805" s="666" t="s">
        <v>1594</v>
      </c>
      <c r="B805" s="660"/>
      <c r="C805" s="660">
        <v>0.28000000000000003</v>
      </c>
      <c r="D805" s="661">
        <f>'HILOS-CORDONES-TANZA-CUERO'!L6</f>
        <v>8</v>
      </c>
      <c r="E805" s="667">
        <f>D805*C805</f>
        <v>2.2400000000000002</v>
      </c>
      <c r="F805" s="658"/>
      <c r="G805" s="653"/>
      <c r="H805" s="653"/>
    </row>
    <row r="806" spans="1:8" ht="15.75" x14ac:dyDescent="0.25">
      <c r="A806" s="666" t="s">
        <v>1557</v>
      </c>
      <c r="B806" s="660"/>
      <c r="C806" s="660"/>
      <c r="D806" s="661"/>
      <c r="E806" s="667">
        <f>PACKAGING!E5</f>
        <v>200</v>
      </c>
      <c r="F806" s="653"/>
      <c r="G806" s="658"/>
      <c r="H806" s="653"/>
    </row>
    <row r="807" spans="1:8" ht="15.75" x14ac:dyDescent="0.25">
      <c r="A807" s="683" t="s">
        <v>1618</v>
      </c>
      <c r="B807" s="660">
        <v>60</v>
      </c>
      <c r="C807" s="660">
        <v>20</v>
      </c>
      <c r="D807" s="668">
        <f>'INSUMOS VARIOS'!B3</f>
        <v>3500</v>
      </c>
      <c r="E807" s="669">
        <f>D807*C807/B807</f>
        <v>1166.6666666666667</v>
      </c>
      <c r="F807" s="653"/>
      <c r="G807" s="658"/>
      <c r="H807" s="653"/>
    </row>
    <row r="808" spans="1:8" ht="16.5" thickBot="1" x14ac:dyDescent="0.3">
      <c r="A808" s="670" t="s">
        <v>525</v>
      </c>
      <c r="B808" s="671"/>
      <c r="C808" s="671"/>
      <c r="D808" s="672"/>
      <c r="E808" s="673">
        <f>SUM(E803:E807)</f>
        <v>4705.8927426160335</v>
      </c>
      <c r="F808" s="658"/>
      <c r="G808" s="653"/>
      <c r="H808" s="653"/>
    </row>
    <row r="809" spans="1:8" ht="16.5" thickBot="1" x14ac:dyDescent="0.3">
      <c r="A809" s="675" t="s">
        <v>4918</v>
      </c>
      <c r="B809" s="676"/>
      <c r="C809" s="676"/>
      <c r="D809" s="677"/>
      <c r="E809" s="692">
        <f>E808*2</f>
        <v>9411.785485232067</v>
      </c>
      <c r="F809" s="957">
        <f>E809+E809*70%</f>
        <v>16000.035324894514</v>
      </c>
      <c r="G809" s="681"/>
      <c r="H809" s="653"/>
    </row>
    <row r="810" spans="1:8" ht="16.5" thickBot="1" x14ac:dyDescent="0.3">
      <c r="A810" s="684" t="s">
        <v>1559</v>
      </c>
      <c r="B810" s="685"/>
      <c r="C810" s="685"/>
      <c r="D810" s="686"/>
      <c r="E810" s="686"/>
      <c r="F810" s="816"/>
      <c r="G810" s="1275">
        <f>G809*60%</f>
        <v>0</v>
      </c>
      <c r="H810" s="1276" t="s">
        <v>3687</v>
      </c>
    </row>
    <row r="811" spans="1:8" ht="15.75" thickBot="1" x14ac:dyDescent="0.3"/>
    <row r="812" spans="1:8" ht="16.5" thickBot="1" x14ac:dyDescent="0.3">
      <c r="A812" s="1804" t="s">
        <v>5043</v>
      </c>
      <c r="B812" s="1805"/>
      <c r="C812" s="1805"/>
      <c r="D812" s="1805"/>
      <c r="E812" s="1806"/>
      <c r="F812" s="653"/>
      <c r="G812" s="653"/>
      <c r="H812" s="653"/>
    </row>
    <row r="813" spans="1:8" ht="15.75" x14ac:dyDescent="0.25">
      <c r="A813" s="654" t="s">
        <v>916</v>
      </c>
      <c r="B813" s="655" t="s">
        <v>743</v>
      </c>
      <c r="C813" s="655" t="s">
        <v>1566</v>
      </c>
      <c r="D813" s="656" t="s">
        <v>1035</v>
      </c>
      <c r="E813" s="657" t="s">
        <v>1549</v>
      </c>
      <c r="F813" s="658"/>
      <c r="G813" s="653"/>
      <c r="H813" s="653"/>
    </row>
    <row r="814" spans="1:8" ht="15.75" x14ac:dyDescent="0.25">
      <c r="A814" s="769" t="s">
        <v>5044</v>
      </c>
      <c r="B814" s="660" t="s">
        <v>1006</v>
      </c>
      <c r="C814" s="660">
        <v>13</v>
      </c>
      <c r="D814" s="661">
        <f>PIEDRAS!F25</f>
        <v>102.05882352941177</v>
      </c>
      <c r="E814" s="662">
        <f t="shared" ref="E814:E819" si="28">D814*C814</f>
        <v>1326.7647058823529</v>
      </c>
      <c r="F814" s="658"/>
      <c r="G814" s="653"/>
      <c r="H814" s="653"/>
    </row>
    <row r="815" spans="1:8" ht="15.75" x14ac:dyDescent="0.25">
      <c r="A815" s="666" t="s">
        <v>3504</v>
      </c>
      <c r="B815" s="660" t="s">
        <v>1006</v>
      </c>
      <c r="C815" s="660">
        <v>2</v>
      </c>
      <c r="D815" s="661">
        <f>PIEDRAS!F137</f>
        <v>76.5</v>
      </c>
      <c r="E815" s="662">
        <f t="shared" si="28"/>
        <v>153</v>
      </c>
      <c r="F815" s="658"/>
      <c r="G815" s="653"/>
      <c r="H815" s="653"/>
    </row>
    <row r="816" spans="1:8" ht="15.75" x14ac:dyDescent="0.25">
      <c r="A816" s="666" t="s">
        <v>3505</v>
      </c>
      <c r="B816" s="660" t="s">
        <v>1006</v>
      </c>
      <c r="C816" s="660">
        <v>1</v>
      </c>
      <c r="D816" s="661">
        <f>PIEDRAS!F142</f>
        <v>76.5</v>
      </c>
      <c r="E816" s="662">
        <f t="shared" si="28"/>
        <v>76.5</v>
      </c>
      <c r="F816" s="658"/>
      <c r="G816" s="653"/>
      <c r="H816" s="653"/>
    </row>
    <row r="817" spans="1:8" ht="15.75" x14ac:dyDescent="0.25">
      <c r="A817" s="666" t="s">
        <v>5039</v>
      </c>
      <c r="B817" s="660"/>
      <c r="C817" s="660">
        <v>2</v>
      </c>
      <c r="D817" s="661">
        <f>PIEDRAS!F48</f>
        <v>293.75</v>
      </c>
      <c r="E817" s="662">
        <f t="shared" si="28"/>
        <v>587.5</v>
      </c>
      <c r="F817" s="658"/>
      <c r="G817" s="653"/>
      <c r="H817" s="653"/>
    </row>
    <row r="818" spans="1:8" ht="15.75" x14ac:dyDescent="0.25">
      <c r="A818" s="666" t="s">
        <v>4225</v>
      </c>
      <c r="B818" s="660"/>
      <c r="C818" s="660">
        <v>19</v>
      </c>
      <c r="D818" s="661">
        <f>'PALAIS DU BIJOU'!O19</f>
        <v>3.4375</v>
      </c>
      <c r="E818" s="662">
        <f t="shared" si="28"/>
        <v>65.3125</v>
      </c>
      <c r="F818" s="658"/>
      <c r="G818" s="653"/>
      <c r="H818" s="653"/>
    </row>
    <row r="819" spans="1:8" ht="15.75" x14ac:dyDescent="0.25">
      <c r="A819" s="666" t="s">
        <v>1742</v>
      </c>
      <c r="B819" s="660" t="s">
        <v>3532</v>
      </c>
      <c r="C819" s="660">
        <v>2</v>
      </c>
      <c r="D819" s="661">
        <f>'PERLAS 2'!H23</f>
        <v>281.60000000000002</v>
      </c>
      <c r="E819" s="662">
        <f t="shared" si="28"/>
        <v>563.20000000000005</v>
      </c>
      <c r="F819" s="658"/>
      <c r="G819" s="653"/>
      <c r="H819" s="653"/>
    </row>
    <row r="820" spans="1:8" ht="15.75" x14ac:dyDescent="0.25">
      <c r="A820" s="666" t="s">
        <v>1012</v>
      </c>
      <c r="B820" s="660"/>
      <c r="C820" s="660">
        <v>2</v>
      </c>
      <c r="D820" s="661">
        <f>FORNITURAS!D16</f>
        <v>45.05</v>
      </c>
      <c r="E820" s="662">
        <f t="shared" ref="E820:E826" si="29">D820*C820</f>
        <v>90.1</v>
      </c>
      <c r="F820" s="658"/>
      <c r="G820" s="653"/>
      <c r="H820" s="653"/>
    </row>
    <row r="821" spans="1:8" ht="15.75" x14ac:dyDescent="0.25">
      <c r="A821" s="666" t="s">
        <v>1697</v>
      </c>
      <c r="B821" s="660" t="s">
        <v>777</v>
      </c>
      <c r="C821" s="660">
        <v>2</v>
      </c>
      <c r="D821" s="661">
        <f>FORNITURAS!D24</f>
        <v>34.666666666666664</v>
      </c>
      <c r="E821" s="667">
        <f t="shared" si="29"/>
        <v>69.333333333333329</v>
      </c>
      <c r="F821" s="658"/>
      <c r="G821" s="653"/>
      <c r="H821" s="653"/>
    </row>
    <row r="822" spans="1:8" ht="15.75" x14ac:dyDescent="0.25">
      <c r="A822" s="666" t="s">
        <v>3173</v>
      </c>
      <c r="B822" s="660"/>
      <c r="C822" s="660">
        <v>2</v>
      </c>
      <c r="D822" s="661">
        <f>FORNITURAS!D37</f>
        <v>299.5</v>
      </c>
      <c r="E822" s="667">
        <f t="shared" si="29"/>
        <v>599</v>
      </c>
      <c r="F822" s="658"/>
      <c r="G822" s="653"/>
      <c r="H822" s="653"/>
    </row>
    <row r="823" spans="1:8" ht="15.75" x14ac:dyDescent="0.25">
      <c r="A823" s="666" t="s">
        <v>5045</v>
      </c>
      <c r="B823" s="660"/>
      <c r="C823" s="660">
        <v>0.6</v>
      </c>
      <c r="D823" s="661">
        <f>'HILOS-CORDONES-TANZA-CUERO'!E28</f>
        <v>19</v>
      </c>
      <c r="E823" s="667">
        <f t="shared" si="29"/>
        <v>11.4</v>
      </c>
      <c r="F823" s="658"/>
      <c r="G823" s="653"/>
      <c r="H823" s="653"/>
    </row>
    <row r="824" spans="1:8" ht="15.75" x14ac:dyDescent="0.25">
      <c r="A824" s="1736" t="s">
        <v>1555</v>
      </c>
      <c r="B824" s="660" t="s">
        <v>1556</v>
      </c>
      <c r="C824" s="660">
        <v>2</v>
      </c>
      <c r="D824" s="661">
        <f>FORNITURAS!D4</f>
        <v>48.7</v>
      </c>
      <c r="E824" s="667">
        <f t="shared" si="29"/>
        <v>97.4</v>
      </c>
      <c r="F824" s="658"/>
      <c r="G824" s="653"/>
      <c r="H824" s="653"/>
    </row>
    <row r="825" spans="1:8" ht="15.75" x14ac:dyDescent="0.25">
      <c r="A825" s="1737"/>
      <c r="B825" s="660" t="s">
        <v>1573</v>
      </c>
      <c r="C825" s="660">
        <v>1</v>
      </c>
      <c r="D825" s="661">
        <f>FORNITURAS!D7</f>
        <v>52</v>
      </c>
      <c r="E825" s="667">
        <f t="shared" si="29"/>
        <v>52</v>
      </c>
      <c r="F825" s="658"/>
      <c r="G825" s="653"/>
      <c r="H825" s="653"/>
    </row>
    <row r="826" spans="1:8" ht="15.75" x14ac:dyDescent="0.25">
      <c r="A826" s="666" t="s">
        <v>1587</v>
      </c>
      <c r="B826" s="660" t="s">
        <v>930</v>
      </c>
      <c r="C826" s="660">
        <v>1</v>
      </c>
      <c r="D826" s="661">
        <f>FORNITURAS!D20</f>
        <v>1066</v>
      </c>
      <c r="E826" s="667">
        <f t="shared" si="29"/>
        <v>1066</v>
      </c>
      <c r="F826" s="658"/>
      <c r="G826" s="653"/>
      <c r="H826" s="653"/>
    </row>
    <row r="827" spans="1:8" ht="15.75" x14ac:dyDescent="0.25">
      <c r="A827" s="666" t="s">
        <v>3362</v>
      </c>
      <c r="B827" s="660"/>
      <c r="C827" s="660"/>
      <c r="D827" s="661"/>
      <c r="E827" s="667">
        <f>PACKAGING!E17</f>
        <v>7.5</v>
      </c>
      <c r="F827" s="658"/>
      <c r="G827" s="653"/>
      <c r="H827" s="653"/>
    </row>
    <row r="828" spans="1:8" ht="15.75" x14ac:dyDescent="0.25">
      <c r="A828" s="666" t="s">
        <v>1537</v>
      </c>
      <c r="B828" s="660"/>
      <c r="C828" s="660"/>
      <c r="D828" s="661"/>
      <c r="E828" s="667">
        <f>PACKAGING!E7</f>
        <v>170</v>
      </c>
      <c r="F828" s="658"/>
      <c r="G828" s="653"/>
      <c r="H828" s="653"/>
    </row>
    <row r="829" spans="1:8" ht="15.75" x14ac:dyDescent="0.25">
      <c r="A829" s="666" t="s">
        <v>1557</v>
      </c>
      <c r="B829" s="660"/>
      <c r="C829" s="660"/>
      <c r="D829" s="661"/>
      <c r="E829" s="667">
        <f>PACKAGING!E3</f>
        <v>150</v>
      </c>
      <c r="F829" s="653"/>
      <c r="G829" s="658"/>
      <c r="H829" s="653"/>
    </row>
    <row r="830" spans="1:8" ht="15.75" x14ac:dyDescent="0.25">
      <c r="A830" s="683" t="s">
        <v>1618</v>
      </c>
      <c r="B830" s="660">
        <v>60</v>
      </c>
      <c r="C830" s="660">
        <v>20</v>
      </c>
      <c r="D830" s="668">
        <f>'INSUMOS VARIOS'!B3</f>
        <v>3500</v>
      </c>
      <c r="E830" s="669">
        <f>D830*C830/B830</f>
        <v>1166.6666666666667</v>
      </c>
      <c r="F830" s="653"/>
      <c r="G830" s="658"/>
      <c r="H830" s="653"/>
    </row>
    <row r="831" spans="1:8" ht="16.5" thickBot="1" x14ac:dyDescent="0.3">
      <c r="A831" s="670" t="s">
        <v>525</v>
      </c>
      <c r="B831" s="671"/>
      <c r="C831" s="671"/>
      <c r="D831" s="672"/>
      <c r="E831" s="673">
        <f>SUM(E814:E830)</f>
        <v>6251.6772058823535</v>
      </c>
      <c r="F831" s="658"/>
      <c r="G831" s="653"/>
      <c r="H831" s="653"/>
    </row>
    <row r="832" spans="1:8" ht="16.5" thickBot="1" x14ac:dyDescent="0.3">
      <c r="A832" s="675" t="s">
        <v>4918</v>
      </c>
      <c r="B832" s="676"/>
      <c r="C832" s="676"/>
      <c r="D832" s="677"/>
      <c r="E832" s="692">
        <f>E831*2</f>
        <v>12503.354411764707</v>
      </c>
      <c r="F832" s="957">
        <f>E832+E832*70%</f>
        <v>21255.702499999999</v>
      </c>
      <c r="G832" s="681"/>
      <c r="H832" s="653"/>
    </row>
    <row r="833" spans="1:8" ht="16.5" thickBot="1" x14ac:dyDescent="0.3">
      <c r="A833" s="684" t="s">
        <v>1559</v>
      </c>
      <c r="B833" s="685"/>
      <c r="C833" s="685"/>
      <c r="D833" s="686"/>
      <c r="E833" s="686"/>
      <c r="F833" s="816"/>
      <c r="G833" s="1275">
        <f>G832*60%</f>
        <v>0</v>
      </c>
      <c r="H833" s="1276" t="s">
        <v>3687</v>
      </c>
    </row>
  </sheetData>
  <mergeCells count="89">
    <mergeCell ref="R266:V266"/>
    <mergeCell ref="A281:E281"/>
    <mergeCell ref="A292:E292"/>
    <mergeCell ref="A304:E304"/>
    <mergeCell ref="A343:A344"/>
    <mergeCell ref="A315:E315"/>
    <mergeCell ref="A327:E327"/>
    <mergeCell ref="J266:N266"/>
    <mergeCell ref="A330:A331"/>
    <mergeCell ref="A341:E341"/>
    <mergeCell ref="A147:E147"/>
    <mergeCell ref="A158:E158"/>
    <mergeCell ref="A270:E270"/>
    <mergeCell ref="A242:F242"/>
    <mergeCell ref="A256:F256"/>
    <mergeCell ref="A187:E187"/>
    <mergeCell ref="A199:E199"/>
    <mergeCell ref="A202:A203"/>
    <mergeCell ref="A219:E219"/>
    <mergeCell ref="A222:A223"/>
    <mergeCell ref="A171:F171"/>
    <mergeCell ref="A178:A179"/>
    <mergeCell ref="A1:E1"/>
    <mergeCell ref="A3:A4"/>
    <mergeCell ref="A30:E30"/>
    <mergeCell ref="A36:A37"/>
    <mergeCell ref="A52:E52"/>
    <mergeCell ref="A56:A57"/>
    <mergeCell ref="A114:E114"/>
    <mergeCell ref="A118:A119"/>
    <mergeCell ref="A91:E91"/>
    <mergeCell ref="A93:A94"/>
    <mergeCell ref="A103:E103"/>
    <mergeCell ref="A105:A106"/>
    <mergeCell ref="A72:E72"/>
    <mergeCell ref="A75:A76"/>
    <mergeCell ref="A134:E134"/>
    <mergeCell ref="A568:A569"/>
    <mergeCell ref="A590:A591"/>
    <mergeCell ref="A584:A585"/>
    <mergeCell ref="A353:E353"/>
    <mergeCell ref="A355:A356"/>
    <mergeCell ref="A483:A484"/>
    <mergeCell ref="A468:E468"/>
    <mergeCell ref="A470:A471"/>
    <mergeCell ref="A443:E443"/>
    <mergeCell ref="A445:A446"/>
    <mergeCell ref="A432:A433"/>
    <mergeCell ref="A380:E380"/>
    <mergeCell ref="A393:E393"/>
    <mergeCell ref="A365:E365"/>
    <mergeCell ref="A457:A458"/>
    <mergeCell ref="J171:O171"/>
    <mergeCell ref="A582:E582"/>
    <mergeCell ref="A418:E418"/>
    <mergeCell ref="A430:E430"/>
    <mergeCell ref="A526:E526"/>
    <mergeCell ref="A539:E539"/>
    <mergeCell ref="A553:E553"/>
    <mergeCell ref="A566:E566"/>
    <mergeCell ref="A494:E494"/>
    <mergeCell ref="A496:A497"/>
    <mergeCell ref="A510:E510"/>
    <mergeCell ref="A512:A513"/>
    <mergeCell ref="A541:A542"/>
    <mergeCell ref="A369:A370"/>
    <mergeCell ref="A455:E455"/>
    <mergeCell ref="A405:E405"/>
    <mergeCell ref="A812:E812"/>
    <mergeCell ref="A824:A825"/>
    <mergeCell ref="A603:F603"/>
    <mergeCell ref="A753:F753"/>
    <mergeCell ref="A762:A763"/>
    <mergeCell ref="A704:E704"/>
    <mergeCell ref="A718:E718"/>
    <mergeCell ref="A720:A721"/>
    <mergeCell ref="A781:A782"/>
    <mergeCell ref="A773:E773"/>
    <mergeCell ref="A801:E801"/>
    <mergeCell ref="A618:E618"/>
    <mergeCell ref="A637:A638"/>
    <mergeCell ref="A789:E789"/>
    <mergeCell ref="A654:A655"/>
    <mergeCell ref="A679:E679"/>
    <mergeCell ref="A692:E692"/>
    <mergeCell ref="A666:E666"/>
    <mergeCell ref="J175:J176"/>
    <mergeCell ref="A648:E648"/>
    <mergeCell ref="A481:E481"/>
  </mergeCells>
  <pageMargins left="0.7" right="0.7" top="0.75" bottom="0.75" header="0.3" footer="0.3"/>
  <pageSetup paperSize="0" orientation="portrait" horizontalDpi="180" verticalDpi="180" r:id="rId1"/>
  <ignoredErrors>
    <ignoredError sqref="E13 E17 E33 E39 E59 E78 E121 E139 E137 E161 F175 E206 E229 E636" formula="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6E99-2B0D-42D6-8716-82E33A99BB89}">
  <dimension ref="A1:O421"/>
  <sheetViews>
    <sheetView topLeftCell="A402" workbookViewId="0">
      <selection activeCell="I62" sqref="I62"/>
    </sheetView>
  </sheetViews>
  <sheetFormatPr baseColWidth="10" defaultRowHeight="15" x14ac:dyDescent="0.25"/>
  <cols>
    <col min="1" max="1" width="42.7109375" customWidth="1"/>
    <col min="4" max="5" width="12.85546875" bestFit="1" customWidth="1"/>
    <col min="6" max="6" width="23.28515625" customWidth="1"/>
    <col min="7" max="7" width="26.28515625" customWidth="1"/>
    <col min="8" max="9" width="12.85546875" bestFit="1" customWidth="1"/>
    <col min="10" max="10" width="17.5703125" customWidth="1"/>
  </cols>
  <sheetData>
    <row r="1" spans="1:11" ht="16.5" thickBot="1" x14ac:dyDescent="0.3">
      <c r="A1" s="1791" t="s">
        <v>4256</v>
      </c>
      <c r="B1" s="1792"/>
      <c r="C1" s="1792"/>
      <c r="D1" s="1792"/>
      <c r="E1" s="1792"/>
      <c r="F1" s="1793"/>
      <c r="G1" s="653"/>
      <c r="H1" s="653"/>
      <c r="I1" s="652"/>
    </row>
    <row r="2" spans="1:11" ht="15.75" x14ac:dyDescent="0.25">
      <c r="A2" s="654" t="s">
        <v>916</v>
      </c>
      <c r="B2" s="655" t="s">
        <v>743</v>
      </c>
      <c r="C2" s="655" t="s">
        <v>1089</v>
      </c>
      <c r="D2" s="655" t="s">
        <v>1566</v>
      </c>
      <c r="E2" s="656" t="s">
        <v>1035</v>
      </c>
      <c r="F2" s="657" t="s">
        <v>1549</v>
      </c>
      <c r="G2" s="658"/>
      <c r="H2" s="653"/>
      <c r="I2" s="652"/>
    </row>
    <row r="3" spans="1:11" ht="15.75" x14ac:dyDescent="0.25">
      <c r="A3" s="666" t="s">
        <v>3522</v>
      </c>
      <c r="B3" s="660">
        <v>40</v>
      </c>
      <c r="C3" s="660"/>
      <c r="D3" s="660">
        <v>1.5</v>
      </c>
      <c r="E3" s="661">
        <f>'HILOS-CORDONES-TANZA-CUERO'!D27</f>
        <v>1000</v>
      </c>
      <c r="F3" s="662">
        <f>E3*D3/B3</f>
        <v>37.5</v>
      </c>
      <c r="G3" s="658"/>
      <c r="H3" s="653"/>
      <c r="I3" s="652"/>
    </row>
    <row r="4" spans="1:11" ht="15.75" x14ac:dyDescent="0.25">
      <c r="A4" s="1362" t="s">
        <v>1691</v>
      </c>
      <c r="B4" s="1226" t="s">
        <v>3564</v>
      </c>
      <c r="C4" s="1226"/>
      <c r="D4" s="1226">
        <v>2</v>
      </c>
      <c r="E4" s="1363">
        <f>'PERLAS 2'!H26</f>
        <v>651.20000000000005</v>
      </c>
      <c r="F4" s="1364">
        <f>E4*D4</f>
        <v>1302.4000000000001</v>
      </c>
      <c r="G4" s="658"/>
      <c r="H4" s="653"/>
      <c r="I4" s="652"/>
    </row>
    <row r="5" spans="1:11" ht="15.75" x14ac:dyDescent="0.25">
      <c r="A5" s="778" t="s">
        <v>4143</v>
      </c>
      <c r="B5" s="660">
        <v>0.8</v>
      </c>
      <c r="C5" s="660"/>
      <c r="D5" s="660">
        <v>1.1200000000000001</v>
      </c>
      <c r="E5" s="661">
        <f>PIEDRAS!E151</f>
        <v>4600</v>
      </c>
      <c r="F5" s="662">
        <f>E5*D5/B5</f>
        <v>6440.0000000000009</v>
      </c>
      <c r="G5" s="658"/>
      <c r="H5" s="653"/>
      <c r="I5" s="652"/>
    </row>
    <row r="6" spans="1:11" ht="15.75" x14ac:dyDescent="0.25">
      <c r="A6" s="666" t="s">
        <v>3362</v>
      </c>
      <c r="B6" s="660"/>
      <c r="C6" s="660"/>
      <c r="D6" s="660"/>
      <c r="E6" s="661"/>
      <c r="F6" s="662">
        <f>PACKAGING!E17</f>
        <v>7.5</v>
      </c>
      <c r="G6" s="658"/>
      <c r="H6" s="653"/>
      <c r="I6" s="652"/>
    </row>
    <row r="7" spans="1:11" ht="15.75" x14ac:dyDescent="0.25">
      <c r="A7" s="666" t="s">
        <v>1557</v>
      </c>
      <c r="B7" s="660"/>
      <c r="C7" s="660"/>
      <c r="D7" s="660"/>
      <c r="E7" s="661"/>
      <c r="F7" s="662">
        <f>PACKAGING!E4</f>
        <v>80</v>
      </c>
      <c r="G7" s="658"/>
      <c r="H7" s="653"/>
      <c r="I7" s="652"/>
    </row>
    <row r="8" spans="1:11" ht="15.75" x14ac:dyDescent="0.25">
      <c r="A8" s="663" t="s">
        <v>1618</v>
      </c>
      <c r="B8" s="660"/>
      <c r="C8" s="660">
        <v>60</v>
      </c>
      <c r="D8" s="660">
        <v>45</v>
      </c>
      <c r="E8" s="668">
        <f>'INSUMOS VARIOS'!B3</f>
        <v>3500</v>
      </c>
      <c r="F8" s="669">
        <f>E8*D8/C8</f>
        <v>2625</v>
      </c>
      <c r="G8" s="1" t="s">
        <v>3023</v>
      </c>
      <c r="H8" s="653"/>
      <c r="I8" s="652"/>
    </row>
    <row r="9" spans="1:11" ht="15.75" thickBot="1" x14ac:dyDescent="0.3">
      <c r="A9" s="670" t="s">
        <v>525</v>
      </c>
      <c r="B9" s="671"/>
      <c r="C9" s="671"/>
      <c r="D9" s="671"/>
      <c r="E9" s="672"/>
      <c r="F9" s="673">
        <f>SUM(F3:F8)</f>
        <v>10492.400000000001</v>
      </c>
      <c r="G9" s="698">
        <f>(F9+H10+H11)</f>
        <v>13770.400000000001</v>
      </c>
      <c r="H9" s="658" t="s">
        <v>2028</v>
      </c>
      <c r="I9" s="674" t="s">
        <v>2029</v>
      </c>
    </row>
    <row r="10" spans="1:11" ht="16.5" thickBot="1" x14ac:dyDescent="0.3">
      <c r="A10" s="675" t="s">
        <v>544</v>
      </c>
      <c r="B10" s="676"/>
      <c r="C10" s="676"/>
      <c r="D10" s="676"/>
      <c r="E10" s="677"/>
      <c r="F10" s="678">
        <f>F9*2</f>
        <v>20984.800000000003</v>
      </c>
      <c r="G10" s="679">
        <f>F10+F10*70%</f>
        <v>35674.160000000003</v>
      </c>
      <c r="H10" s="680">
        <f>PACKAGING!I3</f>
        <v>2433</v>
      </c>
      <c r="I10" s="702">
        <f>G10+H10+H11</f>
        <v>38952.160000000003</v>
      </c>
      <c r="J10" s="1277">
        <v>46000</v>
      </c>
      <c r="K10" s="1273"/>
    </row>
    <row r="11" spans="1:11" ht="16.5" thickBot="1" x14ac:dyDescent="0.3">
      <c r="A11" s="684" t="s">
        <v>1559</v>
      </c>
      <c r="B11" s="685"/>
      <c r="C11" s="685"/>
      <c r="D11" s="685"/>
      <c r="E11" s="686"/>
      <c r="F11" s="687"/>
      <c r="G11" s="688"/>
      <c r="H11" s="1101">
        <f>PACKAGING!I5</f>
        <v>845</v>
      </c>
      <c r="J11" s="1279">
        <f>J10*60%</f>
        <v>27600</v>
      </c>
      <c r="K11" s="1273" t="s">
        <v>3687</v>
      </c>
    </row>
    <row r="12" spans="1:11" ht="15.75" thickBot="1" x14ac:dyDescent="0.3">
      <c r="H12" s="1253"/>
    </row>
    <row r="13" spans="1:11" ht="16.5" thickBot="1" x14ac:dyDescent="0.3">
      <c r="A13" s="1794" t="s">
        <v>4277</v>
      </c>
      <c r="B13" s="1795"/>
      <c r="C13" s="1795"/>
      <c r="D13" s="1795"/>
      <c r="E13" s="1795"/>
      <c r="F13" s="1796"/>
      <c r="G13" s="653"/>
      <c r="H13" s="653"/>
      <c r="I13" s="652"/>
    </row>
    <row r="14" spans="1:11" ht="15.75" x14ac:dyDescent="0.25">
      <c r="A14" s="654" t="s">
        <v>916</v>
      </c>
      <c r="B14" s="655" t="s">
        <v>743</v>
      </c>
      <c r="C14" s="655" t="s">
        <v>1089</v>
      </c>
      <c r="D14" s="655" t="s">
        <v>1566</v>
      </c>
      <c r="E14" s="656" t="s">
        <v>1035</v>
      </c>
      <c r="F14" s="657" t="s">
        <v>1549</v>
      </c>
      <c r="G14" s="658"/>
      <c r="H14" s="653"/>
      <c r="I14" s="652"/>
    </row>
    <row r="15" spans="1:11" ht="15.75" x14ac:dyDescent="0.25">
      <c r="A15" s="659" t="s">
        <v>3103</v>
      </c>
      <c r="B15" s="660" t="s">
        <v>969</v>
      </c>
      <c r="C15" s="660">
        <v>90</v>
      </c>
      <c r="D15" s="660">
        <v>1.5</v>
      </c>
      <c r="E15" s="661">
        <f>'HILOS-CORDONES-TANZA-CUERO'!D11</f>
        <v>16820</v>
      </c>
      <c r="F15" s="662">
        <f>E15*D15/C15</f>
        <v>280.33333333333331</v>
      </c>
      <c r="G15" s="658"/>
      <c r="H15" s="653"/>
      <c r="I15" s="652"/>
    </row>
    <row r="16" spans="1:11" ht="15.75" x14ac:dyDescent="0.25">
      <c r="A16" s="663" t="s">
        <v>4173</v>
      </c>
      <c r="B16" s="660"/>
      <c r="C16" s="660"/>
      <c r="D16" s="660">
        <v>1</v>
      </c>
      <c r="E16" s="661">
        <f>'INSUMOS VARIOS'!K28</f>
        <v>4000</v>
      </c>
      <c r="F16" s="664">
        <f>E16*D16</f>
        <v>4000</v>
      </c>
      <c r="G16" s="658"/>
      <c r="H16" s="653"/>
      <c r="I16" s="652"/>
    </row>
    <row r="17" spans="1:11" ht="15.75" x14ac:dyDescent="0.25">
      <c r="A17" s="769" t="s">
        <v>1188</v>
      </c>
      <c r="B17" s="660"/>
      <c r="C17" s="660"/>
      <c r="D17" s="660">
        <v>2</v>
      </c>
      <c r="E17" s="661">
        <f>FORNITURAS!I9</f>
        <v>60.526315789473685</v>
      </c>
      <c r="F17" s="662">
        <f>D17*E17</f>
        <v>121.05263157894737</v>
      </c>
      <c r="G17" s="658"/>
      <c r="H17" s="653"/>
      <c r="I17" s="652"/>
    </row>
    <row r="18" spans="1:11" ht="15.75" x14ac:dyDescent="0.25">
      <c r="A18" s="769" t="s">
        <v>1742</v>
      </c>
      <c r="B18" s="641"/>
      <c r="C18" s="641"/>
      <c r="D18" s="660">
        <v>1</v>
      </c>
      <c r="E18" s="1184">
        <f>'PERLAS 2'!O6</f>
        <v>96.222222222222229</v>
      </c>
      <c r="F18" s="662">
        <f>E18*D18</f>
        <v>96.222222222222229</v>
      </c>
      <c r="G18" s="658"/>
      <c r="H18" s="653"/>
      <c r="I18" s="652"/>
    </row>
    <row r="19" spans="1:11" ht="15.75" x14ac:dyDescent="0.25">
      <c r="A19" s="769" t="s">
        <v>1050</v>
      </c>
      <c r="B19" s="769" t="s">
        <v>1056</v>
      </c>
      <c r="C19" s="769"/>
      <c r="D19" s="660">
        <v>0.01</v>
      </c>
      <c r="E19" s="661">
        <f>FORNITURAS!W4</f>
        <v>1404.9107142857144</v>
      </c>
      <c r="F19" s="668">
        <f>E19*D19</f>
        <v>14.049107142857144</v>
      </c>
      <c r="G19" s="1185"/>
      <c r="H19" s="653"/>
      <c r="I19" s="652"/>
    </row>
    <row r="20" spans="1:11" ht="15.75" x14ac:dyDescent="0.25">
      <c r="A20" s="769" t="s">
        <v>3401</v>
      </c>
      <c r="B20" s="660"/>
      <c r="C20" s="660"/>
      <c r="D20" s="660">
        <v>1</v>
      </c>
      <c r="E20" s="661">
        <f>FORNITURAS!I10</f>
        <v>501</v>
      </c>
      <c r="F20" s="662">
        <f>E20*D20</f>
        <v>501</v>
      </c>
      <c r="G20" s="658"/>
      <c r="H20" s="653"/>
      <c r="I20" s="652"/>
    </row>
    <row r="21" spans="1:11" ht="15.75" x14ac:dyDescent="0.25">
      <c r="A21" s="666" t="s">
        <v>1746</v>
      </c>
      <c r="B21" s="660"/>
      <c r="C21" s="660"/>
      <c r="D21" s="660"/>
      <c r="E21" s="661"/>
      <c r="F21" s="662">
        <v>20</v>
      </c>
      <c r="G21" s="658"/>
      <c r="H21" s="653"/>
      <c r="I21" s="652"/>
    </row>
    <row r="22" spans="1:11" ht="15.75" x14ac:dyDescent="0.25">
      <c r="A22" s="666" t="s">
        <v>3362</v>
      </c>
      <c r="B22" s="660"/>
      <c r="C22" s="660"/>
      <c r="D22" s="660"/>
      <c r="E22" s="661"/>
      <c r="F22" s="662">
        <f>PACKAGING!E17</f>
        <v>7.5</v>
      </c>
      <c r="G22" s="658"/>
      <c r="H22" s="653"/>
      <c r="I22" s="652"/>
    </row>
    <row r="23" spans="1:11" ht="15.75" x14ac:dyDescent="0.25">
      <c r="A23" s="666" t="s">
        <v>1557</v>
      </c>
      <c r="B23" s="660"/>
      <c r="C23" s="660"/>
      <c r="D23" s="660"/>
      <c r="E23" s="661"/>
      <c r="F23" s="662">
        <f>PACKAGING!E4</f>
        <v>80</v>
      </c>
      <c r="G23" s="658"/>
      <c r="H23" s="653"/>
      <c r="I23" s="652"/>
    </row>
    <row r="24" spans="1:11" ht="15.75" x14ac:dyDescent="0.25">
      <c r="A24" s="663" t="s">
        <v>1618</v>
      </c>
      <c r="B24" s="660"/>
      <c r="C24" s="660">
        <v>60</v>
      </c>
      <c r="D24" s="660">
        <v>30</v>
      </c>
      <c r="E24" s="668">
        <f>'INSUMOS VARIOS'!B3</f>
        <v>3500</v>
      </c>
      <c r="F24" s="669">
        <f>E24*D24/C24</f>
        <v>1750</v>
      </c>
      <c r="G24" s="1" t="s">
        <v>3023</v>
      </c>
      <c r="H24" s="653"/>
      <c r="I24" s="652"/>
    </row>
    <row r="25" spans="1:11" ht="15.75" thickBot="1" x14ac:dyDescent="0.3">
      <c r="A25" s="670" t="s">
        <v>525</v>
      </c>
      <c r="B25" s="671"/>
      <c r="C25" s="671"/>
      <c r="D25" s="671"/>
      <c r="E25" s="672"/>
      <c r="F25" s="673">
        <f>SUM(F15:F24)</f>
        <v>6870.1572942773601</v>
      </c>
      <c r="G25" s="698">
        <f>(F25+H26+H27)</f>
        <v>10148.15729427736</v>
      </c>
      <c r="H25" s="658" t="s">
        <v>2028</v>
      </c>
      <c r="I25" s="674" t="s">
        <v>2029</v>
      </c>
    </row>
    <row r="26" spans="1:11" ht="16.5" thickBot="1" x14ac:dyDescent="0.3">
      <c r="A26" s="675" t="s">
        <v>544</v>
      </c>
      <c r="B26" s="676"/>
      <c r="C26" s="676"/>
      <c r="D26" s="676"/>
      <c r="E26" s="677"/>
      <c r="F26" s="678">
        <f>F25*2</f>
        <v>13740.31458855472</v>
      </c>
      <c r="G26" s="679">
        <f>F26+F26*70%</f>
        <v>23358.534800543024</v>
      </c>
      <c r="H26" s="680">
        <f>PACKAGING!I3</f>
        <v>2433</v>
      </c>
      <c r="I26" s="702">
        <f>G26+H26+H27</f>
        <v>26636.534800543024</v>
      </c>
      <c r="J26" s="1277">
        <v>32000</v>
      </c>
    </row>
    <row r="27" spans="1:11" ht="16.5" thickBot="1" x14ac:dyDescent="0.3">
      <c r="A27" s="684" t="s">
        <v>1559</v>
      </c>
      <c r="B27" s="685"/>
      <c r="C27" s="685"/>
      <c r="D27" s="685"/>
      <c r="E27" s="686"/>
      <c r="F27" s="687"/>
      <c r="G27" s="688"/>
      <c r="H27" s="701">
        <f>PACKAGING!I5</f>
        <v>845</v>
      </c>
      <c r="J27" s="1279">
        <f>J26*60%</f>
        <v>19200</v>
      </c>
      <c r="K27" s="1273" t="s">
        <v>3687</v>
      </c>
    </row>
    <row r="28" spans="1:11" ht="15.75" thickBot="1" x14ac:dyDescent="0.3"/>
    <row r="29" spans="1:11" ht="16.5" thickBot="1" x14ac:dyDescent="0.3">
      <c r="A29" s="1791" t="s">
        <v>4255</v>
      </c>
      <c r="B29" s="1792"/>
      <c r="C29" s="1792"/>
      <c r="D29" s="1792"/>
      <c r="E29" s="1792"/>
      <c r="F29" s="1793"/>
      <c r="G29" s="653"/>
      <c r="H29" s="653"/>
      <c r="I29" s="652"/>
    </row>
    <row r="30" spans="1:11" ht="15.75" x14ac:dyDescent="0.25">
      <c r="A30" s="654" t="s">
        <v>916</v>
      </c>
      <c r="B30" s="655" t="s">
        <v>743</v>
      </c>
      <c r="C30" s="655" t="s">
        <v>1089</v>
      </c>
      <c r="D30" s="655" t="s">
        <v>1566</v>
      </c>
      <c r="E30" s="656" t="s">
        <v>1035</v>
      </c>
      <c r="F30" s="657" t="s">
        <v>1549</v>
      </c>
      <c r="G30" s="658"/>
      <c r="H30" s="653"/>
      <c r="I30" s="652"/>
    </row>
    <row r="31" spans="1:11" ht="15.75" x14ac:dyDescent="0.25">
      <c r="A31" s="666" t="s">
        <v>3363</v>
      </c>
      <c r="B31" s="660" t="s">
        <v>969</v>
      </c>
      <c r="C31" s="660">
        <v>1</v>
      </c>
      <c r="D31" s="660">
        <v>1.9</v>
      </c>
      <c r="E31" s="661">
        <f>'HILOS-CORDONES-TANZA-CUERO'!E11</f>
        <v>210.25</v>
      </c>
      <c r="F31" s="662">
        <f>E31*D31/C31</f>
        <v>399.47499999999997</v>
      </c>
      <c r="G31" s="658"/>
      <c r="H31" s="653"/>
      <c r="I31" s="652"/>
    </row>
    <row r="32" spans="1:11" ht="15.75" x14ac:dyDescent="0.25">
      <c r="A32" s="666" t="s">
        <v>4174</v>
      </c>
      <c r="B32" s="660"/>
      <c r="C32" s="660"/>
      <c r="D32" s="660">
        <v>1</v>
      </c>
      <c r="E32" s="661">
        <f>PIEDRAS!K69</f>
        <v>1560</v>
      </c>
      <c r="F32" s="664">
        <f>E32*D32</f>
        <v>1560</v>
      </c>
      <c r="G32" s="658"/>
      <c r="H32" s="653"/>
      <c r="I32" s="652"/>
    </row>
    <row r="33" spans="1:11" ht="15.75" x14ac:dyDescent="0.25">
      <c r="A33" s="666" t="s">
        <v>4176</v>
      </c>
      <c r="B33" s="660" t="s">
        <v>4175</v>
      </c>
      <c r="C33" s="660"/>
      <c r="D33" s="660">
        <v>2</v>
      </c>
      <c r="E33" s="661">
        <f>FORNITURAS!D34</f>
        <v>301.42857142857144</v>
      </c>
      <c r="F33" s="662">
        <f>D33*E33</f>
        <v>602.85714285714289</v>
      </c>
      <c r="G33" s="658"/>
      <c r="H33" s="653"/>
      <c r="I33" s="652"/>
    </row>
    <row r="34" spans="1:11" ht="15.75" x14ac:dyDescent="0.25">
      <c r="A34" s="769" t="s">
        <v>4177</v>
      </c>
      <c r="B34" s="660" t="s">
        <v>902</v>
      </c>
      <c r="C34" s="660"/>
      <c r="D34" s="660">
        <v>1</v>
      </c>
      <c r="E34" s="661">
        <f>FORNITURAS!O5</f>
        <v>1800</v>
      </c>
      <c r="F34" s="662">
        <f>E34*D34</f>
        <v>1800</v>
      </c>
      <c r="G34" s="658"/>
      <c r="H34" s="653"/>
      <c r="I34" s="652"/>
    </row>
    <row r="35" spans="1:11" ht="15.75" x14ac:dyDescent="0.25">
      <c r="A35" s="666" t="s">
        <v>1746</v>
      </c>
      <c r="B35" s="660"/>
      <c r="C35" s="660"/>
      <c r="D35" s="660"/>
      <c r="E35" s="661"/>
      <c r="F35" s="662">
        <v>100</v>
      </c>
      <c r="G35" s="658"/>
      <c r="H35" s="653"/>
      <c r="I35" s="652"/>
    </row>
    <row r="36" spans="1:11" ht="15.75" x14ac:dyDescent="0.25">
      <c r="A36" s="666" t="s">
        <v>3362</v>
      </c>
      <c r="B36" s="660"/>
      <c r="C36" s="660"/>
      <c r="D36" s="660"/>
      <c r="E36" s="661"/>
      <c r="F36" s="662">
        <f>PACKAGING!E17</f>
        <v>7.5</v>
      </c>
      <c r="G36" s="658"/>
      <c r="H36" s="653"/>
      <c r="I36" s="652"/>
    </row>
    <row r="37" spans="1:11" ht="15.75" x14ac:dyDescent="0.25">
      <c r="A37" s="666" t="s">
        <v>1557</v>
      </c>
      <c r="B37" s="660"/>
      <c r="C37" s="660"/>
      <c r="D37" s="660"/>
      <c r="E37" s="661"/>
      <c r="F37" s="662">
        <f>PACKAGING!E4</f>
        <v>80</v>
      </c>
      <c r="G37" s="658"/>
      <c r="H37" s="653"/>
      <c r="I37" s="652"/>
    </row>
    <row r="38" spans="1:11" ht="15.75" x14ac:dyDescent="0.25">
      <c r="A38" s="663" t="s">
        <v>1618</v>
      </c>
      <c r="B38" s="660"/>
      <c r="C38" s="660">
        <v>60</v>
      </c>
      <c r="D38" s="660">
        <v>45</v>
      </c>
      <c r="E38" s="668">
        <f>'INSUMOS VARIOS'!B3</f>
        <v>3500</v>
      </c>
      <c r="F38" s="669">
        <f>E38*D38/C38</f>
        <v>2625</v>
      </c>
      <c r="G38" s="1" t="s">
        <v>3023</v>
      </c>
      <c r="H38" s="653"/>
      <c r="I38" s="652"/>
    </row>
    <row r="39" spans="1:11" ht="15.75" thickBot="1" x14ac:dyDescent="0.3">
      <c r="A39" s="670" t="s">
        <v>525</v>
      </c>
      <c r="B39" s="671"/>
      <c r="C39" s="671"/>
      <c r="D39" s="671"/>
      <c r="E39" s="672"/>
      <c r="F39" s="673">
        <f>SUM(F31:F38)</f>
        <v>7174.8321428571426</v>
      </c>
      <c r="G39" s="698">
        <f>(F39+H40+H41)</f>
        <v>10452.832142857143</v>
      </c>
      <c r="H39" s="658" t="s">
        <v>2028</v>
      </c>
      <c r="I39" s="674" t="s">
        <v>2029</v>
      </c>
    </row>
    <row r="40" spans="1:11" ht="16.5" thickBot="1" x14ac:dyDescent="0.3">
      <c r="A40" s="675" t="s">
        <v>544</v>
      </c>
      <c r="B40" s="676"/>
      <c r="C40" s="676"/>
      <c r="D40" s="676"/>
      <c r="E40" s="677"/>
      <c r="F40" s="678">
        <f>F39*2</f>
        <v>14349.664285714285</v>
      </c>
      <c r="G40" s="679">
        <f>F40+F40*70%</f>
        <v>24394.429285714286</v>
      </c>
      <c r="H40" s="680">
        <f>PACKAGING!I3</f>
        <v>2433</v>
      </c>
      <c r="I40" s="702">
        <f>G40+H40+H41</f>
        <v>27672.429285714286</v>
      </c>
      <c r="J40" s="1277">
        <v>42000</v>
      </c>
      <c r="K40" t="s">
        <v>3687</v>
      </c>
    </row>
    <row r="41" spans="1:11" ht="16.5" thickBot="1" x14ac:dyDescent="0.3">
      <c r="A41" s="684" t="s">
        <v>1559</v>
      </c>
      <c r="B41" s="685"/>
      <c r="C41" s="685"/>
      <c r="D41" s="685"/>
      <c r="E41" s="686"/>
      <c r="F41" s="687"/>
      <c r="G41" s="688"/>
      <c r="H41" s="701">
        <f>PACKAGING!I5</f>
        <v>845</v>
      </c>
      <c r="J41" s="1279">
        <f>J40*50%</f>
        <v>21000</v>
      </c>
      <c r="K41" s="1273"/>
    </row>
    <row r="42" spans="1:11" ht="15.75" thickBot="1" x14ac:dyDescent="0.3"/>
    <row r="43" spans="1:11" ht="16.5" thickBot="1" x14ac:dyDescent="0.3">
      <c r="A43" s="1794" t="s">
        <v>4316</v>
      </c>
      <c r="B43" s="1795"/>
      <c r="C43" s="1795"/>
      <c r="D43" s="1795"/>
      <c r="E43" s="1795"/>
      <c r="F43" s="1796"/>
      <c r="G43" s="653"/>
      <c r="H43" s="653"/>
      <c r="I43" s="652"/>
    </row>
    <row r="44" spans="1:11" ht="15.75" x14ac:dyDescent="0.25">
      <c r="A44" s="654" t="s">
        <v>916</v>
      </c>
      <c r="B44" s="655" t="s">
        <v>743</v>
      </c>
      <c r="C44" s="655" t="s">
        <v>1089</v>
      </c>
      <c r="D44" s="655" t="s">
        <v>1566</v>
      </c>
      <c r="E44" s="656" t="s">
        <v>1035</v>
      </c>
      <c r="F44" s="657" t="s">
        <v>1549</v>
      </c>
      <c r="G44" s="658"/>
      <c r="H44" s="653"/>
      <c r="I44" s="652"/>
    </row>
    <row r="45" spans="1:11" ht="15.75" x14ac:dyDescent="0.25">
      <c r="A45" s="666" t="s">
        <v>3103</v>
      </c>
      <c r="B45" s="660" t="s">
        <v>969</v>
      </c>
      <c r="C45" s="660">
        <v>90</v>
      </c>
      <c r="D45" s="660">
        <v>1.9</v>
      </c>
      <c r="E45" s="661">
        <f>'HILOS-CORDONES-TANZA-CUERO'!D11</f>
        <v>16820</v>
      </c>
      <c r="F45" s="662">
        <f>E45*D45/C45</f>
        <v>355.0888888888889</v>
      </c>
      <c r="G45" s="658"/>
      <c r="H45" s="653"/>
      <c r="I45" s="652"/>
    </row>
    <row r="46" spans="1:11" ht="15.75" x14ac:dyDescent="0.25">
      <c r="A46" s="666" t="s">
        <v>4304</v>
      </c>
      <c r="B46" s="660"/>
      <c r="C46" s="660"/>
      <c r="D46" s="660">
        <v>1</v>
      </c>
      <c r="E46" s="661">
        <f>'INSUMOS VARIOS'!E72</f>
        <v>1500</v>
      </c>
      <c r="F46" s="664">
        <f>E46*D46</f>
        <v>1500</v>
      </c>
      <c r="G46" s="658"/>
      <c r="H46" s="653"/>
      <c r="I46" s="652"/>
    </row>
    <row r="47" spans="1:11" ht="15.75" x14ac:dyDescent="0.25">
      <c r="A47" s="666" t="s">
        <v>1706</v>
      </c>
      <c r="B47" s="660"/>
      <c r="C47" s="660"/>
      <c r="D47" s="660">
        <v>2</v>
      </c>
      <c r="E47" s="661">
        <f>FORNITURAS!I9</f>
        <v>60.526315789473685</v>
      </c>
      <c r="F47" s="662">
        <f>D47*E47</f>
        <v>121.05263157894737</v>
      </c>
      <c r="G47" s="658"/>
      <c r="H47" s="653"/>
      <c r="I47" s="652"/>
    </row>
    <row r="48" spans="1:11" ht="15.75" x14ac:dyDescent="0.25">
      <c r="A48" s="820" t="s">
        <v>1742</v>
      </c>
      <c r="B48" s="660" t="s">
        <v>3534</v>
      </c>
      <c r="C48" s="660"/>
      <c r="D48" s="660">
        <v>1</v>
      </c>
      <c r="E48" s="661">
        <f>'PERLAS 2'!O4</f>
        <v>171.05263157894737</v>
      </c>
      <c r="F48" s="662">
        <f>E48*D48</f>
        <v>171.05263157894737</v>
      </c>
      <c r="G48" s="658"/>
      <c r="H48" s="653"/>
      <c r="I48" s="652"/>
    </row>
    <row r="49" spans="1:11" ht="15.75" x14ac:dyDescent="0.25">
      <c r="A49" s="820" t="s">
        <v>3237</v>
      </c>
      <c r="B49" s="660" t="s">
        <v>1056</v>
      </c>
      <c r="C49" s="660"/>
      <c r="D49" s="660">
        <v>0.01</v>
      </c>
      <c r="E49" s="661">
        <f>FORNITURAS!W4</f>
        <v>1404.9107142857144</v>
      </c>
      <c r="F49" s="662">
        <f>E49*D49</f>
        <v>14.049107142857144</v>
      </c>
      <c r="G49" s="658"/>
      <c r="H49" s="653"/>
      <c r="I49" s="652"/>
    </row>
    <row r="50" spans="1:11" ht="15.75" x14ac:dyDescent="0.25">
      <c r="A50" s="769" t="s">
        <v>4184</v>
      </c>
      <c r="B50" s="660" t="s">
        <v>3712</v>
      </c>
      <c r="C50" s="660"/>
      <c r="D50" s="660">
        <v>1</v>
      </c>
      <c r="E50" s="661">
        <f>FORNITURAS!O11</f>
        <v>1800</v>
      </c>
      <c r="F50" s="662">
        <f>E50*D50</f>
        <v>1800</v>
      </c>
      <c r="G50" s="658"/>
      <c r="H50" s="653"/>
      <c r="I50" s="652"/>
    </row>
    <row r="51" spans="1:11" ht="15.75" x14ac:dyDescent="0.25">
      <c r="A51" s="666" t="s">
        <v>1746</v>
      </c>
      <c r="B51" s="660"/>
      <c r="C51" s="660"/>
      <c r="D51" s="660"/>
      <c r="E51" s="661"/>
      <c r="F51" s="662">
        <v>20</v>
      </c>
      <c r="G51" s="658"/>
      <c r="H51" s="653"/>
      <c r="I51" s="652"/>
    </row>
    <row r="52" spans="1:11" ht="15.75" x14ac:dyDescent="0.25">
      <c r="A52" s="666" t="s">
        <v>3362</v>
      </c>
      <c r="B52" s="660"/>
      <c r="C52" s="660"/>
      <c r="D52" s="660"/>
      <c r="E52" s="661"/>
      <c r="F52" s="662">
        <f>PACKAGING!E17</f>
        <v>7.5</v>
      </c>
      <c r="G52" s="658"/>
      <c r="H52" s="653"/>
      <c r="I52" s="652"/>
    </row>
    <row r="53" spans="1:11" ht="15.75" x14ac:dyDescent="0.25">
      <c r="A53" s="666" t="s">
        <v>1557</v>
      </c>
      <c r="B53" s="660"/>
      <c r="C53" s="660"/>
      <c r="D53" s="660"/>
      <c r="E53" s="661"/>
      <c r="F53" s="662">
        <f>PACKAGING!E4</f>
        <v>80</v>
      </c>
      <c r="G53" s="658"/>
      <c r="H53" s="653"/>
      <c r="I53" s="652"/>
    </row>
    <row r="54" spans="1:11" ht="15.75" x14ac:dyDescent="0.25">
      <c r="A54" s="663" t="s">
        <v>1618</v>
      </c>
      <c r="B54" s="660"/>
      <c r="C54" s="660">
        <v>60</v>
      </c>
      <c r="D54" s="660">
        <v>40</v>
      </c>
      <c r="E54" s="668">
        <f>'INSUMOS VARIOS'!B3</f>
        <v>3500</v>
      </c>
      <c r="F54" s="669">
        <f>E54*D54/C54</f>
        <v>2333.3333333333335</v>
      </c>
      <c r="G54" s="1" t="s">
        <v>3023</v>
      </c>
      <c r="H54" s="653"/>
      <c r="I54" s="652"/>
    </row>
    <row r="55" spans="1:11" ht="15.75" thickBot="1" x14ac:dyDescent="0.3">
      <c r="A55" s="670" t="s">
        <v>525</v>
      </c>
      <c r="B55" s="671"/>
      <c r="C55" s="671"/>
      <c r="D55" s="671"/>
      <c r="E55" s="672"/>
      <c r="F55" s="673">
        <f>SUM(F45:F54)</f>
        <v>6402.0765925229744</v>
      </c>
      <c r="G55" s="698">
        <f>(F55+H56+H57)</f>
        <v>9680.0765925229753</v>
      </c>
      <c r="H55" s="658" t="s">
        <v>2028</v>
      </c>
      <c r="I55" s="674" t="s">
        <v>2029</v>
      </c>
    </row>
    <row r="56" spans="1:11" ht="16.5" thickBot="1" x14ac:dyDescent="0.3">
      <c r="A56" s="675" t="s">
        <v>544</v>
      </c>
      <c r="B56" s="676"/>
      <c r="C56" s="676"/>
      <c r="D56" s="676"/>
      <c r="E56" s="677"/>
      <c r="F56" s="678">
        <f>F55*2</f>
        <v>12804.153185045949</v>
      </c>
      <c r="G56" s="679">
        <f>F56+F56*70%</f>
        <v>21767.060414578111</v>
      </c>
      <c r="H56" s="680">
        <f>PACKAGING!I3</f>
        <v>2433</v>
      </c>
      <c r="I56" s="1157">
        <f>G56+H56+H57</f>
        <v>25045.060414578111</v>
      </c>
      <c r="J56" s="1277">
        <v>30000</v>
      </c>
    </row>
    <row r="57" spans="1:11" ht="16.5" thickBot="1" x14ac:dyDescent="0.3">
      <c r="A57" s="684" t="s">
        <v>1559</v>
      </c>
      <c r="B57" s="685"/>
      <c r="C57" s="685"/>
      <c r="D57" s="685"/>
      <c r="E57" s="686"/>
      <c r="F57" s="687"/>
      <c r="G57" s="688"/>
      <c r="H57" s="701">
        <f>PACKAGING!I5</f>
        <v>845</v>
      </c>
      <c r="I57" s="1449"/>
      <c r="J57" s="1279">
        <f>J56*60%</f>
        <v>18000</v>
      </c>
      <c r="K57" t="s">
        <v>3687</v>
      </c>
    </row>
    <row r="59" spans="1:11" ht="15.75" thickBot="1" x14ac:dyDescent="0.3"/>
    <row r="60" spans="1:11" ht="15.75" thickBot="1" x14ac:dyDescent="0.3">
      <c r="A60" s="1794" t="s">
        <v>4317</v>
      </c>
      <c r="B60" s="1795"/>
      <c r="C60" s="1795"/>
      <c r="D60" s="1795"/>
      <c r="E60" s="1795"/>
      <c r="F60" s="1796"/>
      <c r="G60" s="873"/>
    </row>
    <row r="61" spans="1:11" ht="15.75" x14ac:dyDescent="0.25">
      <c r="A61" s="654" t="s">
        <v>916</v>
      </c>
      <c r="B61" s="655" t="s">
        <v>743</v>
      </c>
      <c r="C61" s="655" t="s">
        <v>1089</v>
      </c>
      <c r="D61" s="655" t="s">
        <v>1566</v>
      </c>
      <c r="E61" s="656" t="s">
        <v>1035</v>
      </c>
      <c r="F61" s="657" t="s">
        <v>1549</v>
      </c>
      <c r="G61" s="653"/>
      <c r="H61" s="653"/>
      <c r="I61" s="652"/>
    </row>
    <row r="62" spans="1:11" ht="15.75" x14ac:dyDescent="0.25">
      <c r="A62" s="659" t="s">
        <v>4285</v>
      </c>
      <c r="B62" s="660"/>
      <c r="C62" s="660"/>
      <c r="D62" s="660">
        <v>1.95</v>
      </c>
      <c r="E62" s="661">
        <f>'HILOS-CORDONES-TANZA-CUERO'!E11</f>
        <v>210.25</v>
      </c>
      <c r="F62" s="662">
        <f t="shared" ref="F62:F69" si="0">E62*D62</f>
        <v>409.98750000000001</v>
      </c>
      <c r="G62" s="658"/>
      <c r="H62" s="653"/>
      <c r="I62" s="652"/>
    </row>
    <row r="63" spans="1:11" ht="15.75" x14ac:dyDescent="0.25">
      <c r="A63" s="663" t="s">
        <v>3099</v>
      </c>
      <c r="B63" s="660" t="s">
        <v>2170</v>
      </c>
      <c r="C63" s="660"/>
      <c r="D63" s="660">
        <v>9</v>
      </c>
      <c r="E63" s="661">
        <f>'PERLAS 2'!H18</f>
        <v>167.2</v>
      </c>
      <c r="F63" s="664">
        <f t="shared" si="0"/>
        <v>1504.8</v>
      </c>
      <c r="G63" s="658"/>
      <c r="H63" s="653"/>
      <c r="I63" s="652"/>
    </row>
    <row r="64" spans="1:11" ht="15.75" x14ac:dyDescent="0.25">
      <c r="A64" s="663" t="s">
        <v>1008</v>
      </c>
      <c r="B64" s="660"/>
      <c r="C64" s="660"/>
      <c r="D64" s="660">
        <v>17</v>
      </c>
      <c r="E64" s="661">
        <f>FORNITURAS!D14</f>
        <v>98.8</v>
      </c>
      <c r="F64" s="664">
        <f t="shared" si="0"/>
        <v>1679.6</v>
      </c>
      <c r="G64" s="658"/>
      <c r="H64" s="653"/>
      <c r="I64" s="652"/>
    </row>
    <row r="65" spans="1:11" ht="15.75" x14ac:dyDescent="0.25">
      <c r="A65" s="663" t="s">
        <v>4107</v>
      </c>
      <c r="B65" s="660" t="s">
        <v>1022</v>
      </c>
      <c r="C65" s="660"/>
      <c r="D65" s="660">
        <v>8</v>
      </c>
      <c r="E65" s="661">
        <f>FORNITURAS!D26</f>
        <v>297.14285714285717</v>
      </c>
      <c r="F65" s="664">
        <f t="shared" si="0"/>
        <v>2377.1428571428573</v>
      </c>
      <c r="G65" s="658"/>
      <c r="H65" s="653"/>
      <c r="I65" s="652"/>
    </row>
    <row r="66" spans="1:11" ht="15.75" x14ac:dyDescent="0.25">
      <c r="A66" s="769" t="s">
        <v>3436</v>
      </c>
      <c r="B66" s="660"/>
      <c r="C66" s="660"/>
      <c r="D66" s="660">
        <v>13</v>
      </c>
      <c r="E66" s="661">
        <f>FORNITURAS!J59</f>
        <v>880.43100000000004</v>
      </c>
      <c r="F66" s="664">
        <f t="shared" si="0"/>
        <v>11445.603000000001</v>
      </c>
      <c r="G66" s="658"/>
      <c r="H66" s="653"/>
      <c r="I66" s="652"/>
    </row>
    <row r="67" spans="1:11" ht="15.75" x14ac:dyDescent="0.25">
      <c r="A67" s="665" t="s">
        <v>4286</v>
      </c>
      <c r="B67" s="660"/>
      <c r="C67" s="660"/>
      <c r="D67" s="660">
        <v>2</v>
      </c>
      <c r="E67" s="661"/>
      <c r="F67" s="664">
        <v>1200</v>
      </c>
      <c r="G67" s="658"/>
      <c r="H67" s="653"/>
      <c r="I67" s="652"/>
    </row>
    <row r="68" spans="1:11" ht="15.75" x14ac:dyDescent="0.25">
      <c r="A68" s="820" t="s">
        <v>4284</v>
      </c>
      <c r="B68" s="660"/>
      <c r="C68" s="660"/>
      <c r="D68" s="660">
        <v>1</v>
      </c>
      <c r="E68" s="661">
        <f>'AROS, CADENAS, DIJES, ETC'!P179</f>
        <v>2962</v>
      </c>
      <c r="F68" s="664">
        <f>E68*D68</f>
        <v>2962</v>
      </c>
      <c r="G68" s="658"/>
      <c r="H68" s="653"/>
      <c r="I68" s="652"/>
    </row>
    <row r="69" spans="1:11" ht="15.75" x14ac:dyDescent="0.25">
      <c r="A69" s="820" t="s">
        <v>1555</v>
      </c>
      <c r="B69" s="660" t="s">
        <v>1933</v>
      </c>
      <c r="C69" s="660"/>
      <c r="D69" s="660">
        <v>3</v>
      </c>
      <c r="E69" s="661">
        <f>FORNITURAS!D6</f>
        <v>131.81818181818181</v>
      </c>
      <c r="F69" s="664">
        <f t="shared" si="0"/>
        <v>395.45454545454544</v>
      </c>
      <c r="G69" s="658"/>
      <c r="H69" s="653"/>
      <c r="I69" s="652"/>
    </row>
    <row r="70" spans="1:11" ht="15.75" x14ac:dyDescent="0.25">
      <c r="A70" s="666" t="s">
        <v>1746</v>
      </c>
      <c r="B70" s="660"/>
      <c r="C70" s="660"/>
      <c r="D70" s="660"/>
      <c r="E70" s="661"/>
      <c r="F70" s="662">
        <v>20</v>
      </c>
      <c r="G70" s="658"/>
      <c r="H70" s="653"/>
      <c r="I70" s="652"/>
    </row>
    <row r="71" spans="1:11" ht="15.75" x14ac:dyDescent="0.25">
      <c r="A71" s="666" t="s">
        <v>3442</v>
      </c>
      <c r="B71" s="660"/>
      <c r="C71" s="660"/>
      <c r="D71" s="660">
        <v>2</v>
      </c>
      <c r="E71" s="661">
        <f>FORNITURAS!D34</f>
        <v>301.42857142857144</v>
      </c>
      <c r="F71" s="662">
        <f>E71*2</f>
        <v>602.85714285714289</v>
      </c>
      <c r="G71" s="658"/>
      <c r="H71" s="653"/>
      <c r="I71" s="652"/>
    </row>
    <row r="72" spans="1:11" ht="15.75" x14ac:dyDescent="0.25">
      <c r="A72" s="666" t="s">
        <v>1557</v>
      </c>
      <c r="B72" s="660"/>
      <c r="C72" s="660"/>
      <c r="D72" s="660"/>
      <c r="E72" s="661"/>
      <c r="F72" s="662">
        <f>PACKAGING!E4</f>
        <v>80</v>
      </c>
      <c r="G72" s="658"/>
      <c r="H72" s="653"/>
      <c r="I72" s="652"/>
    </row>
    <row r="73" spans="1:11" ht="15.75" x14ac:dyDescent="0.25">
      <c r="A73" s="663" t="s">
        <v>1618</v>
      </c>
      <c r="B73" s="660" t="s">
        <v>2030</v>
      </c>
      <c r="C73" s="660">
        <v>60</v>
      </c>
      <c r="D73" s="660">
        <v>45</v>
      </c>
      <c r="E73" s="668">
        <f>'INSUMOS VARIOS'!B3</f>
        <v>3500</v>
      </c>
      <c r="F73" s="669">
        <f>E73*D73/C73</f>
        <v>2625</v>
      </c>
      <c r="G73" s="1" t="s">
        <v>3023</v>
      </c>
      <c r="H73" s="653"/>
      <c r="I73" s="652"/>
    </row>
    <row r="74" spans="1:11" ht="15.75" thickBot="1" x14ac:dyDescent="0.3">
      <c r="A74" s="670" t="s">
        <v>525</v>
      </c>
      <c r="B74" s="671"/>
      <c r="C74" s="671"/>
      <c r="D74" s="671"/>
      <c r="E74" s="672"/>
      <c r="F74" s="673">
        <f>SUM(F62:F73)</f>
        <v>25302.445045454544</v>
      </c>
      <c r="G74" s="698">
        <f>F74+H75+H76</f>
        <v>28580.445045454544</v>
      </c>
      <c r="H74" s="658" t="s">
        <v>2028</v>
      </c>
      <c r="I74" s="674" t="s">
        <v>2029</v>
      </c>
    </row>
    <row r="75" spans="1:11" ht="16.5" thickBot="1" x14ac:dyDescent="0.3">
      <c r="A75" s="675" t="s">
        <v>544</v>
      </c>
      <c r="B75" s="676"/>
      <c r="C75" s="676"/>
      <c r="D75" s="676"/>
      <c r="E75" s="677"/>
      <c r="F75" s="678">
        <f>F74*2</f>
        <v>50604.890090909088</v>
      </c>
      <c r="G75" s="679">
        <f>F75+F75*50%</f>
        <v>75907.335136363632</v>
      </c>
      <c r="H75" s="680">
        <f>PACKAGING!I3</f>
        <v>2433</v>
      </c>
      <c r="I75" s="701">
        <f>H75+H76+G75</f>
        <v>79185.335136363632</v>
      </c>
      <c r="J75" s="681">
        <v>80000</v>
      </c>
    </row>
    <row r="76" spans="1:11" ht="16.5" thickBot="1" x14ac:dyDescent="0.3">
      <c r="A76" s="684" t="s">
        <v>1559</v>
      </c>
      <c r="B76" s="685"/>
      <c r="C76" s="685"/>
      <c r="D76" s="685"/>
      <c r="E76" s="686"/>
      <c r="F76" s="687"/>
      <c r="G76" s="688"/>
      <c r="H76" s="701">
        <f>PACKAGING!I5</f>
        <v>845</v>
      </c>
      <c r="I76" s="652"/>
      <c r="J76" s="1275">
        <f>J75*70%</f>
        <v>56000</v>
      </c>
      <c r="K76" t="s">
        <v>3687</v>
      </c>
    </row>
    <row r="77" spans="1:11" ht="15.75" thickBot="1" x14ac:dyDescent="0.3"/>
    <row r="78" spans="1:11" ht="16.5" thickBot="1" x14ac:dyDescent="0.3">
      <c r="A78" s="1794" t="s">
        <v>4318</v>
      </c>
      <c r="B78" s="1795"/>
      <c r="C78" s="1795"/>
      <c r="D78" s="1795"/>
      <c r="E78" s="1795"/>
      <c r="F78" s="1796"/>
      <c r="G78" s="653"/>
      <c r="H78" s="653"/>
      <c r="I78" s="652"/>
    </row>
    <row r="79" spans="1:11" ht="15.75" x14ac:dyDescent="0.25">
      <c r="A79" s="654" t="s">
        <v>916</v>
      </c>
      <c r="B79" s="655" t="s">
        <v>743</v>
      </c>
      <c r="C79" s="655" t="s">
        <v>1089</v>
      </c>
      <c r="D79" s="655" t="s">
        <v>1566</v>
      </c>
      <c r="E79" s="656" t="s">
        <v>1035</v>
      </c>
      <c r="F79" s="657" t="s">
        <v>1549</v>
      </c>
      <c r="G79" s="658"/>
      <c r="H79" s="653"/>
      <c r="I79" s="652"/>
    </row>
    <row r="80" spans="1:11" ht="15.75" x14ac:dyDescent="0.25">
      <c r="A80" s="666" t="s">
        <v>4287</v>
      </c>
      <c r="B80" s="660"/>
      <c r="C80" s="660"/>
      <c r="D80" s="660">
        <v>1.9</v>
      </c>
      <c r="E80" s="661">
        <f>'HILOS-CORDONES-TANZA-CUERO'!E43</f>
        <v>400</v>
      </c>
      <c r="F80" s="662">
        <f>E80*D80</f>
        <v>760</v>
      </c>
      <c r="G80" s="658"/>
      <c r="H80" s="653"/>
      <c r="I80" s="652"/>
    </row>
    <row r="81" spans="1:9" ht="15.75" x14ac:dyDescent="0.25">
      <c r="A81" s="666" t="s">
        <v>4195</v>
      </c>
      <c r="B81" s="660"/>
      <c r="C81" s="660"/>
      <c r="D81" s="660">
        <v>1</v>
      </c>
      <c r="E81" s="661">
        <f>'INSUMOS VARIOS'!E76</f>
        <v>3000</v>
      </c>
      <c r="F81" s="664">
        <f>E81*D81</f>
        <v>3000</v>
      </c>
      <c r="G81" s="658"/>
      <c r="H81" s="653"/>
      <c r="I81" s="652"/>
    </row>
    <row r="82" spans="1:9" ht="15.75" x14ac:dyDescent="0.25">
      <c r="A82" s="666" t="s">
        <v>4288</v>
      </c>
      <c r="B82" s="660"/>
      <c r="C82" s="660"/>
      <c r="D82" s="660">
        <v>2</v>
      </c>
      <c r="E82" s="661">
        <f>PLATEADO!F67</f>
        <v>70.78947368421052</v>
      </c>
      <c r="F82" s="662">
        <f>D82*E82</f>
        <v>141.57894736842104</v>
      </c>
      <c r="G82" s="658"/>
      <c r="H82" s="653"/>
      <c r="I82" s="652"/>
    </row>
    <row r="83" spans="1:9" ht="15.75" x14ac:dyDescent="0.25">
      <c r="A83" s="666" t="s">
        <v>1746</v>
      </c>
      <c r="B83" s="660"/>
      <c r="C83" s="660"/>
      <c r="D83" s="660"/>
      <c r="E83" s="661"/>
      <c r="F83" s="662">
        <v>20</v>
      </c>
      <c r="G83" s="658"/>
      <c r="H83" s="653"/>
      <c r="I83" s="652"/>
    </row>
    <row r="84" spans="1:9" ht="15.75" x14ac:dyDescent="0.25">
      <c r="A84" s="666" t="s">
        <v>3362</v>
      </c>
      <c r="B84" s="660"/>
      <c r="C84" s="660"/>
      <c r="D84" s="660"/>
      <c r="E84" s="661"/>
      <c r="F84" s="662">
        <f>PACKAGING!E17</f>
        <v>7.5</v>
      </c>
      <c r="G84" s="658"/>
      <c r="H84" s="653"/>
      <c r="I84" s="652"/>
    </row>
    <row r="85" spans="1:9" ht="15.75" x14ac:dyDescent="0.25">
      <c r="A85" s="666" t="s">
        <v>1557</v>
      </c>
      <c r="B85" s="660"/>
      <c r="C85" s="660"/>
      <c r="D85" s="660"/>
      <c r="E85" s="661"/>
      <c r="F85" s="662">
        <f>PACKAGING!E4</f>
        <v>80</v>
      </c>
      <c r="G85" s="658"/>
      <c r="H85" s="653"/>
      <c r="I85" s="652"/>
    </row>
    <row r="86" spans="1:9" ht="15.75" x14ac:dyDescent="0.25">
      <c r="A86" s="768" t="s">
        <v>3484</v>
      </c>
      <c r="B86" s="660"/>
      <c r="C86" s="660"/>
      <c r="D86" s="660"/>
      <c r="E86" s="668"/>
      <c r="F86" s="662">
        <f>PACKAGING!I5</f>
        <v>845</v>
      </c>
      <c r="G86" s="658"/>
      <c r="H86" s="653"/>
      <c r="I86" s="652"/>
    </row>
    <row r="87" spans="1:9" ht="15.75" x14ac:dyDescent="0.25">
      <c r="A87" s="663" t="s">
        <v>1618</v>
      </c>
      <c r="B87" s="660"/>
      <c r="C87" s="660">
        <v>60</v>
      </c>
      <c r="D87" s="660">
        <v>20</v>
      </c>
      <c r="E87" s="668">
        <f>'INSUMOS VARIOS'!B3</f>
        <v>3500</v>
      </c>
      <c r="F87" s="669">
        <f>E87*D87/C87</f>
        <v>1166.6666666666667</v>
      </c>
      <c r="G87" s="1"/>
      <c r="H87" s="653"/>
    </row>
    <row r="88" spans="1:9" ht="15.75" thickBot="1" x14ac:dyDescent="0.3">
      <c r="A88" s="670" t="s">
        <v>525</v>
      </c>
      <c r="B88" s="671"/>
      <c r="C88" s="671"/>
      <c r="D88" s="671"/>
      <c r="E88" s="672"/>
      <c r="F88" s="673">
        <f>SUM(F80:F87)</f>
        <v>6020.7456140350878</v>
      </c>
      <c r="G88" s="698"/>
      <c r="H88" s="658"/>
    </row>
    <row r="89" spans="1:9" ht="15.75" x14ac:dyDescent="0.25">
      <c r="A89" s="675" t="s">
        <v>544</v>
      </c>
      <c r="B89" s="676"/>
      <c r="C89" s="676"/>
      <c r="D89" s="676"/>
      <c r="E89" s="677"/>
      <c r="F89" s="678">
        <f>F88*2</f>
        <v>12041.491228070176</v>
      </c>
      <c r="G89" s="679">
        <f>F89+F89*70%</f>
        <v>20470.535087719298</v>
      </c>
      <c r="H89" s="681">
        <v>26000</v>
      </c>
    </row>
    <row r="90" spans="1:9" ht="16.5" thickBot="1" x14ac:dyDescent="0.3">
      <c r="A90" s="684" t="s">
        <v>1559</v>
      </c>
      <c r="B90" s="685"/>
      <c r="C90" s="685"/>
      <c r="D90" s="685"/>
      <c r="E90" s="686"/>
      <c r="F90" s="687"/>
      <c r="G90" s="688"/>
      <c r="H90" s="1279">
        <f>H89*50%</f>
        <v>13000</v>
      </c>
      <c r="I90" t="s">
        <v>3687</v>
      </c>
    </row>
    <row r="91" spans="1:9" ht="15.75" thickBot="1" x14ac:dyDescent="0.3"/>
    <row r="92" spans="1:9" ht="16.5" thickBot="1" x14ac:dyDescent="0.3">
      <c r="A92" s="1778" t="s">
        <v>4451</v>
      </c>
      <c r="B92" s="1779"/>
      <c r="C92" s="1779"/>
      <c r="D92" s="1779"/>
      <c r="E92" s="1779"/>
      <c r="F92" s="1780"/>
      <c r="G92" s="653"/>
      <c r="H92" s="653"/>
      <c r="I92" s="652"/>
    </row>
    <row r="93" spans="1:9" ht="15.75" x14ac:dyDescent="0.25">
      <c r="A93" s="654" t="s">
        <v>916</v>
      </c>
      <c r="B93" s="655" t="s">
        <v>743</v>
      </c>
      <c r="C93" s="655" t="s">
        <v>1089</v>
      </c>
      <c r="D93" s="655" t="s">
        <v>1566</v>
      </c>
      <c r="E93" s="656" t="s">
        <v>1035</v>
      </c>
      <c r="F93" s="657" t="s">
        <v>1549</v>
      </c>
      <c r="G93" s="658"/>
      <c r="H93" s="653"/>
      <c r="I93" s="652"/>
    </row>
    <row r="94" spans="1:9" ht="15.75" x14ac:dyDescent="0.25">
      <c r="A94" s="666" t="s">
        <v>3103</v>
      </c>
      <c r="B94" s="660" t="s">
        <v>969</v>
      </c>
      <c r="C94" s="660">
        <v>90</v>
      </c>
      <c r="D94" s="660">
        <v>1.5</v>
      </c>
      <c r="E94" s="661">
        <f>'HILOS-CORDONES-TANZA-CUERO'!D11</f>
        <v>16820</v>
      </c>
      <c r="F94" s="662">
        <f>E94*D94/C94</f>
        <v>280.33333333333331</v>
      </c>
      <c r="G94" s="658"/>
      <c r="H94" s="653"/>
      <c r="I94" s="652"/>
    </row>
    <row r="95" spans="1:9" ht="15.75" x14ac:dyDescent="0.25">
      <c r="A95" s="666" t="s">
        <v>4452</v>
      </c>
      <c r="B95" s="660"/>
      <c r="C95" s="660"/>
      <c r="D95" s="660">
        <v>1</v>
      </c>
      <c r="E95" s="661">
        <f>PIEDRAS!K82</f>
        <v>1400</v>
      </c>
      <c r="F95" s="662">
        <f>E95*D95</f>
        <v>1400</v>
      </c>
      <c r="G95" s="658"/>
      <c r="H95" s="653"/>
      <c r="I95" s="652"/>
    </row>
    <row r="96" spans="1:9" ht="15.75" x14ac:dyDescent="0.25">
      <c r="A96" s="666" t="s">
        <v>4176</v>
      </c>
      <c r="B96" s="660"/>
      <c r="C96" s="660"/>
      <c r="D96" s="660">
        <v>2</v>
      </c>
      <c r="E96" s="661">
        <f>FORNITURAS!D34</f>
        <v>301.42857142857144</v>
      </c>
      <c r="F96" s="664">
        <f>E96*D96</f>
        <v>602.85714285714289</v>
      </c>
      <c r="G96" s="658"/>
      <c r="H96" s="653"/>
      <c r="I96" s="652"/>
    </row>
    <row r="97" spans="1:11" ht="15.75" x14ac:dyDescent="0.25">
      <c r="A97" s="666" t="s">
        <v>1555</v>
      </c>
      <c r="B97" s="660"/>
      <c r="C97" s="660"/>
      <c r="D97" s="660">
        <v>1</v>
      </c>
      <c r="E97" s="661">
        <f>FORNITURAS!H63</f>
        <v>466.95652173913044</v>
      </c>
      <c r="F97" s="662">
        <f>D97*E97</f>
        <v>466.95652173913044</v>
      </c>
      <c r="G97" s="658"/>
      <c r="H97" s="653"/>
      <c r="I97" s="652"/>
    </row>
    <row r="98" spans="1:11" ht="15.75" x14ac:dyDescent="0.25">
      <c r="A98" s="666" t="s">
        <v>3401</v>
      </c>
      <c r="B98" s="660"/>
      <c r="C98" s="660"/>
      <c r="D98" s="660">
        <v>1</v>
      </c>
      <c r="E98" s="661">
        <f>FORNITURAS!I10</f>
        <v>501</v>
      </c>
      <c r="F98" s="662">
        <f>E98*D98</f>
        <v>501</v>
      </c>
      <c r="G98" s="658"/>
      <c r="H98" s="653"/>
      <c r="I98" s="652"/>
    </row>
    <row r="99" spans="1:11" ht="15.75" x14ac:dyDescent="0.25">
      <c r="A99" s="666" t="s">
        <v>1746</v>
      </c>
      <c r="B99" s="660"/>
      <c r="C99" s="660"/>
      <c r="D99" s="660"/>
      <c r="E99" s="661"/>
      <c r="F99" s="662">
        <v>20</v>
      </c>
      <c r="G99" s="658"/>
      <c r="H99" s="653"/>
      <c r="I99" s="652"/>
    </row>
    <row r="100" spans="1:11" ht="15.75" x14ac:dyDescent="0.25">
      <c r="A100" s="666" t="s">
        <v>3362</v>
      </c>
      <c r="B100" s="660"/>
      <c r="C100" s="660"/>
      <c r="D100" s="660"/>
      <c r="E100" s="661"/>
      <c r="F100" s="662">
        <f>PACKAGING!E17</f>
        <v>7.5</v>
      </c>
      <c r="G100" s="658"/>
      <c r="H100" s="653"/>
      <c r="I100" s="652"/>
    </row>
    <row r="101" spans="1:11" ht="15.75" x14ac:dyDescent="0.25">
      <c r="A101" s="666" t="s">
        <v>1557</v>
      </c>
      <c r="B101" s="660"/>
      <c r="C101" s="660"/>
      <c r="D101" s="660"/>
      <c r="E101" s="661"/>
      <c r="F101" s="662">
        <f>PACKAGING!E4</f>
        <v>80</v>
      </c>
      <c r="G101" s="658"/>
      <c r="H101" s="653"/>
      <c r="I101" s="652"/>
    </row>
    <row r="102" spans="1:11" ht="15.75" x14ac:dyDescent="0.25">
      <c r="A102" s="663" t="s">
        <v>1618</v>
      </c>
      <c r="B102" s="660"/>
      <c r="C102" s="660">
        <v>60</v>
      </c>
      <c r="D102" s="660">
        <v>30</v>
      </c>
      <c r="E102" s="668">
        <f>'INSUMOS VARIOS'!B3</f>
        <v>3500</v>
      </c>
      <c r="F102" s="669">
        <f>E102*D102/C102</f>
        <v>1750</v>
      </c>
      <c r="G102" s="1" t="s">
        <v>3023</v>
      </c>
      <c r="H102" s="653"/>
      <c r="I102" s="652"/>
    </row>
    <row r="103" spans="1:11" ht="15.75" thickBot="1" x14ac:dyDescent="0.3">
      <c r="A103" s="670" t="s">
        <v>525</v>
      </c>
      <c r="B103" s="671"/>
      <c r="C103" s="671"/>
      <c r="D103" s="671"/>
      <c r="E103" s="672"/>
      <c r="F103" s="673">
        <f>SUM(F94:F102)</f>
        <v>5108.6469979296071</v>
      </c>
      <c r="G103" s="698">
        <f>(F103+H104+H105)</f>
        <v>8386.6469979296071</v>
      </c>
      <c r="H103" s="658" t="s">
        <v>2028</v>
      </c>
      <c r="I103" s="674" t="s">
        <v>2029</v>
      </c>
    </row>
    <row r="104" spans="1:11" ht="16.5" thickBot="1" x14ac:dyDescent="0.3">
      <c r="A104" s="675" t="s">
        <v>544</v>
      </c>
      <c r="B104" s="676"/>
      <c r="C104" s="676"/>
      <c r="D104" s="676"/>
      <c r="E104" s="677"/>
      <c r="F104" s="678">
        <f>F103*2</f>
        <v>10217.293995859214</v>
      </c>
      <c r="G104" s="679">
        <f>F104+F104*70%</f>
        <v>17369.399792960663</v>
      </c>
      <c r="H104" s="680">
        <f>PACKAGING!I3</f>
        <v>2433</v>
      </c>
      <c r="I104" s="702">
        <f>G104+H104+H105</f>
        <v>20647.399792960663</v>
      </c>
      <c r="J104" s="1277">
        <v>46000</v>
      </c>
    </row>
    <row r="105" spans="1:11" ht="16.5" thickBot="1" x14ac:dyDescent="0.3">
      <c r="A105" s="684" t="s">
        <v>1559</v>
      </c>
      <c r="B105" s="685"/>
      <c r="C105" s="685"/>
      <c r="D105" s="685"/>
      <c r="E105" s="686"/>
      <c r="F105" s="687"/>
      <c r="G105" s="688"/>
      <c r="H105" s="701">
        <f>PACKAGING!I5</f>
        <v>845</v>
      </c>
      <c r="J105" s="1279">
        <f>J104*60%</f>
        <v>27600</v>
      </c>
      <c r="K105" t="s">
        <v>3687</v>
      </c>
    </row>
    <row r="106" spans="1:11" ht="15.75" thickBot="1" x14ac:dyDescent="0.3"/>
    <row r="107" spans="1:11" ht="16.5" thickBot="1" x14ac:dyDescent="0.3">
      <c r="A107" s="1778" t="s">
        <v>4453</v>
      </c>
      <c r="B107" s="1779"/>
      <c r="C107" s="1779"/>
      <c r="D107" s="1779"/>
      <c r="E107" s="1779"/>
      <c r="F107" s="1780"/>
      <c r="G107" s="653"/>
      <c r="H107" s="653"/>
      <c r="I107" s="652"/>
    </row>
    <row r="108" spans="1:11" ht="15.75" x14ac:dyDescent="0.25">
      <c r="A108" s="654" t="s">
        <v>916</v>
      </c>
      <c r="B108" s="655" t="s">
        <v>743</v>
      </c>
      <c r="C108" s="655" t="s">
        <v>1089</v>
      </c>
      <c r="D108" s="655" t="s">
        <v>1566</v>
      </c>
      <c r="E108" s="656" t="s">
        <v>1035</v>
      </c>
      <c r="F108" s="657" t="s">
        <v>1549</v>
      </c>
      <c r="G108" s="658"/>
      <c r="H108" s="653"/>
      <c r="I108" s="652"/>
    </row>
    <row r="109" spans="1:11" ht="15.75" x14ac:dyDescent="0.25">
      <c r="A109" s="666" t="s">
        <v>3103</v>
      </c>
      <c r="B109" s="660" t="s">
        <v>969</v>
      </c>
      <c r="C109" s="660">
        <v>90</v>
      </c>
      <c r="D109" s="660">
        <v>1.9</v>
      </c>
      <c r="E109" s="661">
        <f>'HILOS-CORDONES-TANZA-CUERO'!D11</f>
        <v>16820</v>
      </c>
      <c r="F109" s="662">
        <f>E109*D109/C109</f>
        <v>355.0888888888889</v>
      </c>
      <c r="G109" s="658"/>
      <c r="H109" s="653"/>
      <c r="I109" s="652"/>
    </row>
    <row r="110" spans="1:11" ht="15.75" x14ac:dyDescent="0.25">
      <c r="A110" s="666" t="s">
        <v>4454</v>
      </c>
      <c r="B110" s="660"/>
      <c r="C110" s="660"/>
      <c r="D110" s="660">
        <v>1</v>
      </c>
      <c r="E110" s="661">
        <f>'INSUMOS VARIOS'!E49</f>
        <v>700</v>
      </c>
      <c r="F110" s="662">
        <f>E110*D110</f>
        <v>700</v>
      </c>
      <c r="G110" s="658"/>
      <c r="H110" s="653"/>
      <c r="I110" s="652"/>
    </row>
    <row r="111" spans="1:11" ht="15.75" x14ac:dyDescent="0.25">
      <c r="A111" s="666" t="s">
        <v>1188</v>
      </c>
      <c r="B111" s="660"/>
      <c r="C111" s="660"/>
      <c r="D111" s="660">
        <v>4</v>
      </c>
      <c r="E111" s="661">
        <f>FORNITURAS!I9</f>
        <v>60.526315789473685</v>
      </c>
      <c r="F111" s="664">
        <f>E111*D111</f>
        <v>242.10526315789474</v>
      </c>
      <c r="G111" s="658"/>
      <c r="H111" s="653"/>
      <c r="I111" s="652"/>
    </row>
    <row r="112" spans="1:11" ht="15.75" x14ac:dyDescent="0.25">
      <c r="A112" s="666" t="s">
        <v>1555</v>
      </c>
      <c r="B112" s="660"/>
      <c r="C112" s="660"/>
      <c r="D112" s="660">
        <v>1</v>
      </c>
      <c r="E112" s="661">
        <f>FORNITURAS!D6</f>
        <v>131.81818181818181</v>
      </c>
      <c r="F112" s="662">
        <f>D112*E112</f>
        <v>131.81818181818181</v>
      </c>
      <c r="G112" s="658"/>
      <c r="H112" s="653"/>
      <c r="I112" s="652"/>
    </row>
    <row r="113" spans="1:11" ht="15.75" x14ac:dyDescent="0.25">
      <c r="A113" s="666" t="s">
        <v>1746</v>
      </c>
      <c r="B113" s="660"/>
      <c r="C113" s="660"/>
      <c r="D113" s="660"/>
      <c r="E113" s="661"/>
      <c r="F113" s="662">
        <v>20</v>
      </c>
      <c r="G113" s="658"/>
      <c r="H113" s="653"/>
      <c r="I113" s="652"/>
    </row>
    <row r="114" spans="1:11" ht="15.75" x14ac:dyDescent="0.25">
      <c r="A114" s="666" t="s">
        <v>3362</v>
      </c>
      <c r="B114" s="660"/>
      <c r="C114" s="660"/>
      <c r="D114" s="660"/>
      <c r="E114" s="661"/>
      <c r="F114" s="662">
        <f>PACKAGING!E17</f>
        <v>7.5</v>
      </c>
      <c r="G114" s="658"/>
      <c r="H114" s="653"/>
      <c r="I114" s="652"/>
    </row>
    <row r="115" spans="1:11" ht="15.75" x14ac:dyDescent="0.25">
      <c r="A115" s="666" t="s">
        <v>1557</v>
      </c>
      <c r="B115" s="660"/>
      <c r="C115" s="660"/>
      <c r="D115" s="660"/>
      <c r="E115" s="661"/>
      <c r="F115" s="662">
        <f>PACKAGING!E4</f>
        <v>80</v>
      </c>
      <c r="G115" s="658"/>
      <c r="H115" s="653"/>
      <c r="I115" s="652"/>
    </row>
    <row r="116" spans="1:11" ht="15.75" x14ac:dyDescent="0.25">
      <c r="A116" s="663" t="s">
        <v>1618</v>
      </c>
      <c r="B116" s="660"/>
      <c r="C116" s="660">
        <v>60</v>
      </c>
      <c r="D116" s="660">
        <v>30</v>
      </c>
      <c r="E116" s="668">
        <f>'INSUMOS VARIOS'!B3</f>
        <v>3500</v>
      </c>
      <c r="F116" s="669">
        <f>E116*D116/C116</f>
        <v>1750</v>
      </c>
      <c r="G116" s="1" t="s">
        <v>3023</v>
      </c>
      <c r="H116" s="653"/>
      <c r="I116" s="652"/>
    </row>
    <row r="117" spans="1:11" ht="15.75" thickBot="1" x14ac:dyDescent="0.3">
      <c r="A117" s="670" t="s">
        <v>525</v>
      </c>
      <c r="B117" s="671"/>
      <c r="C117" s="671"/>
      <c r="D117" s="671"/>
      <c r="E117" s="672"/>
      <c r="F117" s="673">
        <f>SUM(F109:F116)</f>
        <v>3286.5123338649655</v>
      </c>
      <c r="G117" s="698">
        <f>(F117+H118+H119)</f>
        <v>6564.5123338649655</v>
      </c>
      <c r="H117" s="658" t="s">
        <v>2028</v>
      </c>
      <c r="I117" s="674" t="s">
        <v>2029</v>
      </c>
    </row>
    <row r="118" spans="1:11" ht="16.5" thickBot="1" x14ac:dyDescent="0.3">
      <c r="A118" s="675" t="s">
        <v>544</v>
      </c>
      <c r="B118" s="676"/>
      <c r="C118" s="676"/>
      <c r="D118" s="676"/>
      <c r="E118" s="677"/>
      <c r="F118" s="678">
        <f>F117*2</f>
        <v>6573.024667729931</v>
      </c>
      <c r="G118" s="679">
        <f>F118+F118*70%</f>
        <v>11174.141935140882</v>
      </c>
      <c r="H118" s="680">
        <f>PACKAGING!I3</f>
        <v>2433</v>
      </c>
      <c r="I118" s="1157">
        <f>G118+H118+H119</f>
        <v>14452.141935140882</v>
      </c>
      <c r="J118" s="1277">
        <v>30000</v>
      </c>
    </row>
    <row r="119" spans="1:11" ht="16.5" thickBot="1" x14ac:dyDescent="0.3">
      <c r="A119" s="684" t="s">
        <v>1559</v>
      </c>
      <c r="B119" s="685"/>
      <c r="C119" s="685"/>
      <c r="D119" s="685"/>
      <c r="E119" s="686"/>
      <c r="F119" s="687"/>
      <c r="G119" s="688"/>
      <c r="H119" s="701">
        <f>PACKAGING!I5</f>
        <v>845</v>
      </c>
      <c r="I119" s="1449"/>
      <c r="J119" s="1279">
        <f>J118*60%</f>
        <v>18000</v>
      </c>
      <c r="K119" t="s">
        <v>3687</v>
      </c>
    </row>
    <row r="120" spans="1:11" ht="15.75" thickBot="1" x14ac:dyDescent="0.3"/>
    <row r="121" spans="1:11" ht="16.5" thickBot="1" x14ac:dyDescent="0.3">
      <c r="A121" s="1811" t="s">
        <v>4603</v>
      </c>
      <c r="B121" s="1812"/>
      <c r="C121" s="1812"/>
      <c r="D121" s="1812"/>
      <c r="E121" s="1812"/>
      <c r="F121" s="1813"/>
      <c r="G121" s="653"/>
      <c r="H121" s="653"/>
      <c r="I121" s="652"/>
    </row>
    <row r="122" spans="1:11" ht="15.75" x14ac:dyDescent="0.25">
      <c r="A122" s="654" t="s">
        <v>916</v>
      </c>
      <c r="B122" s="655" t="s">
        <v>743</v>
      </c>
      <c r="C122" s="655" t="s">
        <v>1089</v>
      </c>
      <c r="D122" s="655" t="s">
        <v>1566</v>
      </c>
      <c r="E122" s="656" t="s">
        <v>1035</v>
      </c>
      <c r="F122" s="657" t="s">
        <v>1549</v>
      </c>
      <c r="G122" s="658"/>
      <c r="H122" s="653"/>
      <c r="I122" s="652"/>
    </row>
    <row r="123" spans="1:11" ht="15.75" x14ac:dyDescent="0.25">
      <c r="A123" s="666" t="s">
        <v>3340</v>
      </c>
      <c r="B123" s="660"/>
      <c r="C123" s="660">
        <v>100</v>
      </c>
      <c r="D123" s="660">
        <v>1.1499999999999999</v>
      </c>
      <c r="E123" s="661">
        <f>'HILOS-CORDONES-TANZA-CUERO'!D7</f>
        <v>5035</v>
      </c>
      <c r="F123" s="662">
        <f>E123*D123/C123</f>
        <v>57.902500000000003</v>
      </c>
      <c r="G123" s="658"/>
      <c r="H123" s="653"/>
      <c r="I123" s="652"/>
    </row>
    <row r="124" spans="1:11" ht="15.75" x14ac:dyDescent="0.25">
      <c r="A124" s="666" t="s">
        <v>4199</v>
      </c>
      <c r="B124" s="660"/>
      <c r="C124" s="660"/>
      <c r="D124" s="660">
        <v>1</v>
      </c>
      <c r="E124" s="661">
        <f>'INSUMOS VARIOS'!E63</f>
        <v>1666.6666666666667</v>
      </c>
      <c r="F124" s="664">
        <f>E124*D124</f>
        <v>1666.6666666666667</v>
      </c>
      <c r="G124" s="658"/>
      <c r="H124" s="653"/>
      <c r="I124" s="652"/>
    </row>
    <row r="125" spans="1:11" ht="15.75" x14ac:dyDescent="0.25">
      <c r="A125" s="666" t="s">
        <v>4200</v>
      </c>
      <c r="B125" s="660" t="s">
        <v>846</v>
      </c>
      <c r="C125" s="660">
        <v>0.375</v>
      </c>
      <c r="D125" s="660">
        <v>0.85</v>
      </c>
      <c r="E125" s="661">
        <f>PIEDRAS!E37</f>
        <v>5000</v>
      </c>
      <c r="F125" s="662">
        <f>E125*D125/C125</f>
        <v>11333.333333333334</v>
      </c>
      <c r="G125" s="658"/>
      <c r="H125" s="653"/>
      <c r="I125" s="652"/>
    </row>
    <row r="126" spans="1:11" ht="15.75" x14ac:dyDescent="0.25">
      <c r="A126" s="769" t="s">
        <v>4201</v>
      </c>
      <c r="B126" s="660"/>
      <c r="C126" s="660">
        <v>50</v>
      </c>
      <c r="D126" s="660">
        <v>1.65</v>
      </c>
      <c r="E126" s="661">
        <f>'HILOS-CORDONES-TANZA-CUERO'!D24</f>
        <v>2800</v>
      </c>
      <c r="F126" s="662">
        <f>E126*D126/C126</f>
        <v>92.4</v>
      </c>
      <c r="G126" s="658"/>
      <c r="H126" s="653"/>
      <c r="I126" s="652"/>
    </row>
    <row r="127" spans="1:11" ht="15.75" x14ac:dyDescent="0.25">
      <c r="A127" s="820" t="s">
        <v>3237</v>
      </c>
      <c r="B127" s="660" t="s">
        <v>1054</v>
      </c>
      <c r="C127" s="660">
        <v>5</v>
      </c>
      <c r="D127" s="660">
        <v>0.01</v>
      </c>
      <c r="E127" s="661">
        <f>FORNITURAS!V3</f>
        <v>11420</v>
      </c>
      <c r="F127" s="662">
        <f>E127*D127/C127</f>
        <v>22.84</v>
      </c>
      <c r="G127" s="658"/>
      <c r="H127" s="653"/>
      <c r="I127" s="652"/>
    </row>
    <row r="128" spans="1:11" ht="15.75" x14ac:dyDescent="0.25">
      <c r="A128" s="820" t="s">
        <v>1742</v>
      </c>
      <c r="B128" s="660" t="s">
        <v>3150</v>
      </c>
      <c r="C128" s="660"/>
      <c r="D128" s="660">
        <v>1</v>
      </c>
      <c r="E128" s="661">
        <f>'PERLAS 2'!O6</f>
        <v>96.222222222222229</v>
      </c>
      <c r="F128" s="662">
        <f>E128*D128</f>
        <v>96.222222222222229</v>
      </c>
      <c r="G128" s="658"/>
      <c r="H128" s="653"/>
      <c r="I128" s="652"/>
    </row>
    <row r="129" spans="1:15" ht="15.75" x14ac:dyDescent="0.25">
      <c r="A129" s="666" t="s">
        <v>3362</v>
      </c>
      <c r="B129" s="660"/>
      <c r="C129" s="660"/>
      <c r="D129" s="660"/>
      <c r="E129" s="661"/>
      <c r="F129" s="662">
        <f>PACKAGING!E17</f>
        <v>7.5</v>
      </c>
      <c r="G129" s="658"/>
      <c r="H129" s="653"/>
      <c r="I129" s="652"/>
    </row>
    <row r="130" spans="1:15" ht="15.75" x14ac:dyDescent="0.25">
      <c r="A130" s="666" t="s">
        <v>1557</v>
      </c>
      <c r="B130" s="660"/>
      <c r="C130" s="660"/>
      <c r="D130" s="660"/>
      <c r="E130" s="661"/>
      <c r="F130" s="662">
        <f>PACKAGING!E4</f>
        <v>80</v>
      </c>
      <c r="G130" s="658"/>
      <c r="H130" s="653"/>
      <c r="I130" s="652"/>
    </row>
    <row r="131" spans="1:15" ht="15.75" x14ac:dyDescent="0.25">
      <c r="A131" s="663" t="s">
        <v>1618</v>
      </c>
      <c r="B131" s="660"/>
      <c r="C131" s="660">
        <v>60</v>
      </c>
      <c r="D131" s="1226">
        <v>60</v>
      </c>
      <c r="E131" s="668">
        <f>'INSUMOS VARIOS'!B3</f>
        <v>3500</v>
      </c>
      <c r="F131" s="669">
        <f>E131*D131/C131</f>
        <v>3500</v>
      </c>
      <c r="G131" s="1" t="s">
        <v>3023</v>
      </c>
      <c r="H131" s="653"/>
      <c r="I131" s="652"/>
    </row>
    <row r="132" spans="1:15" ht="15.75" thickBot="1" x14ac:dyDescent="0.3">
      <c r="A132" s="670" t="s">
        <v>525</v>
      </c>
      <c r="B132" s="671"/>
      <c r="C132" s="671"/>
      <c r="D132" s="671"/>
      <c r="E132" s="672"/>
      <c r="F132" s="673">
        <f>SUM(F123:F131)</f>
        <v>16856.864722222221</v>
      </c>
      <c r="G132" s="698">
        <f>(F132+H133+H134)</f>
        <v>20134.864722222221</v>
      </c>
      <c r="H132" s="658" t="s">
        <v>2028</v>
      </c>
      <c r="I132" s="674" t="s">
        <v>2029</v>
      </c>
      <c r="K132" s="1273"/>
    </row>
    <row r="133" spans="1:15" ht="16.5" thickBot="1" x14ac:dyDescent="0.3">
      <c r="A133" s="675" t="s">
        <v>544</v>
      </c>
      <c r="B133" s="676"/>
      <c r="C133" s="676"/>
      <c r="D133" s="676"/>
      <c r="E133" s="677"/>
      <c r="F133" s="678">
        <f>F132*2</f>
        <v>33713.729444444441</v>
      </c>
      <c r="G133" s="679">
        <f>F133+F133*50%</f>
        <v>50570.594166666662</v>
      </c>
      <c r="H133" s="680">
        <f>PACKAGING!I3</f>
        <v>2433</v>
      </c>
      <c r="I133" s="702">
        <f>G133+H133+H134</f>
        <v>53848.594166666662</v>
      </c>
      <c r="J133" s="1277">
        <v>44000</v>
      </c>
    </row>
    <row r="134" spans="1:15" ht="16.5" thickBot="1" x14ac:dyDescent="0.3">
      <c r="A134" s="684" t="s">
        <v>1559</v>
      </c>
      <c r="B134" s="685"/>
      <c r="C134" s="685"/>
      <c r="D134" s="685"/>
      <c r="E134" s="686"/>
      <c r="F134" s="687"/>
      <c r="G134" s="688"/>
      <c r="H134" s="701">
        <f>PACKAGING!I5</f>
        <v>845</v>
      </c>
      <c r="J134" s="1279">
        <f>J133*60%</f>
        <v>26400</v>
      </c>
      <c r="K134" t="s">
        <v>3687</v>
      </c>
    </row>
    <row r="135" spans="1:15" ht="15.75" thickBot="1" x14ac:dyDescent="0.3"/>
    <row r="136" spans="1:15" ht="16.5" thickBot="1" x14ac:dyDescent="0.3">
      <c r="A136" s="1811" t="s">
        <v>4604</v>
      </c>
      <c r="B136" s="1812"/>
      <c r="C136" s="1812"/>
      <c r="D136" s="1812"/>
      <c r="E136" s="1812"/>
      <c r="F136" s="1813"/>
      <c r="G136" s="653"/>
      <c r="H136" s="653"/>
      <c r="I136" s="652"/>
    </row>
    <row r="137" spans="1:15" ht="15.75" x14ac:dyDescent="0.25">
      <c r="A137" s="654" t="s">
        <v>916</v>
      </c>
      <c r="B137" s="655" t="s">
        <v>743</v>
      </c>
      <c r="C137" s="655" t="s">
        <v>1089</v>
      </c>
      <c r="D137" s="655" t="s">
        <v>1566</v>
      </c>
      <c r="E137" s="656" t="s">
        <v>1035</v>
      </c>
      <c r="F137" s="657" t="s">
        <v>1549</v>
      </c>
      <c r="G137" s="658"/>
      <c r="H137" s="653"/>
      <c r="I137" s="652"/>
    </row>
    <row r="138" spans="1:15" ht="15.75" x14ac:dyDescent="0.25">
      <c r="A138" s="666" t="s">
        <v>4202</v>
      </c>
      <c r="B138" s="660"/>
      <c r="C138" s="660">
        <v>80</v>
      </c>
      <c r="D138" s="660">
        <v>1.9</v>
      </c>
      <c r="E138" s="661">
        <f>'HILOS-CORDONES-TANZA-CUERO'!D20</f>
        <v>4050</v>
      </c>
      <c r="F138" s="662">
        <f>E138*D138/C138</f>
        <v>96.1875</v>
      </c>
      <c r="G138" s="658"/>
      <c r="H138" s="653"/>
      <c r="I138" s="652"/>
    </row>
    <row r="139" spans="1:15" ht="15.75" x14ac:dyDescent="0.25">
      <c r="A139" s="666" t="s">
        <v>4590</v>
      </c>
      <c r="B139" s="660"/>
      <c r="C139" s="660"/>
      <c r="D139" s="660">
        <v>1</v>
      </c>
      <c r="E139" s="661">
        <f>'INSUMOS VARIOS'!E63</f>
        <v>1666.6666666666667</v>
      </c>
      <c r="F139" s="664">
        <f>E139*D139</f>
        <v>1666.6666666666667</v>
      </c>
      <c r="G139" s="658"/>
      <c r="H139" s="653"/>
      <c r="I139" s="653"/>
      <c r="J139" s="653"/>
      <c r="K139" s="653"/>
      <c r="L139" s="653"/>
      <c r="M139" s="653"/>
      <c r="N139" s="653"/>
      <c r="O139" s="653"/>
    </row>
    <row r="140" spans="1:15" ht="15.75" x14ac:dyDescent="0.25">
      <c r="A140" s="1405" t="s">
        <v>2072</v>
      </c>
      <c r="B140" s="1226"/>
      <c r="C140" s="1226"/>
      <c r="D140" s="1226">
        <v>1</v>
      </c>
      <c r="E140" s="1363">
        <f>'INSUMOS VARIOS'!E77</f>
        <v>200</v>
      </c>
      <c r="F140" s="1338">
        <f>E140*D140</f>
        <v>200</v>
      </c>
      <c r="G140" s="658"/>
      <c r="H140" s="653"/>
      <c r="I140" s="653"/>
      <c r="J140" s="653"/>
      <c r="K140" s="653"/>
      <c r="L140" s="653"/>
      <c r="M140" s="653"/>
      <c r="N140" s="653"/>
      <c r="O140" s="653"/>
    </row>
    <row r="141" spans="1:15" ht="15.75" x14ac:dyDescent="0.25">
      <c r="A141" s="1337" t="s">
        <v>4196</v>
      </c>
      <c r="B141" s="1226"/>
      <c r="C141" s="1226"/>
      <c r="D141" s="1226">
        <v>1</v>
      </c>
      <c r="E141" s="1363">
        <f>'INSUMOS VARIOS'!E74</f>
        <v>1000</v>
      </c>
      <c r="F141" s="1338">
        <f>E141*D141</f>
        <v>1000</v>
      </c>
      <c r="G141" s="658"/>
      <c r="H141" s="653"/>
      <c r="I141" s="653"/>
      <c r="J141" s="653"/>
      <c r="K141" s="653"/>
      <c r="L141" s="653"/>
      <c r="M141" s="653"/>
      <c r="N141" s="653"/>
      <c r="O141" s="653"/>
    </row>
    <row r="142" spans="1:15" ht="15.75" x14ac:dyDescent="0.25">
      <c r="A142" s="1734" t="s">
        <v>4559</v>
      </c>
      <c r="B142" s="660"/>
      <c r="C142" s="660">
        <v>0.45</v>
      </c>
      <c r="D142" s="660">
        <v>2</v>
      </c>
      <c r="E142" s="661">
        <f>'HILOS-CORDONES-TANZA-CUERO'!E21</f>
        <v>153.80000000000001</v>
      </c>
      <c r="F142" s="662">
        <f>E142*D142*C142</f>
        <v>138.42000000000002</v>
      </c>
      <c r="G142" s="658"/>
      <c r="H142" s="653"/>
      <c r="I142" s="653"/>
      <c r="J142" s="653"/>
      <c r="K142" s="653"/>
      <c r="L142" s="653"/>
      <c r="M142" s="653"/>
      <c r="N142" s="653"/>
      <c r="O142" s="653"/>
    </row>
    <row r="143" spans="1:15" ht="15.75" x14ac:dyDescent="0.25">
      <c r="A143" s="1752"/>
      <c r="B143" s="660"/>
      <c r="C143" s="660">
        <v>0.75</v>
      </c>
      <c r="D143" s="660">
        <v>1</v>
      </c>
      <c r="E143" s="661">
        <f>'HILOS-CORDONES-TANZA-CUERO'!E21</f>
        <v>153.80000000000001</v>
      </c>
      <c r="F143" s="662">
        <f t="shared" ref="F143:F145" si="1">E143*D143*C143</f>
        <v>115.35000000000001</v>
      </c>
      <c r="G143" s="658"/>
      <c r="H143" s="653"/>
      <c r="I143" s="653"/>
      <c r="J143" s="653"/>
      <c r="K143" s="653"/>
      <c r="L143" s="653"/>
      <c r="M143" s="653"/>
      <c r="N143" s="653"/>
      <c r="O143" s="653"/>
    </row>
    <row r="144" spans="1:15" ht="15.75" x14ac:dyDescent="0.25">
      <c r="A144" s="1752"/>
      <c r="B144" s="660"/>
      <c r="C144" s="660">
        <v>0.35</v>
      </c>
      <c r="D144" s="660">
        <v>4</v>
      </c>
      <c r="E144" s="661">
        <f>'HILOS-CORDONES-TANZA-CUERO'!E21</f>
        <v>153.80000000000001</v>
      </c>
      <c r="F144" s="662">
        <f t="shared" si="1"/>
        <v>215.32</v>
      </c>
      <c r="G144" s="658"/>
      <c r="H144" s="653"/>
      <c r="I144" s="653"/>
      <c r="J144" s="653"/>
      <c r="K144" s="653"/>
      <c r="L144" s="653"/>
      <c r="M144" s="653"/>
      <c r="N144" s="653"/>
      <c r="O144" s="653"/>
    </row>
    <row r="145" spans="1:15" ht="15.75" x14ac:dyDescent="0.25">
      <c r="A145" s="1735"/>
      <c r="B145" s="660"/>
      <c r="C145" s="660">
        <v>0.75</v>
      </c>
      <c r="D145" s="660">
        <v>2</v>
      </c>
      <c r="E145" s="661">
        <f>'HILOS-CORDONES-TANZA-CUERO'!E21</f>
        <v>153.80000000000001</v>
      </c>
      <c r="F145" s="662">
        <f t="shared" si="1"/>
        <v>230.70000000000002</v>
      </c>
      <c r="G145" s="658"/>
      <c r="H145" s="653"/>
      <c r="I145" s="653"/>
      <c r="J145" s="653"/>
      <c r="K145" s="653"/>
      <c r="L145" s="653"/>
      <c r="M145" s="653"/>
      <c r="N145" s="653"/>
      <c r="O145" s="653"/>
    </row>
    <row r="146" spans="1:15" ht="15.75" x14ac:dyDescent="0.25">
      <c r="A146" s="820" t="s">
        <v>3237</v>
      </c>
      <c r="B146" s="660" t="s">
        <v>1054</v>
      </c>
      <c r="C146" s="660">
        <v>5</v>
      </c>
      <c r="D146" s="660">
        <v>0.01</v>
      </c>
      <c r="E146" s="661">
        <f>FORNITURAS!V3</f>
        <v>11420</v>
      </c>
      <c r="F146" s="662">
        <f>E146*D146/C146</f>
        <v>22.84</v>
      </c>
      <c r="G146" s="658"/>
      <c r="H146" s="653"/>
      <c r="I146" s="653"/>
      <c r="J146" s="653"/>
      <c r="K146" s="653"/>
      <c r="L146" s="653"/>
      <c r="M146" s="653"/>
      <c r="N146" s="653"/>
      <c r="O146" s="653"/>
    </row>
    <row r="147" spans="1:15" ht="15.75" x14ac:dyDescent="0.25">
      <c r="A147" s="820" t="s">
        <v>1742</v>
      </c>
      <c r="B147" s="660" t="s">
        <v>3150</v>
      </c>
      <c r="C147" s="660"/>
      <c r="D147" s="660">
        <v>1</v>
      </c>
      <c r="E147" s="661">
        <f>'PERLAS 2'!O6</f>
        <v>96.222222222222229</v>
      </c>
      <c r="F147" s="662">
        <f>E147*D147</f>
        <v>96.222222222222229</v>
      </c>
      <c r="G147" s="658"/>
      <c r="H147" s="653"/>
      <c r="I147" s="653"/>
      <c r="J147" s="653"/>
      <c r="K147" s="653"/>
      <c r="L147" s="653"/>
      <c r="M147" s="653"/>
      <c r="N147" s="653"/>
      <c r="O147" s="653"/>
    </row>
    <row r="148" spans="1:15" ht="15.75" x14ac:dyDescent="0.25">
      <c r="A148" s="820" t="s">
        <v>4107</v>
      </c>
      <c r="B148" s="660"/>
      <c r="C148" s="660"/>
      <c r="D148" s="660">
        <v>2</v>
      </c>
      <c r="E148" s="661">
        <f>'AROS, CADENAS, DIJES, ETC'!X15</f>
        <v>210.47222222222223</v>
      </c>
      <c r="F148" s="662">
        <f>E148*D148</f>
        <v>420.94444444444446</v>
      </c>
      <c r="G148" s="658"/>
      <c r="H148" s="653"/>
      <c r="I148" s="653"/>
      <c r="J148" s="653"/>
      <c r="K148" s="653"/>
      <c r="L148" s="653"/>
      <c r="M148" s="653"/>
      <c r="N148" s="653"/>
      <c r="O148" s="653"/>
    </row>
    <row r="149" spans="1:15" ht="15.75" x14ac:dyDescent="0.25">
      <c r="A149" s="666" t="s">
        <v>3362</v>
      </c>
      <c r="B149" s="660"/>
      <c r="C149" s="660"/>
      <c r="D149" s="660"/>
      <c r="E149" s="661"/>
      <c r="F149" s="662">
        <f>PACKAGING!E17</f>
        <v>7.5</v>
      </c>
      <c r="G149" s="658"/>
      <c r="H149" s="653"/>
      <c r="I149" s="653"/>
      <c r="J149" s="653"/>
      <c r="K149" s="653"/>
      <c r="L149" s="653"/>
      <c r="M149" s="653"/>
      <c r="N149" s="653"/>
      <c r="O149" s="653"/>
    </row>
    <row r="150" spans="1:15" ht="15.75" x14ac:dyDescent="0.25">
      <c r="A150" s="666" t="s">
        <v>1557</v>
      </c>
      <c r="B150" s="660"/>
      <c r="C150" s="660"/>
      <c r="D150" s="660"/>
      <c r="E150" s="661"/>
      <c r="F150" s="662">
        <f>PACKAGING!E4</f>
        <v>80</v>
      </c>
      <c r="G150" s="658"/>
      <c r="H150" s="653"/>
      <c r="I150" s="652"/>
    </row>
    <row r="151" spans="1:15" ht="15.75" x14ac:dyDescent="0.25">
      <c r="A151" s="663" t="s">
        <v>1618</v>
      </c>
      <c r="B151" s="660"/>
      <c r="C151" s="660">
        <v>60</v>
      </c>
      <c r="D151" s="660">
        <v>100</v>
      </c>
      <c r="E151" s="668">
        <f>'INSUMOS VARIOS'!B3</f>
        <v>3500</v>
      </c>
      <c r="F151" s="669">
        <f>E151*D151/C151</f>
        <v>5833.333333333333</v>
      </c>
      <c r="G151" s="1" t="s">
        <v>3023</v>
      </c>
      <c r="H151" s="653"/>
      <c r="I151" s="652"/>
    </row>
    <row r="152" spans="1:15" ht="15.75" thickBot="1" x14ac:dyDescent="0.3">
      <c r="A152" s="670" t="s">
        <v>525</v>
      </c>
      <c r="B152" s="671"/>
      <c r="C152" s="671"/>
      <c r="D152" s="671"/>
      <c r="E152" s="672"/>
      <c r="F152" s="673">
        <f>SUM(F138:F151)</f>
        <v>10123.484166666667</v>
      </c>
      <c r="G152" s="698">
        <f>(F152+H153+H154)</f>
        <v>13401.484166666667</v>
      </c>
      <c r="H152" s="658" t="s">
        <v>2028</v>
      </c>
      <c r="I152" s="674" t="s">
        <v>2029</v>
      </c>
      <c r="K152" s="1273"/>
    </row>
    <row r="153" spans="1:15" ht="16.5" thickBot="1" x14ac:dyDescent="0.3">
      <c r="A153" s="675" t="s">
        <v>544</v>
      </c>
      <c r="B153" s="676"/>
      <c r="C153" s="676"/>
      <c r="D153" s="676"/>
      <c r="E153" s="677"/>
      <c r="F153" s="678">
        <f>F152*2</f>
        <v>20246.968333333334</v>
      </c>
      <c r="G153" s="679">
        <f>F153+F153*70%</f>
        <v>34419.84616666667</v>
      </c>
      <c r="H153" s="680">
        <f>PACKAGING!I3</f>
        <v>2433</v>
      </c>
      <c r="I153" s="681">
        <f>G153+H153+H154</f>
        <v>37697.84616666667</v>
      </c>
      <c r="J153" s="1275">
        <v>48000</v>
      </c>
    </row>
    <row r="154" spans="1:15" ht="16.5" thickBot="1" x14ac:dyDescent="0.3">
      <c r="A154" s="684" t="s">
        <v>1559</v>
      </c>
      <c r="B154" s="685"/>
      <c r="C154" s="685"/>
      <c r="D154" s="685"/>
      <c r="E154" s="686"/>
      <c r="F154" s="687"/>
      <c r="G154" s="688"/>
      <c r="H154" s="701">
        <f>PACKAGING!I5</f>
        <v>845</v>
      </c>
      <c r="J154" s="1278">
        <f>J153*2</f>
        <v>96000</v>
      </c>
    </row>
    <row r="155" spans="1:15" ht="15.75" thickBot="1" x14ac:dyDescent="0.3"/>
    <row r="156" spans="1:15" ht="16.5" thickBot="1" x14ac:dyDescent="0.3">
      <c r="A156" s="1811" t="s">
        <v>4605</v>
      </c>
      <c r="B156" s="1812"/>
      <c r="C156" s="1812"/>
      <c r="D156" s="1812"/>
      <c r="E156" s="1812"/>
      <c r="F156" s="1813"/>
      <c r="G156" s="653"/>
      <c r="H156" s="653"/>
      <c r="I156" s="652"/>
    </row>
    <row r="157" spans="1:15" ht="15.75" x14ac:dyDescent="0.25">
      <c r="A157" s="654" t="s">
        <v>916</v>
      </c>
      <c r="B157" s="655" t="s">
        <v>743</v>
      </c>
      <c r="C157" s="655" t="s">
        <v>1089</v>
      </c>
      <c r="D157" s="655" t="s">
        <v>1566</v>
      </c>
      <c r="E157" s="656" t="s">
        <v>1035</v>
      </c>
      <c r="F157" s="657" t="s">
        <v>1549</v>
      </c>
      <c r="G157" s="658"/>
      <c r="H157" s="653"/>
      <c r="I157" s="652"/>
    </row>
    <row r="158" spans="1:15" ht="15.75" x14ac:dyDescent="0.25">
      <c r="A158" s="1736" t="s">
        <v>3363</v>
      </c>
      <c r="B158" s="1762" t="s">
        <v>969</v>
      </c>
      <c r="C158" s="660">
        <v>1</v>
      </c>
      <c r="D158" s="660">
        <v>0.9</v>
      </c>
      <c r="E158" s="661">
        <f>'HILOS-CORDONES-TANZA-CUERO'!E10</f>
        <v>210.25</v>
      </c>
      <c r="F158" s="662">
        <f>E158*D158/C158</f>
        <v>189.22499999999999</v>
      </c>
      <c r="G158" s="658"/>
      <c r="H158" s="653"/>
      <c r="I158" s="652"/>
    </row>
    <row r="159" spans="1:15" ht="15.75" x14ac:dyDescent="0.25">
      <c r="A159" s="1737"/>
      <c r="B159" s="1763"/>
      <c r="C159" s="660">
        <v>1</v>
      </c>
      <c r="D159" s="660">
        <v>0.1</v>
      </c>
      <c r="E159" s="661">
        <f>'HILOS-CORDONES-TANZA-CUERO'!E10</f>
        <v>210.25</v>
      </c>
      <c r="F159" s="662">
        <f>E159*D159/C159</f>
        <v>21.025000000000002</v>
      </c>
      <c r="G159" s="658"/>
      <c r="H159" s="653"/>
      <c r="I159" s="652"/>
    </row>
    <row r="160" spans="1:15" ht="15.75" x14ac:dyDescent="0.25">
      <c r="A160" s="666" t="s">
        <v>4566</v>
      </c>
      <c r="B160" s="660"/>
      <c r="C160" s="660"/>
      <c r="D160" s="660">
        <v>1</v>
      </c>
      <c r="E160" s="661">
        <f>'AROS, CADENAS, DIJES, ETC'!R194</f>
        <v>1284</v>
      </c>
      <c r="F160" s="664">
        <f>E160*D160</f>
        <v>1284</v>
      </c>
      <c r="G160" s="658"/>
      <c r="H160" s="653"/>
      <c r="I160" s="652"/>
    </row>
    <row r="161" spans="1:9" ht="15.75" x14ac:dyDescent="0.25">
      <c r="A161" s="666" t="s">
        <v>4567</v>
      </c>
      <c r="B161" s="660"/>
      <c r="C161" s="660"/>
      <c r="D161" s="660">
        <v>2</v>
      </c>
      <c r="E161" s="661">
        <f>'AROS, CADENAS, DIJES, ETC'!X16</f>
        <v>139.88888888888889</v>
      </c>
      <c r="F161" s="662">
        <f>D161*E161</f>
        <v>279.77777777777777</v>
      </c>
      <c r="G161" s="658"/>
      <c r="H161" s="653"/>
      <c r="I161" s="652"/>
    </row>
    <row r="162" spans="1:9" ht="15.75" x14ac:dyDescent="0.25">
      <c r="A162" s="769" t="s">
        <v>1971</v>
      </c>
      <c r="B162" s="660" t="s">
        <v>1933</v>
      </c>
      <c r="C162" s="660"/>
      <c r="D162" s="660">
        <v>1</v>
      </c>
      <c r="E162" s="661">
        <f>PLATEADO!D23</f>
        <v>46.8</v>
      </c>
      <c r="F162" s="662">
        <f>E162*D162</f>
        <v>46.8</v>
      </c>
      <c r="G162" s="658"/>
      <c r="H162" s="653"/>
      <c r="I162" s="652"/>
    </row>
    <row r="163" spans="1:9" ht="15.75" x14ac:dyDescent="0.25">
      <c r="A163" s="666" t="s">
        <v>1746</v>
      </c>
      <c r="B163" s="660"/>
      <c r="C163" s="660"/>
      <c r="D163" s="660"/>
      <c r="E163" s="661"/>
      <c r="F163" s="662">
        <v>20</v>
      </c>
      <c r="G163" s="658"/>
      <c r="H163" s="653"/>
      <c r="I163" s="652"/>
    </row>
    <row r="164" spans="1:9" ht="15.75" x14ac:dyDescent="0.25">
      <c r="A164" s="666" t="s">
        <v>3362</v>
      </c>
      <c r="B164" s="660"/>
      <c r="C164" s="660"/>
      <c r="D164" s="660"/>
      <c r="E164" s="661"/>
      <c r="F164" s="662">
        <f>PACKAGING!E17</f>
        <v>7.5</v>
      </c>
      <c r="G164" s="658"/>
      <c r="H164" s="653"/>
      <c r="I164" s="652"/>
    </row>
    <row r="165" spans="1:9" x14ac:dyDescent="0.25">
      <c r="A165" s="666" t="s">
        <v>1557</v>
      </c>
      <c r="B165" s="660"/>
      <c r="C165" s="660"/>
      <c r="D165" s="660"/>
      <c r="E165" s="661"/>
      <c r="F165" s="662">
        <f>PACKAGING!E4</f>
        <v>80</v>
      </c>
      <c r="G165" s="658"/>
    </row>
    <row r="166" spans="1:9" x14ac:dyDescent="0.25">
      <c r="A166" s="768" t="s">
        <v>3568</v>
      </c>
      <c r="B166" s="660"/>
      <c r="C166" s="660"/>
      <c r="D166" s="660"/>
      <c r="E166" s="668"/>
      <c r="F166" s="662">
        <f>PACKAGING!I5</f>
        <v>845</v>
      </c>
      <c r="G166" s="658"/>
    </row>
    <row r="167" spans="1:9" ht="15.75" x14ac:dyDescent="0.25">
      <c r="A167" s="663" t="s">
        <v>1618</v>
      </c>
      <c r="B167" s="660"/>
      <c r="C167" s="660">
        <v>60</v>
      </c>
      <c r="D167" s="660">
        <v>40</v>
      </c>
      <c r="E167" s="668">
        <f>'INSUMOS VARIOS'!B3</f>
        <v>3500</v>
      </c>
      <c r="F167" s="669">
        <f>E167*D167/C167</f>
        <v>2333.3333333333335</v>
      </c>
      <c r="G167" s="1"/>
    </row>
    <row r="168" spans="1:9" ht="15.75" thickBot="1" x14ac:dyDescent="0.3">
      <c r="A168" s="670" t="s">
        <v>525</v>
      </c>
      <c r="B168" s="671"/>
      <c r="C168" s="671"/>
      <c r="D168" s="671"/>
      <c r="E168" s="672"/>
      <c r="F168" s="673">
        <f>SUM(F158:F167)</f>
        <v>5106.6611111111106</v>
      </c>
      <c r="G168" s="698"/>
    </row>
    <row r="169" spans="1:9" ht="16.5" thickBot="1" x14ac:dyDescent="0.3">
      <c r="A169" s="675" t="s">
        <v>544</v>
      </c>
      <c r="B169" s="676"/>
      <c r="C169" s="676"/>
      <c r="D169" s="676"/>
      <c r="E169" s="677"/>
      <c r="F169" s="678">
        <f>F168*2</f>
        <v>10213.322222222221</v>
      </c>
      <c r="G169" s="679">
        <f>F169+F169*70%</f>
        <v>17362.647777777776</v>
      </c>
      <c r="H169" s="1277">
        <v>30000</v>
      </c>
    </row>
    <row r="170" spans="1:9" ht="16.5" thickBot="1" x14ac:dyDescent="0.3">
      <c r="A170" s="684" t="s">
        <v>1559</v>
      </c>
      <c r="B170" s="685"/>
      <c r="C170" s="685"/>
      <c r="D170" s="685"/>
      <c r="E170" s="686"/>
      <c r="F170" s="687"/>
      <c r="G170" s="688"/>
      <c r="H170" s="1279">
        <f>H169*50%</f>
        <v>15000</v>
      </c>
      <c r="I170" t="s">
        <v>3687</v>
      </c>
    </row>
    <row r="171" spans="1:9" ht="15.75" thickBot="1" x14ac:dyDescent="0.3"/>
    <row r="172" spans="1:9" ht="16.5" thickBot="1" x14ac:dyDescent="0.3">
      <c r="A172" s="1811" t="s">
        <v>4606</v>
      </c>
      <c r="B172" s="1812"/>
      <c r="C172" s="1812"/>
      <c r="D172" s="1812"/>
      <c r="E172" s="1812"/>
      <c r="F172" s="1813"/>
      <c r="G172" s="653"/>
      <c r="H172" s="653"/>
      <c r="I172" s="652"/>
    </row>
    <row r="173" spans="1:9" ht="15.75" x14ac:dyDescent="0.25">
      <c r="A173" s="654" t="s">
        <v>916</v>
      </c>
      <c r="B173" s="655" t="s">
        <v>743</v>
      </c>
      <c r="C173" s="655" t="s">
        <v>1089</v>
      </c>
      <c r="D173" s="655" t="s">
        <v>1566</v>
      </c>
      <c r="E173" s="656" t="s">
        <v>1035</v>
      </c>
      <c r="F173" s="657" t="s">
        <v>1549</v>
      </c>
      <c r="G173" s="658"/>
      <c r="H173" s="653"/>
      <c r="I173" s="652"/>
    </row>
    <row r="174" spans="1:9" ht="15.75" x14ac:dyDescent="0.25">
      <c r="A174" s="1736" t="s">
        <v>3363</v>
      </c>
      <c r="B174" s="1762" t="s">
        <v>969</v>
      </c>
      <c r="C174" s="660">
        <v>1</v>
      </c>
      <c r="D174" s="660">
        <v>0.9</v>
      </c>
      <c r="E174" s="661">
        <f>'HILOS-CORDONES-TANZA-CUERO'!E10</f>
        <v>210.25</v>
      </c>
      <c r="F174" s="662">
        <f>E174*D174/C174</f>
        <v>189.22499999999999</v>
      </c>
      <c r="G174" s="658"/>
      <c r="H174" s="653"/>
      <c r="I174" s="652"/>
    </row>
    <row r="175" spans="1:9" ht="15.75" x14ac:dyDescent="0.25">
      <c r="A175" s="1737"/>
      <c r="B175" s="1763"/>
      <c r="C175" s="660">
        <v>1</v>
      </c>
      <c r="D175" s="660">
        <v>0.1</v>
      </c>
      <c r="E175" s="661">
        <f>'HILOS-CORDONES-TANZA-CUERO'!E10</f>
        <v>210.25</v>
      </c>
      <c r="F175" s="662">
        <f>E175*D175/C175</f>
        <v>21.025000000000002</v>
      </c>
      <c r="G175" s="658"/>
      <c r="H175" s="653"/>
      <c r="I175" s="652"/>
    </row>
    <row r="176" spans="1:9" ht="15.75" x14ac:dyDescent="0.25">
      <c r="A176" s="666" t="s">
        <v>4570</v>
      </c>
      <c r="B176" s="660"/>
      <c r="C176" s="660"/>
      <c r="D176" s="660">
        <v>1</v>
      </c>
      <c r="E176" s="661">
        <f>'AROS, CADENAS, DIJES, ETC'!P187</f>
        <v>2800</v>
      </c>
      <c r="F176" s="664">
        <f>E176*D176</f>
        <v>2800</v>
      </c>
      <c r="G176" s="658"/>
      <c r="H176" s="653"/>
      <c r="I176" s="652"/>
    </row>
    <row r="177" spans="1:9" ht="15.75" x14ac:dyDescent="0.25">
      <c r="A177" s="666" t="s">
        <v>4107</v>
      </c>
      <c r="B177" s="660"/>
      <c r="C177" s="660"/>
      <c r="D177" s="660">
        <v>2</v>
      </c>
      <c r="E177" s="661">
        <f>'AROS, CADENAS, DIJES, ETC'!X15</f>
        <v>210.47222222222223</v>
      </c>
      <c r="F177" s="662">
        <f>D177*E177</f>
        <v>420.94444444444446</v>
      </c>
      <c r="G177" s="658"/>
      <c r="H177" s="653"/>
      <c r="I177" s="652"/>
    </row>
    <row r="178" spans="1:9" ht="15.75" x14ac:dyDescent="0.25">
      <c r="A178" s="769" t="s">
        <v>1971</v>
      </c>
      <c r="B178" s="660" t="s">
        <v>1933</v>
      </c>
      <c r="C178" s="660"/>
      <c r="D178" s="660">
        <v>1</v>
      </c>
      <c r="E178" s="661">
        <f>FORNITURAS!D5</f>
        <v>46.8</v>
      </c>
      <c r="F178" s="662">
        <f>E178*D178</f>
        <v>46.8</v>
      </c>
      <c r="G178" s="658"/>
      <c r="H178" s="653"/>
      <c r="I178" s="652"/>
    </row>
    <row r="179" spans="1:9" ht="15.75" x14ac:dyDescent="0.25">
      <c r="A179" s="666" t="s">
        <v>1746</v>
      </c>
      <c r="B179" s="660"/>
      <c r="C179" s="660"/>
      <c r="D179" s="660"/>
      <c r="E179" s="661"/>
      <c r="F179" s="662">
        <v>20</v>
      </c>
      <c r="G179" s="658"/>
      <c r="H179" s="653"/>
      <c r="I179" s="652"/>
    </row>
    <row r="180" spans="1:9" ht="15.75" x14ac:dyDescent="0.25">
      <c r="A180" s="666" t="s">
        <v>3362</v>
      </c>
      <c r="B180" s="660"/>
      <c r="C180" s="660"/>
      <c r="D180" s="660"/>
      <c r="E180" s="661"/>
      <c r="F180" s="662">
        <f>PACKAGING!E17</f>
        <v>7.5</v>
      </c>
      <c r="G180" s="658"/>
      <c r="H180" s="653"/>
      <c r="I180" s="652"/>
    </row>
    <row r="181" spans="1:9" x14ac:dyDescent="0.25">
      <c r="A181" s="666" t="s">
        <v>1557</v>
      </c>
      <c r="B181" s="660"/>
      <c r="C181" s="660"/>
      <c r="D181" s="660"/>
      <c r="E181" s="661"/>
      <c r="F181" s="662">
        <f>PACKAGING!E4</f>
        <v>80</v>
      </c>
      <c r="G181" s="658"/>
    </row>
    <row r="182" spans="1:9" x14ac:dyDescent="0.25">
      <c r="A182" s="768" t="s">
        <v>3568</v>
      </c>
      <c r="B182" s="660"/>
      <c r="C182" s="660"/>
      <c r="D182" s="660"/>
      <c r="E182" s="668"/>
      <c r="F182" s="662">
        <f>PACKAGING!I5</f>
        <v>845</v>
      </c>
      <c r="G182" s="658"/>
    </row>
    <row r="183" spans="1:9" ht="15.75" x14ac:dyDescent="0.25">
      <c r="A183" s="663" t="s">
        <v>1618</v>
      </c>
      <c r="B183" s="660"/>
      <c r="C183" s="660">
        <v>60</v>
      </c>
      <c r="D183" s="660">
        <v>40</v>
      </c>
      <c r="E183" s="668">
        <f>'INSUMOS VARIOS'!B3</f>
        <v>3500</v>
      </c>
      <c r="F183" s="669">
        <f>E183*D183/C183</f>
        <v>2333.3333333333335</v>
      </c>
      <c r="G183" s="1"/>
    </row>
    <row r="184" spans="1:9" ht="15.75" thickBot="1" x14ac:dyDescent="0.3">
      <c r="A184" s="670" t="s">
        <v>525</v>
      </c>
      <c r="B184" s="671"/>
      <c r="C184" s="671"/>
      <c r="D184" s="671"/>
      <c r="E184" s="672"/>
      <c r="F184" s="673">
        <f>SUM(F174:F183)</f>
        <v>6763.8277777777785</v>
      </c>
      <c r="G184" s="698"/>
    </row>
    <row r="185" spans="1:9" ht="16.5" thickBot="1" x14ac:dyDescent="0.3">
      <c r="A185" s="675" t="s">
        <v>544</v>
      </c>
      <c r="B185" s="676"/>
      <c r="C185" s="676"/>
      <c r="D185" s="676"/>
      <c r="E185" s="677"/>
      <c r="F185" s="678">
        <f>F184*2</f>
        <v>13527.655555555557</v>
      </c>
      <c r="G185" s="679">
        <f>F185+F185*70%</f>
        <v>22997.014444444445</v>
      </c>
      <c r="H185" s="1277">
        <v>30000</v>
      </c>
    </row>
    <row r="186" spans="1:9" ht="16.5" thickBot="1" x14ac:dyDescent="0.3">
      <c r="A186" s="684" t="s">
        <v>1559</v>
      </c>
      <c r="B186" s="685"/>
      <c r="C186" s="685"/>
      <c r="D186" s="685"/>
      <c r="E186" s="686"/>
      <c r="F186" s="687"/>
      <c r="G186" s="688"/>
      <c r="H186" s="1279">
        <f>H185*50%</f>
        <v>15000</v>
      </c>
      <c r="I186" t="s">
        <v>3687</v>
      </c>
    </row>
    <row r="187" spans="1:9" ht="15.75" thickBot="1" x14ac:dyDescent="0.3"/>
    <row r="188" spans="1:9" ht="16.5" thickBot="1" x14ac:dyDescent="0.3">
      <c r="A188" s="1811" t="s">
        <v>149</v>
      </c>
      <c r="B188" s="1812"/>
      <c r="C188" s="1812"/>
      <c r="D188" s="1812"/>
      <c r="E188" s="1812"/>
      <c r="F188" s="1813"/>
      <c r="G188" s="653"/>
      <c r="H188" s="653"/>
      <c r="I188" s="652"/>
    </row>
    <row r="189" spans="1:9" ht="15.75" x14ac:dyDescent="0.25">
      <c r="A189" s="654" t="s">
        <v>916</v>
      </c>
      <c r="B189" s="655" t="s">
        <v>743</v>
      </c>
      <c r="C189" s="655" t="s">
        <v>1089</v>
      </c>
      <c r="D189" s="655" t="s">
        <v>1566</v>
      </c>
      <c r="E189" s="656" t="s">
        <v>1035</v>
      </c>
      <c r="F189" s="657" t="s">
        <v>1549</v>
      </c>
      <c r="G189" s="658"/>
      <c r="H189" s="653"/>
      <c r="I189" s="652"/>
    </row>
    <row r="190" spans="1:9" ht="15.75" x14ac:dyDescent="0.25">
      <c r="A190" s="666" t="s">
        <v>3363</v>
      </c>
      <c r="B190" s="660" t="s">
        <v>969</v>
      </c>
      <c r="C190" s="660">
        <v>1</v>
      </c>
      <c r="D190" s="660">
        <v>1.65</v>
      </c>
      <c r="E190" s="661">
        <f>'HILOS-CORDONES-TANZA-CUERO'!E10</f>
        <v>210.25</v>
      </c>
      <c r="F190" s="662">
        <f>E190*D190/C190</f>
        <v>346.91249999999997</v>
      </c>
      <c r="G190" s="658"/>
      <c r="H190" s="653"/>
      <c r="I190" s="652"/>
    </row>
    <row r="191" spans="1:9" ht="15.75" x14ac:dyDescent="0.25">
      <c r="A191" s="666" t="s">
        <v>3546</v>
      </c>
      <c r="B191" s="660"/>
      <c r="C191" s="660"/>
      <c r="D191" s="660">
        <v>1</v>
      </c>
      <c r="E191" s="661">
        <f>PIEDRAS!K58</f>
        <v>895</v>
      </c>
      <c r="F191" s="664">
        <f>E191*D191</f>
        <v>895</v>
      </c>
      <c r="G191" s="658"/>
      <c r="H191" s="653"/>
      <c r="I191" s="652"/>
    </row>
    <row r="192" spans="1:9" ht="15.75" x14ac:dyDescent="0.25">
      <c r="A192" s="666" t="s">
        <v>4567</v>
      </c>
      <c r="B192" s="660"/>
      <c r="C192" s="660"/>
      <c r="D192" s="660">
        <v>2</v>
      </c>
      <c r="E192" s="661">
        <f>'AROS, CADENAS, DIJES, ETC'!X16</f>
        <v>139.88888888888889</v>
      </c>
      <c r="F192" s="662">
        <f>D192*E192</f>
        <v>279.77777777777777</v>
      </c>
      <c r="G192" s="658"/>
      <c r="H192" s="653"/>
      <c r="I192" s="652"/>
    </row>
    <row r="193" spans="1:11" ht="15.75" x14ac:dyDescent="0.25">
      <c r="A193" s="666" t="s">
        <v>1746</v>
      </c>
      <c r="B193" s="660"/>
      <c r="C193" s="660"/>
      <c r="D193" s="660"/>
      <c r="E193" s="661"/>
      <c r="F193" s="662">
        <v>20</v>
      </c>
      <c r="G193" s="658"/>
      <c r="H193" s="653"/>
      <c r="I193" s="652"/>
    </row>
    <row r="194" spans="1:11" ht="15.75" x14ac:dyDescent="0.25">
      <c r="A194" s="666" t="s">
        <v>3362</v>
      </c>
      <c r="B194" s="660"/>
      <c r="C194" s="660"/>
      <c r="D194" s="660"/>
      <c r="E194" s="661"/>
      <c r="F194" s="662">
        <f>PACKAGING!E17</f>
        <v>7.5</v>
      </c>
      <c r="G194" s="658"/>
      <c r="H194" s="653"/>
      <c r="I194" s="652"/>
    </row>
    <row r="195" spans="1:11" x14ac:dyDescent="0.25">
      <c r="A195" s="666" t="s">
        <v>1557</v>
      </c>
      <c r="B195" s="660"/>
      <c r="C195" s="660"/>
      <c r="D195" s="660"/>
      <c r="E195" s="661"/>
      <c r="F195" s="662">
        <f>PACKAGING!E4</f>
        <v>80</v>
      </c>
      <c r="G195" s="658"/>
    </row>
    <row r="196" spans="1:11" ht="15.75" x14ac:dyDescent="0.25">
      <c r="A196" s="663" t="s">
        <v>1618</v>
      </c>
      <c r="B196" s="660"/>
      <c r="C196" s="660">
        <v>60</v>
      </c>
      <c r="D196" s="660">
        <v>30</v>
      </c>
      <c r="E196" s="668">
        <f>'INSUMOS VARIOS'!B3</f>
        <v>3500</v>
      </c>
      <c r="F196" s="669">
        <f>E196*D196/C196</f>
        <v>1750</v>
      </c>
      <c r="G196" s="1" t="s">
        <v>3023</v>
      </c>
      <c r="H196" s="658"/>
      <c r="I196" s="653"/>
    </row>
    <row r="197" spans="1:11" ht="15.75" thickBot="1" x14ac:dyDescent="0.3">
      <c r="A197" s="670" t="s">
        <v>525</v>
      </c>
      <c r="B197" s="671"/>
      <c r="C197" s="671"/>
      <c r="D197" s="671"/>
      <c r="E197" s="672"/>
      <c r="F197" s="673">
        <f>SUM(F190:F196)</f>
        <v>3379.1902777777777</v>
      </c>
      <c r="G197" s="698">
        <f>F197+H198+H199</f>
        <v>6657.1902777777777</v>
      </c>
      <c r="H197" s="658" t="s">
        <v>2028</v>
      </c>
      <c r="I197" s="674" t="s">
        <v>2029</v>
      </c>
    </row>
    <row r="198" spans="1:11" ht="16.5" thickBot="1" x14ac:dyDescent="0.3">
      <c r="A198" s="675" t="s">
        <v>544</v>
      </c>
      <c r="B198" s="676"/>
      <c r="C198" s="676"/>
      <c r="D198" s="676"/>
      <c r="E198" s="677"/>
      <c r="F198" s="678">
        <f>F197*2</f>
        <v>6758.3805555555555</v>
      </c>
      <c r="G198" s="957">
        <f>F198+F198*70%</f>
        <v>11489.246944444443</v>
      </c>
      <c r="H198" s="681">
        <f>PACKAGING!I3</f>
        <v>2433</v>
      </c>
      <c r="I198" s="1157">
        <f>G198+H199</f>
        <v>12334.246944444443</v>
      </c>
      <c r="J198" s="681">
        <v>30000</v>
      </c>
    </row>
    <row r="199" spans="1:11" ht="16.5" thickBot="1" x14ac:dyDescent="0.3">
      <c r="A199" s="684" t="s">
        <v>1559</v>
      </c>
      <c r="B199" s="685"/>
      <c r="C199" s="685"/>
      <c r="D199" s="685"/>
      <c r="E199" s="686"/>
      <c r="F199" s="687"/>
      <c r="G199" s="816"/>
      <c r="H199" s="702">
        <f>PACKAGING!I5</f>
        <v>845</v>
      </c>
      <c r="I199" s="1448"/>
      <c r="J199" s="1275">
        <f>J198*60%</f>
        <v>18000</v>
      </c>
      <c r="K199" t="s">
        <v>3687</v>
      </c>
    </row>
    <row r="200" spans="1:11" ht="15.75" thickBot="1" x14ac:dyDescent="0.3"/>
    <row r="201" spans="1:11" ht="16.5" thickBot="1" x14ac:dyDescent="0.3">
      <c r="A201" s="1811" t="s">
        <v>4607</v>
      </c>
      <c r="B201" s="1812"/>
      <c r="C201" s="1812"/>
      <c r="D201" s="1812"/>
      <c r="E201" s="1812"/>
      <c r="F201" s="1813"/>
      <c r="G201" s="653"/>
      <c r="H201" s="653"/>
      <c r="I201" s="652"/>
    </row>
    <row r="202" spans="1:11" ht="15.75" x14ac:dyDescent="0.25">
      <c r="A202" s="654" t="s">
        <v>916</v>
      </c>
      <c r="B202" s="655" t="s">
        <v>743</v>
      </c>
      <c r="C202" s="655" t="s">
        <v>1089</v>
      </c>
      <c r="D202" s="655" t="s">
        <v>1566</v>
      </c>
      <c r="E202" s="656" t="s">
        <v>1035</v>
      </c>
      <c r="F202" s="657" t="s">
        <v>1549</v>
      </c>
      <c r="G202" s="658"/>
      <c r="H202" s="653"/>
      <c r="I202" s="652"/>
    </row>
    <row r="203" spans="1:11" ht="15.75" x14ac:dyDescent="0.25">
      <c r="A203" s="666" t="s">
        <v>4571</v>
      </c>
      <c r="B203" s="660" t="s">
        <v>969</v>
      </c>
      <c r="C203" s="660">
        <v>1</v>
      </c>
      <c r="D203" s="660">
        <v>1.9</v>
      </c>
      <c r="E203" s="661">
        <f>'HILOS-CORDONES-TANZA-CUERO'!E11</f>
        <v>210.25</v>
      </c>
      <c r="F203" s="662">
        <f>E203*D203/C203</f>
        <v>399.47499999999997</v>
      </c>
      <c r="G203" s="658"/>
      <c r="H203" s="653"/>
      <c r="I203" s="652"/>
    </row>
    <row r="204" spans="1:11" ht="15.75" x14ac:dyDescent="0.25">
      <c r="A204" s="666" t="s">
        <v>4197</v>
      </c>
      <c r="B204" s="660"/>
      <c r="C204" s="660"/>
      <c r="D204" s="660">
        <v>1</v>
      </c>
      <c r="E204" s="661">
        <f>'INSUMOS VARIOS'!E75</f>
        <v>1000</v>
      </c>
      <c r="F204" s="662">
        <f>E204*D204</f>
        <v>1000</v>
      </c>
      <c r="G204" s="658"/>
      <c r="H204" s="653"/>
      <c r="I204" s="652"/>
    </row>
    <row r="205" spans="1:11" ht="15.75" x14ac:dyDescent="0.25">
      <c r="A205" s="666" t="s">
        <v>3099</v>
      </c>
      <c r="B205" s="660" t="s">
        <v>3534</v>
      </c>
      <c r="C205" s="660"/>
      <c r="D205" s="660">
        <v>6</v>
      </c>
      <c r="E205" s="661">
        <f>'PERLAS 2'!O4</f>
        <v>171.05263157894737</v>
      </c>
      <c r="F205" s="664">
        <f>E205*D205</f>
        <v>1026.3157894736842</v>
      </c>
      <c r="G205" s="658"/>
      <c r="H205" s="653"/>
      <c r="I205" s="652"/>
    </row>
    <row r="206" spans="1:11" ht="15.75" x14ac:dyDescent="0.25">
      <c r="A206" s="666" t="s">
        <v>3237</v>
      </c>
      <c r="B206" s="660" t="s">
        <v>1062</v>
      </c>
      <c r="C206" s="660"/>
      <c r="D206" s="660">
        <v>0.2</v>
      </c>
      <c r="E206" s="661">
        <f>PLATEADO!L6</f>
        <v>543.20754716981128</v>
      </c>
      <c r="F206" s="664">
        <f>E206*D206</f>
        <v>108.64150943396226</v>
      </c>
      <c r="G206" s="658"/>
      <c r="H206" s="653"/>
      <c r="I206" s="652"/>
    </row>
    <row r="207" spans="1:11" ht="15.75" x14ac:dyDescent="0.25">
      <c r="A207" s="666" t="s">
        <v>4567</v>
      </c>
      <c r="B207" s="660"/>
      <c r="C207" s="660"/>
      <c r="D207" s="660">
        <v>2</v>
      </c>
      <c r="E207" s="661">
        <f>'AROS, CADENAS, DIJES, ETC'!X16</f>
        <v>139.88888888888889</v>
      </c>
      <c r="F207" s="662">
        <f>D207*E207</f>
        <v>279.77777777777777</v>
      </c>
      <c r="G207" s="658"/>
      <c r="H207" s="653"/>
      <c r="I207" s="652"/>
    </row>
    <row r="208" spans="1:11" ht="15.75" x14ac:dyDescent="0.25">
      <c r="A208" s="666" t="s">
        <v>1746</v>
      </c>
      <c r="B208" s="660"/>
      <c r="C208" s="660"/>
      <c r="D208" s="660"/>
      <c r="E208" s="661"/>
      <c r="F208" s="662">
        <v>20</v>
      </c>
      <c r="G208" s="658"/>
      <c r="H208" s="653"/>
      <c r="I208" s="652"/>
    </row>
    <row r="209" spans="1:11" ht="15.75" x14ac:dyDescent="0.25">
      <c r="A209" s="666" t="s">
        <v>3362</v>
      </c>
      <c r="B209" s="660"/>
      <c r="C209" s="660"/>
      <c r="D209" s="660"/>
      <c r="E209" s="661"/>
      <c r="F209" s="662">
        <f>PACKAGING!E17</f>
        <v>7.5</v>
      </c>
      <c r="G209" s="658"/>
      <c r="H209" s="653"/>
      <c r="I209" s="652"/>
    </row>
    <row r="210" spans="1:11" x14ac:dyDescent="0.25">
      <c r="A210" s="666" t="s">
        <v>1557</v>
      </c>
      <c r="B210" s="660"/>
      <c r="C210" s="660"/>
      <c r="D210" s="660"/>
      <c r="E210" s="661"/>
      <c r="F210" s="662">
        <f>PACKAGING!E4</f>
        <v>80</v>
      </c>
      <c r="G210" s="658"/>
    </row>
    <row r="211" spans="1:11" ht="15.75" x14ac:dyDescent="0.25">
      <c r="A211" s="663" t="s">
        <v>1618</v>
      </c>
      <c r="B211" s="660"/>
      <c r="C211" s="660">
        <v>60</v>
      </c>
      <c r="D211" s="660">
        <v>45</v>
      </c>
      <c r="E211" s="668">
        <f>'INSUMOS VARIOS'!B3</f>
        <v>3500</v>
      </c>
      <c r="F211" s="669">
        <f>E211*D211/C211</f>
        <v>2625</v>
      </c>
      <c r="G211" s="1" t="s">
        <v>3023</v>
      </c>
      <c r="H211" s="658"/>
      <c r="I211" s="653"/>
    </row>
    <row r="212" spans="1:11" ht="15.75" thickBot="1" x14ac:dyDescent="0.3">
      <c r="A212" s="670" t="s">
        <v>525</v>
      </c>
      <c r="B212" s="671"/>
      <c r="C212" s="671"/>
      <c r="D212" s="671"/>
      <c r="E212" s="672"/>
      <c r="F212" s="673">
        <f>SUM(F203:F211)</f>
        <v>5546.7100766854237</v>
      </c>
      <c r="G212" s="698">
        <f>F212+H213+H214</f>
        <v>8824.7100766854237</v>
      </c>
      <c r="H212" s="658" t="s">
        <v>2028</v>
      </c>
      <c r="I212" s="674" t="s">
        <v>2029</v>
      </c>
    </row>
    <row r="213" spans="1:11" ht="16.5" thickBot="1" x14ac:dyDescent="0.3">
      <c r="A213" s="675" t="s">
        <v>544</v>
      </c>
      <c r="B213" s="676"/>
      <c r="C213" s="676"/>
      <c r="D213" s="676"/>
      <c r="E213" s="677"/>
      <c r="F213" s="678">
        <f>F212*2</f>
        <v>11093.420153370847</v>
      </c>
      <c r="G213" s="957">
        <f>F213+F213*70%</f>
        <v>18858.81426073044</v>
      </c>
      <c r="H213" s="681">
        <f>PACKAGING!I3</f>
        <v>2433</v>
      </c>
      <c r="I213" s="1157">
        <f>G213+H214</f>
        <v>19703.81426073044</v>
      </c>
      <c r="J213" s="702">
        <v>30000</v>
      </c>
    </row>
    <row r="214" spans="1:11" ht="16.5" thickBot="1" x14ac:dyDescent="0.3">
      <c r="A214" s="684" t="s">
        <v>1559</v>
      </c>
      <c r="B214" s="685"/>
      <c r="C214" s="685"/>
      <c r="D214" s="685"/>
      <c r="E214" s="686"/>
      <c r="F214" s="687"/>
      <c r="G214" s="816"/>
      <c r="H214" s="702">
        <f>PACKAGING!I5</f>
        <v>845</v>
      </c>
      <c r="I214" s="1448"/>
      <c r="J214" s="1275">
        <f>J213*60%</f>
        <v>18000</v>
      </c>
      <c r="K214" t="s">
        <v>3687</v>
      </c>
    </row>
    <row r="215" spans="1:11" ht="15.75" thickBot="1" x14ac:dyDescent="0.3"/>
    <row r="216" spans="1:11" ht="16.5" thickBot="1" x14ac:dyDescent="0.3">
      <c r="A216" s="1811" t="s">
        <v>4579</v>
      </c>
      <c r="B216" s="1812"/>
      <c r="C216" s="1812"/>
      <c r="D216" s="1812"/>
      <c r="E216" s="1812"/>
      <c r="F216" s="1813"/>
      <c r="G216" s="653"/>
      <c r="H216" s="653"/>
      <c r="I216" s="652"/>
      <c r="J216" s="652"/>
    </row>
    <row r="217" spans="1:11" ht="15.75" x14ac:dyDescent="0.25">
      <c r="A217" s="654" t="s">
        <v>916</v>
      </c>
      <c r="B217" s="655" t="s">
        <v>743</v>
      </c>
      <c r="C217" s="655" t="s">
        <v>1089</v>
      </c>
      <c r="D217" s="655" t="s">
        <v>1566</v>
      </c>
      <c r="E217" s="656" t="s">
        <v>1035</v>
      </c>
      <c r="F217" s="657" t="s">
        <v>1549</v>
      </c>
      <c r="G217" s="658"/>
      <c r="H217" s="653"/>
      <c r="I217" s="652"/>
      <c r="J217" s="652"/>
    </row>
    <row r="218" spans="1:11" ht="15.75" x14ac:dyDescent="0.25">
      <c r="A218" s="659" t="s">
        <v>4578</v>
      </c>
      <c r="B218" s="660"/>
      <c r="C218" s="660"/>
      <c r="D218" s="660">
        <v>1.5</v>
      </c>
      <c r="E218" s="661">
        <f>'HILOS-CORDONES-TANZA-CUERO'!B61</f>
        <v>1399.090909090909</v>
      </c>
      <c r="F218" s="662">
        <f>E218*D218</f>
        <v>2098.6363636363635</v>
      </c>
      <c r="G218" s="658"/>
      <c r="H218" s="653"/>
      <c r="I218" s="652"/>
      <c r="J218" s="652"/>
    </row>
    <row r="219" spans="1:11" ht="15.75" x14ac:dyDescent="0.25">
      <c r="A219" s="663" t="s">
        <v>4577</v>
      </c>
      <c r="B219" s="660"/>
      <c r="C219" s="660"/>
      <c r="D219" s="660">
        <v>1</v>
      </c>
      <c r="E219" s="661">
        <f>'AROS, CADENAS, DIJES, ETC'!O70</f>
        <v>8955</v>
      </c>
      <c r="F219" s="664">
        <f>E219*D219</f>
        <v>8955</v>
      </c>
      <c r="G219" s="658"/>
      <c r="H219" s="653"/>
      <c r="I219" s="652"/>
      <c r="J219" s="652"/>
    </row>
    <row r="220" spans="1:11" ht="15.75" x14ac:dyDescent="0.25">
      <c r="A220" s="665" t="s">
        <v>2010</v>
      </c>
      <c r="B220" s="660"/>
      <c r="C220" s="660"/>
      <c r="D220" s="660">
        <v>2</v>
      </c>
      <c r="E220" s="661">
        <f>FORNITURAS!D34</f>
        <v>301.42857142857144</v>
      </c>
      <c r="F220" s="662">
        <f>E220*D220</f>
        <v>602.85714285714289</v>
      </c>
      <c r="G220" s="658"/>
      <c r="H220" s="653"/>
      <c r="I220" s="652"/>
      <c r="J220" s="652"/>
    </row>
    <row r="221" spans="1:11" ht="15.75" x14ac:dyDescent="0.25">
      <c r="A221" s="769" t="s">
        <v>3401</v>
      </c>
      <c r="B221" s="660"/>
      <c r="C221" s="660"/>
      <c r="D221" s="660">
        <v>1</v>
      </c>
      <c r="E221" s="661">
        <f>FORNITURAS!I11</f>
        <v>155.42857142857142</v>
      </c>
      <c r="F221" s="662">
        <f>E221</f>
        <v>155.42857142857142</v>
      </c>
      <c r="G221" s="658"/>
      <c r="H221" s="653"/>
      <c r="I221" s="652"/>
      <c r="J221" s="652"/>
    </row>
    <row r="222" spans="1:11" ht="15.75" x14ac:dyDescent="0.25">
      <c r="A222" s="666" t="s">
        <v>1746</v>
      </c>
      <c r="B222" s="660"/>
      <c r="C222" s="660"/>
      <c r="D222" s="660"/>
      <c r="E222" s="661"/>
      <c r="F222" s="662">
        <v>20</v>
      </c>
      <c r="G222" s="658"/>
      <c r="H222" s="653"/>
      <c r="I222" s="652"/>
      <c r="J222" s="652"/>
    </row>
    <row r="223" spans="1:11" ht="15.75" x14ac:dyDescent="0.25">
      <c r="A223" s="666" t="s">
        <v>3362</v>
      </c>
      <c r="B223" s="660"/>
      <c r="C223" s="660"/>
      <c r="D223" s="660"/>
      <c r="E223" s="661"/>
      <c r="F223" s="662">
        <f>PACKAGING!E17</f>
        <v>7.5</v>
      </c>
      <c r="G223" s="658"/>
      <c r="H223" s="653"/>
      <c r="I223" s="652"/>
      <c r="J223" s="652"/>
    </row>
    <row r="224" spans="1:11" ht="15.75" x14ac:dyDescent="0.25">
      <c r="A224" s="666" t="s">
        <v>1557</v>
      </c>
      <c r="B224" s="660"/>
      <c r="C224" s="660"/>
      <c r="D224" s="660"/>
      <c r="E224" s="661"/>
      <c r="F224" s="662">
        <f>PACKAGING!E4</f>
        <v>80</v>
      </c>
      <c r="G224" s="658"/>
      <c r="H224" s="653"/>
      <c r="I224" s="652"/>
      <c r="J224" s="652"/>
    </row>
    <row r="225" spans="1:11" ht="15.75" x14ac:dyDescent="0.25">
      <c r="A225" s="663" t="s">
        <v>1618</v>
      </c>
      <c r="B225" s="660" t="s">
        <v>2030</v>
      </c>
      <c r="C225" s="660">
        <v>60</v>
      </c>
      <c r="D225" s="660">
        <v>40</v>
      </c>
      <c r="E225" s="668">
        <f>'INSUMOS VARIOS'!B3</f>
        <v>3500</v>
      </c>
      <c r="F225" s="669">
        <f>E225*D225/C225</f>
        <v>2333.3333333333335</v>
      </c>
      <c r="G225" s="1" t="s">
        <v>3023</v>
      </c>
      <c r="H225" s="653"/>
      <c r="I225" s="652"/>
      <c r="J225" s="652"/>
    </row>
    <row r="226" spans="1:11" ht="15.75" thickBot="1" x14ac:dyDescent="0.3">
      <c r="A226" s="670" t="s">
        <v>525</v>
      </c>
      <c r="B226" s="671"/>
      <c r="C226" s="671"/>
      <c r="D226" s="671"/>
      <c r="E226" s="672"/>
      <c r="F226" s="673">
        <f>SUM(F218:F225)</f>
        <v>14252.755411255412</v>
      </c>
      <c r="G226" s="698">
        <f>(F226+H227+H228)</f>
        <v>17530.755411255413</v>
      </c>
      <c r="H226" s="658" t="s">
        <v>2028</v>
      </c>
      <c r="I226" s="674" t="s">
        <v>2029</v>
      </c>
      <c r="J226" s="652"/>
    </row>
    <row r="227" spans="1:11" ht="16.5" thickBot="1" x14ac:dyDescent="0.3">
      <c r="A227" s="675" t="s">
        <v>544</v>
      </c>
      <c r="B227" s="676"/>
      <c r="C227" s="676"/>
      <c r="D227" s="676"/>
      <c r="E227" s="677"/>
      <c r="F227" s="678">
        <f>F226*2</f>
        <v>28505.510822510823</v>
      </c>
      <c r="G227" s="679">
        <f>F227+F227*70%</f>
        <v>48459.368398268402</v>
      </c>
      <c r="H227" s="680">
        <f>PACKAGING!I3</f>
        <v>2433</v>
      </c>
      <c r="I227" s="702">
        <f>H227+H228+G227</f>
        <v>51737.368398268402</v>
      </c>
      <c r="J227" s="702">
        <v>60000</v>
      </c>
    </row>
    <row r="228" spans="1:11" ht="16.5" thickBot="1" x14ac:dyDescent="0.3">
      <c r="A228" s="684" t="s">
        <v>1559</v>
      </c>
      <c r="B228" s="685"/>
      <c r="C228" s="685"/>
      <c r="D228" s="685"/>
      <c r="E228" s="686"/>
      <c r="F228" s="687"/>
      <c r="G228" s="688"/>
      <c r="H228" s="1101">
        <f>PACKAGING!I5</f>
        <v>845</v>
      </c>
      <c r="I228" s="1446"/>
      <c r="J228" s="1447">
        <f>J227*60%</f>
        <v>36000</v>
      </c>
      <c r="K228" s="1273" t="s">
        <v>3687</v>
      </c>
    </row>
    <row r="229" spans="1:11" ht="15.75" thickBot="1" x14ac:dyDescent="0.3">
      <c r="H229" s="1253"/>
    </row>
    <row r="230" spans="1:11" ht="16.5" thickBot="1" x14ac:dyDescent="0.3">
      <c r="A230" s="1811" t="s">
        <v>4580</v>
      </c>
      <c r="B230" s="1812"/>
      <c r="C230" s="1812"/>
      <c r="D230" s="1812"/>
      <c r="E230" s="1812"/>
      <c r="F230" s="1813"/>
      <c r="G230" s="653"/>
      <c r="H230" s="653"/>
      <c r="I230" s="652"/>
      <c r="J230" s="652"/>
    </row>
    <row r="231" spans="1:11" ht="15.75" x14ac:dyDescent="0.25">
      <c r="A231" s="654" t="s">
        <v>916</v>
      </c>
      <c r="B231" s="655" t="s">
        <v>743</v>
      </c>
      <c r="C231" s="655" t="s">
        <v>1089</v>
      </c>
      <c r="D231" s="655" t="s">
        <v>1566</v>
      </c>
      <c r="E231" s="656" t="s">
        <v>1035</v>
      </c>
      <c r="F231" s="657" t="s">
        <v>1549</v>
      </c>
      <c r="G231" s="658"/>
      <c r="H231" s="653"/>
      <c r="I231" s="652"/>
      <c r="J231" s="652"/>
    </row>
    <row r="232" spans="1:11" ht="15.75" x14ac:dyDescent="0.25">
      <c r="A232" s="659" t="s">
        <v>4581</v>
      </c>
      <c r="B232" s="660"/>
      <c r="C232" s="660"/>
      <c r="D232" s="660">
        <v>1.5</v>
      </c>
      <c r="E232" s="661">
        <f>'HILOS-CORDONES-TANZA-CUERO'!B61</f>
        <v>1399.090909090909</v>
      </c>
      <c r="F232" s="662">
        <f>E232*D232</f>
        <v>2098.6363636363635</v>
      </c>
      <c r="G232" s="658"/>
      <c r="H232" s="653"/>
      <c r="I232" s="652"/>
      <c r="J232" s="652"/>
    </row>
    <row r="233" spans="1:11" ht="15.75" x14ac:dyDescent="0.25">
      <c r="A233" s="663" t="s">
        <v>4488</v>
      </c>
      <c r="B233" s="660"/>
      <c r="C233" s="660"/>
      <c r="D233" s="660">
        <v>1</v>
      </c>
      <c r="E233" s="661">
        <f>'AROS, CADENAS, DIJES, ETC'!O71</f>
        <v>7605</v>
      </c>
      <c r="F233" s="664">
        <f>E233*D233</f>
        <v>7605</v>
      </c>
      <c r="G233" s="658"/>
      <c r="H233" s="653"/>
      <c r="I233" s="652"/>
      <c r="J233" s="652"/>
    </row>
    <row r="234" spans="1:11" ht="15.75" x14ac:dyDescent="0.25">
      <c r="A234" s="665" t="s">
        <v>2010</v>
      </c>
      <c r="B234" s="660"/>
      <c r="C234" s="660"/>
      <c r="D234" s="660">
        <v>2</v>
      </c>
      <c r="E234" s="661">
        <f>FORNITURAS!D34</f>
        <v>301.42857142857144</v>
      </c>
      <c r="F234" s="662">
        <f>E234*D234</f>
        <v>602.85714285714289</v>
      </c>
      <c r="G234" s="658"/>
      <c r="H234" s="653"/>
      <c r="I234" s="652"/>
      <c r="J234" s="652"/>
    </row>
    <row r="235" spans="1:11" ht="15.75" x14ac:dyDescent="0.25">
      <c r="A235" s="769" t="s">
        <v>3401</v>
      </c>
      <c r="B235" s="660"/>
      <c r="C235" s="660"/>
      <c r="D235" s="660">
        <v>1</v>
      </c>
      <c r="E235" s="661">
        <f>FORNITURAS!I11</f>
        <v>155.42857142857142</v>
      </c>
      <c r="F235" s="662">
        <f>E235</f>
        <v>155.42857142857142</v>
      </c>
      <c r="G235" s="658"/>
      <c r="H235" s="653"/>
      <c r="I235" s="652"/>
      <c r="J235" s="652"/>
    </row>
    <row r="236" spans="1:11" ht="15.75" x14ac:dyDescent="0.25">
      <c r="A236" s="666" t="s">
        <v>1746</v>
      </c>
      <c r="B236" s="660"/>
      <c r="C236" s="660"/>
      <c r="D236" s="660"/>
      <c r="E236" s="661"/>
      <c r="F236" s="662">
        <v>20</v>
      </c>
      <c r="G236" s="658"/>
      <c r="H236" s="653"/>
      <c r="I236" s="652"/>
      <c r="J236" s="652"/>
    </row>
    <row r="237" spans="1:11" ht="15.75" x14ac:dyDescent="0.25">
      <c r="A237" s="666" t="s">
        <v>3362</v>
      </c>
      <c r="B237" s="660"/>
      <c r="C237" s="660"/>
      <c r="D237" s="660"/>
      <c r="E237" s="661"/>
      <c r="F237" s="662">
        <f>PACKAGING!E17</f>
        <v>7.5</v>
      </c>
      <c r="G237" s="658"/>
      <c r="H237" s="653"/>
      <c r="I237" s="652"/>
      <c r="J237" s="652"/>
    </row>
    <row r="238" spans="1:11" ht="15.75" x14ac:dyDescent="0.25">
      <c r="A238" s="666" t="s">
        <v>1557</v>
      </c>
      <c r="B238" s="660"/>
      <c r="C238" s="660"/>
      <c r="D238" s="660"/>
      <c r="E238" s="661"/>
      <c r="F238" s="662">
        <f>PACKAGING!E4</f>
        <v>80</v>
      </c>
      <c r="G238" s="658"/>
      <c r="H238" s="653"/>
      <c r="I238" s="652"/>
      <c r="J238" s="652"/>
    </row>
    <row r="239" spans="1:11" ht="15.75" x14ac:dyDescent="0.25">
      <c r="A239" s="663" t="s">
        <v>1618</v>
      </c>
      <c r="B239" s="660" t="s">
        <v>2030</v>
      </c>
      <c r="C239" s="660">
        <v>60</v>
      </c>
      <c r="D239" s="660">
        <v>40</v>
      </c>
      <c r="E239" s="668">
        <f>'INSUMOS VARIOS'!B3</f>
        <v>3500</v>
      </c>
      <c r="F239" s="669">
        <f>E239*D239/C239</f>
        <v>2333.3333333333335</v>
      </c>
      <c r="G239" s="1" t="s">
        <v>3023</v>
      </c>
      <c r="H239" s="653"/>
      <c r="I239" s="652"/>
      <c r="J239" s="652"/>
    </row>
    <row r="240" spans="1:11" ht="15.75" thickBot="1" x14ac:dyDescent="0.3">
      <c r="A240" s="670" t="s">
        <v>525</v>
      </c>
      <c r="B240" s="671"/>
      <c r="C240" s="671"/>
      <c r="D240" s="671"/>
      <c r="E240" s="672"/>
      <c r="F240" s="673">
        <f>SUM(F232:F239)</f>
        <v>12902.755411255412</v>
      </c>
      <c r="G240" s="698">
        <f>(F240+H241+H242)</f>
        <v>16180.755411255412</v>
      </c>
      <c r="H240" s="658" t="s">
        <v>2028</v>
      </c>
      <c r="I240" s="674" t="s">
        <v>2029</v>
      </c>
      <c r="J240" s="652"/>
    </row>
    <row r="241" spans="1:11" ht="16.5" thickBot="1" x14ac:dyDescent="0.3">
      <c r="A241" s="675" t="s">
        <v>544</v>
      </c>
      <c r="B241" s="676"/>
      <c r="C241" s="676"/>
      <c r="D241" s="676"/>
      <c r="E241" s="677"/>
      <c r="F241" s="678">
        <f>F240*2</f>
        <v>25805.510822510823</v>
      </c>
      <c r="G241" s="679">
        <f>F241+F241*70%</f>
        <v>43869.368398268402</v>
      </c>
      <c r="H241" s="680">
        <f>PACKAGING!I3</f>
        <v>2433</v>
      </c>
      <c r="I241" s="702">
        <f>H241+H242+G241</f>
        <v>47147.368398268402</v>
      </c>
      <c r="J241" s="702">
        <v>60000</v>
      </c>
    </row>
    <row r="242" spans="1:11" ht="16.5" thickBot="1" x14ac:dyDescent="0.3">
      <c r="A242" s="684" t="s">
        <v>1559</v>
      </c>
      <c r="B242" s="685"/>
      <c r="C242" s="685"/>
      <c r="D242" s="685"/>
      <c r="E242" s="686"/>
      <c r="F242" s="687"/>
      <c r="G242" s="688"/>
      <c r="H242" s="701">
        <f>PACKAGING!I5</f>
        <v>845</v>
      </c>
      <c r="I242" s="1446"/>
      <c r="J242" s="1447">
        <f>J241*60%</f>
        <v>36000</v>
      </c>
      <c r="K242" s="1273" t="s">
        <v>3687</v>
      </c>
    </row>
    <row r="243" spans="1:11" ht="15.75" thickBot="1" x14ac:dyDescent="0.3"/>
    <row r="244" spans="1:11" ht="15.75" thickBot="1" x14ac:dyDescent="0.3">
      <c r="A244" s="1811" t="s">
        <v>378</v>
      </c>
      <c r="B244" s="1812"/>
      <c r="C244" s="1812"/>
      <c r="D244" s="1812"/>
      <c r="E244" s="1813"/>
    </row>
    <row r="245" spans="1:11" x14ac:dyDescent="0.25">
      <c r="A245" s="654" t="s">
        <v>916</v>
      </c>
      <c r="B245" s="655" t="s">
        <v>743</v>
      </c>
      <c r="C245" s="655" t="s">
        <v>1566</v>
      </c>
      <c r="D245" s="656" t="s">
        <v>1035</v>
      </c>
      <c r="E245" s="657" t="s">
        <v>1549</v>
      </c>
      <c r="F245" s="658"/>
      <c r="G245" s="652"/>
    </row>
    <row r="246" spans="1:11" x14ac:dyDescent="0.25">
      <c r="A246" s="659" t="s">
        <v>1160</v>
      </c>
      <c r="B246" s="660"/>
      <c r="C246" s="660">
        <v>1</v>
      </c>
      <c r="D246" s="661">
        <f>'INSUMOS VARIOS'!D57</f>
        <v>1540</v>
      </c>
      <c r="E246" s="662">
        <f>D246*C246</f>
        <v>1540</v>
      </c>
      <c r="F246" s="658"/>
      <c r="G246" s="652"/>
    </row>
    <row r="247" spans="1:11" x14ac:dyDescent="0.25">
      <c r="A247" s="663" t="s">
        <v>1804</v>
      </c>
      <c r="B247" s="660"/>
      <c r="C247" s="660">
        <v>6</v>
      </c>
      <c r="D247" s="661">
        <f>'INSUMOS VARIOS'!E54</f>
        <v>177.5</v>
      </c>
      <c r="E247" s="662">
        <f>D247*C247</f>
        <v>1065</v>
      </c>
      <c r="F247" s="658"/>
      <c r="G247" s="652"/>
    </row>
    <row r="248" spans="1:11" x14ac:dyDescent="0.25">
      <c r="A248" s="665" t="s">
        <v>2000</v>
      </c>
      <c r="B248" s="660"/>
      <c r="C248" s="660">
        <v>2</v>
      </c>
      <c r="D248" s="661">
        <f>FORNITURAS!I5</f>
        <v>188.85714285714286</v>
      </c>
      <c r="E248" s="662">
        <f>D248*C248</f>
        <v>377.71428571428572</v>
      </c>
      <c r="F248" s="658"/>
      <c r="G248" s="652"/>
    </row>
    <row r="249" spans="1:11" x14ac:dyDescent="0.25">
      <c r="A249" s="666" t="s">
        <v>4156</v>
      </c>
      <c r="B249" s="660" t="s">
        <v>4157</v>
      </c>
      <c r="C249" s="660">
        <v>6</v>
      </c>
      <c r="D249" s="661">
        <f>FORNITURAS!I13</f>
        <v>274.44444444444446</v>
      </c>
      <c r="E249" s="662">
        <f>D249*C249</f>
        <v>1646.6666666666667</v>
      </c>
      <c r="F249" s="658"/>
      <c r="G249" s="652"/>
    </row>
    <row r="250" spans="1:11" x14ac:dyDescent="0.25">
      <c r="A250" s="666" t="s">
        <v>1191</v>
      </c>
      <c r="B250" s="660"/>
      <c r="C250" s="660">
        <v>2</v>
      </c>
      <c r="D250" s="661">
        <f>FORNITURAS!D16</f>
        <v>45.05</v>
      </c>
      <c r="E250" s="662">
        <f>D250*C250</f>
        <v>90.1</v>
      </c>
      <c r="F250" s="658"/>
      <c r="G250" s="652"/>
    </row>
    <row r="251" spans="1:11" x14ac:dyDescent="0.25">
      <c r="A251" s="666" t="s">
        <v>1557</v>
      </c>
      <c r="B251" s="660"/>
      <c r="C251" s="660"/>
      <c r="D251" s="769"/>
      <c r="E251" s="662">
        <f>PACKAGING!E4</f>
        <v>80</v>
      </c>
      <c r="F251" s="658"/>
      <c r="G251" s="652"/>
    </row>
    <row r="252" spans="1:11" x14ac:dyDescent="0.25">
      <c r="A252" s="666" t="s">
        <v>3362</v>
      </c>
      <c r="B252" s="660"/>
      <c r="C252" s="660"/>
      <c r="D252" s="769"/>
      <c r="E252" s="662">
        <f>PACKAGING!E17</f>
        <v>7.5</v>
      </c>
      <c r="F252" s="658"/>
      <c r="G252" s="652"/>
    </row>
    <row r="253" spans="1:11" x14ac:dyDescent="0.25">
      <c r="A253" s="666" t="s">
        <v>3568</v>
      </c>
      <c r="B253" s="660"/>
      <c r="C253" s="660"/>
      <c r="D253" s="769"/>
      <c r="E253" s="662">
        <f>PACKAGING!E8</f>
        <v>420</v>
      </c>
      <c r="F253" s="658"/>
      <c r="G253" s="652"/>
    </row>
    <row r="254" spans="1:11" x14ac:dyDescent="0.25">
      <c r="A254" s="666" t="s">
        <v>1558</v>
      </c>
      <c r="B254" s="660">
        <v>60</v>
      </c>
      <c r="C254" s="660">
        <v>40</v>
      </c>
      <c r="D254" s="661">
        <f>'INSUMOS VARIOS'!B3</f>
        <v>3500</v>
      </c>
      <c r="E254" s="662">
        <f>D254*C254/B254</f>
        <v>2333.3333333333335</v>
      </c>
      <c r="F254" s="658"/>
      <c r="G254" s="652"/>
    </row>
    <row r="255" spans="1:11" ht="15.75" thickBot="1" x14ac:dyDescent="0.3">
      <c r="A255" s="670" t="s">
        <v>525</v>
      </c>
      <c r="B255" s="671"/>
      <c r="C255" s="671"/>
      <c r="D255" s="672"/>
      <c r="E255" s="673">
        <f>SUM(E246:E254)</f>
        <v>7560.3142857142866</v>
      </c>
      <c r="F255" s="658"/>
      <c r="G255" s="652"/>
    </row>
    <row r="256" spans="1:11" ht="16.5" thickBot="1" x14ac:dyDescent="0.3">
      <c r="A256" s="675" t="s">
        <v>544</v>
      </c>
      <c r="B256" s="676"/>
      <c r="C256" s="676"/>
      <c r="D256" s="677"/>
      <c r="E256" s="692">
        <f>E255*2</f>
        <v>15120.628571428573</v>
      </c>
      <c r="F256" s="693">
        <f>E256+E256*70%</f>
        <v>25705.068571428572</v>
      </c>
      <c r="G256" s="702">
        <v>30000</v>
      </c>
    </row>
    <row r="257" spans="1:11" ht="16.5" thickBot="1" x14ac:dyDescent="0.3">
      <c r="A257" s="684" t="s">
        <v>1559</v>
      </c>
      <c r="B257" s="685"/>
      <c r="C257" s="685"/>
      <c r="D257" s="686"/>
      <c r="E257" s="686"/>
      <c r="F257" s="819"/>
      <c r="G257" s="1447">
        <f>G256*60%</f>
        <v>18000</v>
      </c>
      <c r="H257" s="1273" t="s">
        <v>3688</v>
      </c>
    </row>
    <row r="258" spans="1:11" ht="15.75" thickBot="1" x14ac:dyDescent="0.3"/>
    <row r="259" spans="1:11" ht="16.5" thickBot="1" x14ac:dyDescent="0.3">
      <c r="A259" s="1811" t="s">
        <v>4780</v>
      </c>
      <c r="B259" s="1812"/>
      <c r="C259" s="1812"/>
      <c r="D259" s="1812"/>
      <c r="E259" s="1812"/>
      <c r="F259" s="1813"/>
      <c r="G259" s="653"/>
      <c r="H259" s="653"/>
      <c r="I259" s="652"/>
      <c r="J259" s="652"/>
    </row>
    <row r="260" spans="1:11" ht="15.75" x14ac:dyDescent="0.25">
      <c r="A260" s="654" t="s">
        <v>916</v>
      </c>
      <c r="B260" s="655" t="s">
        <v>743</v>
      </c>
      <c r="C260" s="655" t="s">
        <v>1089</v>
      </c>
      <c r="D260" s="655" t="s">
        <v>1566</v>
      </c>
      <c r="E260" s="656" t="s">
        <v>1035</v>
      </c>
      <c r="F260" s="657" t="s">
        <v>1549</v>
      </c>
      <c r="G260" s="658"/>
      <c r="H260" s="653"/>
      <c r="I260" s="652"/>
      <c r="J260" s="652"/>
    </row>
    <row r="261" spans="1:11" ht="15.75" x14ac:dyDescent="0.25">
      <c r="A261" s="659" t="s">
        <v>4578</v>
      </c>
      <c r="B261" s="660"/>
      <c r="C261" s="660"/>
      <c r="D261" s="660">
        <v>1.5</v>
      </c>
      <c r="E261" s="661">
        <f>'HILOS-CORDONES-TANZA-CUERO'!B61</f>
        <v>1399.090909090909</v>
      </c>
      <c r="F261" s="662">
        <f>E261*D261</f>
        <v>2098.6363636363635</v>
      </c>
      <c r="G261" s="658"/>
      <c r="H261" s="653"/>
      <c r="I261" s="652"/>
      <c r="J261" s="652"/>
    </row>
    <row r="262" spans="1:11" ht="15.75" x14ac:dyDescent="0.25">
      <c r="A262" s="663" t="s">
        <v>763</v>
      </c>
      <c r="B262" s="660"/>
      <c r="C262" s="660"/>
      <c r="D262" s="660">
        <v>1</v>
      </c>
      <c r="E262" s="661">
        <f>PIEDRAS!K26</f>
        <v>2490</v>
      </c>
      <c r="F262" s="664">
        <f>E262*D262</f>
        <v>2490</v>
      </c>
      <c r="G262" s="658"/>
      <c r="H262" s="653"/>
      <c r="I262" s="652"/>
      <c r="J262" s="652"/>
    </row>
    <row r="263" spans="1:11" ht="15.75" x14ac:dyDescent="0.25">
      <c r="A263" s="663" t="s">
        <v>1748</v>
      </c>
      <c r="B263" s="660"/>
      <c r="C263" s="660"/>
      <c r="D263" s="660">
        <v>1</v>
      </c>
      <c r="E263" s="661">
        <f>'PERLAS 2'!H36</f>
        <v>146.66666666666666</v>
      </c>
      <c r="F263" s="664">
        <f>E263*D263</f>
        <v>146.66666666666666</v>
      </c>
      <c r="G263" s="658"/>
      <c r="H263" s="653"/>
      <c r="I263" s="652"/>
      <c r="J263" s="652"/>
    </row>
    <row r="264" spans="1:11" ht="15.75" x14ac:dyDescent="0.25">
      <c r="A264" s="663" t="s">
        <v>3237</v>
      </c>
      <c r="B264" s="660" t="s">
        <v>1054</v>
      </c>
      <c r="C264" s="660">
        <v>5</v>
      </c>
      <c r="D264" s="660">
        <v>0.02</v>
      </c>
      <c r="E264" s="661">
        <f>FORNITURAS!V3</f>
        <v>11420</v>
      </c>
      <c r="F264" s="664">
        <f>E264*D264/C264</f>
        <v>45.68</v>
      </c>
      <c r="G264" s="658"/>
      <c r="H264" s="653"/>
      <c r="I264" s="652"/>
      <c r="J264" s="652"/>
    </row>
    <row r="265" spans="1:11" ht="15.75" x14ac:dyDescent="0.25">
      <c r="A265" s="665" t="s">
        <v>2010</v>
      </c>
      <c r="B265" s="660"/>
      <c r="C265" s="660"/>
      <c r="D265" s="660">
        <v>2</v>
      </c>
      <c r="E265" s="661">
        <f>FORNITURAS!D34</f>
        <v>301.42857142857144</v>
      </c>
      <c r="F265" s="662">
        <f>E265*D265</f>
        <v>602.85714285714289</v>
      </c>
      <c r="G265" s="658"/>
      <c r="H265" s="653"/>
      <c r="I265" s="652"/>
      <c r="J265" s="652"/>
    </row>
    <row r="266" spans="1:11" ht="15.75" x14ac:dyDescent="0.25">
      <c r="A266" s="666" t="s">
        <v>1746</v>
      </c>
      <c r="B266" s="660"/>
      <c r="C266" s="660"/>
      <c r="D266" s="660"/>
      <c r="E266" s="661"/>
      <c r="F266" s="662">
        <v>20</v>
      </c>
      <c r="G266" s="658"/>
      <c r="H266" s="653"/>
      <c r="I266" s="652"/>
      <c r="J266" s="652"/>
    </row>
    <row r="267" spans="1:11" ht="15.75" x14ac:dyDescent="0.25">
      <c r="A267" s="666" t="s">
        <v>3362</v>
      </c>
      <c r="B267" s="660"/>
      <c r="C267" s="660"/>
      <c r="D267" s="660"/>
      <c r="E267" s="661"/>
      <c r="F267" s="662">
        <f>PACKAGING!E17</f>
        <v>7.5</v>
      </c>
      <c r="G267" s="658"/>
      <c r="H267" s="653"/>
      <c r="I267" s="652"/>
      <c r="J267" s="652"/>
    </row>
    <row r="268" spans="1:11" ht="15.75" x14ac:dyDescent="0.25">
      <c r="A268" s="666" t="s">
        <v>1557</v>
      </c>
      <c r="B268" s="660"/>
      <c r="C268" s="660"/>
      <c r="D268" s="660"/>
      <c r="E268" s="661"/>
      <c r="F268" s="662">
        <f>PACKAGING!E4</f>
        <v>80</v>
      </c>
      <c r="G268" s="658"/>
      <c r="H268" s="653"/>
      <c r="I268" s="652"/>
      <c r="J268" s="652"/>
    </row>
    <row r="269" spans="1:11" ht="15.75" x14ac:dyDescent="0.25">
      <c r="A269" s="663" t="s">
        <v>1618</v>
      </c>
      <c r="B269" s="660" t="s">
        <v>2030</v>
      </c>
      <c r="C269" s="660">
        <v>60</v>
      </c>
      <c r="D269" s="660">
        <v>40</v>
      </c>
      <c r="E269" s="668">
        <f>'INSUMOS VARIOS'!B3</f>
        <v>3500</v>
      </c>
      <c r="F269" s="669">
        <f>E269*D269/C269</f>
        <v>2333.3333333333335</v>
      </c>
      <c r="G269" s="1" t="s">
        <v>3023</v>
      </c>
      <c r="H269" s="653"/>
      <c r="I269" s="652"/>
      <c r="J269" s="652"/>
    </row>
    <row r="270" spans="1:11" ht="15.75" thickBot="1" x14ac:dyDescent="0.3">
      <c r="A270" s="670" t="s">
        <v>525</v>
      </c>
      <c r="B270" s="671"/>
      <c r="C270" s="671"/>
      <c r="D270" s="671"/>
      <c r="E270" s="672"/>
      <c r="F270" s="673">
        <f>SUM(F261:F269)</f>
        <v>7824.6735064935074</v>
      </c>
      <c r="G270" s="698">
        <f>(F270+H271+H272)</f>
        <v>11102.673506493507</v>
      </c>
      <c r="H270" s="658" t="s">
        <v>2028</v>
      </c>
      <c r="I270" s="674" t="s">
        <v>2029</v>
      </c>
      <c r="J270" s="652"/>
    </row>
    <row r="271" spans="1:11" ht="16.5" thickBot="1" x14ac:dyDescent="0.3">
      <c r="A271" s="675" t="s">
        <v>544</v>
      </c>
      <c r="B271" s="676"/>
      <c r="C271" s="676"/>
      <c r="D271" s="676"/>
      <c r="E271" s="677"/>
      <c r="F271" s="678">
        <f>F270*2</f>
        <v>15649.347012987015</v>
      </c>
      <c r="G271" s="679">
        <f>F271+F271*70%</f>
        <v>26603.889922077924</v>
      </c>
      <c r="H271" s="680">
        <f>PACKAGING!I3</f>
        <v>2433</v>
      </c>
      <c r="I271" s="702">
        <f>H271+H272+G271</f>
        <v>29881.889922077924</v>
      </c>
      <c r="J271" s="702">
        <v>60000</v>
      </c>
    </row>
    <row r="272" spans="1:11" ht="16.5" thickBot="1" x14ac:dyDescent="0.3">
      <c r="A272" s="684" t="s">
        <v>1559</v>
      </c>
      <c r="B272" s="685"/>
      <c r="C272" s="685"/>
      <c r="D272" s="685"/>
      <c r="E272" s="686"/>
      <c r="F272" s="687"/>
      <c r="G272" s="688"/>
      <c r="H272" s="701">
        <f>PACKAGING!I5</f>
        <v>845</v>
      </c>
      <c r="I272" s="1446"/>
      <c r="J272" s="1447">
        <f>J271*60%</f>
        <v>36000</v>
      </c>
      <c r="K272" s="1273" t="s">
        <v>3687</v>
      </c>
    </row>
    <row r="273" spans="1:11" ht="15.75" thickBot="1" x14ac:dyDescent="0.3"/>
    <row r="274" spans="1:11" ht="16.5" thickBot="1" x14ac:dyDescent="0.3">
      <c r="A274" s="1811" t="s">
        <v>4784</v>
      </c>
      <c r="B274" s="1812"/>
      <c r="C274" s="1812"/>
      <c r="D274" s="1812"/>
      <c r="E274" s="1812"/>
      <c r="F274" s="1813"/>
      <c r="G274" s="653"/>
      <c r="H274" s="653"/>
      <c r="I274" s="652"/>
      <c r="J274" s="652"/>
    </row>
    <row r="275" spans="1:11" ht="15.75" x14ac:dyDescent="0.25">
      <c r="A275" s="654" t="s">
        <v>916</v>
      </c>
      <c r="B275" s="655" t="s">
        <v>743</v>
      </c>
      <c r="C275" s="655" t="s">
        <v>1089</v>
      </c>
      <c r="D275" s="655" t="s">
        <v>1566</v>
      </c>
      <c r="E275" s="656" t="s">
        <v>1035</v>
      </c>
      <c r="F275" s="657" t="s">
        <v>1549</v>
      </c>
      <c r="G275" s="658"/>
      <c r="H275" s="653"/>
      <c r="I275" s="652"/>
      <c r="J275" s="652"/>
    </row>
    <row r="276" spans="1:11" ht="15.75" x14ac:dyDescent="0.25">
      <c r="A276" s="659" t="s">
        <v>4783</v>
      </c>
      <c r="B276" s="660"/>
      <c r="C276" s="660"/>
      <c r="D276" s="660">
        <v>1.5</v>
      </c>
      <c r="E276" s="661">
        <f>'HILOS-CORDONES-TANZA-CUERO'!E17</f>
        <v>317.17500000000001</v>
      </c>
      <c r="F276" s="662">
        <f>E276*D276</f>
        <v>475.76250000000005</v>
      </c>
      <c r="G276" s="658"/>
      <c r="H276" s="653"/>
      <c r="I276" s="652"/>
      <c r="J276" s="652"/>
    </row>
    <row r="277" spans="1:11" ht="15.75" x14ac:dyDescent="0.25">
      <c r="A277" s="663" t="s">
        <v>4782</v>
      </c>
      <c r="B277" s="660"/>
      <c r="C277" s="660"/>
      <c r="D277" s="660">
        <v>1</v>
      </c>
      <c r="E277" s="661">
        <f>'AROS, CADENAS, DIJES, ETC'!P205</f>
        <v>5856</v>
      </c>
      <c r="F277" s="664">
        <f>E277*D277</f>
        <v>5856</v>
      </c>
      <c r="G277" s="658"/>
      <c r="H277" s="653"/>
      <c r="I277" s="652"/>
      <c r="J277" s="652"/>
    </row>
    <row r="278" spans="1:11" ht="15.75" x14ac:dyDescent="0.25">
      <c r="A278" s="769" t="s">
        <v>3401</v>
      </c>
      <c r="B278" s="660"/>
      <c r="C278" s="660"/>
      <c r="D278" s="660">
        <v>2</v>
      </c>
      <c r="E278" s="661">
        <f>FORNITURAS!I10</f>
        <v>501</v>
      </c>
      <c r="F278" s="662">
        <f>E278*D278</f>
        <v>1002</v>
      </c>
      <c r="G278" s="658"/>
      <c r="H278" s="653"/>
      <c r="I278" s="652"/>
      <c r="J278" s="652"/>
    </row>
    <row r="279" spans="1:11" ht="15.75" x14ac:dyDescent="0.25">
      <c r="A279" s="666" t="s">
        <v>1746</v>
      </c>
      <c r="B279" s="660"/>
      <c r="C279" s="660"/>
      <c r="D279" s="660"/>
      <c r="E279" s="661"/>
      <c r="F279" s="662">
        <v>20</v>
      </c>
      <c r="G279" s="658"/>
      <c r="H279" s="653"/>
      <c r="I279" s="652"/>
      <c r="J279" s="652"/>
    </row>
    <row r="280" spans="1:11" ht="15.75" x14ac:dyDescent="0.25">
      <c r="A280" s="666" t="s">
        <v>3362</v>
      </c>
      <c r="B280" s="660"/>
      <c r="C280" s="660"/>
      <c r="D280" s="660"/>
      <c r="E280" s="661"/>
      <c r="F280" s="662">
        <f>PACKAGING!E17</f>
        <v>7.5</v>
      </c>
      <c r="G280" s="658"/>
      <c r="H280" s="653"/>
      <c r="I280" s="652"/>
      <c r="J280" s="652"/>
    </row>
    <row r="281" spans="1:11" ht="15.75" x14ac:dyDescent="0.25">
      <c r="A281" s="666" t="s">
        <v>1557</v>
      </c>
      <c r="B281" s="660"/>
      <c r="C281" s="660"/>
      <c r="D281" s="660"/>
      <c r="E281" s="661"/>
      <c r="F281" s="662">
        <f>PACKAGING!E4</f>
        <v>80</v>
      </c>
      <c r="G281" s="658"/>
      <c r="H281" s="653"/>
      <c r="I281" s="652"/>
      <c r="J281" s="652"/>
    </row>
    <row r="282" spans="1:11" ht="15.75" x14ac:dyDescent="0.25">
      <c r="A282" s="663" t="s">
        <v>1618</v>
      </c>
      <c r="B282" s="660" t="s">
        <v>2030</v>
      </c>
      <c r="C282" s="660">
        <v>60</v>
      </c>
      <c r="D282" s="660">
        <v>30</v>
      </c>
      <c r="E282" s="668">
        <f>'INSUMOS VARIOS'!B3</f>
        <v>3500</v>
      </c>
      <c r="F282" s="669">
        <f>E282*D282/C282</f>
        <v>1750</v>
      </c>
      <c r="G282" s="1" t="s">
        <v>3023</v>
      </c>
      <c r="H282" s="653"/>
      <c r="I282" s="652"/>
      <c r="J282" s="652"/>
    </row>
    <row r="283" spans="1:11" ht="15.75" thickBot="1" x14ac:dyDescent="0.3">
      <c r="A283" s="670" t="s">
        <v>525</v>
      </c>
      <c r="B283" s="671"/>
      <c r="C283" s="671"/>
      <c r="D283" s="671"/>
      <c r="E283" s="672"/>
      <c r="F283" s="673">
        <f>SUM(F276:F282)</f>
        <v>9191.2625000000007</v>
      </c>
      <c r="G283" s="698">
        <f>(F283+H284+H285)</f>
        <v>12894.262500000001</v>
      </c>
      <c r="H283" s="658" t="s">
        <v>2028</v>
      </c>
      <c r="I283" s="674" t="s">
        <v>2029</v>
      </c>
      <c r="J283" s="652"/>
    </row>
    <row r="284" spans="1:11" ht="16.5" thickBot="1" x14ac:dyDescent="0.3">
      <c r="A284" s="675" t="s">
        <v>544</v>
      </c>
      <c r="B284" s="676"/>
      <c r="C284" s="676"/>
      <c r="D284" s="676"/>
      <c r="E284" s="677"/>
      <c r="F284" s="678">
        <f>F283*2</f>
        <v>18382.525000000001</v>
      </c>
      <c r="G284" s="679">
        <f>F284+F284*70%</f>
        <v>31250.292500000003</v>
      </c>
      <c r="H284" s="680">
        <f>PACKAGING!I4</f>
        <v>2633</v>
      </c>
      <c r="I284" s="702">
        <f>H284+H285+G284</f>
        <v>34953.292500000003</v>
      </c>
      <c r="J284" s="702">
        <v>52000</v>
      </c>
    </row>
    <row r="285" spans="1:11" ht="16.5" thickBot="1" x14ac:dyDescent="0.3">
      <c r="A285" s="684" t="s">
        <v>1559</v>
      </c>
      <c r="B285" s="685"/>
      <c r="C285" s="685"/>
      <c r="D285" s="685"/>
      <c r="E285" s="686"/>
      <c r="F285" s="687"/>
      <c r="G285" s="688"/>
      <c r="H285" s="701">
        <f>PACKAGING!I6</f>
        <v>1070</v>
      </c>
      <c r="I285" s="1446"/>
      <c r="J285" s="1447">
        <f>J284*60%</f>
        <v>31200</v>
      </c>
      <c r="K285" s="1273" t="s">
        <v>3687</v>
      </c>
    </row>
    <row r="286" spans="1:11" ht="15.75" thickBot="1" x14ac:dyDescent="0.3"/>
    <row r="287" spans="1:11" ht="16.5" thickBot="1" x14ac:dyDescent="0.3">
      <c r="A287" s="1811" t="s">
        <v>4821</v>
      </c>
      <c r="B287" s="1812"/>
      <c r="C287" s="1812"/>
      <c r="D287" s="1812"/>
      <c r="E287" s="1812"/>
      <c r="F287" s="1294"/>
      <c r="G287" s="653"/>
      <c r="H287" s="653"/>
    </row>
    <row r="288" spans="1:11" ht="15.75" x14ac:dyDescent="0.25">
      <c r="A288" s="654" t="s">
        <v>916</v>
      </c>
      <c r="B288" s="655" t="s">
        <v>743</v>
      </c>
      <c r="C288" s="655" t="s">
        <v>1566</v>
      </c>
      <c r="D288" s="656" t="s">
        <v>1035</v>
      </c>
      <c r="E288" s="657" t="s">
        <v>1549</v>
      </c>
      <c r="F288" s="658"/>
      <c r="G288" s="653"/>
      <c r="H288" s="653"/>
    </row>
    <row r="289" spans="1:8" ht="15.75" x14ac:dyDescent="0.25">
      <c r="A289" s="659" t="s">
        <v>3103</v>
      </c>
      <c r="B289" s="660"/>
      <c r="C289" s="660">
        <v>1.9</v>
      </c>
      <c r="D289" s="661">
        <f>'HILOS-CORDONES-TANZA-CUERO'!E11</f>
        <v>210.25</v>
      </c>
      <c r="E289" s="662">
        <f>D289*C289</f>
        <v>399.47499999999997</v>
      </c>
      <c r="F289" s="658"/>
      <c r="G289" s="653"/>
      <c r="H289" s="653"/>
    </row>
    <row r="290" spans="1:8" ht="15.75" x14ac:dyDescent="0.25">
      <c r="A290" s="1155" t="s">
        <v>3099</v>
      </c>
      <c r="B290" s="660" t="s">
        <v>3534</v>
      </c>
      <c r="C290" s="660">
        <v>5</v>
      </c>
      <c r="D290" s="661">
        <f>'PERLAS 2'!O4</f>
        <v>171.05263157894737</v>
      </c>
      <c r="E290" s="662">
        <f>D290*C290</f>
        <v>855.26315789473688</v>
      </c>
      <c r="F290" s="658"/>
      <c r="G290" s="653"/>
      <c r="H290" s="653"/>
    </row>
    <row r="291" spans="1:8" ht="15.75" x14ac:dyDescent="0.25">
      <c r="A291" s="1155" t="s">
        <v>1050</v>
      </c>
      <c r="B291" s="660" t="s">
        <v>1062</v>
      </c>
      <c r="C291" s="660">
        <v>0.2</v>
      </c>
      <c r="D291" s="661">
        <f>FORNITURAS!W6</f>
        <v>541.13207547169816</v>
      </c>
      <c r="E291" s="662">
        <f>D291*C291</f>
        <v>108.22641509433964</v>
      </c>
      <c r="F291" s="658"/>
      <c r="G291" s="653"/>
      <c r="H291" s="653"/>
    </row>
    <row r="292" spans="1:8" ht="15.75" x14ac:dyDescent="0.25">
      <c r="A292" s="769" t="s">
        <v>4214</v>
      </c>
      <c r="B292" s="660"/>
      <c r="C292" s="660">
        <v>1</v>
      </c>
      <c r="D292" s="661">
        <f>'AROS, CADENAS, DIJES, ETC'!P185</f>
        <v>3846</v>
      </c>
      <c r="E292" s="662">
        <f t="shared" ref="E292:E294" si="2">D292*C292</f>
        <v>3846</v>
      </c>
      <c r="F292" s="658"/>
      <c r="G292" s="653"/>
      <c r="H292" s="653"/>
    </row>
    <row r="293" spans="1:8" ht="15.75" x14ac:dyDescent="0.25">
      <c r="A293" s="769" t="s">
        <v>4107</v>
      </c>
      <c r="B293" s="660"/>
      <c r="C293" s="660">
        <v>2</v>
      </c>
      <c r="D293" s="661">
        <f>'AROS, CADENAS, DIJES, ETC'!X15</f>
        <v>210.47222222222223</v>
      </c>
      <c r="E293" s="662">
        <f>D293*C293</f>
        <v>420.94444444444446</v>
      </c>
      <c r="F293" s="658"/>
      <c r="G293" s="653"/>
      <c r="H293" s="653"/>
    </row>
    <row r="294" spans="1:8" ht="15.75" x14ac:dyDescent="0.25">
      <c r="A294" s="769" t="s">
        <v>1555</v>
      </c>
      <c r="B294" s="660" t="s">
        <v>4206</v>
      </c>
      <c r="C294" s="660">
        <v>1</v>
      </c>
      <c r="D294" s="661">
        <f>FORNITURAS!H63</f>
        <v>466.95652173913044</v>
      </c>
      <c r="E294" s="662">
        <f t="shared" si="2"/>
        <v>466.95652173913044</v>
      </c>
      <c r="F294" s="658"/>
      <c r="G294" s="653"/>
      <c r="H294" s="653"/>
    </row>
    <row r="295" spans="1:8" ht="15.75" x14ac:dyDescent="0.25">
      <c r="A295" s="666" t="s">
        <v>1746</v>
      </c>
      <c r="B295" s="660"/>
      <c r="C295" s="660"/>
      <c r="D295" s="661"/>
      <c r="E295" s="662">
        <v>60</v>
      </c>
      <c r="F295" s="658"/>
      <c r="G295" s="653"/>
      <c r="H295" s="653"/>
    </row>
    <row r="296" spans="1:8" ht="15.75" x14ac:dyDescent="0.25">
      <c r="A296" s="666" t="s">
        <v>1557</v>
      </c>
      <c r="B296" s="660"/>
      <c r="C296" s="660"/>
      <c r="D296" s="661"/>
      <c r="E296" s="667">
        <f>PACKAGING!E4</f>
        <v>80</v>
      </c>
      <c r="F296" s="653"/>
      <c r="G296" s="658"/>
      <c r="H296" s="653"/>
    </row>
    <row r="297" spans="1:8" ht="15.75" x14ac:dyDescent="0.25">
      <c r="A297" s="666" t="s">
        <v>3362</v>
      </c>
      <c r="B297" s="660"/>
      <c r="C297" s="660"/>
      <c r="D297" s="661"/>
      <c r="E297" s="667">
        <f>PACKAGING!E17</f>
        <v>7.5</v>
      </c>
      <c r="F297" s="653"/>
      <c r="G297" s="658"/>
      <c r="H297" s="653"/>
    </row>
    <row r="298" spans="1:8" ht="15.75" x14ac:dyDescent="0.25">
      <c r="A298" s="666" t="s">
        <v>3568</v>
      </c>
      <c r="B298" s="660"/>
      <c r="C298" s="660"/>
      <c r="D298" s="661"/>
      <c r="E298" s="667">
        <f>PACKAGING!I5</f>
        <v>845</v>
      </c>
      <c r="F298" s="653"/>
      <c r="G298" s="658"/>
      <c r="H298" s="653"/>
    </row>
    <row r="299" spans="1:8" ht="15.75" x14ac:dyDescent="0.25">
      <c r="A299" s="683" t="s">
        <v>1618</v>
      </c>
      <c r="B299" s="660">
        <v>60</v>
      </c>
      <c r="C299" s="660">
        <v>40</v>
      </c>
      <c r="D299" s="668">
        <f>'INSUMOS VARIOS'!B3</f>
        <v>3500</v>
      </c>
      <c r="E299" s="669">
        <f>D299*C299/B299</f>
        <v>2333.3333333333335</v>
      </c>
      <c r="F299" s="653"/>
      <c r="G299" s="658"/>
      <c r="H299" s="653"/>
    </row>
    <row r="300" spans="1:8" ht="16.5" thickBot="1" x14ac:dyDescent="0.3">
      <c r="A300" s="670" t="s">
        <v>525</v>
      </c>
      <c r="B300" s="671"/>
      <c r="C300" s="671"/>
      <c r="D300" s="672"/>
      <c r="E300" s="673">
        <f>SUM(E289:E299)</f>
        <v>9422.6988725059837</v>
      </c>
      <c r="F300" s="658"/>
      <c r="G300" s="653"/>
      <c r="H300" s="653"/>
    </row>
    <row r="301" spans="1:8" ht="16.5" thickBot="1" x14ac:dyDescent="0.3">
      <c r="A301" s="675" t="s">
        <v>544</v>
      </c>
      <c r="B301" s="676"/>
      <c r="C301" s="676"/>
      <c r="D301" s="677"/>
      <c r="E301" s="692">
        <f>E300*2</f>
        <v>18845.397745011967</v>
      </c>
      <c r="F301" s="957">
        <f>E301+E301*70%</f>
        <v>32037.176166520345</v>
      </c>
      <c r="G301" s="681">
        <v>42000</v>
      </c>
      <c r="H301" s="653"/>
    </row>
    <row r="302" spans="1:8" ht="16.5" thickBot="1" x14ac:dyDescent="0.3">
      <c r="A302" s="684" t="s">
        <v>1559</v>
      </c>
      <c r="B302" s="685"/>
      <c r="C302" s="685"/>
      <c r="D302" s="686"/>
      <c r="E302" s="686"/>
      <c r="F302" s="816"/>
      <c r="G302" s="1275"/>
      <c r="H302" s="1276" t="s">
        <v>3687</v>
      </c>
    </row>
    <row r="303" spans="1:8" ht="15.75" thickBot="1" x14ac:dyDescent="0.3"/>
    <row r="304" spans="1:8" ht="16.5" thickBot="1" x14ac:dyDescent="0.3">
      <c r="A304" s="1811" t="s">
        <v>4836</v>
      </c>
      <c r="B304" s="1812"/>
      <c r="C304" s="1812"/>
      <c r="D304" s="1812"/>
      <c r="E304" s="1812"/>
      <c r="F304" s="1294"/>
      <c r="G304" s="653"/>
      <c r="H304" s="653"/>
    </row>
    <row r="305" spans="1:8" ht="15.75" x14ac:dyDescent="0.25">
      <c r="A305" s="654" t="s">
        <v>916</v>
      </c>
      <c r="B305" s="655" t="s">
        <v>743</v>
      </c>
      <c r="C305" s="655" t="s">
        <v>1566</v>
      </c>
      <c r="D305" s="656" t="s">
        <v>1035</v>
      </c>
      <c r="E305" s="657" t="s">
        <v>1549</v>
      </c>
      <c r="F305" s="658"/>
      <c r="G305" s="653"/>
      <c r="H305" s="653"/>
    </row>
    <row r="306" spans="1:8" ht="15.75" x14ac:dyDescent="0.25">
      <c r="A306" s="659" t="s">
        <v>4823</v>
      </c>
      <c r="B306" s="660"/>
      <c r="C306" s="660">
        <v>1</v>
      </c>
      <c r="D306" s="661">
        <f>'HILOS-CORDONES-TANZA-CUERO'!E45</f>
        <v>777.77777777777783</v>
      </c>
      <c r="E306" s="662">
        <f>D306*C306</f>
        <v>777.77777777777783</v>
      </c>
      <c r="F306" s="658"/>
      <c r="G306" s="653"/>
      <c r="H306" s="653"/>
    </row>
    <row r="307" spans="1:8" ht="15.75" x14ac:dyDescent="0.25">
      <c r="A307" s="1155" t="s">
        <v>4822</v>
      </c>
      <c r="B307" s="660"/>
      <c r="C307" s="660">
        <v>1</v>
      </c>
      <c r="D307" s="661">
        <f>'AROS, CADENAS, DIJES, ETC'!R195</f>
        <v>1332</v>
      </c>
      <c r="E307" s="662">
        <f>D307*C307</f>
        <v>1332</v>
      </c>
      <c r="F307" s="658"/>
      <c r="G307" s="653"/>
      <c r="H307" s="653"/>
    </row>
    <row r="308" spans="1:8" ht="15.75" x14ac:dyDescent="0.25">
      <c r="A308" s="769" t="s">
        <v>1555</v>
      </c>
      <c r="B308" s="660" t="s">
        <v>4206</v>
      </c>
      <c r="C308" s="660">
        <v>1</v>
      </c>
      <c r="D308" s="661">
        <f>FORNITURAS!J63</f>
        <v>164.95652173913044</v>
      </c>
      <c r="E308" s="662">
        <f t="shared" ref="E308" si="3">D308*C308</f>
        <v>164.95652173913044</v>
      </c>
      <c r="F308" s="658"/>
      <c r="G308" s="653"/>
      <c r="H308" s="653"/>
    </row>
    <row r="309" spans="1:8" ht="15.75" x14ac:dyDescent="0.25">
      <c r="A309" s="820" t="s">
        <v>4567</v>
      </c>
      <c r="B309" s="660"/>
      <c r="C309" s="660">
        <v>2</v>
      </c>
      <c r="D309" s="661">
        <f>'AROS, CADENAS, DIJES, ETC'!X16</f>
        <v>139.88888888888889</v>
      </c>
      <c r="E309" s="662">
        <f>D309*C309</f>
        <v>279.77777777777777</v>
      </c>
      <c r="F309" s="658"/>
      <c r="G309" s="653"/>
      <c r="H309" s="653"/>
    </row>
    <row r="310" spans="1:8" ht="15.75" x14ac:dyDescent="0.25">
      <c r="A310" s="666" t="s">
        <v>1746</v>
      </c>
      <c r="B310" s="660"/>
      <c r="C310" s="660"/>
      <c r="D310" s="661"/>
      <c r="E310" s="662">
        <v>60</v>
      </c>
      <c r="F310" s="658"/>
      <c r="G310" s="653"/>
      <c r="H310" s="653"/>
    </row>
    <row r="311" spans="1:8" ht="15.75" x14ac:dyDescent="0.25">
      <c r="A311" s="666" t="s">
        <v>1557</v>
      </c>
      <c r="B311" s="660"/>
      <c r="C311" s="660"/>
      <c r="D311" s="661"/>
      <c r="E311" s="667">
        <f>PACKAGING!E4</f>
        <v>80</v>
      </c>
      <c r="F311" s="653"/>
      <c r="G311" s="658"/>
      <c r="H311" s="653"/>
    </row>
    <row r="312" spans="1:8" ht="15.75" x14ac:dyDescent="0.25">
      <c r="A312" s="666" t="s">
        <v>3362</v>
      </c>
      <c r="B312" s="660"/>
      <c r="C312" s="660"/>
      <c r="D312" s="661"/>
      <c r="E312" s="667">
        <f>PACKAGING!E17</f>
        <v>7.5</v>
      </c>
      <c r="F312" s="653"/>
      <c r="G312" s="658"/>
      <c r="H312" s="653"/>
    </row>
    <row r="313" spans="1:8" ht="15.75" x14ac:dyDescent="0.25">
      <c r="A313" s="666" t="s">
        <v>3568</v>
      </c>
      <c r="B313" s="660"/>
      <c r="C313" s="660"/>
      <c r="D313" s="661"/>
      <c r="E313" s="667">
        <f>PACKAGING!I5</f>
        <v>845</v>
      </c>
      <c r="F313" s="653"/>
      <c r="G313" s="658"/>
      <c r="H313" s="653"/>
    </row>
    <row r="314" spans="1:8" ht="15.75" x14ac:dyDescent="0.25">
      <c r="A314" s="683" t="s">
        <v>1618</v>
      </c>
      <c r="B314" s="660">
        <v>60</v>
      </c>
      <c r="C314" s="660">
        <v>30</v>
      </c>
      <c r="D314" s="668">
        <f>'INSUMOS VARIOS'!B3</f>
        <v>3500</v>
      </c>
      <c r="E314" s="669">
        <f>D314*C314/B314</f>
        <v>1750</v>
      </c>
      <c r="F314" s="653"/>
      <c r="G314" s="658"/>
      <c r="H314" s="653"/>
    </row>
    <row r="315" spans="1:8" ht="16.5" thickBot="1" x14ac:dyDescent="0.3">
      <c r="A315" s="670" t="s">
        <v>525</v>
      </c>
      <c r="B315" s="671"/>
      <c r="C315" s="671"/>
      <c r="D315" s="672"/>
      <c r="E315" s="673">
        <f>SUM(E306:E314)</f>
        <v>5297.0120772946866</v>
      </c>
      <c r="F315" s="658"/>
      <c r="G315" s="653"/>
      <c r="H315" s="653"/>
    </row>
    <row r="316" spans="1:8" ht="16.5" thickBot="1" x14ac:dyDescent="0.3">
      <c r="A316" s="675" t="s">
        <v>544</v>
      </c>
      <c r="B316" s="676"/>
      <c r="C316" s="676"/>
      <c r="D316" s="677"/>
      <c r="E316" s="692">
        <f>E315*2</f>
        <v>10594.024154589373</v>
      </c>
      <c r="F316" s="957">
        <f>E316+E316*70%</f>
        <v>18009.841062801934</v>
      </c>
      <c r="G316" s="681">
        <v>30000</v>
      </c>
      <c r="H316" s="653"/>
    </row>
    <row r="317" spans="1:8" ht="16.5" thickBot="1" x14ac:dyDescent="0.3">
      <c r="A317" s="684" t="s">
        <v>1559</v>
      </c>
      <c r="B317" s="685"/>
      <c r="C317" s="685"/>
      <c r="D317" s="686"/>
      <c r="E317" s="686"/>
      <c r="F317" s="816"/>
      <c r="G317" s="1275"/>
      <c r="H317" s="1276" t="s">
        <v>3687</v>
      </c>
    </row>
    <row r="319" spans="1:8" ht="16.5" thickBot="1" x14ac:dyDescent="0.3">
      <c r="G319" s="653"/>
    </row>
    <row r="320" spans="1:8" ht="16.5" thickBot="1" x14ac:dyDescent="0.3">
      <c r="A320" s="1809" t="s">
        <v>4927</v>
      </c>
      <c r="B320" s="1810"/>
      <c r="C320" s="1810"/>
      <c r="D320" s="1810"/>
      <c r="E320" s="1810"/>
      <c r="F320" s="1294"/>
      <c r="G320" s="653"/>
      <c r="H320" s="653"/>
    </row>
    <row r="321" spans="1:9" ht="15.75" x14ac:dyDescent="0.25">
      <c r="A321" s="654" t="s">
        <v>916</v>
      </c>
      <c r="B321" s="655" t="s">
        <v>743</v>
      </c>
      <c r="C321" s="655" t="s">
        <v>1566</v>
      </c>
      <c r="D321" s="656" t="s">
        <v>1035</v>
      </c>
      <c r="E321" s="657" t="s">
        <v>1549</v>
      </c>
      <c r="F321" s="658"/>
      <c r="G321" s="653"/>
      <c r="H321" s="653"/>
    </row>
    <row r="322" spans="1:9" ht="15.75" x14ac:dyDescent="0.25">
      <c r="A322" s="1749" t="s">
        <v>4883</v>
      </c>
      <c r="B322" s="660">
        <v>0.2</v>
      </c>
      <c r="C322" s="660">
        <v>1</v>
      </c>
      <c r="D322" s="661">
        <f>'HILOS-CORDONES-TANZA-CUERO'!E11</f>
        <v>210.25</v>
      </c>
      <c r="E322" s="662">
        <f>D322*C322*B322</f>
        <v>42.050000000000004</v>
      </c>
      <c r="F322" s="658"/>
      <c r="G322" s="653"/>
      <c r="H322" s="653"/>
    </row>
    <row r="323" spans="1:9" ht="15.75" x14ac:dyDescent="0.25">
      <c r="A323" s="1750"/>
      <c r="B323" s="660">
        <v>0.5</v>
      </c>
      <c r="C323" s="660">
        <v>1</v>
      </c>
      <c r="D323" s="661">
        <f>'HILOS-CORDONES-TANZA-CUERO'!E11</f>
        <v>210.25</v>
      </c>
      <c r="E323" s="662">
        <f>D323*C323*B323</f>
        <v>105.125</v>
      </c>
      <c r="F323" s="658"/>
      <c r="G323" s="653"/>
      <c r="H323" s="653"/>
    </row>
    <row r="324" spans="1:9" ht="15.75" x14ac:dyDescent="0.25">
      <c r="A324" s="1751"/>
      <c r="B324" s="660">
        <v>1.44</v>
      </c>
      <c r="C324" s="660">
        <v>1</v>
      </c>
      <c r="D324" s="661">
        <f>'HILOS-CORDONES-TANZA-CUERO'!E11</f>
        <v>210.25</v>
      </c>
      <c r="E324" s="662">
        <f>D324*C324*B324</f>
        <v>302.76</v>
      </c>
      <c r="F324" s="658"/>
      <c r="G324" s="653"/>
      <c r="H324" s="653"/>
    </row>
    <row r="325" spans="1:9" ht="15.75" x14ac:dyDescent="0.25">
      <c r="A325" s="666" t="s">
        <v>4880</v>
      </c>
      <c r="B325" s="660"/>
      <c r="C325" s="660">
        <v>1</v>
      </c>
      <c r="D325" s="661">
        <f>'AROS, CADENAS, DIJES, ETC'!R198</f>
        <v>1149</v>
      </c>
      <c r="E325" s="662">
        <f>D325*C325</f>
        <v>1149</v>
      </c>
      <c r="F325" s="658"/>
      <c r="G325" s="653"/>
      <c r="H325" s="653"/>
    </row>
    <row r="326" spans="1:9" ht="15.75" x14ac:dyDescent="0.25">
      <c r="A326" s="820" t="s">
        <v>4881</v>
      </c>
      <c r="B326" s="660"/>
      <c r="C326" s="660">
        <v>1</v>
      </c>
      <c r="D326" s="661">
        <f>'AROS, CADENAS, DIJES, ETC'!P198</f>
        <v>3629</v>
      </c>
      <c r="E326" s="662">
        <f>D326</f>
        <v>3629</v>
      </c>
      <c r="F326" s="658"/>
      <c r="G326" s="653"/>
      <c r="H326" s="653"/>
    </row>
    <row r="327" spans="1:9" ht="15.75" x14ac:dyDescent="0.25">
      <c r="A327" s="820" t="s">
        <v>4882</v>
      </c>
      <c r="B327" s="660" t="s">
        <v>4241</v>
      </c>
      <c r="C327" s="660">
        <v>1</v>
      </c>
      <c r="D327" s="661">
        <f>FORNITURAS!H57</f>
        <v>2178</v>
      </c>
      <c r="E327" s="662">
        <f>D327*C327</f>
        <v>2178</v>
      </c>
      <c r="F327" s="658"/>
      <c r="G327" s="653"/>
      <c r="H327" s="653"/>
    </row>
    <row r="328" spans="1:9" ht="15.75" x14ac:dyDescent="0.25">
      <c r="A328" s="820" t="s">
        <v>3786</v>
      </c>
      <c r="B328" s="660" t="s">
        <v>1556</v>
      </c>
      <c r="C328" s="660">
        <v>3</v>
      </c>
      <c r="D328" s="661">
        <f>'AROS, CADENAS, DIJES, ETC'!X15</f>
        <v>210.47222222222223</v>
      </c>
      <c r="E328" s="662">
        <f>D328*C328</f>
        <v>631.41666666666674</v>
      </c>
      <c r="F328" s="658"/>
      <c r="G328" s="653"/>
      <c r="H328" s="653"/>
    </row>
    <row r="329" spans="1:9" ht="15.75" x14ac:dyDescent="0.25">
      <c r="A329" s="820" t="s">
        <v>3436</v>
      </c>
      <c r="B329" s="660" t="s">
        <v>1556</v>
      </c>
      <c r="C329" s="660">
        <v>1</v>
      </c>
      <c r="D329" s="661">
        <f>'AROS, CADENAS, DIJES, ETC'!X16</f>
        <v>139.88888888888889</v>
      </c>
      <c r="E329" s="662">
        <f>D329*C329</f>
        <v>139.88888888888889</v>
      </c>
      <c r="F329" s="658"/>
      <c r="G329" s="653"/>
      <c r="H329" s="653"/>
    </row>
    <row r="330" spans="1:9" ht="15.75" x14ac:dyDescent="0.25">
      <c r="A330" s="666" t="s">
        <v>1746</v>
      </c>
      <c r="B330" s="660"/>
      <c r="C330" s="660"/>
      <c r="D330" s="661"/>
      <c r="E330" s="662">
        <v>60</v>
      </c>
      <c r="F330" s="658"/>
      <c r="G330" s="653"/>
      <c r="H330" s="653"/>
    </row>
    <row r="331" spans="1:9" ht="15.75" x14ac:dyDescent="0.25">
      <c r="A331" s="666" t="s">
        <v>1971</v>
      </c>
      <c r="B331" s="660" t="s">
        <v>1573</v>
      </c>
      <c r="C331" s="660"/>
      <c r="D331" s="661"/>
      <c r="E331" s="667">
        <f>FORNITURAS!D7</f>
        <v>52</v>
      </c>
      <c r="F331" s="658"/>
      <c r="G331" s="653"/>
      <c r="H331" s="653"/>
    </row>
    <row r="332" spans="1:9" ht="15.75" x14ac:dyDescent="0.25">
      <c r="A332" s="666" t="s">
        <v>3571</v>
      </c>
      <c r="B332" s="660"/>
      <c r="C332" s="660"/>
      <c r="D332" s="661"/>
      <c r="E332" s="667">
        <f>PACKAGING!E7</f>
        <v>170</v>
      </c>
      <c r="F332" s="658"/>
      <c r="G332" s="653"/>
      <c r="H332" s="653"/>
    </row>
    <row r="333" spans="1:9" ht="15.75" x14ac:dyDescent="0.25">
      <c r="A333" s="666" t="s">
        <v>1557</v>
      </c>
      <c r="B333" s="660"/>
      <c r="C333" s="660"/>
      <c r="D333" s="661"/>
      <c r="E333" s="667">
        <f>PACKAGING!E4</f>
        <v>80</v>
      </c>
      <c r="F333" s="653"/>
      <c r="G333" s="658"/>
      <c r="H333" s="653"/>
    </row>
    <row r="334" spans="1:9" ht="15.75" x14ac:dyDescent="0.25">
      <c r="A334" s="666" t="s">
        <v>3362</v>
      </c>
      <c r="B334" s="660"/>
      <c r="C334" s="660"/>
      <c r="D334" s="661"/>
      <c r="E334" s="667">
        <f>PACKAGING!E17</f>
        <v>7.5</v>
      </c>
      <c r="F334" s="653"/>
      <c r="G334" s="658"/>
      <c r="H334" s="653"/>
    </row>
    <row r="335" spans="1:9" ht="15.75" x14ac:dyDescent="0.25">
      <c r="A335" s="683" t="s">
        <v>1618</v>
      </c>
      <c r="B335" s="660">
        <v>60</v>
      </c>
      <c r="C335" s="660">
        <v>30</v>
      </c>
      <c r="D335" s="668">
        <f>'INSUMOS VARIOS'!B3</f>
        <v>3500</v>
      </c>
      <c r="E335" s="669">
        <f>D335*C335/B335</f>
        <v>1750</v>
      </c>
      <c r="F335" s="1" t="s">
        <v>3023</v>
      </c>
      <c r="G335" s="658"/>
      <c r="H335" s="653"/>
    </row>
    <row r="336" spans="1:9" ht="15.75" thickBot="1" x14ac:dyDescent="0.3">
      <c r="A336" s="670" t="s">
        <v>525</v>
      </c>
      <c r="B336" s="671"/>
      <c r="C336" s="671"/>
      <c r="D336" s="672"/>
      <c r="E336" s="673">
        <f>SUM(E322:E335)</f>
        <v>10296.740555555556</v>
      </c>
      <c r="F336" s="698">
        <f>E336+G337+G338</f>
        <v>13774.740555555556</v>
      </c>
      <c r="G336" s="658" t="s">
        <v>2028</v>
      </c>
      <c r="H336" s="674" t="s">
        <v>2029</v>
      </c>
      <c r="I336" s="652"/>
    </row>
    <row r="337" spans="1:10" ht="16.5" thickBot="1" x14ac:dyDescent="0.3">
      <c r="A337" s="675" t="s">
        <v>4918</v>
      </c>
      <c r="B337" s="676"/>
      <c r="C337" s="676"/>
      <c r="D337" s="677"/>
      <c r="E337" s="692">
        <f>E336*2</f>
        <v>20593.481111111112</v>
      </c>
      <c r="F337" s="957">
        <f>E337+E337*70%</f>
        <v>35008.917888888885</v>
      </c>
      <c r="G337" s="680">
        <f>PACKAGING!I4</f>
        <v>2633</v>
      </c>
      <c r="H337" s="702">
        <f>F337+G337+G338</f>
        <v>38486.917888888885</v>
      </c>
      <c r="I337" s="702">
        <v>44000</v>
      </c>
    </row>
    <row r="338" spans="1:10" ht="16.5" thickBot="1" x14ac:dyDescent="0.3">
      <c r="A338" s="684" t="s">
        <v>1559</v>
      </c>
      <c r="B338" s="685"/>
      <c r="C338" s="685"/>
      <c r="D338" s="686"/>
      <c r="E338" s="686"/>
      <c r="F338" s="816"/>
      <c r="G338" s="1101">
        <f>PACKAGING!I5</f>
        <v>845</v>
      </c>
      <c r="H338" s="1446"/>
      <c r="I338" s="1447">
        <f>I337*60%</f>
        <v>26400</v>
      </c>
      <c r="J338" s="1273" t="s">
        <v>3687</v>
      </c>
    </row>
    <row r="339" spans="1:10" ht="15.75" thickBot="1" x14ac:dyDescent="0.3">
      <c r="G339" s="1253"/>
    </row>
    <row r="340" spans="1:10" ht="16.5" thickBot="1" x14ac:dyDescent="0.3">
      <c r="A340" s="1809" t="s">
        <v>4922</v>
      </c>
      <c r="B340" s="1810"/>
      <c r="C340" s="1810"/>
      <c r="D340" s="1810"/>
      <c r="E340" s="1810"/>
      <c r="F340" s="1294"/>
      <c r="G340" s="653"/>
      <c r="H340" s="653"/>
    </row>
    <row r="341" spans="1:10" ht="15.75" x14ac:dyDescent="0.25">
      <c r="A341" s="654" t="s">
        <v>916</v>
      </c>
      <c r="B341" s="655" t="s">
        <v>743</v>
      </c>
      <c r="C341" s="655" t="s">
        <v>1566</v>
      </c>
      <c r="D341" s="656" t="s">
        <v>1035</v>
      </c>
      <c r="E341" s="657" t="s">
        <v>1549</v>
      </c>
      <c r="F341" s="658"/>
      <c r="G341" s="653"/>
      <c r="H341" s="653"/>
    </row>
    <row r="342" spans="1:10" ht="15.75" x14ac:dyDescent="0.25">
      <c r="A342" s="1749" t="s">
        <v>4901</v>
      </c>
      <c r="B342" s="660">
        <v>0.2</v>
      </c>
      <c r="C342" s="660">
        <v>1</v>
      </c>
      <c r="D342" s="661">
        <f>'HILOS-CORDONES-TANZA-CUERO'!E10</f>
        <v>210.25</v>
      </c>
      <c r="E342" s="662">
        <f>D342*C342*B342</f>
        <v>42.050000000000004</v>
      </c>
      <c r="F342" s="658"/>
      <c r="G342" s="653"/>
      <c r="H342" s="653"/>
    </row>
    <row r="343" spans="1:10" ht="15.75" x14ac:dyDescent="0.25">
      <c r="A343" s="1750"/>
      <c r="B343" s="660">
        <v>0.5</v>
      </c>
      <c r="C343" s="660">
        <v>1</v>
      </c>
      <c r="D343" s="661">
        <f>'HILOS-CORDONES-TANZA-CUERO'!E10</f>
        <v>210.25</v>
      </c>
      <c r="E343" s="662">
        <f>D343*C343*B343</f>
        <v>105.125</v>
      </c>
      <c r="F343" s="658"/>
      <c r="G343" s="653"/>
      <c r="H343" s="653"/>
    </row>
    <row r="344" spans="1:10" ht="15.75" x14ac:dyDescent="0.25">
      <c r="A344" s="1751"/>
      <c r="B344" s="660">
        <v>1.6</v>
      </c>
      <c r="C344" s="660">
        <v>1</v>
      </c>
      <c r="D344" s="661">
        <f>'HILOS-CORDONES-TANZA-CUERO'!E10</f>
        <v>210.25</v>
      </c>
      <c r="E344" s="662">
        <f>D344*C344*B344</f>
        <v>336.40000000000003</v>
      </c>
      <c r="F344" s="658"/>
      <c r="G344" s="653"/>
      <c r="H344" s="653"/>
    </row>
    <row r="345" spans="1:10" ht="15.75" x14ac:dyDescent="0.25">
      <c r="A345" s="1734" t="s">
        <v>4882</v>
      </c>
      <c r="B345" s="660" t="s">
        <v>4899</v>
      </c>
      <c r="C345" s="660">
        <v>1</v>
      </c>
      <c r="D345" s="661">
        <f>FORNITURAS!H56</f>
        <v>1694</v>
      </c>
      <c r="E345" s="662">
        <f>D345</f>
        <v>1694</v>
      </c>
      <c r="F345" s="658"/>
      <c r="G345" s="653"/>
      <c r="H345" s="653"/>
    </row>
    <row r="346" spans="1:10" ht="15.75" x14ac:dyDescent="0.25">
      <c r="A346" s="1735"/>
      <c r="B346" s="660" t="s">
        <v>4241</v>
      </c>
      <c r="C346" s="660">
        <v>1</v>
      </c>
      <c r="D346" s="661">
        <f>FORNITURAS!H57</f>
        <v>2178</v>
      </c>
      <c r="E346" s="662">
        <f>D346*C346</f>
        <v>2178</v>
      </c>
      <c r="F346" s="658"/>
      <c r="G346" s="653"/>
      <c r="H346" s="653"/>
    </row>
    <row r="347" spans="1:10" ht="15.75" x14ac:dyDescent="0.25">
      <c r="A347" s="1734" t="s">
        <v>4107</v>
      </c>
      <c r="B347" s="660" t="s">
        <v>1556</v>
      </c>
      <c r="C347" s="660">
        <v>3</v>
      </c>
      <c r="D347" s="661">
        <f>'AROS, CADENAS, DIJES, ETC'!X15</f>
        <v>210.47222222222223</v>
      </c>
      <c r="E347" s="662">
        <f>D347*C347</f>
        <v>631.41666666666674</v>
      </c>
      <c r="F347" s="658"/>
      <c r="G347" s="653"/>
      <c r="H347" s="653"/>
    </row>
    <row r="348" spans="1:10" ht="15.75" x14ac:dyDescent="0.25">
      <c r="A348" s="1752"/>
      <c r="B348" s="660" t="s">
        <v>4899</v>
      </c>
      <c r="C348" s="660">
        <v>1</v>
      </c>
      <c r="D348" s="661">
        <f>FORNITURAS!H59</f>
        <v>1522.431</v>
      </c>
      <c r="E348" s="662">
        <f>D348*C348</f>
        <v>1522.431</v>
      </c>
      <c r="F348" s="658"/>
      <c r="G348" s="653"/>
      <c r="H348" s="653"/>
    </row>
    <row r="349" spans="1:10" ht="15.75" x14ac:dyDescent="0.25">
      <c r="A349" s="1735"/>
      <c r="B349" s="660" t="s">
        <v>4903</v>
      </c>
      <c r="C349" s="660">
        <v>1</v>
      </c>
      <c r="D349" s="661">
        <f>FORNITURAS!H60</f>
        <v>2941.54</v>
      </c>
      <c r="E349" s="662">
        <f>D349*C349</f>
        <v>2941.54</v>
      </c>
      <c r="F349" s="658"/>
      <c r="G349" s="653"/>
      <c r="H349" s="653"/>
    </row>
    <row r="350" spans="1:10" ht="15.75" x14ac:dyDescent="0.25">
      <c r="A350" s="1734" t="s">
        <v>4567</v>
      </c>
      <c r="B350" s="660" t="s">
        <v>4899</v>
      </c>
      <c r="C350" s="660">
        <v>2</v>
      </c>
      <c r="D350" s="661">
        <f>PLATEADO!F6</f>
        <v>561.98</v>
      </c>
      <c r="E350" s="662">
        <f t="shared" ref="E350:E351" si="4">D350*C350</f>
        <v>1123.96</v>
      </c>
      <c r="F350" s="658"/>
      <c r="G350" s="653"/>
      <c r="H350" s="653"/>
    </row>
    <row r="351" spans="1:10" ht="15.75" x14ac:dyDescent="0.25">
      <c r="A351" s="1735"/>
      <c r="B351" s="660" t="s">
        <v>4903</v>
      </c>
      <c r="C351" s="660">
        <v>3</v>
      </c>
      <c r="D351" s="661">
        <f>PLATEADO!F7</f>
        <v>824.54</v>
      </c>
      <c r="E351" s="662">
        <f t="shared" si="4"/>
        <v>2473.62</v>
      </c>
      <c r="F351" s="658"/>
      <c r="G351" s="653"/>
      <c r="H351" s="653"/>
    </row>
    <row r="352" spans="1:10" ht="15.75" x14ac:dyDescent="0.25">
      <c r="A352" s="820" t="s">
        <v>1537</v>
      </c>
      <c r="B352" s="660"/>
      <c r="C352" s="660"/>
      <c r="D352" s="661"/>
      <c r="E352" s="662">
        <f>PACKAGING!E7</f>
        <v>170</v>
      </c>
      <c r="F352" s="658"/>
      <c r="G352" s="653"/>
      <c r="H352" s="653"/>
    </row>
    <row r="353" spans="1:10" ht="15.75" x14ac:dyDescent="0.25">
      <c r="A353" s="820" t="s">
        <v>1555</v>
      </c>
      <c r="B353" s="660" t="s">
        <v>1573</v>
      </c>
      <c r="C353" s="660"/>
      <c r="D353" s="661"/>
      <c r="E353" s="662">
        <f>FORNITURAS!D7</f>
        <v>52</v>
      </c>
      <c r="F353" s="658"/>
      <c r="G353" s="653"/>
      <c r="H353" s="653"/>
    </row>
    <row r="354" spans="1:10" ht="15.75" x14ac:dyDescent="0.25">
      <c r="A354" s="666" t="s">
        <v>1746</v>
      </c>
      <c r="B354" s="660"/>
      <c r="C354" s="660"/>
      <c r="D354" s="661"/>
      <c r="E354" s="662">
        <v>60</v>
      </c>
      <c r="F354" s="658"/>
      <c r="G354" s="653"/>
      <c r="H354" s="653"/>
    </row>
    <row r="355" spans="1:10" ht="15.75" x14ac:dyDescent="0.25">
      <c r="A355" s="666" t="s">
        <v>1557</v>
      </c>
      <c r="B355" s="660"/>
      <c r="C355" s="660"/>
      <c r="D355" s="661"/>
      <c r="E355" s="667">
        <f>PACKAGING!E4</f>
        <v>80</v>
      </c>
      <c r="F355" s="653"/>
      <c r="G355" s="658"/>
      <c r="H355" s="653"/>
    </row>
    <row r="356" spans="1:10" ht="15.75" x14ac:dyDescent="0.25">
      <c r="A356" s="666" t="s">
        <v>3362</v>
      </c>
      <c r="B356" s="660"/>
      <c r="C356" s="660"/>
      <c r="D356" s="661"/>
      <c r="E356" s="667">
        <f>PACKAGING!E17</f>
        <v>7.5</v>
      </c>
      <c r="F356" s="653"/>
      <c r="G356" s="658"/>
      <c r="H356" s="653"/>
    </row>
    <row r="357" spans="1:10" ht="15.75" x14ac:dyDescent="0.25">
      <c r="A357" s="683" t="s">
        <v>1618</v>
      </c>
      <c r="B357" s="660">
        <v>60</v>
      </c>
      <c r="C357" s="660">
        <v>30</v>
      </c>
      <c r="D357" s="668">
        <f>'INSUMOS VARIOS'!B3</f>
        <v>3500</v>
      </c>
      <c r="E357" s="669">
        <f>D357*C357/B357</f>
        <v>1750</v>
      </c>
      <c r="F357" s="1" t="s">
        <v>3023</v>
      </c>
      <c r="G357" s="658"/>
      <c r="H357" s="653"/>
    </row>
    <row r="358" spans="1:10" ht="15.75" thickBot="1" x14ac:dyDescent="0.3">
      <c r="A358" s="670" t="s">
        <v>525</v>
      </c>
      <c r="B358" s="671"/>
      <c r="C358" s="671"/>
      <c r="D358" s="672"/>
      <c r="E358" s="673">
        <f>SUM(E342:E357)</f>
        <v>15168.042666666664</v>
      </c>
      <c r="F358" s="698">
        <f>E358+G359+G360</f>
        <v>18446.042666666664</v>
      </c>
      <c r="G358" s="658" t="s">
        <v>2028</v>
      </c>
      <c r="H358" s="674" t="s">
        <v>2029</v>
      </c>
      <c r="I358" s="652"/>
    </row>
    <row r="359" spans="1:10" ht="16.5" thickBot="1" x14ac:dyDescent="0.3">
      <c r="A359" s="675" t="s">
        <v>4918</v>
      </c>
      <c r="B359" s="676"/>
      <c r="C359" s="676"/>
      <c r="D359" s="677"/>
      <c r="E359" s="692">
        <f>E358*2</f>
        <v>30336.085333333329</v>
      </c>
      <c r="F359" s="957">
        <f>E359+E359*70%</f>
        <v>51571.345066666661</v>
      </c>
      <c r="G359" s="680">
        <f>PACKAGING!I3</f>
        <v>2433</v>
      </c>
      <c r="H359" s="702">
        <f>F359+G359+G360</f>
        <v>54849.345066666661</v>
      </c>
      <c r="I359" s="702">
        <v>64000</v>
      </c>
    </row>
    <row r="360" spans="1:10" ht="16.5" thickBot="1" x14ac:dyDescent="0.3">
      <c r="A360" s="684" t="s">
        <v>1559</v>
      </c>
      <c r="B360" s="685"/>
      <c r="C360" s="685"/>
      <c r="D360" s="686"/>
      <c r="E360" s="686"/>
      <c r="F360" s="816"/>
      <c r="G360" s="1101">
        <f>PACKAGING!I5</f>
        <v>845</v>
      </c>
      <c r="H360" s="1446"/>
      <c r="I360" s="1447">
        <f>I359*60%</f>
        <v>38400</v>
      </c>
      <c r="J360" s="1273" t="s">
        <v>3687</v>
      </c>
    </row>
    <row r="361" spans="1:10" ht="15.75" thickBot="1" x14ac:dyDescent="0.3">
      <c r="G361" s="1253"/>
    </row>
    <row r="362" spans="1:10" ht="16.5" thickBot="1" x14ac:dyDescent="0.3">
      <c r="A362" s="1804" t="s">
        <v>5050</v>
      </c>
      <c r="B362" s="1805"/>
      <c r="C362" s="1805"/>
      <c r="D362" s="1805"/>
      <c r="E362" s="1806"/>
      <c r="F362" s="1294"/>
      <c r="G362" s="653"/>
      <c r="H362" s="653"/>
    </row>
    <row r="363" spans="1:10" ht="15.75" x14ac:dyDescent="0.25">
      <c r="A363" s="654" t="s">
        <v>916</v>
      </c>
      <c r="B363" s="655" t="s">
        <v>743</v>
      </c>
      <c r="C363" s="655" t="s">
        <v>1566</v>
      </c>
      <c r="D363" s="656" t="s">
        <v>1035</v>
      </c>
      <c r="E363" s="657" t="s">
        <v>1549</v>
      </c>
      <c r="F363" s="658"/>
      <c r="G363" s="653"/>
      <c r="H363" s="653"/>
    </row>
    <row r="364" spans="1:10" ht="15.75" x14ac:dyDescent="0.25">
      <c r="A364" s="820" t="s">
        <v>4901</v>
      </c>
      <c r="B364" s="660"/>
      <c r="C364" s="660">
        <v>1.9</v>
      </c>
      <c r="D364" s="661">
        <f>'HILOS-CORDONES-TANZA-CUERO'!E10</f>
        <v>210.25</v>
      </c>
      <c r="E364" s="662">
        <f>D364*C364</f>
        <v>399.47499999999997</v>
      </c>
      <c r="F364" s="658"/>
      <c r="G364" s="653"/>
      <c r="H364" s="653"/>
    </row>
    <row r="365" spans="1:10" ht="15.75" x14ac:dyDescent="0.25">
      <c r="A365" s="666" t="s">
        <v>5051</v>
      </c>
      <c r="B365" s="660"/>
      <c r="C365" s="660">
        <v>1</v>
      </c>
      <c r="D365" s="661">
        <f>'AROS, CADENAS, DIJES, ETC'!O75</f>
        <v>3036</v>
      </c>
      <c r="E365" s="662">
        <f>D365*C365</f>
        <v>3036</v>
      </c>
      <c r="F365" s="658"/>
      <c r="G365" s="653"/>
      <c r="H365" s="653"/>
    </row>
    <row r="366" spans="1:10" ht="15.75" x14ac:dyDescent="0.25">
      <c r="A366" s="666" t="s">
        <v>4176</v>
      </c>
      <c r="B366" s="660" t="s">
        <v>4175</v>
      </c>
      <c r="C366" s="660">
        <v>2</v>
      </c>
      <c r="D366" s="661">
        <f>FORNITURAS!D34</f>
        <v>301.42857142857144</v>
      </c>
      <c r="E366" s="662">
        <f>D366*C366</f>
        <v>602.85714285714289</v>
      </c>
      <c r="F366" s="658"/>
      <c r="G366" s="653"/>
      <c r="H366" s="653"/>
    </row>
    <row r="367" spans="1:10" ht="15.75" x14ac:dyDescent="0.25">
      <c r="A367" s="1492" t="s">
        <v>1748</v>
      </c>
      <c r="B367" s="1493"/>
      <c r="C367" s="1493"/>
      <c r="D367" s="1494"/>
      <c r="E367" s="1495"/>
      <c r="F367" s="658"/>
      <c r="G367" s="653"/>
      <c r="H367" s="653"/>
    </row>
    <row r="368" spans="1:10" ht="15.75" x14ac:dyDescent="0.25">
      <c r="A368" s="1492" t="s">
        <v>5052</v>
      </c>
      <c r="B368" s="1493"/>
      <c r="C368" s="1493"/>
      <c r="D368" s="1494"/>
      <c r="E368" s="1495"/>
      <c r="F368" s="658"/>
      <c r="G368" s="653"/>
      <c r="H368" s="653"/>
    </row>
    <row r="369" spans="1:10" ht="15.75" x14ac:dyDescent="0.25">
      <c r="A369" s="820" t="s">
        <v>1971</v>
      </c>
      <c r="B369" s="660" t="s">
        <v>1556</v>
      </c>
      <c r="C369" s="660">
        <v>1</v>
      </c>
      <c r="D369" s="661">
        <f>FORNITURAS!D4</f>
        <v>48.7</v>
      </c>
      <c r="E369" s="662">
        <f>D369*C369</f>
        <v>48.7</v>
      </c>
      <c r="F369" s="658"/>
      <c r="G369" s="653"/>
      <c r="H369" s="653"/>
    </row>
    <row r="370" spans="1:10" ht="15.75" x14ac:dyDescent="0.25">
      <c r="A370" s="666" t="s">
        <v>1746</v>
      </c>
      <c r="B370" s="660"/>
      <c r="C370" s="660"/>
      <c r="D370" s="661"/>
      <c r="E370" s="662">
        <v>60</v>
      </c>
      <c r="F370" s="658"/>
      <c r="G370" s="653"/>
      <c r="H370" s="653"/>
    </row>
    <row r="371" spans="1:10" ht="15.75" x14ac:dyDescent="0.25">
      <c r="A371" s="666" t="s">
        <v>1557</v>
      </c>
      <c r="B371" s="660"/>
      <c r="C371" s="660"/>
      <c r="D371" s="661"/>
      <c r="E371" s="667">
        <f>PACKAGING!E4</f>
        <v>80</v>
      </c>
      <c r="F371" s="653"/>
      <c r="G371" s="658"/>
      <c r="H371" s="653"/>
    </row>
    <row r="372" spans="1:10" ht="15.75" x14ac:dyDescent="0.25">
      <c r="A372" s="666" t="s">
        <v>3362</v>
      </c>
      <c r="B372" s="660"/>
      <c r="C372" s="660"/>
      <c r="D372" s="661"/>
      <c r="E372" s="667">
        <f>PACKAGING!E17</f>
        <v>7.5</v>
      </c>
      <c r="F372" s="653"/>
      <c r="G372" s="658"/>
      <c r="H372" s="653"/>
    </row>
    <row r="373" spans="1:10" ht="15.75" x14ac:dyDescent="0.25">
      <c r="A373" s="683" t="s">
        <v>1618</v>
      </c>
      <c r="B373" s="660">
        <v>60</v>
      </c>
      <c r="C373" s="660">
        <v>30</v>
      </c>
      <c r="D373" s="668">
        <f>'INSUMOS VARIOS'!B3</f>
        <v>3500</v>
      </c>
      <c r="E373" s="669">
        <f>D373*C373/B373</f>
        <v>1750</v>
      </c>
      <c r="F373" s="1" t="s">
        <v>3023</v>
      </c>
      <c r="G373" s="658"/>
      <c r="H373" s="653"/>
    </row>
    <row r="374" spans="1:10" ht="15.75" thickBot="1" x14ac:dyDescent="0.3">
      <c r="A374" s="670" t="s">
        <v>525</v>
      </c>
      <c r="B374" s="671"/>
      <c r="C374" s="671"/>
      <c r="D374" s="672"/>
      <c r="E374" s="673">
        <f>SUM(E364:E373)</f>
        <v>5984.5321428571424</v>
      </c>
      <c r="F374" s="698">
        <f>E374+G375+G376</f>
        <v>9262.5321428571424</v>
      </c>
      <c r="G374" s="658" t="s">
        <v>2028</v>
      </c>
      <c r="H374" s="674" t="s">
        <v>2029</v>
      </c>
      <c r="I374" s="652"/>
    </row>
    <row r="375" spans="1:10" ht="16.5" thickBot="1" x14ac:dyDescent="0.3">
      <c r="A375" s="675" t="s">
        <v>4918</v>
      </c>
      <c r="B375" s="676"/>
      <c r="C375" s="676"/>
      <c r="D375" s="677"/>
      <c r="E375" s="692">
        <f>E374*2</f>
        <v>11969.064285714285</v>
      </c>
      <c r="F375" s="957">
        <f>E375+E375*70%</f>
        <v>20347.409285714282</v>
      </c>
      <c r="G375" s="680">
        <f>PACKAGING!I3</f>
        <v>2433</v>
      </c>
      <c r="H375" s="702">
        <f>F375+G375+G376</f>
        <v>23625.409285714282</v>
      </c>
      <c r="I375" s="702"/>
    </row>
    <row r="376" spans="1:10" ht="16.5" thickBot="1" x14ac:dyDescent="0.3">
      <c r="A376" s="684" t="s">
        <v>1559</v>
      </c>
      <c r="B376" s="685"/>
      <c r="C376" s="685"/>
      <c r="D376" s="686"/>
      <c r="E376" s="686"/>
      <c r="F376" s="816"/>
      <c r="G376" s="701">
        <f>PACKAGING!I5</f>
        <v>845</v>
      </c>
      <c r="H376" s="1446"/>
      <c r="I376" s="1447">
        <f>I375*60%</f>
        <v>0</v>
      </c>
      <c r="J376" s="1273" t="s">
        <v>3687</v>
      </c>
    </row>
    <row r="377" spans="1:10" ht="15.75" thickBot="1" x14ac:dyDescent="0.3"/>
    <row r="378" spans="1:10" ht="16.5" thickBot="1" x14ac:dyDescent="0.3">
      <c r="A378" s="1804" t="s">
        <v>5053</v>
      </c>
      <c r="B378" s="1805"/>
      <c r="C378" s="1805"/>
      <c r="D378" s="1805"/>
      <c r="E378" s="1805"/>
      <c r="F378" s="1806"/>
      <c r="G378" s="653"/>
      <c r="H378" s="653"/>
      <c r="I378" s="652"/>
    </row>
    <row r="379" spans="1:10" ht="15.75" x14ac:dyDescent="0.25">
      <c r="A379" s="654" t="s">
        <v>916</v>
      </c>
      <c r="B379" s="655" t="s">
        <v>743</v>
      </c>
      <c r="C379" s="655" t="s">
        <v>1089</v>
      </c>
      <c r="D379" s="655" t="s">
        <v>1566</v>
      </c>
      <c r="E379" s="656" t="s">
        <v>1035</v>
      </c>
      <c r="F379" s="657" t="s">
        <v>1549</v>
      </c>
      <c r="G379" s="658"/>
      <c r="H379" s="653"/>
      <c r="I379" s="652"/>
    </row>
    <row r="380" spans="1:10" ht="15.75" x14ac:dyDescent="0.25">
      <c r="A380" s="666" t="s">
        <v>3363</v>
      </c>
      <c r="B380" s="660" t="s">
        <v>969</v>
      </c>
      <c r="C380" s="660">
        <v>1</v>
      </c>
      <c r="D380" s="660">
        <v>1.65</v>
      </c>
      <c r="E380" s="661">
        <f>'HILOS-CORDONES-TANZA-CUERO'!E10</f>
        <v>210.25</v>
      </c>
      <c r="F380" s="662">
        <f>E380*D380/C380</f>
        <v>346.91249999999997</v>
      </c>
      <c r="G380" s="658"/>
      <c r="H380" s="653"/>
      <c r="I380" s="652"/>
    </row>
    <row r="381" spans="1:10" ht="15.75" x14ac:dyDescent="0.25">
      <c r="A381" s="666" t="s">
        <v>5054</v>
      </c>
      <c r="B381" s="660"/>
      <c r="C381" s="660"/>
      <c r="D381" s="660">
        <v>1</v>
      </c>
      <c r="E381" s="661">
        <f>PIEDRAS!K60</f>
        <v>895</v>
      </c>
      <c r="F381" s="664">
        <f>E381*D381</f>
        <v>895</v>
      </c>
      <c r="G381" s="658"/>
      <c r="H381" s="653"/>
      <c r="I381" s="652"/>
    </row>
    <row r="382" spans="1:10" ht="15.75" x14ac:dyDescent="0.25">
      <c r="A382" s="1497" t="s">
        <v>3401</v>
      </c>
      <c r="B382" s="1493"/>
      <c r="C382" s="1493"/>
      <c r="D382" s="1493">
        <v>1</v>
      </c>
      <c r="E382" s="1494">
        <f>FORNITURAS!I10</f>
        <v>501</v>
      </c>
      <c r="F382" s="1496">
        <f>E382*D382</f>
        <v>501</v>
      </c>
      <c r="G382" s="658"/>
      <c r="H382" s="653"/>
      <c r="I382" s="652"/>
    </row>
    <row r="383" spans="1:10" ht="15.75" x14ac:dyDescent="0.25">
      <c r="A383" s="666" t="s">
        <v>4176</v>
      </c>
      <c r="B383" s="660"/>
      <c r="C383" s="660"/>
      <c r="D383" s="660">
        <v>2</v>
      </c>
      <c r="E383" s="661">
        <f>FORNITURAS!D34</f>
        <v>301.42857142857144</v>
      </c>
      <c r="F383" s="662">
        <f>D383*E383</f>
        <v>602.85714285714289</v>
      </c>
      <c r="G383" s="658"/>
      <c r="H383" s="653"/>
      <c r="I383" s="652"/>
    </row>
    <row r="384" spans="1:10" ht="15.75" x14ac:dyDescent="0.25">
      <c r="A384" s="666" t="s">
        <v>1746</v>
      </c>
      <c r="B384" s="660"/>
      <c r="C384" s="660"/>
      <c r="D384" s="660"/>
      <c r="E384" s="661"/>
      <c r="F384" s="662">
        <v>60</v>
      </c>
      <c r="G384" s="658"/>
      <c r="H384" s="653"/>
      <c r="I384" s="652"/>
    </row>
    <row r="385" spans="1:11" ht="15.75" x14ac:dyDescent="0.25">
      <c r="A385" s="666" t="s">
        <v>3362</v>
      </c>
      <c r="B385" s="660"/>
      <c r="C385" s="660"/>
      <c r="D385" s="660"/>
      <c r="E385" s="661"/>
      <c r="F385" s="662">
        <f>PACKAGING!E17</f>
        <v>7.5</v>
      </c>
      <c r="G385" s="658"/>
      <c r="H385" s="653"/>
      <c r="I385" s="652"/>
    </row>
    <row r="386" spans="1:11" x14ac:dyDescent="0.25">
      <c r="A386" s="666" t="s">
        <v>1557</v>
      </c>
      <c r="B386" s="660"/>
      <c r="C386" s="660"/>
      <c r="D386" s="660"/>
      <c r="E386" s="661"/>
      <c r="F386" s="662">
        <f>PACKAGING!E3</f>
        <v>150</v>
      </c>
      <c r="G386" s="658"/>
    </row>
    <row r="387" spans="1:11" ht="15.75" x14ac:dyDescent="0.25">
      <c r="A387" s="663" t="s">
        <v>1618</v>
      </c>
      <c r="B387" s="660"/>
      <c r="C387" s="660">
        <v>60</v>
      </c>
      <c r="D387" s="660">
        <v>30</v>
      </c>
      <c r="E387" s="668">
        <f>'INSUMOS VARIOS'!B3</f>
        <v>3500</v>
      </c>
      <c r="F387" s="669">
        <f>E387*D387/C387</f>
        <v>1750</v>
      </c>
      <c r="G387" s="1" t="s">
        <v>3023</v>
      </c>
      <c r="H387" s="658"/>
      <c r="I387" s="653"/>
    </row>
    <row r="388" spans="1:11" ht="15.75" thickBot="1" x14ac:dyDescent="0.3">
      <c r="A388" s="670" t="s">
        <v>525</v>
      </c>
      <c r="B388" s="671"/>
      <c r="C388" s="671"/>
      <c r="D388" s="671"/>
      <c r="E388" s="672"/>
      <c r="F388" s="673">
        <f>SUM(F380:F387)</f>
        <v>4313.2696428571426</v>
      </c>
      <c r="G388" s="698">
        <f>F388+H389+H390</f>
        <v>7591.2696428571426</v>
      </c>
      <c r="H388" s="658" t="s">
        <v>2028</v>
      </c>
      <c r="I388" s="674" t="s">
        <v>2029</v>
      </c>
    </row>
    <row r="389" spans="1:11" ht="16.5" thickBot="1" x14ac:dyDescent="0.3">
      <c r="A389" s="675" t="s">
        <v>544</v>
      </c>
      <c r="B389" s="676"/>
      <c r="C389" s="676"/>
      <c r="D389" s="676"/>
      <c r="E389" s="677"/>
      <c r="F389" s="678">
        <f>F388*2</f>
        <v>8626.5392857142851</v>
      </c>
      <c r="G389" s="957">
        <f>F389+F389*70%</f>
        <v>14665.116785714285</v>
      </c>
      <c r="H389" s="681">
        <f>PACKAGING!I3</f>
        <v>2433</v>
      </c>
      <c r="I389" s="1157">
        <f>G389+H390</f>
        <v>15510.116785714285</v>
      </c>
      <c r="J389" s="681"/>
    </row>
    <row r="390" spans="1:11" ht="16.5" thickBot="1" x14ac:dyDescent="0.3">
      <c r="A390" s="684" t="s">
        <v>1559</v>
      </c>
      <c r="B390" s="685"/>
      <c r="C390" s="685"/>
      <c r="D390" s="685"/>
      <c r="E390" s="686"/>
      <c r="F390" s="687"/>
      <c r="G390" s="816"/>
      <c r="H390" s="702">
        <f>PACKAGING!I5</f>
        <v>845</v>
      </c>
      <c r="I390" s="1448"/>
      <c r="J390" s="1275">
        <f>J389*60%</f>
        <v>0</v>
      </c>
      <c r="K390" t="s">
        <v>3687</v>
      </c>
    </row>
    <row r="391" spans="1:11" ht="15.75" thickBot="1" x14ac:dyDescent="0.3"/>
    <row r="392" spans="1:11" ht="16.5" thickBot="1" x14ac:dyDescent="0.3">
      <c r="A392" s="1804" t="s">
        <v>5055</v>
      </c>
      <c r="B392" s="1805"/>
      <c r="C392" s="1805"/>
      <c r="D392" s="1805"/>
      <c r="E392" s="1806"/>
      <c r="F392" s="1294"/>
      <c r="G392" s="653"/>
      <c r="H392" s="653"/>
    </row>
    <row r="393" spans="1:11" ht="15.75" x14ac:dyDescent="0.25">
      <c r="A393" s="654" t="s">
        <v>916</v>
      </c>
      <c r="B393" s="655" t="s">
        <v>743</v>
      </c>
      <c r="C393" s="655" t="s">
        <v>1566</v>
      </c>
      <c r="D393" s="656" t="s">
        <v>1035</v>
      </c>
      <c r="E393" s="657" t="s">
        <v>1549</v>
      </c>
      <c r="F393" s="658"/>
      <c r="G393" s="653"/>
      <c r="H393" s="653"/>
    </row>
    <row r="394" spans="1:11" ht="15.75" x14ac:dyDescent="0.25">
      <c r="A394" s="820" t="s">
        <v>4883</v>
      </c>
      <c r="B394" s="660"/>
      <c r="C394" s="660">
        <v>1.9</v>
      </c>
      <c r="D394" s="661">
        <f>'HILOS-CORDONES-TANZA-CUERO'!E11</f>
        <v>210.25</v>
      </c>
      <c r="E394" s="662">
        <f>D394*C394</f>
        <v>399.47499999999997</v>
      </c>
      <c r="F394" s="658"/>
      <c r="G394" s="653"/>
      <c r="H394" s="653"/>
    </row>
    <row r="395" spans="1:11" ht="15.75" x14ac:dyDescent="0.25">
      <c r="A395" s="666" t="s">
        <v>5056</v>
      </c>
      <c r="B395" s="660"/>
      <c r="C395" s="660">
        <v>1</v>
      </c>
      <c r="D395" s="661">
        <f>'AROS, CADENAS, DIJES, ETC'!D171</f>
        <v>3299</v>
      </c>
      <c r="E395" s="662">
        <f>D395*C395</f>
        <v>3299</v>
      </c>
      <c r="F395" s="658"/>
      <c r="G395" s="653"/>
      <c r="H395" s="653"/>
    </row>
    <row r="396" spans="1:11" ht="15.75" x14ac:dyDescent="0.25">
      <c r="A396" s="666" t="s">
        <v>4176</v>
      </c>
      <c r="B396" s="660" t="s">
        <v>4175</v>
      </c>
      <c r="C396" s="660">
        <v>2</v>
      </c>
      <c r="D396" s="661">
        <f>FORNITURAS!D34</f>
        <v>301.42857142857144</v>
      </c>
      <c r="E396" s="662">
        <f>D396*C396</f>
        <v>602.85714285714289</v>
      </c>
      <c r="F396" s="658"/>
      <c r="G396" s="653"/>
      <c r="H396" s="653"/>
    </row>
    <row r="397" spans="1:11" ht="15.75" x14ac:dyDescent="0.25">
      <c r="A397" s="1498" t="s">
        <v>4948</v>
      </c>
      <c r="B397" s="1226"/>
      <c r="C397" s="1226">
        <v>1</v>
      </c>
      <c r="D397" s="1363">
        <f>'AROS, CADENAS, DIJES, ETC'!O73</f>
        <v>1820</v>
      </c>
      <c r="E397" s="1338">
        <f>D397*C397</f>
        <v>1820</v>
      </c>
      <c r="F397" s="658"/>
      <c r="G397" s="653"/>
      <c r="H397" s="653"/>
    </row>
    <row r="398" spans="1:11" ht="15.75" x14ac:dyDescent="0.25">
      <c r="A398" s="820" t="s">
        <v>1971</v>
      </c>
      <c r="B398" s="660" t="s">
        <v>1556</v>
      </c>
      <c r="C398" s="660">
        <v>1</v>
      </c>
      <c r="D398" s="661">
        <f>FORNITURAS!D35</f>
        <v>410</v>
      </c>
      <c r="E398" s="662">
        <f>D398*C398</f>
        <v>410</v>
      </c>
      <c r="F398" s="658"/>
      <c r="G398" s="653"/>
      <c r="H398" s="653"/>
    </row>
    <row r="399" spans="1:11" ht="15.75" x14ac:dyDescent="0.25">
      <c r="A399" s="666" t="s">
        <v>1746</v>
      </c>
      <c r="B399" s="660"/>
      <c r="C399" s="660"/>
      <c r="D399" s="661"/>
      <c r="E399" s="662">
        <v>60</v>
      </c>
      <c r="F399" s="658"/>
      <c r="G399" s="653"/>
      <c r="H399" s="653"/>
    </row>
    <row r="400" spans="1:11" ht="15.75" x14ac:dyDescent="0.25">
      <c r="A400" s="666" t="s">
        <v>1557</v>
      </c>
      <c r="B400" s="660"/>
      <c r="C400" s="660"/>
      <c r="D400" s="661"/>
      <c r="E400" s="667">
        <f>PACKAGING!E3</f>
        <v>150</v>
      </c>
      <c r="F400" s="653"/>
      <c r="G400" s="658"/>
      <c r="H400" s="653"/>
    </row>
    <row r="401" spans="1:10" ht="15.75" x14ac:dyDescent="0.25">
      <c r="A401" s="666" t="s">
        <v>3362</v>
      </c>
      <c r="B401" s="660"/>
      <c r="C401" s="660"/>
      <c r="D401" s="661"/>
      <c r="E401" s="667">
        <f>PACKAGING!E17</f>
        <v>7.5</v>
      </c>
      <c r="F401" s="653"/>
      <c r="G401" s="658"/>
      <c r="H401" s="653"/>
    </row>
    <row r="402" spans="1:10" ht="15.75" x14ac:dyDescent="0.25">
      <c r="A402" s="683" t="s">
        <v>1618</v>
      </c>
      <c r="B402" s="660">
        <v>60</v>
      </c>
      <c r="C402" s="660">
        <v>30</v>
      </c>
      <c r="D402" s="668">
        <f>'INSUMOS VARIOS'!B3</f>
        <v>3500</v>
      </c>
      <c r="E402" s="669">
        <f>D402*C402/B402</f>
        <v>1750</v>
      </c>
      <c r="F402" s="1" t="s">
        <v>3023</v>
      </c>
      <c r="G402" s="658"/>
      <c r="H402" s="653"/>
    </row>
    <row r="403" spans="1:10" ht="15.75" thickBot="1" x14ac:dyDescent="0.3">
      <c r="A403" s="670" t="s">
        <v>525</v>
      </c>
      <c r="B403" s="671"/>
      <c r="C403" s="671"/>
      <c r="D403" s="672"/>
      <c r="E403" s="673">
        <f>SUM(E394:E402)</f>
        <v>8498.8321428571435</v>
      </c>
      <c r="F403" s="698">
        <f>E403+G404+G405</f>
        <v>11776.832142857143</v>
      </c>
      <c r="G403" s="658" t="s">
        <v>2028</v>
      </c>
      <c r="H403" s="674" t="s">
        <v>2029</v>
      </c>
      <c r="I403" s="652"/>
    </row>
    <row r="404" spans="1:10" ht="16.5" thickBot="1" x14ac:dyDescent="0.3">
      <c r="A404" s="675" t="s">
        <v>4918</v>
      </c>
      <c r="B404" s="676"/>
      <c r="C404" s="676"/>
      <c r="D404" s="677"/>
      <c r="E404" s="692">
        <f>E403*2</f>
        <v>16997.664285714287</v>
      </c>
      <c r="F404" s="957">
        <f>E404+E404*70%</f>
        <v>28896.029285714285</v>
      </c>
      <c r="G404" s="680">
        <f>PACKAGING!I3</f>
        <v>2433</v>
      </c>
      <c r="H404" s="702">
        <f>F404+G404+G405</f>
        <v>32174.029285714285</v>
      </c>
      <c r="I404" s="702"/>
    </row>
    <row r="405" spans="1:10" ht="16.5" thickBot="1" x14ac:dyDescent="0.3">
      <c r="A405" s="684" t="s">
        <v>1559</v>
      </c>
      <c r="B405" s="685"/>
      <c r="C405" s="685"/>
      <c r="D405" s="686"/>
      <c r="E405" s="686"/>
      <c r="F405" s="816"/>
      <c r="G405" s="701">
        <f>PACKAGING!I5</f>
        <v>845</v>
      </c>
      <c r="H405" s="1446"/>
      <c r="I405" s="1447">
        <f>I404*60%</f>
        <v>0</v>
      </c>
      <c r="J405" s="1273" t="s">
        <v>3687</v>
      </c>
    </row>
    <row r="406" spans="1:10" ht="15.75" thickBot="1" x14ac:dyDescent="0.3"/>
    <row r="407" spans="1:10" ht="16.5" thickBot="1" x14ac:dyDescent="0.3">
      <c r="A407" s="1804" t="s">
        <v>5126</v>
      </c>
      <c r="B407" s="1805"/>
      <c r="C407" s="1805"/>
      <c r="D407" s="1805"/>
      <c r="E407" s="1806"/>
      <c r="F407" s="1294"/>
      <c r="G407" s="653"/>
      <c r="H407" s="653"/>
    </row>
    <row r="408" spans="1:10" ht="15.75" x14ac:dyDescent="0.25">
      <c r="A408" s="654" t="s">
        <v>916</v>
      </c>
      <c r="B408" s="655" t="s">
        <v>743</v>
      </c>
      <c r="C408" s="655" t="s">
        <v>1566</v>
      </c>
      <c r="D408" s="656" t="s">
        <v>1035</v>
      </c>
      <c r="E408" s="657" t="s">
        <v>1549</v>
      </c>
      <c r="F408" s="658"/>
      <c r="G408" s="653"/>
      <c r="H408" s="653"/>
    </row>
    <row r="409" spans="1:10" ht="15.75" x14ac:dyDescent="0.25">
      <c r="A409" s="820" t="s">
        <v>5105</v>
      </c>
      <c r="B409" s="660"/>
      <c r="C409" s="660">
        <v>1.5</v>
      </c>
      <c r="D409" s="661">
        <f>'HILOS-CORDONES-TANZA-CUERO'!B61</f>
        <v>1399.090909090909</v>
      </c>
      <c r="E409" s="662">
        <f>D409*C409</f>
        <v>2098.6363636363635</v>
      </c>
      <c r="F409" s="658"/>
      <c r="G409" s="653"/>
      <c r="H409" s="653"/>
    </row>
    <row r="410" spans="1:10" ht="15.75" x14ac:dyDescent="0.25">
      <c r="A410" s="1498" t="s">
        <v>5052</v>
      </c>
      <c r="B410" s="660"/>
      <c r="C410" s="660">
        <v>0.56000000000000005</v>
      </c>
      <c r="D410" s="661">
        <f>'HILOS-CORDONES-TANZA-CUERO'!E27</f>
        <v>25</v>
      </c>
      <c r="E410" s="662">
        <f>D410*C410</f>
        <v>14.000000000000002</v>
      </c>
      <c r="F410" s="658"/>
      <c r="G410" s="653"/>
      <c r="H410" s="653"/>
    </row>
    <row r="411" spans="1:10" ht="15.75" x14ac:dyDescent="0.25">
      <c r="A411" s="666" t="s">
        <v>1748</v>
      </c>
      <c r="B411" s="660">
        <v>0.34</v>
      </c>
      <c r="C411" s="660">
        <v>0.28000000000000003</v>
      </c>
      <c r="D411" s="661">
        <f>'PERLAS 2'!N10</f>
        <v>16500</v>
      </c>
      <c r="E411" s="662">
        <f>D411*C411/B411</f>
        <v>13588.235294117647</v>
      </c>
      <c r="F411" s="658"/>
      <c r="G411" s="653"/>
      <c r="H411" s="653"/>
    </row>
    <row r="412" spans="1:10" ht="15.75" x14ac:dyDescent="0.25">
      <c r="A412" s="1498" t="s">
        <v>5104</v>
      </c>
      <c r="B412" s="1226"/>
      <c r="C412" s="1226">
        <v>1</v>
      </c>
      <c r="D412" s="1363">
        <f>FORNITURAS!Q11</f>
        <v>2647</v>
      </c>
      <c r="E412" s="1338">
        <f>D412*C412</f>
        <v>2647</v>
      </c>
      <c r="F412" s="658"/>
      <c r="G412" s="653"/>
      <c r="H412" s="653"/>
    </row>
    <row r="413" spans="1:10" ht="15.75" x14ac:dyDescent="0.25">
      <c r="A413" s="666" t="s">
        <v>4176</v>
      </c>
      <c r="B413" s="660" t="s">
        <v>4175</v>
      </c>
      <c r="C413" s="1226">
        <v>2</v>
      </c>
      <c r="D413" s="1363">
        <f>FORNITURAS!D34</f>
        <v>301.42857142857144</v>
      </c>
      <c r="E413" s="1338">
        <f>D413*C413</f>
        <v>602.85714285714289</v>
      </c>
      <c r="F413" s="658"/>
      <c r="G413" s="653"/>
      <c r="H413" s="653"/>
    </row>
    <row r="414" spans="1:10" ht="15.75" x14ac:dyDescent="0.25">
      <c r="A414" s="820" t="s">
        <v>1971</v>
      </c>
      <c r="B414" s="660" t="s">
        <v>1556</v>
      </c>
      <c r="C414" s="660">
        <v>5</v>
      </c>
      <c r="D414" s="661">
        <f>FORNITURAS!D50</f>
        <v>636</v>
      </c>
      <c r="E414" s="662">
        <f>D414*C414</f>
        <v>3180</v>
      </c>
      <c r="F414" s="658"/>
      <c r="G414" s="653"/>
      <c r="H414" s="653"/>
    </row>
    <row r="415" spans="1:10" ht="15.75" x14ac:dyDescent="0.25">
      <c r="A415" s="666" t="s">
        <v>1746</v>
      </c>
      <c r="B415" s="660"/>
      <c r="C415" s="660"/>
      <c r="D415" s="661"/>
      <c r="E415" s="662">
        <v>60</v>
      </c>
      <c r="F415" s="658"/>
      <c r="G415" s="653"/>
      <c r="H415" s="653"/>
    </row>
    <row r="416" spans="1:10" ht="15.75" x14ac:dyDescent="0.25">
      <c r="A416" s="666" t="s">
        <v>1557</v>
      </c>
      <c r="B416" s="660"/>
      <c r="C416" s="660"/>
      <c r="D416" s="661"/>
      <c r="E416" s="667">
        <f>PACKAGING!E4</f>
        <v>80</v>
      </c>
      <c r="F416" s="653"/>
      <c r="G416" s="658"/>
      <c r="H416" s="653"/>
    </row>
    <row r="417" spans="1:10" ht="15.75" x14ac:dyDescent="0.25">
      <c r="A417" s="666" t="s">
        <v>3362</v>
      </c>
      <c r="B417" s="660"/>
      <c r="C417" s="660"/>
      <c r="D417" s="661"/>
      <c r="E417" s="667">
        <f>PACKAGING!E17</f>
        <v>7.5</v>
      </c>
      <c r="F417" s="653"/>
      <c r="G417" s="658"/>
      <c r="H417" s="653"/>
    </row>
    <row r="418" spans="1:10" ht="15.75" x14ac:dyDescent="0.25">
      <c r="A418" s="683" t="s">
        <v>1618</v>
      </c>
      <c r="B418" s="660">
        <v>60</v>
      </c>
      <c r="C418" s="660">
        <v>60</v>
      </c>
      <c r="D418" s="668">
        <f>'INSUMOS VARIOS'!B3</f>
        <v>3500</v>
      </c>
      <c r="E418" s="669">
        <f>D418*C418/B418</f>
        <v>3500</v>
      </c>
      <c r="F418" s="1" t="s">
        <v>3023</v>
      </c>
      <c r="G418" s="658"/>
      <c r="H418" s="653"/>
    </row>
    <row r="419" spans="1:10" ht="15.75" thickBot="1" x14ac:dyDescent="0.3">
      <c r="A419" s="670" t="s">
        <v>525</v>
      </c>
      <c r="B419" s="671"/>
      <c r="C419" s="671"/>
      <c r="D419" s="672"/>
      <c r="E419" s="673">
        <f>SUM(E409:E418)</f>
        <v>25778.228800611152</v>
      </c>
      <c r="F419" s="698">
        <f>E419+G420+G421</f>
        <v>29056.228800611152</v>
      </c>
      <c r="G419" s="658" t="s">
        <v>2028</v>
      </c>
      <c r="H419" s="674" t="s">
        <v>2029</v>
      </c>
      <c r="I419" s="652"/>
    </row>
    <row r="420" spans="1:10" ht="16.5" thickBot="1" x14ac:dyDescent="0.3">
      <c r="A420" s="675" t="s">
        <v>4918</v>
      </c>
      <c r="B420" s="676"/>
      <c r="C420" s="676"/>
      <c r="D420" s="677"/>
      <c r="E420" s="692">
        <f>E419*2</f>
        <v>51556.457601222304</v>
      </c>
      <c r="F420" s="957">
        <f>E420+E420*70%</f>
        <v>87645.977922077916</v>
      </c>
      <c r="G420" s="680">
        <f>PACKAGING!I3</f>
        <v>2433</v>
      </c>
      <c r="H420" s="702">
        <f>F420+G420+G421</f>
        <v>90923.977922077916</v>
      </c>
      <c r="I420" s="702"/>
      <c r="J420" s="1273" t="s">
        <v>3687</v>
      </c>
    </row>
    <row r="421" spans="1:10" ht="16.5" thickBot="1" x14ac:dyDescent="0.3">
      <c r="A421" s="684" t="s">
        <v>1559</v>
      </c>
      <c r="B421" s="685"/>
      <c r="C421" s="685"/>
      <c r="D421" s="686"/>
      <c r="E421" s="686"/>
      <c r="F421" s="816"/>
      <c r="G421" s="701">
        <f>PACKAGING!I5</f>
        <v>845</v>
      </c>
      <c r="H421" s="1446"/>
      <c r="I421" s="1447">
        <f>I420*60%</f>
        <v>0</v>
      </c>
    </row>
  </sheetData>
  <mergeCells count="37">
    <mergeCell ref="A407:E407"/>
    <mergeCell ref="A320:E320"/>
    <mergeCell ref="A322:A324"/>
    <mergeCell ref="A174:A175"/>
    <mergeCell ref="B174:B175"/>
    <mergeCell ref="A287:E287"/>
    <mergeCell ref="A304:E304"/>
    <mergeCell ref="A188:F188"/>
    <mergeCell ref="A201:F201"/>
    <mergeCell ref="A216:F216"/>
    <mergeCell ref="A274:F274"/>
    <mergeCell ref="A259:F259"/>
    <mergeCell ref="A230:F230"/>
    <mergeCell ref="A362:E362"/>
    <mergeCell ref="A378:F378"/>
    <mergeCell ref="A392:E392"/>
    <mergeCell ref="A142:A145"/>
    <mergeCell ref="A244:E244"/>
    <mergeCell ref="A156:F156"/>
    <mergeCell ref="A136:F136"/>
    <mergeCell ref="A1:F1"/>
    <mergeCell ref="A13:F13"/>
    <mergeCell ref="A29:F29"/>
    <mergeCell ref="A43:F43"/>
    <mergeCell ref="A121:F121"/>
    <mergeCell ref="A92:F92"/>
    <mergeCell ref="A107:F107"/>
    <mergeCell ref="A60:F60"/>
    <mergeCell ref="A78:F78"/>
    <mergeCell ref="A172:F172"/>
    <mergeCell ref="A158:A159"/>
    <mergeCell ref="B158:B159"/>
    <mergeCell ref="A340:E340"/>
    <mergeCell ref="A342:A344"/>
    <mergeCell ref="A345:A346"/>
    <mergeCell ref="A347:A349"/>
    <mergeCell ref="A350:A351"/>
  </mergeCells>
  <pageMargins left="0.7" right="0.7" top="0.75" bottom="0.75" header="0.3" footer="0.3"/>
  <pageSetup orientation="portrait" horizontalDpi="0" verticalDpi="0" r:id="rId1"/>
  <ignoredErrors>
    <ignoredError sqref="F17 F33 F47 F4 F97 F124 F139 F161 F177 F264 E326 E411" formula="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3395-EAE8-4073-9B59-A2C99A9E43DB}">
  <dimension ref="A1:I127"/>
  <sheetViews>
    <sheetView topLeftCell="A19" workbookViewId="0">
      <selection activeCell="F12" sqref="F12"/>
    </sheetView>
  </sheetViews>
  <sheetFormatPr baseColWidth="10" defaultRowHeight="15" x14ac:dyDescent="0.25"/>
  <cols>
    <col min="1" max="1" width="30.85546875" bestFit="1" customWidth="1"/>
    <col min="2" max="2" width="12.7109375" customWidth="1"/>
    <col min="6" max="8" width="12.85546875" bestFit="1" customWidth="1"/>
  </cols>
  <sheetData>
    <row r="1" spans="1:9" ht="15.75" thickBot="1" x14ac:dyDescent="0.3"/>
    <row r="2" spans="1:9" ht="16.5" thickBot="1" x14ac:dyDescent="0.3">
      <c r="A2" s="1791" t="s">
        <v>4255</v>
      </c>
      <c r="B2" s="1792"/>
      <c r="C2" s="1792"/>
      <c r="D2" s="1792"/>
      <c r="E2" s="1792"/>
      <c r="F2" s="1793"/>
      <c r="G2" s="653"/>
      <c r="H2" s="653"/>
      <c r="I2" s="652"/>
    </row>
    <row r="3" spans="1:9" ht="15.75" x14ac:dyDescent="0.25">
      <c r="A3" s="821" t="s">
        <v>916</v>
      </c>
      <c r="B3" s="1365" t="s">
        <v>1073</v>
      </c>
      <c r="C3" s="823" t="s">
        <v>1089</v>
      </c>
      <c r="D3" s="823" t="s">
        <v>1547</v>
      </c>
      <c r="E3" s="823" t="s">
        <v>1035</v>
      </c>
      <c r="F3" s="824" t="s">
        <v>1549</v>
      </c>
      <c r="G3" s="658"/>
      <c r="H3" s="653"/>
      <c r="I3" s="652"/>
    </row>
    <row r="4" spans="1:9" ht="15.75" x14ac:dyDescent="0.25">
      <c r="A4" s="1366" t="s">
        <v>1389</v>
      </c>
      <c r="B4" s="769"/>
      <c r="C4" s="1367"/>
      <c r="D4" s="779">
        <v>1</v>
      </c>
      <c r="E4" s="668">
        <f>PIEDRAS!F81</f>
        <v>181.66666666666666</v>
      </c>
      <c r="F4" s="662">
        <f>E4</f>
        <v>181.66666666666666</v>
      </c>
      <c r="G4" s="658"/>
      <c r="H4" s="653"/>
      <c r="I4" s="652"/>
    </row>
    <row r="5" spans="1:9" ht="15.75" x14ac:dyDescent="0.25">
      <c r="A5" s="1366" t="s">
        <v>1587</v>
      </c>
      <c r="B5" s="769" t="s">
        <v>930</v>
      </c>
      <c r="C5" s="1367"/>
      <c r="D5" s="779">
        <v>1</v>
      </c>
      <c r="E5" s="668">
        <f>FORNITURAS!D20</f>
        <v>1066</v>
      </c>
      <c r="F5" s="662">
        <f>E5*D5</f>
        <v>1066</v>
      </c>
      <c r="G5" s="658"/>
      <c r="H5" s="653"/>
      <c r="I5" s="652"/>
    </row>
    <row r="6" spans="1:9" ht="15.75" x14ac:dyDescent="0.25">
      <c r="A6" s="1366" t="s">
        <v>3117</v>
      </c>
      <c r="B6" s="769"/>
      <c r="C6" s="1367"/>
      <c r="D6" s="779">
        <v>1</v>
      </c>
      <c r="E6" s="668">
        <f>FORNITURAS!D15</f>
        <v>142</v>
      </c>
      <c r="F6" s="662">
        <f>E6*D6</f>
        <v>142</v>
      </c>
      <c r="G6" s="658"/>
      <c r="H6" s="653"/>
      <c r="I6" s="652"/>
    </row>
    <row r="7" spans="1:9" ht="15.75" x14ac:dyDescent="0.25">
      <c r="A7" s="1366" t="s">
        <v>4236</v>
      </c>
      <c r="B7" s="769"/>
      <c r="C7" s="1367"/>
      <c r="D7" s="779">
        <v>1</v>
      </c>
      <c r="E7" s="668">
        <f>FORNITURAS!I13</f>
        <v>274.44444444444446</v>
      </c>
      <c r="F7" s="662">
        <f>E7*D7</f>
        <v>274.44444444444446</v>
      </c>
      <c r="G7" s="658"/>
      <c r="H7" s="653"/>
      <c r="I7" s="652"/>
    </row>
    <row r="8" spans="1:9" ht="15.75" x14ac:dyDescent="0.25">
      <c r="A8" s="665" t="s">
        <v>1557</v>
      </c>
      <c r="B8" s="769"/>
      <c r="C8" s="779"/>
      <c r="D8" s="779"/>
      <c r="E8" s="668"/>
      <c r="F8" s="662">
        <f>PACKAGING!E3</f>
        <v>150</v>
      </c>
      <c r="G8" s="658"/>
      <c r="H8" s="653"/>
      <c r="I8" s="652"/>
    </row>
    <row r="9" spans="1:9" ht="15.75" x14ac:dyDescent="0.25">
      <c r="A9" s="665" t="s">
        <v>1558</v>
      </c>
      <c r="B9" s="769">
        <v>60</v>
      </c>
      <c r="C9" s="779"/>
      <c r="D9" s="779">
        <v>20</v>
      </c>
      <c r="E9" s="668">
        <f>'INSUMOS VARIOS'!B3</f>
        <v>3500</v>
      </c>
      <c r="F9" s="662">
        <f>E9*D9/B9</f>
        <v>1166.6666666666667</v>
      </c>
      <c r="G9" s="658"/>
      <c r="H9" s="653"/>
      <c r="I9" s="652"/>
    </row>
    <row r="10" spans="1:9" ht="15.75" x14ac:dyDescent="0.25">
      <c r="A10" s="665" t="s">
        <v>3180</v>
      </c>
      <c r="B10" s="769"/>
      <c r="C10" s="779"/>
      <c r="D10" s="779"/>
      <c r="E10" s="668"/>
      <c r="F10" s="662">
        <f>PACKAGING!E8</f>
        <v>420</v>
      </c>
      <c r="G10" s="658"/>
      <c r="H10" s="653"/>
      <c r="I10" s="652"/>
    </row>
    <row r="11" spans="1:9" ht="16.5" thickBot="1" x14ac:dyDescent="0.3">
      <c r="A11" s="670" t="s">
        <v>525</v>
      </c>
      <c r="B11" s="672"/>
      <c r="C11" s="780"/>
      <c r="D11" s="780"/>
      <c r="E11" s="780"/>
      <c r="F11" s="673">
        <f>SUM(F4:F10)</f>
        <v>3400.7777777777783</v>
      </c>
      <c r="G11" s="809"/>
      <c r="H11" s="653"/>
      <c r="I11" s="652"/>
    </row>
    <row r="12" spans="1:9" ht="16.5" thickBot="1" x14ac:dyDescent="0.3">
      <c r="A12" s="1368" t="s">
        <v>1559</v>
      </c>
      <c r="B12" s="1369"/>
      <c r="C12" s="1369"/>
      <c r="D12" s="1369"/>
      <c r="E12" s="825"/>
      <c r="F12" s="787">
        <f>F11*2</f>
        <v>6801.5555555555566</v>
      </c>
      <c r="G12" s="1370">
        <f>F12+F12*70%</f>
        <v>11562.644444444446</v>
      </c>
      <c r="H12" s="1372">
        <v>16000</v>
      </c>
      <c r="I12" s="1371"/>
    </row>
    <row r="13" spans="1:9" ht="16.5" thickBot="1" x14ac:dyDescent="0.3">
      <c r="A13" s="652"/>
      <c r="B13" s="652"/>
      <c r="C13" s="652"/>
      <c r="D13" s="652"/>
      <c r="E13" s="652"/>
      <c r="F13" s="652"/>
      <c r="G13" s="652"/>
      <c r="H13" s="1275"/>
      <c r="I13" s="1371" t="s">
        <v>3687</v>
      </c>
    </row>
    <row r="14" spans="1:9" ht="15.75" thickBot="1" x14ac:dyDescent="0.3"/>
    <row r="15" spans="1:9" ht="16.5" thickBot="1" x14ac:dyDescent="0.3">
      <c r="A15" s="1791" t="s">
        <v>4256</v>
      </c>
      <c r="B15" s="1792"/>
      <c r="C15" s="1792"/>
      <c r="D15" s="1792"/>
      <c r="E15" s="1792"/>
      <c r="F15" s="1793"/>
      <c r="G15" s="653"/>
      <c r="H15" s="653"/>
      <c r="I15" s="652"/>
    </row>
    <row r="16" spans="1:9" ht="15.75" x14ac:dyDescent="0.25">
      <c r="A16" s="821" t="s">
        <v>916</v>
      </c>
      <c r="B16" s="1365" t="s">
        <v>1073</v>
      </c>
      <c r="C16" s="823" t="s">
        <v>1089</v>
      </c>
      <c r="D16" s="823" t="s">
        <v>1547</v>
      </c>
      <c r="E16" s="823" t="s">
        <v>1035</v>
      </c>
      <c r="F16" s="824" t="s">
        <v>1549</v>
      </c>
      <c r="G16" s="658"/>
      <c r="H16" s="653"/>
      <c r="I16" s="652"/>
    </row>
    <row r="17" spans="1:9" ht="15.75" x14ac:dyDescent="0.25">
      <c r="A17" s="1366" t="s">
        <v>4143</v>
      </c>
      <c r="B17" s="769"/>
      <c r="C17" s="1367">
        <v>0.8</v>
      </c>
      <c r="D17" s="779">
        <v>0.01</v>
      </c>
      <c r="E17" s="668">
        <f>PIEDRAS!E151</f>
        <v>4600</v>
      </c>
      <c r="F17" s="662">
        <f>E17*D17/C17</f>
        <v>57.5</v>
      </c>
      <c r="G17" s="658"/>
      <c r="H17" s="653"/>
      <c r="I17" s="652"/>
    </row>
    <row r="18" spans="1:9" ht="15.75" x14ac:dyDescent="0.25">
      <c r="A18" s="1366" t="s">
        <v>1742</v>
      </c>
      <c r="B18" s="769" t="s">
        <v>1316</v>
      </c>
      <c r="C18" s="1367"/>
      <c r="D18" s="779">
        <v>1</v>
      </c>
      <c r="E18" s="668">
        <f>'PERLAS 2'!H34</f>
        <v>421.05263157894734</v>
      </c>
      <c r="F18" s="662">
        <f>E18*D18</f>
        <v>421.05263157894734</v>
      </c>
      <c r="G18" s="658"/>
      <c r="H18" s="653"/>
      <c r="I18" s="652"/>
    </row>
    <row r="19" spans="1:9" ht="15.75" x14ac:dyDescent="0.25">
      <c r="A19" s="1366" t="s">
        <v>1587</v>
      </c>
      <c r="B19" s="769" t="s">
        <v>930</v>
      </c>
      <c r="C19" s="1367"/>
      <c r="D19" s="779">
        <v>1</v>
      </c>
      <c r="E19" s="668">
        <f>FORNITURAS!D20</f>
        <v>1066</v>
      </c>
      <c r="F19" s="662">
        <f>E19*D19</f>
        <v>1066</v>
      </c>
      <c r="G19" s="658"/>
      <c r="H19" s="653"/>
      <c r="I19" s="652"/>
    </row>
    <row r="20" spans="1:9" ht="15.75" x14ac:dyDescent="0.25">
      <c r="A20" s="1366" t="s">
        <v>3117</v>
      </c>
      <c r="B20" s="769"/>
      <c r="C20" s="1367"/>
      <c r="D20" s="779">
        <v>1</v>
      </c>
      <c r="E20" s="668">
        <f>FORNITURAS!D15</f>
        <v>142</v>
      </c>
      <c r="F20" s="662">
        <f>E20*D20</f>
        <v>142</v>
      </c>
      <c r="G20" s="658"/>
      <c r="H20" s="653"/>
      <c r="I20" s="652"/>
    </row>
    <row r="21" spans="1:9" ht="15.75" x14ac:dyDescent="0.25">
      <c r="A21" s="665" t="s">
        <v>1557</v>
      </c>
      <c r="B21" s="769"/>
      <c r="C21" s="779"/>
      <c r="D21" s="779"/>
      <c r="E21" s="668"/>
      <c r="F21" s="662">
        <f>PACKAGING!E3</f>
        <v>150</v>
      </c>
      <c r="G21" s="658"/>
      <c r="H21" s="653"/>
      <c r="I21" s="652"/>
    </row>
    <row r="22" spans="1:9" ht="15.75" x14ac:dyDescent="0.25">
      <c r="A22" s="665" t="s">
        <v>1558</v>
      </c>
      <c r="B22" s="769">
        <v>60</v>
      </c>
      <c r="C22" s="779"/>
      <c r="D22" s="779">
        <v>20</v>
      </c>
      <c r="E22" s="668">
        <f>'INSUMOS VARIOS'!B3</f>
        <v>3500</v>
      </c>
      <c r="F22" s="662">
        <f>E22*D22/B22</f>
        <v>1166.6666666666667</v>
      </c>
      <c r="G22" s="658"/>
      <c r="H22" s="653"/>
      <c r="I22" s="652"/>
    </row>
    <row r="23" spans="1:9" ht="15.75" x14ac:dyDescent="0.25">
      <c r="A23" s="665" t="s">
        <v>3180</v>
      </c>
      <c r="B23" s="769"/>
      <c r="C23" s="779"/>
      <c r="D23" s="779"/>
      <c r="E23" s="668"/>
      <c r="F23" s="662">
        <f>PACKAGING!E8</f>
        <v>420</v>
      </c>
      <c r="G23" s="658"/>
      <c r="H23" s="653"/>
      <c r="I23" s="652"/>
    </row>
    <row r="24" spans="1:9" ht="16.5" thickBot="1" x14ac:dyDescent="0.3">
      <c r="A24" s="670" t="s">
        <v>525</v>
      </c>
      <c r="B24" s="672"/>
      <c r="C24" s="780"/>
      <c r="D24" s="780"/>
      <c r="E24" s="780"/>
      <c r="F24" s="673">
        <f>SUM(F17:F23)</f>
        <v>3423.219298245614</v>
      </c>
      <c r="G24" s="809"/>
      <c r="H24" s="653"/>
      <c r="I24" s="652"/>
    </row>
    <row r="25" spans="1:9" ht="16.5" thickBot="1" x14ac:dyDescent="0.3">
      <c r="A25" s="1368" t="s">
        <v>1559</v>
      </c>
      <c r="B25" s="1369"/>
      <c r="C25" s="1369"/>
      <c r="D25" s="1369"/>
      <c r="E25" s="825"/>
      <c r="F25" s="787">
        <f>F24*2</f>
        <v>6846.4385964912281</v>
      </c>
      <c r="G25" s="1370">
        <f>F25+F25*70%</f>
        <v>11638.945614035089</v>
      </c>
      <c r="H25" s="1372">
        <v>16000</v>
      </c>
      <c r="I25" s="1371" t="s">
        <v>3687</v>
      </c>
    </row>
    <row r="26" spans="1:9" ht="16.5" thickBot="1" x14ac:dyDescent="0.3">
      <c r="A26" s="652"/>
      <c r="B26" s="652"/>
      <c r="C26" s="652"/>
      <c r="D26" s="652"/>
      <c r="E26" s="652"/>
      <c r="F26" s="652"/>
      <c r="G26" s="652"/>
      <c r="H26" s="1275"/>
      <c r="I26" s="1371"/>
    </row>
    <row r="27" spans="1:9" ht="15.75" thickBot="1" x14ac:dyDescent="0.3"/>
    <row r="28" spans="1:9" ht="16.5" thickBot="1" x14ac:dyDescent="0.3">
      <c r="A28" s="1791" t="s">
        <v>4264</v>
      </c>
      <c r="B28" s="1792"/>
      <c r="C28" s="1792"/>
      <c r="D28" s="1792"/>
      <c r="E28" s="1792"/>
      <c r="F28" s="1793"/>
      <c r="G28" s="653"/>
      <c r="H28" s="653"/>
      <c r="I28" s="652"/>
    </row>
    <row r="29" spans="1:9" ht="15.75" x14ac:dyDescent="0.25">
      <c r="A29" s="821" t="s">
        <v>916</v>
      </c>
      <c r="B29" s="1365" t="s">
        <v>1073</v>
      </c>
      <c r="C29" s="823" t="s">
        <v>1089</v>
      </c>
      <c r="D29" s="823" t="s">
        <v>1547</v>
      </c>
      <c r="E29" s="823" t="s">
        <v>1035</v>
      </c>
      <c r="F29" s="824" t="s">
        <v>1549</v>
      </c>
      <c r="G29" s="658"/>
      <c r="H29" s="653"/>
      <c r="I29" s="652"/>
    </row>
    <row r="30" spans="1:9" ht="15.75" x14ac:dyDescent="0.25">
      <c r="A30" s="1366" t="s">
        <v>4237</v>
      </c>
      <c r="B30" s="769"/>
      <c r="C30" s="1367"/>
      <c r="D30" s="779">
        <v>1</v>
      </c>
      <c r="E30" s="668">
        <f>'AROS, CADENAS, DIJES, ETC'!P188</f>
        <v>4580</v>
      </c>
      <c r="F30" s="662">
        <f>E30*D30</f>
        <v>4580</v>
      </c>
      <c r="G30" s="658"/>
      <c r="H30" s="653"/>
      <c r="I30" s="652"/>
    </row>
    <row r="31" spans="1:9" ht="15.75" x14ac:dyDescent="0.25">
      <c r="A31" s="1366" t="s">
        <v>1971</v>
      </c>
      <c r="B31" s="769"/>
      <c r="C31" s="1367"/>
      <c r="D31" s="779">
        <v>1</v>
      </c>
      <c r="E31" s="668">
        <f>FORNITURAS!D4</f>
        <v>48.7</v>
      </c>
      <c r="F31" s="662">
        <f>E31*D31</f>
        <v>48.7</v>
      </c>
      <c r="G31" s="658"/>
      <c r="H31" s="653"/>
      <c r="I31" s="652"/>
    </row>
    <row r="32" spans="1:9" ht="15.75" x14ac:dyDescent="0.25">
      <c r="A32" s="1366" t="s">
        <v>1587</v>
      </c>
      <c r="B32" s="769" t="s">
        <v>930</v>
      </c>
      <c r="C32" s="1367"/>
      <c r="D32" s="779">
        <v>1</v>
      </c>
      <c r="E32" s="668">
        <f>FORNITURAS!D20</f>
        <v>1066</v>
      </c>
      <c r="F32" s="662">
        <f>E32*D32</f>
        <v>1066</v>
      </c>
      <c r="G32" s="658"/>
      <c r="H32" s="653"/>
      <c r="I32" s="652"/>
    </row>
    <row r="33" spans="1:9" ht="15.75" x14ac:dyDescent="0.25">
      <c r="A33" s="665" t="s">
        <v>1557</v>
      </c>
      <c r="B33" s="769"/>
      <c r="C33" s="779"/>
      <c r="D33" s="779"/>
      <c r="E33" s="668"/>
      <c r="F33" s="662">
        <f>PACKAGING!E3</f>
        <v>150</v>
      </c>
      <c r="G33" s="658"/>
      <c r="H33" s="653"/>
      <c r="I33" s="652"/>
    </row>
    <row r="34" spans="1:9" ht="15.75" x14ac:dyDescent="0.25">
      <c r="A34" s="665" t="s">
        <v>1558</v>
      </c>
      <c r="B34" s="769">
        <v>60</v>
      </c>
      <c r="C34" s="779"/>
      <c r="D34" s="779">
        <v>10</v>
      </c>
      <c r="E34" s="668">
        <f>'INSUMOS VARIOS'!B3</f>
        <v>3500</v>
      </c>
      <c r="F34" s="662">
        <f>E34*D34/B34</f>
        <v>583.33333333333337</v>
      </c>
      <c r="G34" s="658"/>
      <c r="H34" s="653"/>
      <c r="I34" s="652"/>
    </row>
    <row r="35" spans="1:9" ht="15.75" x14ac:dyDescent="0.25">
      <c r="A35" s="665" t="s">
        <v>3180</v>
      </c>
      <c r="B35" s="769"/>
      <c r="C35" s="779"/>
      <c r="D35" s="779"/>
      <c r="E35" s="668"/>
      <c r="F35" s="662">
        <f>PACKAGING!E8</f>
        <v>420</v>
      </c>
      <c r="G35" s="658"/>
      <c r="H35" s="653"/>
      <c r="I35" s="652"/>
    </row>
    <row r="36" spans="1:9" ht="16.5" thickBot="1" x14ac:dyDescent="0.3">
      <c r="A36" s="670" t="s">
        <v>525</v>
      </c>
      <c r="B36" s="672"/>
      <c r="C36" s="780"/>
      <c r="D36" s="780"/>
      <c r="E36" s="780"/>
      <c r="F36" s="673">
        <f>SUM(F30:F35)</f>
        <v>6848.0333333333328</v>
      </c>
      <c r="G36" s="809"/>
      <c r="H36" s="653"/>
      <c r="I36" s="652"/>
    </row>
    <row r="37" spans="1:9" ht="16.5" thickBot="1" x14ac:dyDescent="0.3">
      <c r="A37" s="1368" t="s">
        <v>1559</v>
      </c>
      <c r="B37" s="1369"/>
      <c r="C37" s="1369"/>
      <c r="D37" s="1369"/>
      <c r="E37" s="825"/>
      <c r="F37" s="787">
        <f>F36*2</f>
        <v>13696.066666666666</v>
      </c>
      <c r="G37" s="1370">
        <f>F37+F37*70%</f>
        <v>23283.313333333332</v>
      </c>
      <c r="H37" s="1372">
        <v>26000</v>
      </c>
      <c r="I37" s="1371" t="s">
        <v>3687</v>
      </c>
    </row>
    <row r="38" spans="1:9" ht="16.5" thickBot="1" x14ac:dyDescent="0.3">
      <c r="A38" s="652"/>
      <c r="B38" s="652"/>
      <c r="C38" s="652"/>
      <c r="D38" s="652"/>
      <c r="E38" s="652"/>
      <c r="F38" s="652"/>
      <c r="G38" s="652"/>
      <c r="H38" s="1275"/>
      <c r="I38" s="1371"/>
    </row>
    <row r="39" spans="1:9" ht="15.75" thickBot="1" x14ac:dyDescent="0.3"/>
    <row r="40" spans="1:9" ht="16.5" thickBot="1" x14ac:dyDescent="0.3">
      <c r="A40" s="1791" t="s">
        <v>378</v>
      </c>
      <c r="B40" s="1792"/>
      <c r="C40" s="1792"/>
      <c r="D40" s="1792"/>
      <c r="E40" s="1792"/>
      <c r="F40" s="1793"/>
      <c r="G40" s="653"/>
      <c r="H40" s="653"/>
      <c r="I40" s="652"/>
    </row>
    <row r="41" spans="1:9" ht="15.75" x14ac:dyDescent="0.25">
      <c r="A41" s="821" t="s">
        <v>916</v>
      </c>
      <c r="B41" s="1365" t="s">
        <v>1073</v>
      </c>
      <c r="C41" s="823" t="s">
        <v>1089</v>
      </c>
      <c r="D41" s="823" t="s">
        <v>1547</v>
      </c>
      <c r="E41" s="823" t="s">
        <v>1035</v>
      </c>
      <c r="F41" s="824" t="s">
        <v>1549</v>
      </c>
      <c r="G41" s="658"/>
      <c r="H41" s="653"/>
      <c r="I41" s="652"/>
    </row>
    <row r="42" spans="1:9" ht="15.75" x14ac:dyDescent="0.25">
      <c r="A42" s="1366" t="s">
        <v>4163</v>
      </c>
      <c r="B42" s="769"/>
      <c r="C42" s="1367"/>
      <c r="D42" s="779">
        <v>1</v>
      </c>
      <c r="E42" s="668">
        <f>'INSUMOS VARIOS'!E65</f>
        <v>44.2</v>
      </c>
      <c r="F42" s="662">
        <f>E42*D42</f>
        <v>44.2</v>
      </c>
      <c r="G42" s="658"/>
      <c r="H42" s="653"/>
      <c r="I42" s="652"/>
    </row>
    <row r="43" spans="1:9" ht="15.75" x14ac:dyDescent="0.25">
      <c r="A43" s="1366" t="s">
        <v>1748</v>
      </c>
      <c r="B43" s="769" t="s">
        <v>3150</v>
      </c>
      <c r="C43" s="1367"/>
      <c r="D43" s="779">
        <v>1</v>
      </c>
      <c r="E43" s="668">
        <f>'PERLAS 2'!O6</f>
        <v>96.222222222222229</v>
      </c>
      <c r="F43" s="662">
        <f>E43*D43</f>
        <v>96.222222222222229</v>
      </c>
      <c r="G43" s="658"/>
      <c r="H43" s="653"/>
      <c r="I43" s="652"/>
    </row>
    <row r="44" spans="1:9" ht="15.75" x14ac:dyDescent="0.25">
      <c r="A44" s="1736" t="s">
        <v>1050</v>
      </c>
      <c r="B44" s="769" t="s">
        <v>1056</v>
      </c>
      <c r="C44" s="1367"/>
      <c r="D44" s="779">
        <v>0.01</v>
      </c>
      <c r="E44" s="668">
        <f>FORNITURAS!W4</f>
        <v>1404.9107142857144</v>
      </c>
      <c r="F44" s="662">
        <f>E44*D44</f>
        <v>14.049107142857144</v>
      </c>
      <c r="G44" s="658"/>
      <c r="H44" s="653"/>
      <c r="I44" s="652"/>
    </row>
    <row r="45" spans="1:9" ht="15.75" x14ac:dyDescent="0.25">
      <c r="A45" s="1737"/>
      <c r="B45" s="769" t="s">
        <v>1059</v>
      </c>
      <c r="C45" s="1367"/>
      <c r="D45" s="779">
        <v>0.08</v>
      </c>
      <c r="E45" s="668">
        <f>FORNITURAS!W5</f>
        <v>906.42857142857144</v>
      </c>
      <c r="F45" s="662">
        <f>E45*D45</f>
        <v>72.51428571428572</v>
      </c>
      <c r="G45" s="658"/>
      <c r="H45" s="653"/>
      <c r="I45" s="652"/>
    </row>
    <row r="46" spans="1:9" ht="15.75" x14ac:dyDescent="0.25">
      <c r="A46" s="1366" t="s">
        <v>1587</v>
      </c>
      <c r="B46" s="769" t="s">
        <v>930</v>
      </c>
      <c r="C46" s="1367"/>
      <c r="D46" s="779">
        <v>1</v>
      </c>
      <c r="E46" s="668">
        <f>FORNITURAS!D20</f>
        <v>1066</v>
      </c>
      <c r="F46" s="662">
        <f>E46*D46</f>
        <v>1066</v>
      </c>
      <c r="G46" s="658"/>
      <c r="H46" s="653"/>
      <c r="I46" s="652"/>
    </row>
    <row r="47" spans="1:9" ht="15.75" x14ac:dyDescent="0.25">
      <c r="A47" s="665" t="s">
        <v>1557</v>
      </c>
      <c r="B47" s="769"/>
      <c r="C47" s="779"/>
      <c r="D47" s="779"/>
      <c r="E47" s="668"/>
      <c r="F47" s="662">
        <f>PACKAGING!E3</f>
        <v>150</v>
      </c>
      <c r="G47" s="658"/>
      <c r="H47" s="653"/>
      <c r="I47" s="652"/>
    </row>
    <row r="48" spans="1:9" ht="15.75" x14ac:dyDescent="0.25">
      <c r="A48" s="665" t="s">
        <v>1558</v>
      </c>
      <c r="B48" s="769">
        <v>60</v>
      </c>
      <c r="C48" s="779"/>
      <c r="D48" s="779">
        <v>20</v>
      </c>
      <c r="E48" s="668">
        <f>'INSUMOS VARIOS'!B3</f>
        <v>3500</v>
      </c>
      <c r="F48" s="662">
        <f>E48*D48/B48</f>
        <v>1166.6666666666667</v>
      </c>
      <c r="G48" s="658"/>
      <c r="H48" s="653"/>
      <c r="I48" s="652"/>
    </row>
    <row r="49" spans="1:9" ht="15.75" x14ac:dyDescent="0.25">
      <c r="A49" s="665" t="s">
        <v>3180</v>
      </c>
      <c r="B49" s="769"/>
      <c r="C49" s="779"/>
      <c r="D49" s="779"/>
      <c r="E49" s="668"/>
      <c r="F49" s="662">
        <f>PACKAGING!E8</f>
        <v>420</v>
      </c>
      <c r="G49" s="658"/>
      <c r="H49" s="653"/>
      <c r="I49" s="652"/>
    </row>
    <row r="50" spans="1:9" ht="16.5" thickBot="1" x14ac:dyDescent="0.3">
      <c r="A50" s="670" t="s">
        <v>525</v>
      </c>
      <c r="B50" s="672"/>
      <c r="C50" s="780"/>
      <c r="D50" s="780"/>
      <c r="E50" s="780"/>
      <c r="F50" s="673">
        <f>SUM(F42:F49)</f>
        <v>3029.6522817460318</v>
      </c>
      <c r="G50" s="809"/>
      <c r="H50" s="653"/>
      <c r="I50" s="652"/>
    </row>
    <row r="51" spans="1:9" ht="16.5" thickBot="1" x14ac:dyDescent="0.3">
      <c r="A51" s="1368" t="s">
        <v>1559</v>
      </c>
      <c r="B51" s="1369"/>
      <c r="C51" s="1369"/>
      <c r="D51" s="1369"/>
      <c r="E51" s="825"/>
      <c r="F51" s="787">
        <f>F50*2</f>
        <v>6059.3045634920636</v>
      </c>
      <c r="G51" s="1370">
        <f>F51+F51*70%</f>
        <v>10300.817757936507</v>
      </c>
      <c r="H51" s="1372">
        <v>16000</v>
      </c>
      <c r="I51" s="1371" t="s">
        <v>3687</v>
      </c>
    </row>
    <row r="52" spans="1:9" ht="16.5" thickBot="1" x14ac:dyDescent="0.3">
      <c r="A52" s="652"/>
      <c r="B52" s="652"/>
      <c r="C52" s="652"/>
      <c r="D52" s="652"/>
      <c r="E52" s="652"/>
      <c r="F52" s="652"/>
      <c r="G52" s="652"/>
      <c r="H52" s="1275"/>
      <c r="I52" s="1371"/>
    </row>
    <row r="53" spans="1:9" ht="15.75" thickBot="1" x14ac:dyDescent="0.3"/>
    <row r="54" spans="1:9" ht="16.5" thickBot="1" x14ac:dyDescent="0.3">
      <c r="A54" s="1791" t="s">
        <v>4238</v>
      </c>
      <c r="B54" s="1792"/>
      <c r="C54" s="1792"/>
      <c r="D54" s="1792"/>
      <c r="E54" s="1792"/>
      <c r="F54" s="1793"/>
      <c r="G54" s="653"/>
      <c r="H54" s="653"/>
      <c r="I54" s="652"/>
    </row>
    <row r="55" spans="1:9" ht="15.75" x14ac:dyDescent="0.25">
      <c r="A55" s="821" t="s">
        <v>916</v>
      </c>
      <c r="B55" s="1365" t="s">
        <v>1073</v>
      </c>
      <c r="C55" s="823" t="s">
        <v>1089</v>
      </c>
      <c r="D55" s="823" t="s">
        <v>1547</v>
      </c>
      <c r="E55" s="823" t="s">
        <v>1035</v>
      </c>
      <c r="F55" s="824" t="s">
        <v>1549</v>
      </c>
      <c r="G55" s="658"/>
      <c r="H55" s="653"/>
      <c r="I55" s="652"/>
    </row>
    <row r="56" spans="1:9" ht="15.75" x14ac:dyDescent="0.25">
      <c r="A56" s="1366" t="s">
        <v>2067</v>
      </c>
      <c r="B56" s="769"/>
      <c r="C56" s="1367"/>
      <c r="D56" s="779">
        <v>1</v>
      </c>
      <c r="E56" s="668">
        <f>PIEDRAS!F126</f>
        <v>291.66666666666669</v>
      </c>
      <c r="F56" s="662">
        <f>E56*D56</f>
        <v>291.66666666666669</v>
      </c>
      <c r="G56" s="658"/>
      <c r="H56" s="653"/>
      <c r="I56" s="652"/>
    </row>
    <row r="57" spans="1:9" ht="15.75" x14ac:dyDescent="0.25">
      <c r="A57" s="1366" t="s">
        <v>3111</v>
      </c>
      <c r="B57" s="769"/>
      <c r="C57" s="1367"/>
      <c r="D57" s="779">
        <v>1</v>
      </c>
      <c r="E57" s="668">
        <f>FORNITURAS!D15</f>
        <v>142</v>
      </c>
      <c r="F57" s="662">
        <f>E57*D57</f>
        <v>142</v>
      </c>
      <c r="G57" s="658"/>
      <c r="H57" s="653"/>
      <c r="I57" s="652"/>
    </row>
    <row r="58" spans="1:9" ht="15.75" x14ac:dyDescent="0.25">
      <c r="A58" s="1366" t="s">
        <v>1587</v>
      </c>
      <c r="B58" s="769" t="s">
        <v>930</v>
      </c>
      <c r="C58" s="1367"/>
      <c r="D58" s="779">
        <v>1</v>
      </c>
      <c r="E58" s="668">
        <f>FORNITURAS!D20</f>
        <v>1066</v>
      </c>
      <c r="F58" s="662">
        <f>E58*D58</f>
        <v>1066</v>
      </c>
      <c r="G58" s="658"/>
      <c r="H58" s="653"/>
      <c r="I58" s="652"/>
    </row>
    <row r="59" spans="1:9" ht="15.75" x14ac:dyDescent="0.25">
      <c r="A59" s="665" t="s">
        <v>1557</v>
      </c>
      <c r="B59" s="769"/>
      <c r="C59" s="779"/>
      <c r="D59" s="779"/>
      <c r="E59" s="668"/>
      <c r="F59" s="662">
        <f>PACKAGING!E3</f>
        <v>150</v>
      </c>
      <c r="G59" s="658"/>
      <c r="H59" s="653"/>
      <c r="I59" s="652"/>
    </row>
    <row r="60" spans="1:9" ht="15.75" x14ac:dyDescent="0.25">
      <c r="A60" s="665" t="s">
        <v>1558</v>
      </c>
      <c r="B60" s="769">
        <v>60</v>
      </c>
      <c r="C60" s="779"/>
      <c r="D60" s="779">
        <v>20</v>
      </c>
      <c r="E60" s="668">
        <f>'INSUMOS VARIOS'!B3</f>
        <v>3500</v>
      </c>
      <c r="F60" s="662">
        <f>E60*D60/B60</f>
        <v>1166.6666666666667</v>
      </c>
      <c r="G60" s="658"/>
      <c r="H60" s="653"/>
      <c r="I60" s="652"/>
    </row>
    <row r="61" spans="1:9" ht="15.75" x14ac:dyDescent="0.25">
      <c r="A61" s="665" t="s">
        <v>3180</v>
      </c>
      <c r="B61" s="769"/>
      <c r="C61" s="779"/>
      <c r="D61" s="779"/>
      <c r="E61" s="668"/>
      <c r="F61" s="662">
        <f>PACKAGING!E8</f>
        <v>420</v>
      </c>
      <c r="G61" s="658"/>
      <c r="H61" s="653"/>
      <c r="I61" s="652"/>
    </row>
    <row r="62" spans="1:9" ht="16.5" thickBot="1" x14ac:dyDescent="0.3">
      <c r="A62" s="670" t="s">
        <v>525</v>
      </c>
      <c r="B62" s="672"/>
      <c r="C62" s="780"/>
      <c r="D62" s="780"/>
      <c r="E62" s="780"/>
      <c r="F62" s="673">
        <f>SUM(F56:F61)</f>
        <v>3236.3333333333335</v>
      </c>
      <c r="G62" s="809"/>
      <c r="H62" s="653"/>
      <c r="I62" s="652"/>
    </row>
    <row r="63" spans="1:9" ht="16.5" thickBot="1" x14ac:dyDescent="0.3">
      <c r="A63" s="1368" t="s">
        <v>1559</v>
      </c>
      <c r="B63" s="1369"/>
      <c r="C63" s="1369"/>
      <c r="D63" s="1369"/>
      <c r="E63" s="825"/>
      <c r="F63" s="787">
        <f>F62*2</f>
        <v>6472.666666666667</v>
      </c>
      <c r="G63" s="1370">
        <f>F63+F63*70%</f>
        <v>11003.533333333333</v>
      </c>
      <c r="H63" s="1372">
        <v>16000</v>
      </c>
      <c r="I63" s="1371" t="s">
        <v>3687</v>
      </c>
    </row>
    <row r="64" spans="1:9" ht="16.5" thickBot="1" x14ac:dyDescent="0.3">
      <c r="A64" s="652"/>
      <c r="B64" s="652"/>
      <c r="C64" s="652"/>
      <c r="D64" s="652"/>
      <c r="E64" s="652"/>
      <c r="F64" s="652"/>
      <c r="G64" s="652"/>
      <c r="H64" s="1275"/>
      <c r="I64" s="1371"/>
    </row>
    <row r="65" spans="1:9" ht="16.5" thickBot="1" x14ac:dyDescent="0.3">
      <c r="A65" s="1791" t="s">
        <v>4267</v>
      </c>
      <c r="B65" s="1792"/>
      <c r="C65" s="1792"/>
      <c r="D65" s="1792"/>
      <c r="E65" s="1792"/>
      <c r="F65" s="1793"/>
      <c r="G65" s="653"/>
      <c r="H65" s="653"/>
      <c r="I65" s="652"/>
    </row>
    <row r="66" spans="1:9" ht="15.75" x14ac:dyDescent="0.25">
      <c r="A66" s="821" t="s">
        <v>916</v>
      </c>
      <c r="B66" s="1365" t="s">
        <v>1073</v>
      </c>
      <c r="C66" s="823" t="s">
        <v>1089</v>
      </c>
      <c r="D66" s="823" t="s">
        <v>1547</v>
      </c>
      <c r="E66" s="823" t="s">
        <v>1035</v>
      </c>
      <c r="F66" s="824" t="s">
        <v>1549</v>
      </c>
      <c r="G66" s="658"/>
      <c r="H66" s="653"/>
      <c r="I66" s="652"/>
    </row>
    <row r="67" spans="1:9" ht="15.75" x14ac:dyDescent="0.25">
      <c r="A67" s="1366" t="s">
        <v>4042</v>
      </c>
      <c r="B67" s="769"/>
      <c r="C67" s="1367"/>
      <c r="D67" s="779">
        <v>1</v>
      </c>
      <c r="E67" s="668">
        <f>'AROS, CADENAS, DIJES, ETC'!P201</f>
        <v>3000</v>
      </c>
      <c r="F67" s="662">
        <f>E67*D67</f>
        <v>3000</v>
      </c>
      <c r="G67" s="658"/>
      <c r="H67" s="653"/>
      <c r="I67" s="652"/>
    </row>
    <row r="68" spans="1:9" ht="15.75" x14ac:dyDescent="0.25">
      <c r="A68" s="1736" t="s">
        <v>1971</v>
      </c>
      <c r="B68" s="769"/>
      <c r="C68" s="1367"/>
      <c r="D68" s="779">
        <v>1</v>
      </c>
      <c r="E68" s="668">
        <f>FORNITURAS!D4</f>
        <v>48.7</v>
      </c>
      <c r="F68" s="662">
        <f>E68*D68</f>
        <v>48.7</v>
      </c>
      <c r="G68" s="658"/>
      <c r="H68" s="653"/>
      <c r="I68" s="652"/>
    </row>
    <row r="69" spans="1:9" ht="15.75" x14ac:dyDescent="0.25">
      <c r="A69" s="1737"/>
      <c r="B69" s="769" t="s">
        <v>1054</v>
      </c>
      <c r="C69" s="1367"/>
      <c r="D69" s="779">
        <v>1</v>
      </c>
      <c r="E69" s="668">
        <f>FORNITURAS!D7</f>
        <v>52</v>
      </c>
      <c r="F69" s="662">
        <f>E69</f>
        <v>52</v>
      </c>
      <c r="G69" s="658"/>
      <c r="H69" s="653"/>
      <c r="I69" s="652"/>
    </row>
    <row r="70" spans="1:9" ht="15.75" x14ac:dyDescent="0.25">
      <c r="A70" s="1384" t="s">
        <v>1742</v>
      </c>
      <c r="B70" s="769" t="s">
        <v>3150</v>
      </c>
      <c r="C70" s="1367"/>
      <c r="D70" s="779">
        <v>1</v>
      </c>
      <c r="E70" s="668">
        <f>'PERLAS 2'!O6</f>
        <v>96.222222222222229</v>
      </c>
      <c r="F70" s="662">
        <f>E70</f>
        <v>96.222222222222229</v>
      </c>
      <c r="G70" s="658"/>
      <c r="H70" s="653"/>
      <c r="I70" s="652"/>
    </row>
    <row r="71" spans="1:9" ht="15.75" x14ac:dyDescent="0.25">
      <c r="A71" s="1366" t="s">
        <v>1587</v>
      </c>
      <c r="B71" s="769" t="s">
        <v>930</v>
      </c>
      <c r="C71" s="1367"/>
      <c r="D71" s="779">
        <v>1</v>
      </c>
      <c r="E71" s="668">
        <f>FORNITURAS!D20</f>
        <v>1066</v>
      </c>
      <c r="F71" s="662">
        <f>E71*D71</f>
        <v>1066</v>
      </c>
      <c r="G71" s="658"/>
      <c r="H71" s="653"/>
      <c r="I71" s="652"/>
    </row>
    <row r="72" spans="1:9" ht="15.75" x14ac:dyDescent="0.25">
      <c r="A72" s="665" t="s">
        <v>1557</v>
      </c>
      <c r="B72" s="769"/>
      <c r="C72" s="779"/>
      <c r="D72" s="779"/>
      <c r="E72" s="668"/>
      <c r="F72" s="662">
        <f>PACKAGING!E3</f>
        <v>150</v>
      </c>
      <c r="G72" s="658"/>
      <c r="H72" s="653"/>
      <c r="I72" s="652"/>
    </row>
    <row r="73" spans="1:9" ht="15.75" x14ac:dyDescent="0.25">
      <c r="A73" s="665" t="s">
        <v>1558</v>
      </c>
      <c r="B73" s="769">
        <v>60</v>
      </c>
      <c r="C73" s="779"/>
      <c r="D73" s="779">
        <v>20</v>
      </c>
      <c r="E73" s="668">
        <f>'INSUMOS VARIOS'!B3</f>
        <v>3500</v>
      </c>
      <c r="F73" s="662">
        <f>E73*D73/B73</f>
        <v>1166.6666666666667</v>
      </c>
      <c r="G73" s="658"/>
      <c r="H73" s="653"/>
      <c r="I73" s="652"/>
    </row>
    <row r="74" spans="1:9" ht="15.75" x14ac:dyDescent="0.25">
      <c r="A74" s="665" t="s">
        <v>3180</v>
      </c>
      <c r="B74" s="769"/>
      <c r="C74" s="779"/>
      <c r="D74" s="779"/>
      <c r="E74" s="668"/>
      <c r="F74" s="662">
        <f>PACKAGING!E8</f>
        <v>420</v>
      </c>
      <c r="G74" s="658"/>
      <c r="H74" s="653"/>
      <c r="I74" s="652"/>
    </row>
    <row r="75" spans="1:9" ht="16.5" thickBot="1" x14ac:dyDescent="0.3">
      <c r="A75" s="670" t="s">
        <v>525</v>
      </c>
      <c r="B75" s="672"/>
      <c r="C75" s="780"/>
      <c r="D75" s="780"/>
      <c r="E75" s="780"/>
      <c r="F75" s="673">
        <f>SUM(F67:F74)</f>
        <v>5999.5888888888885</v>
      </c>
      <c r="G75" s="809"/>
      <c r="H75" s="653"/>
      <c r="I75" s="652"/>
    </row>
    <row r="76" spans="1:9" ht="16.5" thickBot="1" x14ac:dyDescent="0.3">
      <c r="A76" s="1368" t="s">
        <v>1559</v>
      </c>
      <c r="B76" s="1369"/>
      <c r="C76" s="1369"/>
      <c r="D76" s="1369"/>
      <c r="E76" s="825"/>
      <c r="F76" s="787">
        <f>F75*2</f>
        <v>11999.177777777777</v>
      </c>
      <c r="G76" s="1370">
        <f>F76+F76*70%</f>
        <v>20398.60222222222</v>
      </c>
      <c r="H76" s="1372">
        <v>22000</v>
      </c>
      <c r="I76" s="1371" t="s">
        <v>3687</v>
      </c>
    </row>
    <row r="77" spans="1:9" ht="16.5" thickBot="1" x14ac:dyDescent="0.3">
      <c r="A77" s="652"/>
      <c r="B77" s="652"/>
      <c r="C77" s="652"/>
      <c r="D77" s="652"/>
      <c r="E77" s="652"/>
      <c r="F77" s="652"/>
      <c r="G77" s="652"/>
      <c r="H77" s="1275"/>
      <c r="I77" s="1371"/>
    </row>
    <row r="78" spans="1:9" ht="15.75" thickBot="1" x14ac:dyDescent="0.3"/>
    <row r="79" spans="1:9" ht="16.5" thickBot="1" x14ac:dyDescent="0.3">
      <c r="A79" s="1794" t="s">
        <v>4303</v>
      </c>
      <c r="B79" s="1795"/>
      <c r="C79" s="1795"/>
      <c r="D79" s="1795"/>
      <c r="E79" s="1795"/>
      <c r="F79" s="1796"/>
      <c r="G79" s="653"/>
      <c r="H79" s="653"/>
      <c r="I79" s="652"/>
    </row>
    <row r="80" spans="1:9" ht="15.75" x14ac:dyDescent="0.25">
      <c r="A80" s="821" t="s">
        <v>916</v>
      </c>
      <c r="B80" s="1365" t="s">
        <v>1073</v>
      </c>
      <c r="C80" s="823" t="s">
        <v>1089</v>
      </c>
      <c r="D80" s="823" t="s">
        <v>1547</v>
      </c>
      <c r="E80" s="823" t="s">
        <v>1035</v>
      </c>
      <c r="F80" s="824" t="s">
        <v>1549</v>
      </c>
      <c r="G80" s="658"/>
      <c r="H80" s="653"/>
      <c r="I80" s="652"/>
    </row>
    <row r="81" spans="1:9" ht="15.75" x14ac:dyDescent="0.25">
      <c r="A81" s="1366" t="s">
        <v>4284</v>
      </c>
      <c r="B81" s="769"/>
      <c r="C81" s="1367"/>
      <c r="D81" s="779">
        <v>1</v>
      </c>
      <c r="E81" s="668">
        <f>'AROS, CADENAS, DIJES, ETC'!P179</f>
        <v>2962</v>
      </c>
      <c r="F81" s="662">
        <f>E81*D81</f>
        <v>2962</v>
      </c>
      <c r="G81" s="658"/>
      <c r="H81" s="653"/>
      <c r="I81" s="652"/>
    </row>
    <row r="82" spans="1:9" ht="15.75" x14ac:dyDescent="0.25">
      <c r="A82" s="1366" t="s">
        <v>1971</v>
      </c>
      <c r="B82" s="769" t="s">
        <v>1556</v>
      </c>
      <c r="C82" s="1367"/>
      <c r="D82" s="779">
        <v>2</v>
      </c>
      <c r="E82" s="668">
        <f>FORNITURAS!D4</f>
        <v>48.7</v>
      </c>
      <c r="F82" s="662">
        <f>E82*D82</f>
        <v>97.4</v>
      </c>
      <c r="G82" s="658"/>
      <c r="H82" s="653"/>
      <c r="I82" s="652"/>
    </row>
    <row r="83" spans="1:9" ht="15.75" x14ac:dyDescent="0.25">
      <c r="A83" s="1366" t="s">
        <v>1587</v>
      </c>
      <c r="B83" s="769" t="s">
        <v>930</v>
      </c>
      <c r="C83" s="1367"/>
      <c r="D83" s="779">
        <v>1</v>
      </c>
      <c r="E83" s="668">
        <f>FORNITURAS!D20</f>
        <v>1066</v>
      </c>
      <c r="F83" s="662">
        <f>E83*D83</f>
        <v>1066</v>
      </c>
      <c r="G83" s="658"/>
      <c r="H83" s="653"/>
      <c r="I83" s="652"/>
    </row>
    <row r="84" spans="1:9" ht="15.75" x14ac:dyDescent="0.25">
      <c r="A84" s="665" t="s">
        <v>1557</v>
      </c>
      <c r="B84" s="769"/>
      <c r="C84" s="779"/>
      <c r="D84" s="779"/>
      <c r="E84" s="668"/>
      <c r="F84" s="662">
        <f>PACKAGING!E3</f>
        <v>150</v>
      </c>
      <c r="G84" s="658"/>
      <c r="H84" s="653"/>
      <c r="I84" s="652"/>
    </row>
    <row r="85" spans="1:9" ht="15.75" x14ac:dyDescent="0.25">
      <c r="A85" s="665" t="s">
        <v>1558</v>
      </c>
      <c r="B85" s="769">
        <v>60</v>
      </c>
      <c r="C85" s="779"/>
      <c r="D85" s="779">
        <v>15</v>
      </c>
      <c r="E85" s="668">
        <f>'INSUMOS VARIOS'!B3</f>
        <v>3500</v>
      </c>
      <c r="F85" s="662">
        <f>E85*D85/B85</f>
        <v>875</v>
      </c>
      <c r="G85" s="658"/>
      <c r="H85" s="653"/>
      <c r="I85" s="652"/>
    </row>
    <row r="86" spans="1:9" ht="15.75" x14ac:dyDescent="0.25">
      <c r="A86" s="665" t="s">
        <v>3180</v>
      </c>
      <c r="B86" s="769"/>
      <c r="C86" s="779"/>
      <c r="D86" s="779"/>
      <c r="E86" s="668"/>
      <c r="F86" s="662">
        <f>PACKAGING!E8</f>
        <v>420</v>
      </c>
      <c r="G86" s="658"/>
      <c r="H86" s="653"/>
      <c r="I86" s="652"/>
    </row>
    <row r="87" spans="1:9" ht="16.5" thickBot="1" x14ac:dyDescent="0.3">
      <c r="A87" s="670" t="s">
        <v>525</v>
      </c>
      <c r="B87" s="672"/>
      <c r="C87" s="780"/>
      <c r="D87" s="780"/>
      <c r="E87" s="780"/>
      <c r="F87" s="673">
        <f>SUM(F81:F86)</f>
        <v>5570.4</v>
      </c>
      <c r="G87" s="809"/>
      <c r="H87" s="653"/>
      <c r="I87" s="652"/>
    </row>
    <row r="88" spans="1:9" ht="16.5" thickBot="1" x14ac:dyDescent="0.3">
      <c r="A88" s="1368" t="s">
        <v>1559</v>
      </c>
      <c r="B88" s="1369"/>
      <c r="C88" s="1369"/>
      <c r="D88" s="1369"/>
      <c r="E88" s="825"/>
      <c r="F88" s="787">
        <f>F87*2</f>
        <v>11140.8</v>
      </c>
      <c r="G88" s="1370">
        <f>F88+F88*70%</f>
        <v>18939.359999999997</v>
      </c>
      <c r="H88" s="1372">
        <v>22000</v>
      </c>
      <c r="I88" s="1371" t="s">
        <v>3687</v>
      </c>
    </row>
    <row r="89" spans="1:9" ht="16.5" thickBot="1" x14ac:dyDescent="0.3">
      <c r="A89" s="652"/>
      <c r="B89" s="652"/>
      <c r="C89" s="652"/>
      <c r="D89" s="652"/>
      <c r="E89" s="652"/>
      <c r="F89" s="652"/>
      <c r="G89" s="652"/>
      <c r="H89" s="1275">
        <f>H88*60%</f>
        <v>13200</v>
      </c>
      <c r="I89" s="1371"/>
    </row>
    <row r="90" spans="1:9" ht="15.75" thickBot="1" x14ac:dyDescent="0.3"/>
    <row r="91" spans="1:9" ht="16.5" thickBot="1" x14ac:dyDescent="0.3">
      <c r="A91" s="1794" t="s">
        <v>4313</v>
      </c>
      <c r="B91" s="1795"/>
      <c r="C91" s="1795"/>
      <c r="D91" s="1795"/>
      <c r="E91" s="1795"/>
      <c r="F91" s="1796"/>
      <c r="G91" s="653"/>
      <c r="H91" s="653"/>
      <c r="I91" s="652"/>
    </row>
    <row r="92" spans="1:9" ht="15.75" x14ac:dyDescent="0.25">
      <c r="A92" s="821" t="s">
        <v>916</v>
      </c>
      <c r="B92" s="1365" t="s">
        <v>1073</v>
      </c>
      <c r="C92" s="823" t="s">
        <v>1089</v>
      </c>
      <c r="D92" s="823" t="s">
        <v>1547</v>
      </c>
      <c r="E92" s="823" t="s">
        <v>1035</v>
      </c>
      <c r="F92" s="824" t="s">
        <v>1549</v>
      </c>
      <c r="G92" s="658"/>
      <c r="H92" s="653"/>
      <c r="I92" s="652"/>
    </row>
    <row r="93" spans="1:9" ht="15.75" x14ac:dyDescent="0.25">
      <c r="A93" s="1366" t="s">
        <v>3158</v>
      </c>
      <c r="B93" s="769" t="s">
        <v>3521</v>
      </c>
      <c r="C93" s="1367"/>
      <c r="D93" s="779">
        <v>2</v>
      </c>
      <c r="E93" s="668">
        <f>PIEDRAS!F19</f>
        <v>102.05882352941177</v>
      </c>
      <c r="F93" s="662">
        <f>E93*D93</f>
        <v>204.11764705882354</v>
      </c>
      <c r="G93" s="658"/>
      <c r="H93" s="653"/>
      <c r="I93" s="652"/>
    </row>
    <row r="94" spans="1:9" ht="15.75" x14ac:dyDescent="0.25">
      <c r="A94" s="1366" t="s">
        <v>1742</v>
      </c>
      <c r="B94" s="769" t="s">
        <v>3532</v>
      </c>
      <c r="C94" s="1367"/>
      <c r="D94" s="779">
        <v>1</v>
      </c>
      <c r="E94" s="668">
        <f>'PERLAS 2'!H23</f>
        <v>281.60000000000002</v>
      </c>
      <c r="F94" s="662">
        <f>E94*D94</f>
        <v>281.60000000000002</v>
      </c>
      <c r="G94" s="658"/>
      <c r="H94" s="653"/>
      <c r="I94" s="652"/>
    </row>
    <row r="95" spans="1:9" ht="15.75" x14ac:dyDescent="0.25">
      <c r="A95" s="1366" t="s">
        <v>3111</v>
      </c>
      <c r="B95" s="769" t="s">
        <v>1744</v>
      </c>
      <c r="C95" s="1367"/>
      <c r="D95" s="779">
        <v>1</v>
      </c>
      <c r="E95" s="668">
        <f>FORNITURAS!D15</f>
        <v>142</v>
      </c>
      <c r="F95" s="662">
        <f>E95*D95</f>
        <v>142</v>
      </c>
      <c r="G95" s="658"/>
      <c r="H95" s="653"/>
      <c r="I95" s="652"/>
    </row>
    <row r="96" spans="1:9" ht="15.75" x14ac:dyDescent="0.25">
      <c r="A96" s="1366" t="s">
        <v>1587</v>
      </c>
      <c r="B96" s="769" t="s">
        <v>930</v>
      </c>
      <c r="C96" s="1367"/>
      <c r="D96" s="779">
        <v>1</v>
      </c>
      <c r="E96" s="668">
        <f>FORNITURAS!D20</f>
        <v>1066</v>
      </c>
      <c r="F96" s="662">
        <f>E96*D96</f>
        <v>1066</v>
      </c>
      <c r="G96" s="658"/>
      <c r="H96" s="653"/>
      <c r="I96" s="652"/>
    </row>
    <row r="97" spans="1:9" ht="15.75" x14ac:dyDescent="0.25">
      <c r="A97" s="665" t="s">
        <v>1557</v>
      </c>
      <c r="B97" s="769"/>
      <c r="C97" s="779"/>
      <c r="D97" s="779"/>
      <c r="E97" s="668"/>
      <c r="F97" s="662">
        <f>PACKAGING!E3</f>
        <v>150</v>
      </c>
      <c r="G97" s="658"/>
      <c r="H97" s="653"/>
      <c r="I97" s="652"/>
    </row>
    <row r="98" spans="1:9" ht="15.75" x14ac:dyDescent="0.25">
      <c r="A98" s="665" t="s">
        <v>1558</v>
      </c>
      <c r="B98" s="769">
        <v>60</v>
      </c>
      <c r="C98" s="779"/>
      <c r="D98" s="779">
        <v>15</v>
      </c>
      <c r="E98" s="668">
        <f>'INSUMOS VARIOS'!B3</f>
        <v>3500</v>
      </c>
      <c r="F98" s="662">
        <f>E98*D98/B98</f>
        <v>875</v>
      </c>
      <c r="G98" s="658"/>
      <c r="H98" s="653"/>
      <c r="I98" s="652"/>
    </row>
    <row r="99" spans="1:9" ht="15.75" x14ac:dyDescent="0.25">
      <c r="A99" s="665" t="s">
        <v>3180</v>
      </c>
      <c r="B99" s="769"/>
      <c r="C99" s="779"/>
      <c r="D99" s="779"/>
      <c r="E99" s="668"/>
      <c r="F99" s="662">
        <f>PACKAGING!E8</f>
        <v>420</v>
      </c>
      <c r="G99" s="658"/>
      <c r="H99" s="653"/>
      <c r="I99" s="652"/>
    </row>
    <row r="100" spans="1:9" ht="16.5" thickBot="1" x14ac:dyDescent="0.3">
      <c r="A100" s="670" t="s">
        <v>525</v>
      </c>
      <c r="B100" s="672"/>
      <c r="C100" s="780"/>
      <c r="D100" s="780"/>
      <c r="E100" s="780"/>
      <c r="F100" s="673">
        <f>SUM(F93:F99)</f>
        <v>3138.7176470588238</v>
      </c>
      <c r="G100" s="809"/>
      <c r="H100" s="653"/>
      <c r="I100" s="652"/>
    </row>
    <row r="101" spans="1:9" ht="16.5" thickBot="1" x14ac:dyDescent="0.3">
      <c r="A101" s="1368" t="s">
        <v>1559</v>
      </c>
      <c r="B101" s="1369"/>
      <c r="C101" s="1369"/>
      <c r="D101" s="1369"/>
      <c r="E101" s="825"/>
      <c r="F101" s="787">
        <f>F100*2</f>
        <v>6277.4352941176476</v>
      </c>
      <c r="G101" s="1370">
        <f>F101+F101*70%</f>
        <v>10671.64</v>
      </c>
      <c r="H101" s="1372">
        <v>16000</v>
      </c>
      <c r="I101" s="1371" t="s">
        <v>3687</v>
      </c>
    </row>
    <row r="102" spans="1:9" ht="16.5" thickBot="1" x14ac:dyDescent="0.3">
      <c r="A102" s="652"/>
      <c r="B102" s="652"/>
      <c r="C102" s="652"/>
      <c r="D102" s="652"/>
      <c r="E102" s="652"/>
      <c r="F102" s="652"/>
      <c r="G102" s="652"/>
      <c r="H102" s="1275">
        <f>H101*60%</f>
        <v>9600</v>
      </c>
      <c r="I102" s="1371"/>
    </row>
    <row r="103" spans="1:9" ht="15.75" thickBot="1" x14ac:dyDescent="0.3"/>
    <row r="104" spans="1:9" ht="16.5" thickBot="1" x14ac:dyDescent="0.3">
      <c r="A104" s="1811" t="s">
        <v>4572</v>
      </c>
      <c r="B104" s="1812"/>
      <c r="C104" s="1812"/>
      <c r="D104" s="1812"/>
      <c r="E104" s="1812"/>
      <c r="F104" s="1813"/>
      <c r="G104" s="653"/>
      <c r="H104" s="653"/>
      <c r="I104" s="652"/>
    </row>
    <row r="105" spans="1:9" ht="15.75" x14ac:dyDescent="0.25">
      <c r="A105" s="821" t="s">
        <v>916</v>
      </c>
      <c r="B105" s="1365" t="s">
        <v>1073</v>
      </c>
      <c r="C105" s="823" t="s">
        <v>1089</v>
      </c>
      <c r="D105" s="823" t="s">
        <v>1547</v>
      </c>
      <c r="E105" s="823" t="s">
        <v>1035</v>
      </c>
      <c r="F105" s="824" t="s">
        <v>1549</v>
      </c>
      <c r="G105" s="658"/>
      <c r="H105" s="653"/>
      <c r="I105" s="652"/>
    </row>
    <row r="106" spans="1:9" ht="15.75" x14ac:dyDescent="0.25">
      <c r="A106" s="1366" t="s">
        <v>4237</v>
      </c>
      <c r="B106" s="769"/>
      <c r="C106" s="1367"/>
      <c r="D106" s="779">
        <v>1</v>
      </c>
      <c r="E106" s="668">
        <f>'AROS, CADENAS, DIJES, ETC'!R188</f>
        <v>2608</v>
      </c>
      <c r="F106" s="662">
        <f>E106*D106</f>
        <v>2608</v>
      </c>
      <c r="G106" s="658"/>
      <c r="H106" s="653"/>
      <c r="I106" s="652"/>
    </row>
    <row r="107" spans="1:9" ht="15.75" x14ac:dyDescent="0.25">
      <c r="A107" s="1366" t="s">
        <v>1971</v>
      </c>
      <c r="B107" s="769" t="s">
        <v>1933</v>
      </c>
      <c r="C107" s="1367"/>
      <c r="D107" s="779">
        <v>1</v>
      </c>
      <c r="E107" s="668">
        <f>PLATEADO!D23</f>
        <v>46.8</v>
      </c>
      <c r="F107" s="662">
        <f>E107*D107</f>
        <v>46.8</v>
      </c>
      <c r="G107" s="658"/>
      <c r="H107" s="653"/>
      <c r="I107" s="652"/>
    </row>
    <row r="108" spans="1:9" ht="15.75" x14ac:dyDescent="0.25">
      <c r="A108" s="1366" t="s">
        <v>1587</v>
      </c>
      <c r="B108" s="769" t="s">
        <v>930</v>
      </c>
      <c r="C108" s="1367"/>
      <c r="D108" s="779">
        <v>1</v>
      </c>
      <c r="E108" s="668">
        <f>FORNITURAS!J45</f>
        <v>334</v>
      </c>
      <c r="F108" s="662">
        <f>E108*D108</f>
        <v>334</v>
      </c>
      <c r="G108" s="658"/>
      <c r="H108" s="653"/>
      <c r="I108" s="652"/>
    </row>
    <row r="109" spans="1:9" ht="15.75" x14ac:dyDescent="0.25">
      <c r="A109" s="665" t="s">
        <v>1557</v>
      </c>
      <c r="B109" s="769"/>
      <c r="C109" s="779"/>
      <c r="D109" s="779"/>
      <c r="E109" s="668"/>
      <c r="F109" s="662">
        <f>PACKAGING!E3</f>
        <v>150</v>
      </c>
      <c r="G109" s="658"/>
      <c r="H109" s="653"/>
      <c r="I109" s="652"/>
    </row>
    <row r="110" spans="1:9" ht="15.75" x14ac:dyDescent="0.25">
      <c r="A110" s="665" t="s">
        <v>1558</v>
      </c>
      <c r="B110" s="769">
        <v>60</v>
      </c>
      <c r="C110" s="779"/>
      <c r="D110" s="779">
        <v>10</v>
      </c>
      <c r="E110" s="668">
        <f>'INSUMOS VARIOS'!B3</f>
        <v>3500</v>
      </c>
      <c r="F110" s="662">
        <f>E110*D110/B110</f>
        <v>583.33333333333337</v>
      </c>
      <c r="G110" s="658"/>
      <c r="H110" s="653"/>
      <c r="I110" s="652"/>
    </row>
    <row r="111" spans="1:9" ht="15.75" x14ac:dyDescent="0.25">
      <c r="A111" s="665" t="s">
        <v>3180</v>
      </c>
      <c r="B111" s="769"/>
      <c r="C111" s="779"/>
      <c r="D111" s="779"/>
      <c r="E111" s="668"/>
      <c r="F111" s="662">
        <f>PACKAGING!E8</f>
        <v>420</v>
      </c>
      <c r="G111" s="658"/>
      <c r="H111" s="653"/>
      <c r="I111" s="652"/>
    </row>
    <row r="112" spans="1:9" ht="16.5" thickBot="1" x14ac:dyDescent="0.3">
      <c r="A112" s="670" t="s">
        <v>525</v>
      </c>
      <c r="B112" s="672"/>
      <c r="C112" s="780"/>
      <c r="D112" s="780"/>
      <c r="E112" s="780"/>
      <c r="F112" s="673">
        <f>SUM(F106:F111)</f>
        <v>4142.1333333333332</v>
      </c>
      <c r="G112" s="809"/>
      <c r="H112" s="653"/>
      <c r="I112" s="652"/>
    </row>
    <row r="113" spans="1:9" ht="16.5" thickBot="1" x14ac:dyDescent="0.3">
      <c r="A113" s="1368" t="s">
        <v>1559</v>
      </c>
      <c r="B113" s="1369"/>
      <c r="C113" s="1369"/>
      <c r="D113" s="1369"/>
      <c r="E113" s="825"/>
      <c r="F113" s="787">
        <f>F112*2</f>
        <v>8284.2666666666664</v>
      </c>
      <c r="G113" s="1370">
        <f>F113+F113*70%</f>
        <v>14083.253333333332</v>
      </c>
      <c r="H113" s="1372"/>
      <c r="I113" s="1371" t="s">
        <v>3687</v>
      </c>
    </row>
    <row r="114" spans="1:9" ht="16.5" thickBot="1" x14ac:dyDescent="0.3">
      <c r="A114" s="652"/>
      <c r="B114" s="652"/>
      <c r="C114" s="652"/>
      <c r="D114" s="652"/>
      <c r="E114" s="652"/>
      <c r="F114" s="652"/>
      <c r="G114" s="652"/>
      <c r="H114" s="1275"/>
      <c r="I114" s="1371"/>
    </row>
    <row r="115" spans="1:9" ht="15.75" thickBot="1" x14ac:dyDescent="0.3"/>
    <row r="116" spans="1:9" ht="16.5" thickBot="1" x14ac:dyDescent="0.3">
      <c r="A116" s="1811" t="s">
        <v>4604</v>
      </c>
      <c r="B116" s="1812"/>
      <c r="C116" s="1812"/>
      <c r="D116" s="1812"/>
      <c r="E116" s="1812"/>
      <c r="F116" s="1813"/>
      <c r="G116" s="653"/>
      <c r="H116" s="653"/>
      <c r="I116" s="652"/>
    </row>
    <row r="117" spans="1:9" ht="15.75" x14ac:dyDescent="0.25">
      <c r="A117" s="821" t="s">
        <v>916</v>
      </c>
      <c r="B117" s="1365" t="s">
        <v>1073</v>
      </c>
      <c r="C117" s="823" t="s">
        <v>1089</v>
      </c>
      <c r="D117" s="823" t="s">
        <v>1547</v>
      </c>
      <c r="E117" s="823" t="s">
        <v>1035</v>
      </c>
      <c r="F117" s="824" t="s">
        <v>1549</v>
      </c>
      <c r="G117" s="658"/>
      <c r="H117" s="653"/>
      <c r="I117" s="652"/>
    </row>
    <row r="118" spans="1:9" ht="15.75" x14ac:dyDescent="0.25">
      <c r="A118" s="1366" t="s">
        <v>2065</v>
      </c>
      <c r="B118" s="769"/>
      <c r="C118" s="1367"/>
      <c r="D118" s="779">
        <v>1</v>
      </c>
      <c r="E118" s="668">
        <f>'INSUMOS VARIOS'!E77</f>
        <v>200</v>
      </c>
      <c r="F118" s="662">
        <f>E118*D118</f>
        <v>200</v>
      </c>
      <c r="G118" s="658"/>
      <c r="H118" s="653"/>
      <c r="I118" s="652"/>
    </row>
    <row r="119" spans="1:9" ht="15.75" x14ac:dyDescent="0.25">
      <c r="A119" s="1736" t="s">
        <v>4201</v>
      </c>
      <c r="B119" s="769"/>
      <c r="C119" s="1367">
        <v>0.35</v>
      </c>
      <c r="D119" s="779">
        <v>2</v>
      </c>
      <c r="E119" s="668">
        <f>'HILOS-CORDONES-TANZA-CUERO'!E24</f>
        <v>56</v>
      </c>
      <c r="F119" s="662">
        <f>E119*D119*C119</f>
        <v>39.199999999999996</v>
      </c>
      <c r="G119" s="658"/>
      <c r="H119" s="653"/>
      <c r="I119" s="652"/>
    </row>
    <row r="120" spans="1:9" ht="15.75" x14ac:dyDescent="0.25">
      <c r="A120" s="1737"/>
      <c r="B120" s="769"/>
      <c r="C120" s="1367">
        <f>0.65</f>
        <v>0.65</v>
      </c>
      <c r="D120" s="779">
        <v>1</v>
      </c>
      <c r="E120" s="668">
        <f>'HILOS-CORDONES-TANZA-CUERO'!E24</f>
        <v>56</v>
      </c>
      <c r="F120" s="662">
        <f>E120*D120*C120</f>
        <v>36.4</v>
      </c>
      <c r="G120" s="658"/>
      <c r="H120" s="653"/>
      <c r="I120" s="652"/>
    </row>
    <row r="121" spans="1:9" ht="15.75" x14ac:dyDescent="0.25">
      <c r="A121" s="1366" t="s">
        <v>1587</v>
      </c>
      <c r="B121" s="769" t="s">
        <v>930</v>
      </c>
      <c r="C121" s="1367"/>
      <c r="D121" s="779">
        <v>1</v>
      </c>
      <c r="E121" s="668">
        <f>FORNITURAS!H45</f>
        <v>563</v>
      </c>
      <c r="F121" s="662">
        <f>E121*D121</f>
        <v>563</v>
      </c>
      <c r="G121" s="658"/>
      <c r="H121" s="653"/>
      <c r="I121" s="652"/>
    </row>
    <row r="122" spans="1:9" ht="15.75" x14ac:dyDescent="0.25">
      <c r="A122" s="665" t="s">
        <v>1557</v>
      </c>
      <c r="B122" s="769"/>
      <c r="C122" s="779"/>
      <c r="D122" s="779"/>
      <c r="E122" s="668"/>
      <c r="F122" s="662">
        <f>PACKAGING!E3</f>
        <v>150</v>
      </c>
      <c r="G122" s="658"/>
      <c r="H122" s="653"/>
      <c r="I122" s="652"/>
    </row>
    <row r="123" spans="1:9" ht="15.75" x14ac:dyDescent="0.25">
      <c r="A123" s="665" t="s">
        <v>1558</v>
      </c>
      <c r="B123" s="769">
        <v>60</v>
      </c>
      <c r="C123" s="779"/>
      <c r="D123" s="779">
        <v>30</v>
      </c>
      <c r="E123" s="668">
        <f>'INSUMOS VARIOS'!B3</f>
        <v>3500</v>
      </c>
      <c r="F123" s="662">
        <f>E123*D123/B123</f>
        <v>1750</v>
      </c>
      <c r="G123" s="658"/>
      <c r="H123" s="653"/>
      <c r="I123" s="652"/>
    </row>
    <row r="124" spans="1:9" ht="15.75" x14ac:dyDescent="0.25">
      <c r="A124" s="665" t="s">
        <v>3496</v>
      </c>
      <c r="B124" s="769"/>
      <c r="C124" s="779"/>
      <c r="D124" s="779"/>
      <c r="E124" s="668"/>
      <c r="F124" s="662">
        <f>PACKAGING!E9</f>
        <v>450</v>
      </c>
      <c r="G124" s="658"/>
      <c r="H124" s="653"/>
      <c r="I124" s="652"/>
    </row>
    <row r="125" spans="1:9" ht="16.5" thickBot="1" x14ac:dyDescent="0.3">
      <c r="A125" s="670" t="s">
        <v>525</v>
      </c>
      <c r="B125" s="672"/>
      <c r="C125" s="780"/>
      <c r="D125" s="780"/>
      <c r="E125" s="780"/>
      <c r="F125" s="673">
        <f>SUM(F118:F124)</f>
        <v>3188.6</v>
      </c>
      <c r="G125" s="809"/>
      <c r="H125" s="653"/>
      <c r="I125" s="652"/>
    </row>
    <row r="126" spans="1:9" ht="16.5" thickBot="1" x14ac:dyDescent="0.3">
      <c r="A126" s="1368" t="s">
        <v>1559</v>
      </c>
      <c r="B126" s="1369"/>
      <c r="C126" s="1369"/>
      <c r="D126" s="1369"/>
      <c r="E126" s="825"/>
      <c r="F126" s="787">
        <f>F125*2</f>
        <v>6377.2</v>
      </c>
      <c r="G126" s="1370">
        <f>F126+F126*70%</f>
        <v>10841.24</v>
      </c>
      <c r="H126" s="1372"/>
      <c r="I126" s="1371" t="s">
        <v>3687</v>
      </c>
    </row>
    <row r="127" spans="1:9" ht="16.5" thickBot="1" x14ac:dyDescent="0.3">
      <c r="A127" s="652"/>
      <c r="B127" s="652"/>
      <c r="C127" s="652"/>
      <c r="D127" s="652"/>
      <c r="E127" s="652"/>
      <c r="F127" s="652"/>
      <c r="G127" s="652"/>
      <c r="H127" s="1275"/>
      <c r="I127" s="1371"/>
    </row>
  </sheetData>
  <mergeCells count="13">
    <mergeCell ref="A65:F65"/>
    <mergeCell ref="A68:A69"/>
    <mergeCell ref="A54:F54"/>
    <mergeCell ref="A2:F2"/>
    <mergeCell ref="A15:F15"/>
    <mergeCell ref="A28:F28"/>
    <mergeCell ref="A40:F40"/>
    <mergeCell ref="A44:A45"/>
    <mergeCell ref="A104:F104"/>
    <mergeCell ref="A116:F116"/>
    <mergeCell ref="A119:A120"/>
    <mergeCell ref="A79:F79"/>
    <mergeCell ref="A91:F91"/>
  </mergeCells>
  <pageMargins left="0.7" right="0.7" top="0.75" bottom="0.75" header="0.3" footer="0.3"/>
  <ignoredErrors>
    <ignoredError sqref="F69" formula="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6B8DD-5740-4739-AC94-913BBCBCC0DF}">
  <dimension ref="A1:H181"/>
  <sheetViews>
    <sheetView topLeftCell="A141" workbookViewId="0">
      <selection activeCell="A164" sqref="A164"/>
    </sheetView>
  </sheetViews>
  <sheetFormatPr baseColWidth="10" defaultRowHeight="15" x14ac:dyDescent="0.25"/>
  <cols>
    <col min="1" max="1" width="34.140625" customWidth="1"/>
    <col min="2" max="2" width="12.28515625" bestFit="1" customWidth="1"/>
    <col min="5" max="7" width="12.85546875" bestFit="1" customWidth="1"/>
  </cols>
  <sheetData>
    <row r="1" spans="1:8" ht="15.75" thickBot="1" x14ac:dyDescent="0.3"/>
    <row r="2" spans="1:8" ht="16.5" thickBot="1" x14ac:dyDescent="0.3">
      <c r="A2" s="1791" t="s">
        <v>4254</v>
      </c>
      <c r="B2" s="1792"/>
      <c r="C2" s="1792"/>
      <c r="D2" s="1792"/>
      <c r="E2" s="1793"/>
      <c r="F2" s="653"/>
      <c r="G2" s="653"/>
      <c r="H2" s="653"/>
    </row>
    <row r="3" spans="1:8" ht="15.75" x14ac:dyDescent="0.25">
      <c r="A3" s="654" t="s">
        <v>916</v>
      </c>
      <c r="B3" s="655" t="s">
        <v>743</v>
      </c>
      <c r="C3" s="655" t="s">
        <v>1566</v>
      </c>
      <c r="D3" s="656" t="s">
        <v>1035</v>
      </c>
      <c r="E3" s="657" t="s">
        <v>1549</v>
      </c>
      <c r="F3" s="658"/>
      <c r="G3" s="653"/>
      <c r="H3" s="653"/>
    </row>
    <row r="4" spans="1:8" ht="15.75" x14ac:dyDescent="0.25">
      <c r="A4" s="683" t="s">
        <v>3456</v>
      </c>
      <c r="B4" s="660" t="s">
        <v>989</v>
      </c>
      <c r="C4" s="660">
        <v>1</v>
      </c>
      <c r="D4" s="661">
        <f>PIEDRAS!F76</f>
        <v>764</v>
      </c>
      <c r="E4" s="662">
        <f t="shared" ref="E4:E12" si="0">D4*C4</f>
        <v>764</v>
      </c>
      <c r="F4" s="658"/>
      <c r="G4" s="653"/>
      <c r="H4" s="653"/>
    </row>
    <row r="5" spans="1:8" ht="15.75" x14ac:dyDescent="0.25">
      <c r="A5" s="683" t="s">
        <v>3719</v>
      </c>
      <c r="B5" s="660" t="s">
        <v>805</v>
      </c>
      <c r="C5" s="660">
        <v>2</v>
      </c>
      <c r="D5" s="661">
        <f>PIEDRAS!F79</f>
        <v>257.14285714285717</v>
      </c>
      <c r="E5" s="662">
        <f t="shared" si="0"/>
        <v>514.28571428571433</v>
      </c>
      <c r="F5" s="658"/>
      <c r="G5" s="653"/>
      <c r="H5" s="653"/>
    </row>
    <row r="6" spans="1:8" ht="15.75" x14ac:dyDescent="0.25">
      <c r="A6" s="683" t="s">
        <v>4187</v>
      </c>
      <c r="B6" s="660" t="s">
        <v>805</v>
      </c>
      <c r="C6" s="660">
        <v>1</v>
      </c>
      <c r="D6" s="661">
        <f>PIEDRAS!F119</f>
        <v>95.238095238095241</v>
      </c>
      <c r="E6" s="662">
        <f t="shared" si="0"/>
        <v>95.238095238095241</v>
      </c>
      <c r="F6" s="658"/>
      <c r="G6" s="653"/>
      <c r="H6" s="653"/>
    </row>
    <row r="7" spans="1:8" ht="15.75" x14ac:dyDescent="0.25">
      <c r="A7" s="683" t="s">
        <v>4130</v>
      </c>
      <c r="B7" s="660" t="s">
        <v>781</v>
      </c>
      <c r="C7" s="660">
        <v>1</v>
      </c>
      <c r="D7" s="661">
        <f>VIDRIOS!E29</f>
        <v>59.583333333333336</v>
      </c>
      <c r="E7" s="662">
        <f t="shared" si="0"/>
        <v>59.583333333333336</v>
      </c>
      <c r="F7" s="658"/>
      <c r="G7" s="653"/>
      <c r="H7" s="653"/>
    </row>
    <row r="8" spans="1:8" ht="15.75" x14ac:dyDescent="0.25">
      <c r="A8" s="683" t="s">
        <v>4132</v>
      </c>
      <c r="B8" s="660" t="s">
        <v>3521</v>
      </c>
      <c r="C8" s="660">
        <v>2</v>
      </c>
      <c r="D8" s="661">
        <f>PIEDRAS!F19</f>
        <v>102.05882352941177</v>
      </c>
      <c r="E8" s="662">
        <f t="shared" si="0"/>
        <v>204.11764705882354</v>
      </c>
      <c r="F8" s="658"/>
      <c r="G8" s="653"/>
      <c r="H8" s="653"/>
    </row>
    <row r="9" spans="1:8" ht="15.75" x14ac:dyDescent="0.25">
      <c r="A9" s="683" t="s">
        <v>4139</v>
      </c>
      <c r="B9" s="660" t="s">
        <v>989</v>
      </c>
      <c r="C9" s="660">
        <v>1</v>
      </c>
      <c r="D9" s="661">
        <f>PIEDRAS!F130</f>
        <v>96.15384615384616</v>
      </c>
      <c r="E9" s="662">
        <f t="shared" si="0"/>
        <v>96.15384615384616</v>
      </c>
      <c r="F9" s="658"/>
      <c r="G9" s="653"/>
      <c r="H9" s="653"/>
    </row>
    <row r="10" spans="1:8" ht="15.75" x14ac:dyDescent="0.25">
      <c r="A10" s="683" t="s">
        <v>4139</v>
      </c>
      <c r="B10" s="660" t="s">
        <v>795</v>
      </c>
      <c r="C10" s="660">
        <v>1</v>
      </c>
      <c r="D10" s="661">
        <f>PIEDRAS!F131</f>
        <v>113.63636363636364</v>
      </c>
      <c r="E10" s="662">
        <f t="shared" si="0"/>
        <v>113.63636363636364</v>
      </c>
      <c r="F10" s="658"/>
      <c r="G10" s="653"/>
      <c r="H10" s="653"/>
    </row>
    <row r="11" spans="1:8" ht="15.75" x14ac:dyDescent="0.25">
      <c r="A11" s="683" t="s">
        <v>4239</v>
      </c>
      <c r="B11" s="660" t="s">
        <v>781</v>
      </c>
      <c r="C11" s="660">
        <v>1</v>
      </c>
      <c r="D11" s="661">
        <f>PIEDRAS!F128</f>
        <v>85</v>
      </c>
      <c r="E11" s="662">
        <f t="shared" si="0"/>
        <v>85</v>
      </c>
      <c r="F11" s="658"/>
      <c r="G11" s="653"/>
      <c r="H11" s="653"/>
    </row>
    <row r="12" spans="1:8" ht="15.75" x14ac:dyDescent="0.25">
      <c r="A12" s="683" t="s">
        <v>4134</v>
      </c>
      <c r="B12" s="660"/>
      <c r="C12" s="660">
        <v>2</v>
      </c>
      <c r="D12" s="661">
        <f>PIEDRAS!F81</f>
        <v>181.66666666666666</v>
      </c>
      <c r="E12" s="662">
        <f t="shared" si="0"/>
        <v>363.33333333333331</v>
      </c>
      <c r="F12" s="658"/>
      <c r="G12" s="653"/>
      <c r="H12" s="653"/>
    </row>
    <row r="13" spans="1:8" ht="15.75" x14ac:dyDescent="0.25">
      <c r="A13" s="683" t="s">
        <v>4135</v>
      </c>
      <c r="B13" s="660">
        <v>0.6</v>
      </c>
      <c r="C13" s="660">
        <v>0.02</v>
      </c>
      <c r="D13" s="661">
        <f>PIEDRAS!E155</f>
        <v>2400</v>
      </c>
      <c r="E13" s="662">
        <f>D13*C13/B13</f>
        <v>80</v>
      </c>
      <c r="F13" s="658"/>
      <c r="G13" s="653"/>
      <c r="H13" s="653"/>
    </row>
    <row r="14" spans="1:8" ht="15.75" x14ac:dyDescent="0.25">
      <c r="A14" s="683" t="s">
        <v>4137</v>
      </c>
      <c r="B14" s="660"/>
      <c r="C14" s="660">
        <v>1</v>
      </c>
      <c r="D14" s="661">
        <f>VIDRIOS!E38</f>
        <v>30.927835051546392</v>
      </c>
      <c r="E14" s="662">
        <f t="shared" ref="E14:E15" si="1">D14*C14</f>
        <v>30.927835051546392</v>
      </c>
      <c r="F14" s="658"/>
      <c r="G14" s="653"/>
      <c r="H14" s="653"/>
    </row>
    <row r="15" spans="1:8" ht="15.75" x14ac:dyDescent="0.25">
      <c r="A15" s="663" t="s">
        <v>1572</v>
      </c>
      <c r="B15" s="660" t="s">
        <v>4206</v>
      </c>
      <c r="C15" s="660">
        <v>1</v>
      </c>
      <c r="D15" s="661">
        <f>FORNITURAS!H63</f>
        <v>466.95652173913044</v>
      </c>
      <c r="E15" s="662">
        <f t="shared" si="1"/>
        <v>466.95652173913044</v>
      </c>
      <c r="F15" s="658"/>
      <c r="G15" s="653"/>
      <c r="H15" s="653"/>
    </row>
    <row r="16" spans="1:8" ht="15.75" x14ac:dyDescent="0.25">
      <c r="A16" s="663" t="s">
        <v>1988</v>
      </c>
      <c r="B16" s="660"/>
      <c r="C16" s="660">
        <v>1</v>
      </c>
      <c r="D16" s="661">
        <f>FORNITURAS!H47</f>
        <v>2346</v>
      </c>
      <c r="E16" s="662">
        <f>D16*C16</f>
        <v>2346</v>
      </c>
      <c r="F16" s="658"/>
      <c r="G16" s="653"/>
      <c r="H16" s="653"/>
    </row>
    <row r="17" spans="1:8" ht="15.75" x14ac:dyDescent="0.25">
      <c r="A17" s="665" t="s">
        <v>3340</v>
      </c>
      <c r="B17" s="660"/>
      <c r="C17" s="660">
        <v>0.25</v>
      </c>
      <c r="D17" s="661">
        <f>'HILOS-CORDONES-TANZA-CUERO'!E7</f>
        <v>50.35</v>
      </c>
      <c r="E17" s="662">
        <f>C17*D17</f>
        <v>12.5875</v>
      </c>
      <c r="F17" s="658"/>
      <c r="G17" s="653"/>
      <c r="H17" s="653"/>
    </row>
    <row r="18" spans="1:8" ht="15.75" x14ac:dyDescent="0.25">
      <c r="A18" s="666" t="s">
        <v>1557</v>
      </c>
      <c r="B18" s="660"/>
      <c r="C18" s="660"/>
      <c r="D18" s="661"/>
      <c r="E18" s="667">
        <f>PACKAGING!E4</f>
        <v>80</v>
      </c>
      <c r="F18" s="653"/>
      <c r="G18" s="658"/>
      <c r="H18" s="653"/>
    </row>
    <row r="19" spans="1:8" ht="15.75" x14ac:dyDescent="0.25">
      <c r="A19" s="666" t="s">
        <v>3362</v>
      </c>
      <c r="B19" s="660"/>
      <c r="C19" s="660"/>
      <c r="D19" s="661"/>
      <c r="E19" s="667">
        <f>PACKAGING!E17</f>
        <v>7.5</v>
      </c>
      <c r="F19" s="653"/>
      <c r="G19" s="658"/>
      <c r="H19" s="653"/>
    </row>
    <row r="20" spans="1:8" ht="15.75" x14ac:dyDescent="0.25">
      <c r="A20" s="1339" t="s">
        <v>3568</v>
      </c>
      <c r="B20" s="660"/>
      <c r="C20" s="660"/>
      <c r="D20" s="668"/>
      <c r="E20" s="667">
        <f>PACKAGING!I5</f>
        <v>845</v>
      </c>
      <c r="F20" s="653"/>
      <c r="G20" s="658"/>
      <c r="H20" s="653"/>
    </row>
    <row r="21" spans="1:8" ht="15.75" x14ac:dyDescent="0.25">
      <c r="A21" s="683" t="s">
        <v>1618</v>
      </c>
      <c r="B21" s="660">
        <v>60</v>
      </c>
      <c r="C21" s="660">
        <v>20</v>
      </c>
      <c r="D21" s="668">
        <f>'INSUMOS VARIOS'!B3</f>
        <v>3500</v>
      </c>
      <c r="E21" s="669">
        <f>D21*C21/B21</f>
        <v>1166.6666666666667</v>
      </c>
    </row>
    <row r="22" spans="1:8" ht="15.75" x14ac:dyDescent="0.25">
      <c r="A22" s="670" t="s">
        <v>525</v>
      </c>
      <c r="B22" s="671"/>
      <c r="C22" s="671"/>
      <c r="D22" s="672"/>
      <c r="E22" s="673">
        <f>SUM(E4:E21)</f>
        <v>7330.9868564968529</v>
      </c>
      <c r="F22" s="658"/>
      <c r="G22" s="653"/>
      <c r="H22" s="652"/>
    </row>
    <row r="23" spans="1:8" ht="16.5" thickBot="1" x14ac:dyDescent="0.3">
      <c r="A23" s="675" t="s">
        <v>544</v>
      </c>
      <c r="B23" s="676"/>
      <c r="C23" s="676"/>
      <c r="D23" s="677"/>
      <c r="E23" s="692">
        <f>E22*2</f>
        <v>14661.973712993706</v>
      </c>
      <c r="F23" s="809"/>
      <c r="G23" s="653"/>
      <c r="H23" s="652"/>
    </row>
    <row r="24" spans="1:8" ht="16.5" thickBot="1" x14ac:dyDescent="0.3">
      <c r="A24" s="684" t="s">
        <v>1559</v>
      </c>
      <c r="B24" s="685"/>
      <c r="C24" s="685"/>
      <c r="D24" s="686"/>
      <c r="E24" s="686"/>
      <c r="F24" s="1370">
        <f>E23+E23*70%</f>
        <v>24925.355312089298</v>
      </c>
      <c r="G24" s="1372">
        <v>24000</v>
      </c>
      <c r="H24" s="1371"/>
    </row>
    <row r="25" spans="1:8" ht="16.5" thickBot="1" x14ac:dyDescent="0.3">
      <c r="F25" s="652"/>
      <c r="G25" s="1275"/>
      <c r="H25" s="652"/>
    </row>
    <row r="26" spans="1:8" ht="15.75" thickBot="1" x14ac:dyDescent="0.3"/>
    <row r="27" spans="1:8" ht="16.5" thickBot="1" x14ac:dyDescent="0.3">
      <c r="A27" s="1791" t="s">
        <v>4255</v>
      </c>
      <c r="B27" s="1792"/>
      <c r="C27" s="1792"/>
      <c r="D27" s="1792"/>
      <c r="E27" s="1793"/>
      <c r="F27" s="653"/>
      <c r="G27" s="653"/>
    </row>
    <row r="28" spans="1:8" ht="15.75" x14ac:dyDescent="0.25">
      <c r="A28" s="654" t="s">
        <v>916</v>
      </c>
      <c r="B28" s="655" t="s">
        <v>743</v>
      </c>
      <c r="C28" s="655" t="s">
        <v>1566</v>
      </c>
      <c r="D28" s="656" t="s">
        <v>1035</v>
      </c>
      <c r="E28" s="657" t="s">
        <v>1549</v>
      </c>
      <c r="F28" s="658"/>
      <c r="G28" s="653"/>
    </row>
    <row r="29" spans="1:8" ht="15.75" x14ac:dyDescent="0.25">
      <c r="A29" s="683" t="s">
        <v>3753</v>
      </c>
      <c r="B29" s="660"/>
      <c r="C29" s="660">
        <v>8</v>
      </c>
      <c r="D29" s="661">
        <f>PIEDRAS!F81</f>
        <v>181.66666666666666</v>
      </c>
      <c r="E29" s="662">
        <f t="shared" ref="E29:E30" si="2">D29*C29</f>
        <v>1453.3333333333333</v>
      </c>
      <c r="F29" s="658"/>
      <c r="G29" s="653"/>
    </row>
    <row r="30" spans="1:8" ht="15.75" x14ac:dyDescent="0.25">
      <c r="A30" s="683" t="s">
        <v>4240</v>
      </c>
      <c r="B30" s="660"/>
      <c r="C30" s="660">
        <v>3</v>
      </c>
      <c r="D30" s="661">
        <f>PIEDRAS!F82</f>
        <v>750</v>
      </c>
      <c r="E30" s="662">
        <f t="shared" si="2"/>
        <v>2250</v>
      </c>
      <c r="F30" s="658"/>
      <c r="G30" s="653"/>
    </row>
    <row r="31" spans="1:8" ht="15.75" x14ac:dyDescent="0.25">
      <c r="A31" s="1736" t="s">
        <v>1572</v>
      </c>
      <c r="B31" s="660" t="s">
        <v>4241</v>
      </c>
      <c r="C31" s="660">
        <v>2</v>
      </c>
      <c r="D31" s="661">
        <f>FORNITURAS!H62</f>
        <v>466.15384615384613</v>
      </c>
      <c r="E31" s="662">
        <f t="shared" ref="E31" si="3">D31*C31</f>
        <v>932.30769230769226</v>
      </c>
      <c r="F31" s="658"/>
      <c r="G31" s="653"/>
    </row>
    <row r="32" spans="1:8" ht="15.75" x14ac:dyDescent="0.25">
      <c r="A32" s="1737"/>
      <c r="B32" s="660" t="s">
        <v>4206</v>
      </c>
      <c r="C32" s="660">
        <v>1</v>
      </c>
      <c r="D32" s="661">
        <f>FORNITURAS!H63</f>
        <v>466.95652173913044</v>
      </c>
      <c r="E32" s="662">
        <f>D32*C32</f>
        <v>466.95652173913044</v>
      </c>
      <c r="F32" s="658"/>
      <c r="G32" s="653"/>
    </row>
    <row r="33" spans="1:7" ht="15.75" x14ac:dyDescent="0.25">
      <c r="A33" s="666" t="s">
        <v>4156</v>
      </c>
      <c r="B33" s="660" t="s">
        <v>4157</v>
      </c>
      <c r="C33" s="660">
        <v>2</v>
      </c>
      <c r="D33" s="661">
        <f>FORNITURAS!I13</f>
        <v>274.44444444444446</v>
      </c>
      <c r="E33" s="662">
        <f>D33*C33</f>
        <v>548.88888888888891</v>
      </c>
      <c r="F33" s="658"/>
      <c r="G33" s="653"/>
    </row>
    <row r="34" spans="1:7" ht="15.75" x14ac:dyDescent="0.25">
      <c r="A34" s="666" t="s">
        <v>1697</v>
      </c>
      <c r="B34" s="660"/>
      <c r="C34" s="660">
        <v>4</v>
      </c>
      <c r="D34" s="661">
        <f>FORNITURAS!D24</f>
        <v>34.666666666666664</v>
      </c>
      <c r="E34" s="662">
        <f>D34*C34</f>
        <v>138.66666666666666</v>
      </c>
      <c r="F34" s="658"/>
      <c r="G34" s="653"/>
    </row>
    <row r="35" spans="1:7" ht="15.75" x14ac:dyDescent="0.25">
      <c r="A35" s="666" t="s">
        <v>1988</v>
      </c>
      <c r="B35" s="660"/>
      <c r="C35" s="660">
        <v>1</v>
      </c>
      <c r="D35" s="661">
        <f>FORNITURAS!H47</f>
        <v>2346</v>
      </c>
      <c r="E35" s="662">
        <f>D35*C35</f>
        <v>2346</v>
      </c>
      <c r="F35" s="658"/>
      <c r="G35" s="653"/>
    </row>
    <row r="36" spans="1:7" ht="15.75" x14ac:dyDescent="0.25">
      <c r="A36" s="665" t="s">
        <v>3340</v>
      </c>
      <c r="B36" s="660"/>
      <c r="C36" s="660">
        <v>0.3</v>
      </c>
      <c r="D36" s="661">
        <f>'HILOS-CORDONES-TANZA-CUERO'!E7</f>
        <v>50.35</v>
      </c>
      <c r="E36" s="662">
        <f>C36*D36</f>
        <v>15.105</v>
      </c>
      <c r="F36" s="658"/>
      <c r="G36" s="653"/>
    </row>
    <row r="37" spans="1:7" ht="15.75" x14ac:dyDescent="0.25">
      <c r="A37" s="666" t="s">
        <v>1557</v>
      </c>
      <c r="B37" s="660"/>
      <c r="C37" s="660"/>
      <c r="D37" s="661"/>
      <c r="E37" s="667">
        <f>PACKAGING!E4</f>
        <v>80</v>
      </c>
      <c r="F37" s="653"/>
      <c r="G37" s="658"/>
    </row>
    <row r="38" spans="1:7" ht="15.75" x14ac:dyDescent="0.25">
      <c r="A38" s="666" t="s">
        <v>3362</v>
      </c>
      <c r="B38" s="660"/>
      <c r="C38" s="660"/>
      <c r="D38" s="661"/>
      <c r="E38" s="667">
        <f>PACKAGING!E17</f>
        <v>7.5</v>
      </c>
      <c r="F38" s="653"/>
      <c r="G38" s="658"/>
    </row>
    <row r="39" spans="1:7" ht="15.75" x14ac:dyDescent="0.25">
      <c r="A39" s="1339" t="s">
        <v>3568</v>
      </c>
      <c r="B39" s="660"/>
      <c r="C39" s="660"/>
      <c r="D39" s="668"/>
      <c r="E39" s="667">
        <f>PACKAGING!I5</f>
        <v>845</v>
      </c>
      <c r="F39" s="653"/>
      <c r="G39" s="658"/>
    </row>
    <row r="40" spans="1:7" ht="15.75" x14ac:dyDescent="0.25">
      <c r="A40" s="683" t="s">
        <v>1618</v>
      </c>
      <c r="B40" s="660">
        <v>60</v>
      </c>
      <c r="C40" s="660">
        <v>20</v>
      </c>
      <c r="D40" s="668">
        <f>'INSUMOS VARIOS'!B3</f>
        <v>3500</v>
      </c>
      <c r="E40" s="669">
        <f>D40*C40/B40</f>
        <v>1166.6666666666667</v>
      </c>
    </row>
    <row r="41" spans="1:7" ht="15.75" x14ac:dyDescent="0.25">
      <c r="A41" s="670" t="s">
        <v>525</v>
      </c>
      <c r="B41" s="671"/>
      <c r="C41" s="671"/>
      <c r="D41" s="672"/>
      <c r="E41" s="673">
        <f>SUM(E29:E40)</f>
        <v>10250.424769602376</v>
      </c>
      <c r="F41" s="658"/>
      <c r="G41" s="653"/>
    </row>
    <row r="42" spans="1:7" ht="16.5" thickBot="1" x14ac:dyDescent="0.3">
      <c r="A42" s="675" t="s">
        <v>544</v>
      </c>
      <c r="B42" s="676"/>
      <c r="C42" s="676"/>
      <c r="D42" s="677"/>
      <c r="E42" s="692">
        <f>E41*2</f>
        <v>20500.849539204752</v>
      </c>
      <c r="F42" s="809"/>
      <c r="G42" s="653"/>
    </row>
    <row r="43" spans="1:7" ht="16.5" thickBot="1" x14ac:dyDescent="0.3">
      <c r="A43" s="684" t="s">
        <v>1559</v>
      </c>
      <c r="B43" s="685"/>
      <c r="C43" s="685"/>
      <c r="D43" s="686"/>
      <c r="E43" s="686"/>
      <c r="F43" s="1370">
        <f>E42+E42*50%</f>
        <v>30751.274308807129</v>
      </c>
      <c r="G43" s="1372">
        <v>28000</v>
      </c>
    </row>
    <row r="44" spans="1:7" ht="16.5" thickBot="1" x14ac:dyDescent="0.3">
      <c r="F44" s="652"/>
      <c r="G44" s="1275"/>
    </row>
    <row r="45" spans="1:7" ht="15.75" thickBot="1" x14ac:dyDescent="0.3"/>
    <row r="46" spans="1:7" ht="16.5" thickBot="1" x14ac:dyDescent="0.3">
      <c r="A46" s="1791" t="s">
        <v>4273</v>
      </c>
      <c r="B46" s="1792"/>
      <c r="C46" s="1792"/>
      <c r="D46" s="1792"/>
      <c r="E46" s="1793"/>
      <c r="F46" s="653"/>
      <c r="G46" s="653"/>
    </row>
    <row r="47" spans="1:7" ht="15.75" x14ac:dyDescent="0.25">
      <c r="A47" s="654" t="s">
        <v>916</v>
      </c>
      <c r="B47" s="655" t="s">
        <v>743</v>
      </c>
      <c r="C47" s="655" t="s">
        <v>1566</v>
      </c>
      <c r="D47" s="656" t="s">
        <v>1035</v>
      </c>
      <c r="E47" s="657" t="s">
        <v>1549</v>
      </c>
      <c r="F47" s="658"/>
      <c r="G47" s="653"/>
    </row>
    <row r="48" spans="1:7" ht="15.75" x14ac:dyDescent="0.25">
      <c r="A48" s="666" t="s">
        <v>4245</v>
      </c>
      <c r="B48" s="660"/>
      <c r="C48" s="660">
        <v>1</v>
      </c>
      <c r="D48" s="661">
        <f>'INSUMOS VARIOS'!I61</f>
        <v>1350</v>
      </c>
      <c r="E48" s="662">
        <f t="shared" ref="E48:E52" si="4">D48*C48</f>
        <v>1350</v>
      </c>
      <c r="F48" s="658"/>
      <c r="G48" s="653"/>
    </row>
    <row r="49" spans="1:7" ht="15.75" x14ac:dyDescent="0.25">
      <c r="A49" s="666" t="s">
        <v>4246</v>
      </c>
      <c r="B49" s="660"/>
      <c r="C49" s="660">
        <v>1</v>
      </c>
      <c r="D49" s="661">
        <f>PIEDRAS!K71</f>
        <v>4860</v>
      </c>
      <c r="E49" s="662">
        <f t="shared" si="4"/>
        <v>4860</v>
      </c>
      <c r="F49" s="658"/>
      <c r="G49" s="653"/>
    </row>
    <row r="50" spans="1:7" ht="15.75" x14ac:dyDescent="0.25">
      <c r="A50" s="666" t="s">
        <v>4243</v>
      </c>
      <c r="B50" s="660"/>
      <c r="C50" s="660">
        <v>7</v>
      </c>
      <c r="D50" s="661">
        <f>PIEDRAS!F120</f>
        <v>85</v>
      </c>
      <c r="E50" s="662">
        <f>D50*C50</f>
        <v>595</v>
      </c>
      <c r="F50" s="658"/>
      <c r="G50" s="653"/>
    </row>
    <row r="51" spans="1:7" ht="15.75" x14ac:dyDescent="0.25">
      <c r="A51" s="666" t="s">
        <v>4244</v>
      </c>
      <c r="B51" s="660"/>
      <c r="C51" s="660">
        <v>1</v>
      </c>
      <c r="D51" s="661">
        <f>'RESINA - ACRILICOS'!K6</f>
        <v>1170</v>
      </c>
      <c r="E51" s="662">
        <f>D51*C51</f>
        <v>1170</v>
      </c>
      <c r="F51" s="658"/>
      <c r="G51" s="653"/>
    </row>
    <row r="52" spans="1:7" ht="15.75" x14ac:dyDescent="0.25">
      <c r="A52" s="666" t="s">
        <v>1572</v>
      </c>
      <c r="B52" s="660" t="s">
        <v>4241</v>
      </c>
      <c r="C52" s="660">
        <v>2</v>
      </c>
      <c r="D52" s="661">
        <f>FORNITURAS!H62</f>
        <v>466.15384615384613</v>
      </c>
      <c r="E52" s="662">
        <f t="shared" si="4"/>
        <v>932.30769230769226</v>
      </c>
      <c r="F52" s="658"/>
      <c r="G52" s="653"/>
    </row>
    <row r="53" spans="1:7" ht="15.75" x14ac:dyDescent="0.25">
      <c r="A53" s="666" t="s">
        <v>3237</v>
      </c>
      <c r="B53" s="660" t="s">
        <v>1056</v>
      </c>
      <c r="C53" s="660">
        <v>0.1</v>
      </c>
      <c r="D53" s="661">
        <f>FORNITURAS!W4</f>
        <v>1404.9107142857144</v>
      </c>
      <c r="E53" s="662">
        <f>D53*C53</f>
        <v>140.49107142857144</v>
      </c>
      <c r="F53" s="658"/>
      <c r="G53" s="653"/>
    </row>
    <row r="54" spans="1:7" ht="15.75" x14ac:dyDescent="0.25">
      <c r="A54" s="666" t="s">
        <v>1697</v>
      </c>
      <c r="B54" s="660"/>
      <c r="C54" s="660">
        <v>1</v>
      </c>
      <c r="D54" s="661">
        <f>FORNITURAS!D24</f>
        <v>34.666666666666664</v>
      </c>
      <c r="E54" s="662">
        <f>D54*C54</f>
        <v>34.666666666666664</v>
      </c>
      <c r="F54" s="658"/>
      <c r="G54" s="653"/>
    </row>
    <row r="55" spans="1:7" ht="15.75" x14ac:dyDescent="0.25">
      <c r="A55" s="666" t="s">
        <v>1988</v>
      </c>
      <c r="B55" s="660"/>
      <c r="C55" s="660">
        <v>1</v>
      </c>
      <c r="D55" s="661">
        <f>FORNITURAS!H47</f>
        <v>2346</v>
      </c>
      <c r="E55" s="662">
        <f>D55*C55</f>
        <v>2346</v>
      </c>
      <c r="F55" s="658"/>
      <c r="G55" s="653"/>
    </row>
    <row r="56" spans="1:7" ht="15.75" x14ac:dyDescent="0.25">
      <c r="A56" s="665" t="s">
        <v>4242</v>
      </c>
      <c r="B56" s="660"/>
      <c r="C56" s="660">
        <v>1.5</v>
      </c>
      <c r="D56" s="661">
        <f>'HILOS-CORDONES-TANZA-CUERO'!E14</f>
        <v>210.25</v>
      </c>
      <c r="E56" s="662">
        <f>C56*D56</f>
        <v>315.375</v>
      </c>
      <c r="F56" s="658"/>
      <c r="G56" s="653"/>
    </row>
    <row r="57" spans="1:7" ht="15.75" x14ac:dyDescent="0.25">
      <c r="A57" s="666" t="s">
        <v>1557</v>
      </c>
      <c r="B57" s="660"/>
      <c r="C57" s="660"/>
      <c r="D57" s="661"/>
      <c r="E57" s="667">
        <f>PACKAGING!E4</f>
        <v>80</v>
      </c>
      <c r="F57" s="653"/>
      <c r="G57" s="658"/>
    </row>
    <row r="58" spans="1:7" ht="15.75" x14ac:dyDescent="0.25">
      <c r="A58" s="666" t="s">
        <v>3362</v>
      </c>
      <c r="B58" s="660"/>
      <c r="C58" s="660"/>
      <c r="D58" s="661"/>
      <c r="E58" s="667">
        <f>PACKAGING!E17</f>
        <v>7.5</v>
      </c>
      <c r="F58" s="653"/>
      <c r="G58" s="658"/>
    </row>
    <row r="59" spans="1:7" ht="15.75" x14ac:dyDescent="0.25">
      <c r="A59" s="1339" t="s">
        <v>3568</v>
      </c>
      <c r="B59" s="660"/>
      <c r="C59" s="660"/>
      <c r="D59" s="668"/>
      <c r="E59" s="667">
        <f>PACKAGING!I5</f>
        <v>845</v>
      </c>
      <c r="F59" s="653"/>
      <c r="G59" s="658"/>
    </row>
    <row r="60" spans="1:7" ht="15.75" x14ac:dyDescent="0.25">
      <c r="A60" s="683" t="s">
        <v>1618</v>
      </c>
      <c r="B60" s="660">
        <v>60</v>
      </c>
      <c r="C60" s="660">
        <v>30</v>
      </c>
      <c r="D60" s="668">
        <f>'INSUMOS VARIOS'!B3</f>
        <v>3500</v>
      </c>
      <c r="E60" s="669">
        <f>D60*C60/B60</f>
        <v>1750</v>
      </c>
    </row>
    <row r="61" spans="1:7" ht="15.75" x14ac:dyDescent="0.25">
      <c r="A61" s="670" t="s">
        <v>525</v>
      </c>
      <c r="B61" s="671"/>
      <c r="C61" s="671"/>
      <c r="D61" s="672"/>
      <c r="E61" s="673">
        <f>SUM(E48:E60)</f>
        <v>14426.340430402928</v>
      </c>
      <c r="F61" s="658"/>
      <c r="G61" s="653"/>
    </row>
    <row r="62" spans="1:7" ht="16.5" thickBot="1" x14ac:dyDescent="0.3">
      <c r="A62" s="675" t="s">
        <v>544</v>
      </c>
      <c r="B62" s="676"/>
      <c r="C62" s="676"/>
      <c r="D62" s="677"/>
      <c r="E62" s="692">
        <f>E61*2</f>
        <v>28852.680860805856</v>
      </c>
      <c r="F62" s="809"/>
      <c r="G62" s="653"/>
    </row>
    <row r="63" spans="1:7" ht="16.5" thickBot="1" x14ac:dyDescent="0.3">
      <c r="A63" s="684" t="s">
        <v>1559</v>
      </c>
      <c r="B63" s="685"/>
      <c r="C63" s="685"/>
      <c r="D63" s="686"/>
      <c r="E63" s="686"/>
      <c r="F63" s="1370">
        <f>E62+E62*30%</f>
        <v>37508.485119047611</v>
      </c>
      <c r="G63" s="1372">
        <v>35000</v>
      </c>
    </row>
    <row r="64" spans="1:7" ht="16.5" thickBot="1" x14ac:dyDescent="0.3">
      <c r="F64" s="652"/>
      <c r="G64" s="1275"/>
    </row>
    <row r="65" spans="1:8" ht="15.75" thickBot="1" x14ac:dyDescent="0.3"/>
    <row r="66" spans="1:8" ht="16.5" thickBot="1" x14ac:dyDescent="0.3">
      <c r="A66" s="1794" t="s">
        <v>4308</v>
      </c>
      <c r="B66" s="1795"/>
      <c r="C66" s="1795"/>
      <c r="D66" s="1795"/>
      <c r="E66" s="1796"/>
      <c r="F66" s="653"/>
      <c r="G66" s="653"/>
      <c r="H66" s="653"/>
    </row>
    <row r="67" spans="1:8" ht="15.75" x14ac:dyDescent="0.25">
      <c r="A67" s="654" t="s">
        <v>916</v>
      </c>
      <c r="B67" s="655" t="s">
        <v>743</v>
      </c>
      <c r="C67" s="655" t="s">
        <v>1566</v>
      </c>
      <c r="D67" s="656" t="s">
        <v>1035</v>
      </c>
      <c r="E67" s="657" t="s">
        <v>1549</v>
      </c>
      <c r="F67" s="658"/>
      <c r="G67" s="653"/>
      <c r="H67" s="653"/>
    </row>
    <row r="68" spans="1:8" ht="15.75" x14ac:dyDescent="0.25">
      <c r="A68" s="683" t="s">
        <v>3175</v>
      </c>
      <c r="B68" s="660"/>
      <c r="C68" s="660">
        <v>2</v>
      </c>
      <c r="D68" s="661">
        <f>'INSUMOS VARIOS'!D32</f>
        <v>20</v>
      </c>
      <c r="E68" s="662">
        <f t="shared" ref="E68:E70" si="5">D68*C68</f>
        <v>40</v>
      </c>
      <c r="F68" s="658"/>
      <c r="G68" s="653"/>
      <c r="H68" s="653"/>
    </row>
    <row r="69" spans="1:8" ht="15.75" x14ac:dyDescent="0.25">
      <c r="A69" s="683" t="s">
        <v>3265</v>
      </c>
      <c r="B69" s="660"/>
      <c r="C69" s="660">
        <v>3</v>
      </c>
      <c r="D69" s="661">
        <f>'INSUMOS VARIOS'!E25</f>
        <v>52</v>
      </c>
      <c r="E69" s="662">
        <f t="shared" si="5"/>
        <v>156</v>
      </c>
      <c r="F69" s="658"/>
      <c r="G69" s="653"/>
      <c r="H69" s="653"/>
    </row>
    <row r="70" spans="1:8" ht="15.75" x14ac:dyDescent="0.25">
      <c r="A70" s="683" t="s">
        <v>4299</v>
      </c>
      <c r="B70" s="660"/>
      <c r="C70" s="660">
        <v>3</v>
      </c>
      <c r="D70" s="661">
        <f>'INSUMOS VARIOS'!E24</f>
        <v>59.090909090909093</v>
      </c>
      <c r="E70" s="662">
        <f t="shared" si="5"/>
        <v>177.27272727272728</v>
      </c>
      <c r="F70" s="658"/>
      <c r="G70" s="653"/>
      <c r="H70" s="653"/>
    </row>
    <row r="71" spans="1:8" ht="15.75" x14ac:dyDescent="0.25">
      <c r="A71" s="683" t="s">
        <v>4300</v>
      </c>
      <c r="B71" s="660"/>
      <c r="C71" s="660">
        <v>1</v>
      </c>
      <c r="D71" s="661">
        <f>'INSUMOS VARIOS'!E27</f>
        <v>86.666666666666671</v>
      </c>
      <c r="E71" s="662">
        <f>D71*C71</f>
        <v>86.666666666666671</v>
      </c>
      <c r="F71" s="658"/>
      <c r="G71" s="653"/>
      <c r="H71" s="653"/>
    </row>
    <row r="72" spans="1:8" ht="15.75" x14ac:dyDescent="0.25">
      <c r="A72" s="683" t="s">
        <v>3419</v>
      </c>
      <c r="B72" s="660"/>
      <c r="C72" s="660">
        <v>1</v>
      </c>
      <c r="D72" s="661">
        <f>FORNITURAS!I9</f>
        <v>60.526315789473685</v>
      </c>
      <c r="E72" s="662">
        <f t="shared" ref="E72:E74" si="6">D72*C72</f>
        <v>60.526315789473685</v>
      </c>
      <c r="F72" s="658"/>
      <c r="G72" s="653"/>
      <c r="H72" s="653"/>
    </row>
    <row r="73" spans="1:8" ht="15.75" x14ac:dyDescent="0.25">
      <c r="A73" s="683" t="s">
        <v>1697</v>
      </c>
      <c r="B73" s="660" t="s">
        <v>777</v>
      </c>
      <c r="C73" s="660">
        <v>1</v>
      </c>
      <c r="D73" s="661">
        <f>FORNITURAS!D24</f>
        <v>34.666666666666664</v>
      </c>
      <c r="E73" s="662">
        <f>D73*C73</f>
        <v>34.666666666666664</v>
      </c>
      <c r="F73" s="658"/>
      <c r="G73" s="653"/>
      <c r="H73" s="653"/>
    </row>
    <row r="74" spans="1:8" ht="15.75" x14ac:dyDescent="0.25">
      <c r="A74" s="663" t="s">
        <v>1555</v>
      </c>
      <c r="B74" s="660" t="s">
        <v>4241</v>
      </c>
      <c r="C74" s="660">
        <v>1</v>
      </c>
      <c r="D74" s="661">
        <f>FORNITURAS!H62</f>
        <v>466.15384615384613</v>
      </c>
      <c r="E74" s="662">
        <f t="shared" si="6"/>
        <v>466.15384615384613</v>
      </c>
      <c r="F74" s="658"/>
      <c r="G74" s="653"/>
      <c r="H74" s="653"/>
    </row>
    <row r="75" spans="1:8" ht="15.75" x14ac:dyDescent="0.25">
      <c r="A75" s="663" t="s">
        <v>1988</v>
      </c>
      <c r="B75" s="660"/>
      <c r="C75" s="660">
        <v>1</v>
      </c>
      <c r="D75" s="661">
        <f>FORNITURAS!H47</f>
        <v>2346</v>
      </c>
      <c r="E75" s="662">
        <f>D75*C75</f>
        <v>2346</v>
      </c>
      <c r="F75" s="658"/>
      <c r="G75" s="653"/>
      <c r="H75" s="653"/>
    </row>
    <row r="76" spans="1:8" ht="15.75" x14ac:dyDescent="0.25">
      <c r="A76" s="665" t="s">
        <v>3340</v>
      </c>
      <c r="B76" s="660"/>
      <c r="C76" s="660">
        <v>0.25</v>
      </c>
      <c r="D76" s="661">
        <f>'HILOS-CORDONES-TANZA-CUERO'!E7</f>
        <v>50.35</v>
      </c>
      <c r="E76" s="662">
        <f>C76*D76</f>
        <v>12.5875</v>
      </c>
      <c r="F76" s="658"/>
      <c r="G76" s="653"/>
      <c r="H76" s="653"/>
    </row>
    <row r="77" spans="1:8" ht="15.75" x14ac:dyDescent="0.25">
      <c r="A77" s="666" t="s">
        <v>1557</v>
      </c>
      <c r="B77" s="660"/>
      <c r="C77" s="660"/>
      <c r="D77" s="661"/>
      <c r="E77" s="667">
        <f>PACKAGING!E4</f>
        <v>80</v>
      </c>
      <c r="F77" s="653"/>
      <c r="G77" s="658"/>
      <c r="H77" s="653"/>
    </row>
    <row r="78" spans="1:8" ht="15.75" x14ac:dyDescent="0.25">
      <c r="A78" s="666" t="s">
        <v>3362</v>
      </c>
      <c r="B78" s="660"/>
      <c r="C78" s="660"/>
      <c r="D78" s="661"/>
      <c r="E78" s="667">
        <f>PACKAGING!E17</f>
        <v>7.5</v>
      </c>
      <c r="F78" s="653"/>
      <c r="G78" s="658"/>
      <c r="H78" s="653"/>
    </row>
    <row r="79" spans="1:8" ht="15.75" x14ac:dyDescent="0.25">
      <c r="A79" s="1339" t="s">
        <v>3568</v>
      </c>
      <c r="B79" s="660"/>
      <c r="C79" s="660"/>
      <c r="D79" s="668"/>
      <c r="E79" s="667">
        <f>PACKAGING!E8</f>
        <v>420</v>
      </c>
      <c r="F79" s="653"/>
      <c r="G79" s="658"/>
      <c r="H79" s="653"/>
    </row>
    <row r="80" spans="1:8" ht="15.75" x14ac:dyDescent="0.25">
      <c r="A80" s="683" t="s">
        <v>1618</v>
      </c>
      <c r="B80" s="660">
        <v>60</v>
      </c>
      <c r="C80" s="660">
        <v>20</v>
      </c>
      <c r="D80" s="668">
        <f>'INSUMOS VARIOS'!B3</f>
        <v>3500</v>
      </c>
      <c r="E80" s="669">
        <f>D80*C80/B80</f>
        <v>1166.6666666666667</v>
      </c>
    </row>
    <row r="81" spans="1:8" ht="15.75" x14ac:dyDescent="0.25">
      <c r="A81" s="670" t="s">
        <v>525</v>
      </c>
      <c r="B81" s="671"/>
      <c r="C81" s="671"/>
      <c r="D81" s="672"/>
      <c r="E81" s="673">
        <f>SUM(E68:E80)</f>
        <v>5054.0403892160475</v>
      </c>
      <c r="F81" s="658"/>
      <c r="G81" s="653"/>
      <c r="H81" s="652"/>
    </row>
    <row r="82" spans="1:8" ht="16.5" thickBot="1" x14ac:dyDescent="0.3">
      <c r="A82" s="675" t="s">
        <v>544</v>
      </c>
      <c r="B82" s="676"/>
      <c r="C82" s="676"/>
      <c r="D82" s="677"/>
      <c r="E82" s="678">
        <f>E81*2</f>
        <v>10108.080778432095</v>
      </c>
      <c r="F82" s="809"/>
      <c r="G82" s="653"/>
      <c r="H82" s="652"/>
    </row>
    <row r="83" spans="1:8" ht="16.5" thickBot="1" x14ac:dyDescent="0.3">
      <c r="A83" s="684" t="s">
        <v>1559</v>
      </c>
      <c r="B83" s="685"/>
      <c r="C83" s="685"/>
      <c r="D83" s="686"/>
      <c r="E83" s="686"/>
      <c r="F83" s="1370">
        <f>E82+E82*70%</f>
        <v>17183.737323334561</v>
      </c>
      <c r="G83" s="1372">
        <v>20000</v>
      </c>
      <c r="H83" s="1371"/>
    </row>
    <row r="84" spans="1:8" ht="16.5" thickBot="1" x14ac:dyDescent="0.3">
      <c r="F84" s="652"/>
      <c r="G84" s="1275">
        <f>G83*50%</f>
        <v>10000</v>
      </c>
      <c r="H84" s="652"/>
    </row>
    <row r="85" spans="1:8" ht="15.75" thickBot="1" x14ac:dyDescent="0.3"/>
    <row r="86" spans="1:8" ht="16.5" thickBot="1" x14ac:dyDescent="0.3">
      <c r="A86" s="1794" t="s">
        <v>381</v>
      </c>
      <c r="B86" s="1795"/>
      <c r="C86" s="1795"/>
      <c r="D86" s="1795"/>
      <c r="E86" s="1796"/>
      <c r="F86" s="653"/>
      <c r="G86" s="653"/>
    </row>
    <row r="87" spans="1:8" ht="15.75" x14ac:dyDescent="0.25">
      <c r="A87" s="654" t="s">
        <v>916</v>
      </c>
      <c r="B87" s="655" t="s">
        <v>743</v>
      </c>
      <c r="C87" s="655" t="s">
        <v>1566</v>
      </c>
      <c r="D87" s="656" t="s">
        <v>1035</v>
      </c>
      <c r="E87" s="657" t="s">
        <v>1549</v>
      </c>
      <c r="F87" s="658"/>
      <c r="G87" s="653"/>
    </row>
    <row r="88" spans="1:8" ht="15.75" x14ac:dyDescent="0.25">
      <c r="A88" s="683" t="s">
        <v>3175</v>
      </c>
      <c r="B88" s="660"/>
      <c r="C88" s="660">
        <v>16</v>
      </c>
      <c r="D88" s="661">
        <f>'INSUMOS VARIOS'!D32</f>
        <v>20</v>
      </c>
      <c r="E88" s="662">
        <f t="shared" ref="E88" si="7">D88*C88</f>
        <v>320</v>
      </c>
      <c r="F88" s="658"/>
      <c r="G88" s="653"/>
    </row>
    <row r="89" spans="1:8" ht="15.75" x14ac:dyDescent="0.25">
      <c r="A89" s="683" t="s">
        <v>4302</v>
      </c>
      <c r="B89" s="660"/>
      <c r="C89" s="660">
        <v>1.3</v>
      </c>
      <c r="D89" s="661">
        <f>'HILOS-CORDONES-TANZA-CUERO'!E23</f>
        <v>81.599999999999994</v>
      </c>
      <c r="E89" s="662">
        <f t="shared" ref="E89" si="8">D89*C89</f>
        <v>106.08</v>
      </c>
      <c r="F89" s="658"/>
      <c r="G89" s="653"/>
    </row>
    <row r="90" spans="1:8" ht="15.75" x14ac:dyDescent="0.25">
      <c r="A90" s="1734" t="s">
        <v>4301</v>
      </c>
      <c r="B90" s="660" t="s">
        <v>4038</v>
      </c>
      <c r="C90" s="660">
        <v>1</v>
      </c>
      <c r="D90" s="661">
        <f>'RESINA - ACRILICOS'!K8</f>
        <v>1720</v>
      </c>
      <c r="E90" s="662">
        <f>D90*C90</f>
        <v>1720</v>
      </c>
      <c r="F90" s="658"/>
      <c r="G90" s="653"/>
    </row>
    <row r="91" spans="1:8" ht="15.75" x14ac:dyDescent="0.25">
      <c r="A91" s="1735"/>
      <c r="B91" s="660" t="s">
        <v>3793</v>
      </c>
      <c r="C91" s="660">
        <v>1</v>
      </c>
      <c r="D91" s="661">
        <f>'RESINA - ACRILICOS'!K8</f>
        <v>1720</v>
      </c>
      <c r="E91" s="662">
        <f>D91*C91</f>
        <v>1720</v>
      </c>
      <c r="F91" s="658"/>
      <c r="G91" s="653"/>
    </row>
    <row r="92" spans="1:8" ht="15.75" x14ac:dyDescent="0.25">
      <c r="A92" s="663" t="s">
        <v>1555</v>
      </c>
      <c r="B92" s="660" t="s">
        <v>4241</v>
      </c>
      <c r="C92" s="660">
        <v>3</v>
      </c>
      <c r="D92" s="661">
        <f>FORNITURAS!H62</f>
        <v>466.15384615384613</v>
      </c>
      <c r="E92" s="662">
        <f t="shared" ref="E92" si="9">D92*C92</f>
        <v>1398.4615384615383</v>
      </c>
      <c r="F92" s="658"/>
      <c r="G92" s="653"/>
    </row>
    <row r="93" spans="1:8" ht="15.75" x14ac:dyDescent="0.25">
      <c r="A93" s="769" t="s">
        <v>1988</v>
      </c>
      <c r="B93" s="660"/>
      <c r="C93" s="660">
        <v>1</v>
      </c>
      <c r="D93" s="661">
        <f>FORNITURAS!H47</f>
        <v>2346</v>
      </c>
      <c r="E93" s="662">
        <f>D93*C93</f>
        <v>2346</v>
      </c>
      <c r="F93" s="658"/>
      <c r="G93" s="653"/>
    </row>
    <row r="94" spans="1:8" ht="15.75" x14ac:dyDescent="0.25">
      <c r="A94" s="666" t="s">
        <v>1557</v>
      </c>
      <c r="B94" s="660"/>
      <c r="C94" s="660"/>
      <c r="D94" s="661"/>
      <c r="E94" s="667">
        <f>PACKAGING!E4</f>
        <v>80</v>
      </c>
      <c r="F94" s="653"/>
      <c r="G94" s="658"/>
    </row>
    <row r="95" spans="1:8" ht="15.75" x14ac:dyDescent="0.25">
      <c r="A95" s="666" t="s">
        <v>3362</v>
      </c>
      <c r="B95" s="660"/>
      <c r="C95" s="660"/>
      <c r="D95" s="661"/>
      <c r="E95" s="667">
        <f>PACKAGING!E17</f>
        <v>7.5</v>
      </c>
      <c r="F95" s="653"/>
      <c r="G95" s="658"/>
    </row>
    <row r="96" spans="1:8" ht="15.75" x14ac:dyDescent="0.25">
      <c r="A96" s="1339" t="s">
        <v>3568</v>
      </c>
      <c r="B96" s="660"/>
      <c r="C96" s="660"/>
      <c r="D96" s="668"/>
      <c r="E96" s="667">
        <f>PACKAGING!I5</f>
        <v>845</v>
      </c>
      <c r="F96" s="653"/>
      <c r="G96" s="658"/>
    </row>
    <row r="97" spans="1:7" ht="15.75" x14ac:dyDescent="0.25">
      <c r="A97" s="683" t="s">
        <v>1618</v>
      </c>
      <c r="B97" s="660">
        <v>60</v>
      </c>
      <c r="C97" s="660">
        <v>20</v>
      </c>
      <c r="D97" s="668">
        <f>'INSUMOS VARIOS'!B3</f>
        <v>3500</v>
      </c>
      <c r="E97" s="669">
        <f>D97*C97/B97</f>
        <v>1166.6666666666667</v>
      </c>
    </row>
    <row r="98" spans="1:7" ht="15.75" x14ac:dyDescent="0.25">
      <c r="A98" s="670" t="s">
        <v>525</v>
      </c>
      <c r="B98" s="671"/>
      <c r="C98" s="671"/>
      <c r="D98" s="672"/>
      <c r="E98" s="673">
        <f>SUM(E88:E97)</f>
        <v>9709.7082051282032</v>
      </c>
      <c r="F98" s="658"/>
      <c r="G98" s="653"/>
    </row>
    <row r="99" spans="1:7" ht="16.5" thickBot="1" x14ac:dyDescent="0.3">
      <c r="A99" s="675" t="s">
        <v>544</v>
      </c>
      <c r="B99" s="676"/>
      <c r="C99" s="676"/>
      <c r="D99" s="677"/>
      <c r="E99" s="678">
        <f>E98*2</f>
        <v>19419.416410256406</v>
      </c>
      <c r="F99" s="809"/>
      <c r="G99" s="653"/>
    </row>
    <row r="100" spans="1:7" ht="16.5" thickBot="1" x14ac:dyDescent="0.3">
      <c r="A100" s="684" t="s">
        <v>1559</v>
      </c>
      <c r="B100" s="685"/>
      <c r="C100" s="685"/>
      <c r="D100" s="686"/>
      <c r="E100" s="686"/>
      <c r="F100" s="1370">
        <f>E99+E99*70%</f>
        <v>33013.007897435891</v>
      </c>
      <c r="G100" s="1372">
        <v>26000</v>
      </c>
    </row>
    <row r="101" spans="1:7" ht="16.5" thickBot="1" x14ac:dyDescent="0.3">
      <c r="F101" s="652"/>
      <c r="G101" s="1275">
        <f>G100*70%</f>
        <v>18200</v>
      </c>
    </row>
    <row r="102" spans="1:7" ht="15.75" thickBot="1" x14ac:dyDescent="0.3"/>
    <row r="103" spans="1:7" ht="16.5" thickBot="1" x14ac:dyDescent="0.3">
      <c r="A103" s="1811" t="s">
        <v>337</v>
      </c>
      <c r="B103" s="1812"/>
      <c r="C103" s="1812"/>
      <c r="D103" s="1812"/>
      <c r="E103" s="1813"/>
      <c r="F103" s="653"/>
      <c r="G103" s="653"/>
    </row>
    <row r="104" spans="1:7" ht="15.75" x14ac:dyDescent="0.25">
      <c r="A104" s="654" t="s">
        <v>916</v>
      </c>
      <c r="B104" s="655" t="s">
        <v>743</v>
      </c>
      <c r="C104" s="655" t="s">
        <v>1566</v>
      </c>
      <c r="D104" s="656" t="s">
        <v>1035</v>
      </c>
      <c r="E104" s="657" t="s">
        <v>1549</v>
      </c>
      <c r="F104" s="658"/>
      <c r="G104" s="653"/>
    </row>
    <row r="105" spans="1:7" ht="15.75" x14ac:dyDescent="0.25">
      <c r="A105" s="683" t="s">
        <v>4583</v>
      </c>
      <c r="B105" s="660"/>
      <c r="C105" s="660">
        <v>0.36</v>
      </c>
      <c r="D105" s="661">
        <f>'HILOS-CORDONES-TANZA-CUERO'!E7</f>
        <v>50.35</v>
      </c>
      <c r="E105" s="662">
        <f t="shared" ref="E105:E106" si="10">D105*C105</f>
        <v>18.126000000000001</v>
      </c>
      <c r="F105" s="658"/>
      <c r="G105" s="653"/>
    </row>
    <row r="106" spans="1:7" ht="15.75" x14ac:dyDescent="0.25">
      <c r="A106" s="683" t="s">
        <v>4582</v>
      </c>
      <c r="B106" s="660"/>
      <c r="C106" s="660">
        <v>0.46</v>
      </c>
      <c r="D106" s="661">
        <f>'HILOS-CORDONES-TANZA-CUERO'!E20</f>
        <v>50.625</v>
      </c>
      <c r="E106" s="662">
        <f t="shared" si="10"/>
        <v>23.287500000000001</v>
      </c>
      <c r="F106" s="658"/>
      <c r="G106" s="653"/>
    </row>
    <row r="107" spans="1:7" ht="15.75" x14ac:dyDescent="0.25">
      <c r="A107" s="1734" t="s">
        <v>4559</v>
      </c>
      <c r="B107" s="660">
        <v>0.45</v>
      </c>
      <c r="C107" s="660">
        <v>2</v>
      </c>
      <c r="D107" s="661">
        <f>'HILOS-CORDONES-TANZA-CUERO'!E24</f>
        <v>56</v>
      </c>
      <c r="E107" s="662">
        <f>D107*C107*B107</f>
        <v>50.4</v>
      </c>
      <c r="F107" s="658"/>
      <c r="G107" s="653"/>
    </row>
    <row r="108" spans="1:7" ht="15.75" x14ac:dyDescent="0.25">
      <c r="A108" s="1735"/>
      <c r="B108" s="660">
        <v>0.75</v>
      </c>
      <c r="C108" s="660">
        <v>1</v>
      </c>
      <c r="D108" s="661">
        <f>'HILOS-CORDONES-TANZA-CUERO'!E24</f>
        <v>56</v>
      </c>
      <c r="E108" s="662">
        <f>D108*C108*B108</f>
        <v>42</v>
      </c>
      <c r="F108" s="658"/>
      <c r="G108" s="653"/>
    </row>
    <row r="109" spans="1:7" ht="15.75" x14ac:dyDescent="0.25">
      <c r="A109" s="820" t="s">
        <v>4163</v>
      </c>
      <c r="B109" s="660"/>
      <c r="C109" s="660">
        <v>1</v>
      </c>
      <c r="D109" s="661">
        <f>'INSUMOS VARIOS'!E78</f>
        <v>300</v>
      </c>
      <c r="E109" s="662">
        <f>D109*C109</f>
        <v>300</v>
      </c>
      <c r="F109" s="658"/>
      <c r="G109" s="653"/>
    </row>
    <row r="110" spans="1:7" ht="15.75" x14ac:dyDescent="0.25">
      <c r="A110" s="1734" t="s">
        <v>1555</v>
      </c>
      <c r="B110" s="660" t="s">
        <v>4241</v>
      </c>
      <c r="C110" s="660">
        <v>3</v>
      </c>
      <c r="D110" s="661">
        <f>FORNITURAS!F62</f>
        <v>6.1538461538461542</v>
      </c>
      <c r="E110" s="662">
        <f t="shared" ref="E110" si="11">D110*C110</f>
        <v>18.461538461538463</v>
      </c>
      <c r="F110" s="658"/>
      <c r="G110" s="653"/>
    </row>
    <row r="111" spans="1:7" ht="15.75" x14ac:dyDescent="0.25">
      <c r="A111" s="1735"/>
      <c r="B111" s="660" t="s">
        <v>4206</v>
      </c>
      <c r="C111" s="660">
        <v>1</v>
      </c>
      <c r="D111" s="661">
        <f>FORNITURAS!F63</f>
        <v>6.9565217391304346</v>
      </c>
      <c r="E111" s="662">
        <f>D111*C111</f>
        <v>6.9565217391304346</v>
      </c>
      <c r="F111" s="658"/>
      <c r="G111" s="653"/>
    </row>
    <row r="112" spans="1:7" ht="15.75" x14ac:dyDescent="0.25">
      <c r="A112" s="769" t="s">
        <v>1988</v>
      </c>
      <c r="B112" s="660"/>
      <c r="C112" s="660">
        <v>1</v>
      </c>
      <c r="D112" s="661">
        <f>FORNITURAS!F47</f>
        <v>410</v>
      </c>
      <c r="E112" s="662">
        <f>D112*C112</f>
        <v>410</v>
      </c>
      <c r="F112" s="658"/>
      <c r="G112" s="653"/>
    </row>
    <row r="113" spans="1:7" ht="15.75" x14ac:dyDescent="0.25">
      <c r="A113" s="820" t="s">
        <v>4585</v>
      </c>
      <c r="B113" s="660"/>
      <c r="C113" s="660">
        <v>1</v>
      </c>
      <c r="D113" s="661">
        <f>PIEDRAS!F127</f>
        <v>505.77777777777777</v>
      </c>
      <c r="E113" s="667">
        <f>D113*C113</f>
        <v>505.77777777777777</v>
      </c>
      <c r="F113" s="658"/>
      <c r="G113" s="653"/>
    </row>
    <row r="114" spans="1:7" ht="15.75" x14ac:dyDescent="0.25">
      <c r="A114" s="820" t="s">
        <v>4586</v>
      </c>
      <c r="B114" s="660"/>
      <c r="C114" s="660">
        <v>7</v>
      </c>
      <c r="D114" s="661">
        <f>PIEDRAS!F129</f>
        <v>257.57575757575756</v>
      </c>
      <c r="E114" s="667">
        <f>D114*C114</f>
        <v>1803.030303030303</v>
      </c>
      <c r="F114" s="658"/>
      <c r="G114" s="653"/>
    </row>
    <row r="115" spans="1:7" ht="15.75" x14ac:dyDescent="0.25">
      <c r="A115" s="820" t="s">
        <v>4584</v>
      </c>
      <c r="B115" s="660">
        <v>0.93</v>
      </c>
      <c r="C115" s="660">
        <v>0.12</v>
      </c>
      <c r="D115" s="661">
        <f>PIEDRAS!E149</f>
        <v>3600</v>
      </c>
      <c r="E115" s="667">
        <f>D115*C115/B115</f>
        <v>464.51612903225805</v>
      </c>
      <c r="F115" s="658"/>
      <c r="G115" s="653"/>
    </row>
    <row r="116" spans="1:7" ht="15.75" x14ac:dyDescent="0.25">
      <c r="A116" s="666" t="s">
        <v>1557</v>
      </c>
      <c r="B116" s="660"/>
      <c r="C116" s="660"/>
      <c r="D116" s="661"/>
      <c r="E116" s="667">
        <f>PACKAGING!E4</f>
        <v>80</v>
      </c>
      <c r="F116" s="653"/>
      <c r="G116" s="658"/>
    </row>
    <row r="117" spans="1:7" ht="15.75" x14ac:dyDescent="0.25">
      <c r="A117" s="666" t="s">
        <v>3362</v>
      </c>
      <c r="B117" s="660"/>
      <c r="C117" s="660"/>
      <c r="D117" s="661"/>
      <c r="E117" s="667">
        <f>PACKAGING!E17</f>
        <v>7.5</v>
      </c>
      <c r="F117" s="653"/>
      <c r="G117" s="658"/>
    </row>
    <row r="118" spans="1:7" ht="15.75" x14ac:dyDescent="0.25">
      <c r="A118" s="1339" t="s">
        <v>4153</v>
      </c>
      <c r="B118" s="660"/>
      <c r="C118" s="660"/>
      <c r="D118" s="668"/>
      <c r="E118" s="667">
        <f>PACKAGING!I6</f>
        <v>1070</v>
      </c>
      <c r="F118" s="653"/>
      <c r="G118" s="658"/>
    </row>
    <row r="119" spans="1:7" ht="15.75" x14ac:dyDescent="0.25">
      <c r="A119" s="683" t="s">
        <v>1618</v>
      </c>
      <c r="B119" s="660">
        <v>60</v>
      </c>
      <c r="C119" s="660">
        <v>60</v>
      </c>
      <c r="D119" s="668">
        <f>'INSUMOS VARIOS'!B3</f>
        <v>3500</v>
      </c>
      <c r="E119" s="669">
        <f>D119*C119/B119</f>
        <v>3500</v>
      </c>
    </row>
    <row r="120" spans="1:7" ht="15.75" x14ac:dyDescent="0.25">
      <c r="A120" s="670" t="s">
        <v>525</v>
      </c>
      <c r="B120" s="671"/>
      <c r="C120" s="671"/>
      <c r="D120" s="672"/>
      <c r="E120" s="673">
        <f>SUM(E105:E119)</f>
        <v>8300.0557700410081</v>
      </c>
      <c r="F120" s="658"/>
      <c r="G120" s="653"/>
    </row>
    <row r="121" spans="1:7" ht="16.5" thickBot="1" x14ac:dyDescent="0.3">
      <c r="A121" s="675" t="s">
        <v>544</v>
      </c>
      <c r="B121" s="676"/>
      <c r="C121" s="676"/>
      <c r="D121" s="677"/>
      <c r="E121" s="678">
        <f>E120*2</f>
        <v>16600.111540082016</v>
      </c>
      <c r="F121" s="809"/>
      <c r="G121" s="653"/>
    </row>
    <row r="122" spans="1:7" ht="16.5" thickBot="1" x14ac:dyDescent="0.3">
      <c r="A122" s="684" t="s">
        <v>1559</v>
      </c>
      <c r="B122" s="685"/>
      <c r="C122" s="685"/>
      <c r="D122" s="686"/>
      <c r="E122" s="686"/>
      <c r="F122" s="1370">
        <f>E121+E121*70%</f>
        <v>28220.189618139426</v>
      </c>
      <c r="G122" s="1372">
        <v>32000</v>
      </c>
    </row>
    <row r="123" spans="1:7" ht="16.5" thickBot="1" x14ac:dyDescent="0.3">
      <c r="F123" s="652"/>
      <c r="G123" s="1275">
        <f>G122*70%</f>
        <v>22400</v>
      </c>
    </row>
    <row r="124" spans="1:7" ht="15.75" thickBot="1" x14ac:dyDescent="0.3"/>
    <row r="125" spans="1:7" ht="16.5" thickBot="1" x14ac:dyDescent="0.3">
      <c r="A125" s="1811" t="s">
        <v>4604</v>
      </c>
      <c r="B125" s="1812"/>
      <c r="C125" s="1812"/>
      <c r="D125" s="1812"/>
      <c r="E125" s="1813"/>
      <c r="F125" s="653"/>
      <c r="G125" s="653"/>
    </row>
    <row r="126" spans="1:7" ht="15.75" x14ac:dyDescent="0.25">
      <c r="A126" s="654" t="s">
        <v>916</v>
      </c>
      <c r="B126" s="655" t="s">
        <v>743</v>
      </c>
      <c r="C126" s="655" t="s">
        <v>1566</v>
      </c>
      <c r="D126" s="656" t="s">
        <v>1035</v>
      </c>
      <c r="E126" s="657" t="s">
        <v>1549</v>
      </c>
      <c r="F126" s="658"/>
      <c r="G126" s="653"/>
    </row>
    <row r="127" spans="1:7" ht="15.75" x14ac:dyDescent="0.25">
      <c r="A127" s="683" t="s">
        <v>4582</v>
      </c>
      <c r="B127" s="660">
        <v>0.7</v>
      </c>
      <c r="C127" s="660">
        <v>2</v>
      </c>
      <c r="D127" s="661">
        <f>'HILOS-CORDONES-TANZA-CUERO'!E20</f>
        <v>50.625</v>
      </c>
      <c r="E127" s="662">
        <f t="shared" ref="E127" si="12">D127*C127</f>
        <v>101.25</v>
      </c>
      <c r="F127" s="658"/>
      <c r="G127" s="653"/>
    </row>
    <row r="128" spans="1:7" ht="15.75" x14ac:dyDescent="0.25">
      <c r="A128" s="1734" t="s">
        <v>4559</v>
      </c>
      <c r="B128" s="660">
        <v>0.45</v>
      </c>
      <c r="C128" s="660">
        <v>6</v>
      </c>
      <c r="D128" s="661">
        <f>'HILOS-CORDONES-TANZA-CUERO'!E24</f>
        <v>56</v>
      </c>
      <c r="E128" s="662">
        <f>D128*C128*B128</f>
        <v>151.20000000000002</v>
      </c>
      <c r="F128" s="658"/>
      <c r="G128" s="653"/>
    </row>
    <row r="129" spans="1:7" ht="15.75" x14ac:dyDescent="0.25">
      <c r="A129" s="1735"/>
      <c r="B129" s="660">
        <v>0.75</v>
      </c>
      <c r="C129" s="660">
        <v>3</v>
      </c>
      <c r="D129" s="661">
        <f>'HILOS-CORDONES-TANZA-CUERO'!E24</f>
        <v>56</v>
      </c>
      <c r="E129" s="662">
        <f>D129*C129*B129</f>
        <v>126</v>
      </c>
      <c r="F129" s="658"/>
      <c r="G129" s="653"/>
    </row>
    <row r="130" spans="1:7" ht="15.75" x14ac:dyDescent="0.25">
      <c r="A130" s="820" t="s">
        <v>4589</v>
      </c>
      <c r="B130" s="660"/>
      <c r="C130" s="660">
        <v>1</v>
      </c>
      <c r="D130" s="661">
        <f>'INSUMOS VARIOS'!E74</f>
        <v>1000</v>
      </c>
      <c r="E130" s="662">
        <f>D130*C130</f>
        <v>1000</v>
      </c>
      <c r="F130" s="658"/>
      <c r="G130" s="653"/>
    </row>
    <row r="131" spans="1:7" ht="15.75" x14ac:dyDescent="0.25">
      <c r="A131" s="769" t="s">
        <v>4592</v>
      </c>
      <c r="B131" s="660"/>
      <c r="C131" s="660">
        <v>1</v>
      </c>
      <c r="D131" s="661">
        <f>'INSUMOS VARIOS'!E78</f>
        <v>300</v>
      </c>
      <c r="E131" s="662">
        <f t="shared" ref="E131" si="13">D131*C131</f>
        <v>300</v>
      </c>
      <c r="F131" s="658"/>
      <c r="G131" s="653"/>
    </row>
    <row r="132" spans="1:7" ht="15.75" x14ac:dyDescent="0.25">
      <c r="A132" s="769" t="s">
        <v>4590</v>
      </c>
      <c r="B132" s="660"/>
      <c r="C132" s="660">
        <v>1</v>
      </c>
      <c r="D132" s="661">
        <f>'INSUMOS VARIOS'!E63</f>
        <v>1666.6666666666667</v>
      </c>
      <c r="E132" s="662">
        <f>D132*C132</f>
        <v>1666.6666666666667</v>
      </c>
      <c r="F132" s="658"/>
      <c r="G132" s="653"/>
    </row>
    <row r="133" spans="1:7" ht="15.75" x14ac:dyDescent="0.25">
      <c r="A133" s="769" t="s">
        <v>1988</v>
      </c>
      <c r="B133" s="660"/>
      <c r="C133" s="660">
        <v>1</v>
      </c>
      <c r="D133" s="661">
        <f>FORNITURAS!H47</f>
        <v>2346</v>
      </c>
      <c r="E133" s="662">
        <f>D133*C133</f>
        <v>2346</v>
      </c>
      <c r="F133" s="658"/>
      <c r="G133" s="653"/>
    </row>
    <row r="134" spans="1:7" ht="15.75" x14ac:dyDescent="0.25">
      <c r="A134" s="820" t="s">
        <v>4591</v>
      </c>
      <c r="B134" s="660"/>
      <c r="C134" s="660">
        <v>1</v>
      </c>
      <c r="D134" s="661">
        <f>'INSUMOS VARIOS'!D33</f>
        <v>256.8</v>
      </c>
      <c r="E134" s="667">
        <f>D134*C134</f>
        <v>256.8</v>
      </c>
      <c r="F134" s="658"/>
      <c r="G134" s="653"/>
    </row>
    <row r="135" spans="1:7" ht="15.75" x14ac:dyDescent="0.25">
      <c r="A135" s="666" t="s">
        <v>1557</v>
      </c>
      <c r="B135" s="660"/>
      <c r="C135" s="660"/>
      <c r="D135" s="661"/>
      <c r="E135" s="667">
        <f>PACKAGING!E4</f>
        <v>80</v>
      </c>
      <c r="F135" s="653"/>
      <c r="G135" s="658"/>
    </row>
    <row r="136" spans="1:7" ht="15.75" x14ac:dyDescent="0.25">
      <c r="A136" s="666" t="s">
        <v>3362</v>
      </c>
      <c r="B136" s="660"/>
      <c r="C136" s="660"/>
      <c r="D136" s="661"/>
      <c r="E136" s="667">
        <f>PACKAGING!E17</f>
        <v>7.5</v>
      </c>
      <c r="F136" s="653"/>
      <c r="G136" s="658"/>
    </row>
    <row r="137" spans="1:7" ht="15.75" x14ac:dyDescent="0.25">
      <c r="A137" s="1339" t="s">
        <v>4153</v>
      </c>
      <c r="B137" s="660"/>
      <c r="C137" s="660"/>
      <c r="D137" s="668"/>
      <c r="E137" s="667">
        <f>PACKAGING!I6</f>
        <v>1070</v>
      </c>
      <c r="F137" s="653"/>
      <c r="G137" s="658"/>
    </row>
    <row r="138" spans="1:7" ht="15.75" x14ac:dyDescent="0.25">
      <c r="A138" s="683" t="s">
        <v>1618</v>
      </c>
      <c r="B138" s="660">
        <v>60</v>
      </c>
      <c r="C138" s="660">
        <v>60</v>
      </c>
      <c r="D138" s="668">
        <f>'INSUMOS VARIOS'!B3</f>
        <v>3500</v>
      </c>
      <c r="E138" s="669">
        <f>D138*C138/B138</f>
        <v>3500</v>
      </c>
    </row>
    <row r="139" spans="1:7" ht="15.75" x14ac:dyDescent="0.25">
      <c r="A139" s="670" t="s">
        <v>525</v>
      </c>
      <c r="B139" s="671"/>
      <c r="C139" s="671"/>
      <c r="D139" s="672"/>
      <c r="E139" s="673">
        <f>SUM(E127:E138)</f>
        <v>10605.416666666668</v>
      </c>
      <c r="F139" s="658"/>
      <c r="G139" s="653"/>
    </row>
    <row r="140" spans="1:7" ht="16.5" thickBot="1" x14ac:dyDescent="0.3">
      <c r="A140" s="675" t="s">
        <v>544</v>
      </c>
      <c r="B140" s="676"/>
      <c r="C140" s="676"/>
      <c r="D140" s="677"/>
      <c r="E140" s="678">
        <f>E139*2</f>
        <v>21210.833333333336</v>
      </c>
      <c r="F140" s="809"/>
      <c r="G140" s="653"/>
    </row>
    <row r="141" spans="1:7" ht="16.5" thickBot="1" x14ac:dyDescent="0.3">
      <c r="A141" s="684" t="s">
        <v>1559</v>
      </c>
      <c r="B141" s="685"/>
      <c r="C141" s="685"/>
      <c r="D141" s="686"/>
      <c r="E141" s="686"/>
      <c r="F141" s="1370">
        <f>E140+E140*70%</f>
        <v>36058.416666666672</v>
      </c>
      <c r="G141" s="1372">
        <v>40000</v>
      </c>
    </row>
    <row r="142" spans="1:7" ht="16.5" thickBot="1" x14ac:dyDescent="0.3">
      <c r="F142" s="652"/>
      <c r="G142" s="1275">
        <f>G141*70%</f>
        <v>28000</v>
      </c>
    </row>
    <row r="143" spans="1:7" ht="15.75" thickBot="1" x14ac:dyDescent="0.3"/>
    <row r="144" spans="1:7" ht="16.5" thickBot="1" x14ac:dyDescent="0.3">
      <c r="A144" s="1809" t="s">
        <v>4925</v>
      </c>
      <c r="B144" s="1810"/>
      <c r="C144" s="1810"/>
      <c r="D144" s="1810"/>
      <c r="E144" s="1814"/>
      <c r="F144" s="653"/>
      <c r="G144" s="653"/>
    </row>
    <row r="145" spans="1:7" ht="15.75" x14ac:dyDescent="0.25">
      <c r="A145" s="654" t="s">
        <v>916</v>
      </c>
      <c r="B145" s="655" t="s">
        <v>743</v>
      </c>
      <c r="C145" s="655" t="s">
        <v>1566</v>
      </c>
      <c r="D145" s="656" t="s">
        <v>1035</v>
      </c>
      <c r="E145" s="657" t="s">
        <v>1549</v>
      </c>
      <c r="F145" s="658"/>
      <c r="G145" s="653"/>
    </row>
    <row r="146" spans="1:7" ht="15.75" x14ac:dyDescent="0.25">
      <c r="A146" s="769" t="s">
        <v>4906</v>
      </c>
      <c r="B146" s="660">
        <v>0.86</v>
      </c>
      <c r="C146" s="660">
        <v>1</v>
      </c>
      <c r="D146" s="661">
        <f>'HILOS-CORDONES-TANZA-CUERO'!M14</f>
        <v>2630.4</v>
      </c>
      <c r="E146" s="662">
        <f>D146*C146*B146</f>
        <v>2262.1440000000002</v>
      </c>
      <c r="F146" s="658"/>
      <c r="G146" s="653"/>
    </row>
    <row r="147" spans="1:7" ht="15.75" x14ac:dyDescent="0.25">
      <c r="A147" s="769" t="s">
        <v>4904</v>
      </c>
      <c r="B147" s="660"/>
      <c r="C147" s="660">
        <v>1</v>
      </c>
      <c r="D147" s="661">
        <f>'AROS, CADENAS, DIJES, ETC'!P184</f>
        <v>5064</v>
      </c>
      <c r="E147" s="662">
        <f>D147*C147</f>
        <v>5064</v>
      </c>
      <c r="F147" s="658"/>
      <c r="G147" s="653"/>
    </row>
    <row r="148" spans="1:7" ht="15.75" x14ac:dyDescent="0.25">
      <c r="A148" s="820" t="s">
        <v>4905</v>
      </c>
      <c r="B148" s="660"/>
      <c r="C148" s="660">
        <v>1</v>
      </c>
      <c r="D148" s="661">
        <f>'RESINA - ACRILICOS'!K3</f>
        <v>2350</v>
      </c>
      <c r="E148" s="662">
        <f>D148*C148</f>
        <v>2350</v>
      </c>
      <c r="F148" s="658"/>
      <c r="G148" s="653"/>
    </row>
    <row r="149" spans="1:7" ht="15.75" x14ac:dyDescent="0.25">
      <c r="A149" s="820" t="s">
        <v>3436</v>
      </c>
      <c r="B149" s="660" t="s">
        <v>4903</v>
      </c>
      <c r="C149" s="660">
        <v>1</v>
      </c>
      <c r="D149" s="661">
        <f>PLATEADO!F7</f>
        <v>824.54</v>
      </c>
      <c r="E149" s="662">
        <f>D149*C149</f>
        <v>824.54</v>
      </c>
      <c r="F149" s="658"/>
      <c r="G149" s="653"/>
    </row>
    <row r="150" spans="1:7" ht="15.75" x14ac:dyDescent="0.25">
      <c r="A150" s="769" t="s">
        <v>3786</v>
      </c>
      <c r="B150" s="660" t="s">
        <v>4903</v>
      </c>
      <c r="C150" s="660">
        <v>1</v>
      </c>
      <c r="D150" s="661">
        <f>FORNITURAS!H60</f>
        <v>2941.54</v>
      </c>
      <c r="E150" s="662">
        <f t="shared" ref="E150" si="14">D150*C150</f>
        <v>2941.54</v>
      </c>
      <c r="F150" s="658"/>
      <c r="G150" s="653"/>
    </row>
    <row r="151" spans="1:7" ht="15.75" x14ac:dyDescent="0.25">
      <c r="A151" s="769" t="s">
        <v>4151</v>
      </c>
      <c r="B151" s="660" t="s">
        <v>4241</v>
      </c>
      <c r="C151" s="660">
        <v>1</v>
      </c>
      <c r="D151" s="661">
        <f>FORNITURAS!H62</f>
        <v>466.15384615384613</v>
      </c>
      <c r="E151" s="662">
        <f>D151*C151</f>
        <v>466.15384615384613</v>
      </c>
      <c r="F151" s="658"/>
      <c r="G151" s="653"/>
    </row>
    <row r="152" spans="1:7" ht="15.75" x14ac:dyDescent="0.25">
      <c r="A152" s="769" t="s">
        <v>1988</v>
      </c>
      <c r="B152" s="660"/>
      <c r="C152" s="660">
        <v>1</v>
      </c>
      <c r="D152" s="661">
        <f>FORNITURAS!H47</f>
        <v>2346</v>
      </c>
      <c r="E152" s="662">
        <f>D152*C152</f>
        <v>2346</v>
      </c>
      <c r="F152" s="658"/>
      <c r="G152" s="653"/>
    </row>
    <row r="153" spans="1:7" ht="15.75" x14ac:dyDescent="0.25">
      <c r="A153" s="666" t="s">
        <v>1557</v>
      </c>
      <c r="B153" s="660"/>
      <c r="C153" s="660"/>
      <c r="D153" s="661"/>
      <c r="E153" s="667">
        <f>PACKAGING!E4</f>
        <v>80</v>
      </c>
      <c r="F153" s="653"/>
      <c r="G153" s="658"/>
    </row>
    <row r="154" spans="1:7" ht="15.75" x14ac:dyDescent="0.25">
      <c r="A154" s="666" t="s">
        <v>3362</v>
      </c>
      <c r="B154" s="660"/>
      <c r="C154" s="660"/>
      <c r="D154" s="661"/>
      <c r="E154" s="667">
        <f>PACKAGING!E17</f>
        <v>7.5</v>
      </c>
      <c r="F154" s="653"/>
      <c r="G154" s="658"/>
    </row>
    <row r="155" spans="1:7" ht="15.75" x14ac:dyDescent="0.25">
      <c r="A155" s="666" t="s">
        <v>3571</v>
      </c>
      <c r="B155" s="660"/>
      <c r="C155" s="660"/>
      <c r="D155" s="668"/>
      <c r="E155" s="667">
        <f>PACKAGING!E7</f>
        <v>170</v>
      </c>
      <c r="F155" s="653"/>
      <c r="G155" s="658"/>
    </row>
    <row r="156" spans="1:7" ht="15.75" x14ac:dyDescent="0.25">
      <c r="A156" s="1339" t="s">
        <v>4153</v>
      </c>
      <c r="B156" s="660"/>
      <c r="C156" s="660"/>
      <c r="D156" s="668"/>
      <c r="E156" s="667">
        <f>PACKAGING!I6</f>
        <v>1070</v>
      </c>
      <c r="F156" s="653"/>
      <c r="G156" s="658"/>
    </row>
    <row r="157" spans="1:7" ht="15.75" x14ac:dyDescent="0.25">
      <c r="A157" s="683" t="s">
        <v>1618</v>
      </c>
      <c r="B157" s="660">
        <v>60</v>
      </c>
      <c r="C157" s="660">
        <v>40</v>
      </c>
      <c r="D157" s="668">
        <f>'INSUMOS VARIOS'!B3</f>
        <v>3500</v>
      </c>
      <c r="E157" s="669">
        <f>D157*C157/B157</f>
        <v>2333.3333333333335</v>
      </c>
    </row>
    <row r="158" spans="1:7" ht="15.75" x14ac:dyDescent="0.25">
      <c r="A158" s="670" t="s">
        <v>525</v>
      </c>
      <c r="B158" s="671"/>
      <c r="C158" s="671"/>
      <c r="D158" s="672"/>
      <c r="E158" s="673">
        <f>SUM(E146:E157)</f>
        <v>19915.211179487178</v>
      </c>
      <c r="F158" s="658"/>
      <c r="G158" s="653"/>
    </row>
    <row r="159" spans="1:7" ht="16.5" thickBot="1" x14ac:dyDescent="0.3">
      <c r="A159" s="675" t="s">
        <v>4918</v>
      </c>
      <c r="B159" s="676"/>
      <c r="C159" s="676"/>
      <c r="D159" s="677"/>
      <c r="E159" s="1422">
        <f>E158*2</f>
        <v>39830.422358974356</v>
      </c>
      <c r="F159" s="809"/>
      <c r="G159" s="653"/>
    </row>
    <row r="160" spans="1:7" ht="16.5" thickBot="1" x14ac:dyDescent="0.3">
      <c r="A160" s="684" t="s">
        <v>1559</v>
      </c>
      <c r="B160" s="685"/>
      <c r="C160" s="685"/>
      <c r="D160" s="686"/>
      <c r="E160" s="784">
        <f>E159+E159*20%</f>
        <v>47796.506830769227</v>
      </c>
      <c r="F160" s="1372">
        <v>46000</v>
      </c>
    </row>
    <row r="161" spans="1:7" ht="16.5" thickBot="1" x14ac:dyDescent="0.3">
      <c r="E161" s="652"/>
      <c r="F161" s="1275">
        <f>F160*70%</f>
        <v>32199.999999999996</v>
      </c>
    </row>
    <row r="162" spans="1:7" ht="15.75" thickBot="1" x14ac:dyDescent="0.3"/>
    <row r="163" spans="1:7" ht="16.5" thickBot="1" x14ac:dyDescent="0.3">
      <c r="A163" s="1809" t="s">
        <v>4926</v>
      </c>
      <c r="B163" s="1810"/>
      <c r="C163" s="1810"/>
      <c r="D163" s="1810"/>
      <c r="E163" s="1814"/>
      <c r="F163" s="653"/>
      <c r="G163" s="653"/>
    </row>
    <row r="164" spans="1:7" ht="15.75" x14ac:dyDescent="0.25">
      <c r="A164" s="654" t="s">
        <v>916</v>
      </c>
      <c r="B164" s="655" t="s">
        <v>743</v>
      </c>
      <c r="C164" s="655" t="s">
        <v>1566</v>
      </c>
      <c r="D164" s="656" t="s">
        <v>1035</v>
      </c>
      <c r="E164" s="657" t="s">
        <v>1549</v>
      </c>
      <c r="F164" s="658"/>
      <c r="G164" s="653"/>
    </row>
    <row r="165" spans="1:7" ht="15.75" x14ac:dyDescent="0.25">
      <c r="A165" s="769" t="s">
        <v>4907</v>
      </c>
      <c r="B165" s="660">
        <v>0.86</v>
      </c>
      <c r="C165" s="660">
        <v>1</v>
      </c>
      <c r="D165" s="661">
        <f>'HILOS-CORDONES-TANZA-CUERO'!M15</f>
        <v>2630.4</v>
      </c>
      <c r="E165" s="662">
        <f>D165*C165*B165</f>
        <v>2262.1440000000002</v>
      </c>
      <c r="F165" s="658"/>
      <c r="G165" s="653"/>
    </row>
    <row r="166" spans="1:7" ht="15.75" x14ac:dyDescent="0.25">
      <c r="A166" s="769" t="s">
        <v>4909</v>
      </c>
      <c r="B166" s="660"/>
      <c r="C166" s="660">
        <v>1</v>
      </c>
      <c r="D166" s="661">
        <f>'AROS, CADENAS, DIJES, ETC'!P199</f>
        <v>3173</v>
      </c>
      <c r="E166" s="662">
        <f>D166*C166</f>
        <v>3173</v>
      </c>
      <c r="F166" s="658"/>
      <c r="G166" s="653"/>
    </row>
    <row r="167" spans="1:7" ht="15.75" x14ac:dyDescent="0.25">
      <c r="A167" s="820" t="s">
        <v>4908</v>
      </c>
      <c r="B167" s="660"/>
      <c r="C167" s="660">
        <v>1</v>
      </c>
      <c r="D167" s="661">
        <f>'RESINA - ACRILICOS'!K4</f>
        <v>2350</v>
      </c>
      <c r="E167" s="662">
        <f>D167*C167</f>
        <v>2350</v>
      </c>
      <c r="F167" s="658"/>
      <c r="G167" s="653"/>
    </row>
    <row r="168" spans="1:7" ht="15.75" x14ac:dyDescent="0.25">
      <c r="A168" s="820" t="s">
        <v>4910</v>
      </c>
      <c r="B168" s="660" t="s">
        <v>1056</v>
      </c>
      <c r="C168" s="660">
        <v>1</v>
      </c>
      <c r="D168" s="661">
        <f>'RESINA - ACRILICOS'!K7</f>
        <v>1170</v>
      </c>
      <c r="E168" s="662">
        <f>D168*C168</f>
        <v>1170</v>
      </c>
      <c r="F168" s="658"/>
      <c r="G168" s="653"/>
    </row>
    <row r="169" spans="1:7" ht="15.75" x14ac:dyDescent="0.25">
      <c r="A169" s="769" t="s">
        <v>3786</v>
      </c>
      <c r="B169" s="660" t="s">
        <v>4903</v>
      </c>
      <c r="C169" s="660">
        <v>1</v>
      </c>
      <c r="D169" s="661">
        <f>FORNITURAS!H60</f>
        <v>2941.54</v>
      </c>
      <c r="E169" s="662">
        <f t="shared" ref="E169" si="15">D169*C169</f>
        <v>2941.54</v>
      </c>
      <c r="F169" s="658"/>
      <c r="G169" s="653"/>
    </row>
    <row r="170" spans="1:7" ht="15.75" x14ac:dyDescent="0.25">
      <c r="A170" s="769" t="s">
        <v>4151</v>
      </c>
      <c r="B170" s="660" t="s">
        <v>4241</v>
      </c>
      <c r="C170" s="660">
        <v>1</v>
      </c>
      <c r="D170" s="661">
        <f>FORNITURAS!H62</f>
        <v>466.15384615384613</v>
      </c>
      <c r="E170" s="662">
        <f>D170*C170</f>
        <v>466.15384615384613</v>
      </c>
      <c r="F170" s="658"/>
      <c r="G170" s="653"/>
    </row>
    <row r="171" spans="1:7" ht="15.75" x14ac:dyDescent="0.25">
      <c r="A171" s="769" t="s">
        <v>1988</v>
      </c>
      <c r="B171" s="660"/>
      <c r="C171" s="660">
        <v>1</v>
      </c>
      <c r="D171" s="661">
        <f>FORNITURAS!H47</f>
        <v>2346</v>
      </c>
      <c r="E171" s="662">
        <f>D171*C171</f>
        <v>2346</v>
      </c>
      <c r="F171" s="658"/>
      <c r="G171" s="653"/>
    </row>
    <row r="172" spans="1:7" ht="15.75" x14ac:dyDescent="0.25">
      <c r="A172" s="666" t="s">
        <v>1557</v>
      </c>
      <c r="B172" s="660"/>
      <c r="C172" s="660"/>
      <c r="D172" s="661"/>
      <c r="E172" s="667">
        <f>PACKAGING!E4</f>
        <v>80</v>
      </c>
      <c r="F172" s="653"/>
      <c r="G172" s="658"/>
    </row>
    <row r="173" spans="1:7" ht="15.75" x14ac:dyDescent="0.25">
      <c r="A173" s="666" t="s">
        <v>3362</v>
      </c>
      <c r="B173" s="660"/>
      <c r="C173" s="660"/>
      <c r="D173" s="661"/>
      <c r="E173" s="667">
        <f>PACKAGING!E17</f>
        <v>7.5</v>
      </c>
      <c r="F173" s="653"/>
      <c r="G173" s="658"/>
    </row>
    <row r="174" spans="1:7" ht="15.75" x14ac:dyDescent="0.25">
      <c r="A174" s="666" t="s">
        <v>1537</v>
      </c>
      <c r="B174" s="660"/>
      <c r="C174" s="660"/>
      <c r="D174" s="668"/>
      <c r="E174" s="667">
        <f>PACKAGING!E7</f>
        <v>170</v>
      </c>
      <c r="F174" s="653"/>
      <c r="G174" s="658"/>
    </row>
    <row r="175" spans="1:7" ht="15.75" x14ac:dyDescent="0.25">
      <c r="A175" s="666" t="s">
        <v>4917</v>
      </c>
      <c r="B175" s="660" t="s">
        <v>1054</v>
      </c>
      <c r="C175" s="660">
        <v>0.1</v>
      </c>
      <c r="D175" s="668">
        <f>FORNITURAS!W3</f>
        <v>2284</v>
      </c>
      <c r="E175" s="667">
        <f>D175*C175</f>
        <v>228.4</v>
      </c>
      <c r="F175" s="653"/>
      <c r="G175" s="658"/>
    </row>
    <row r="176" spans="1:7" ht="15.75" x14ac:dyDescent="0.25">
      <c r="A176" s="666" t="s">
        <v>4153</v>
      </c>
      <c r="B176" s="660"/>
      <c r="C176" s="660"/>
      <c r="D176" s="668"/>
      <c r="E176" s="667">
        <f>PACKAGING!I6</f>
        <v>1070</v>
      </c>
      <c r="F176" s="653"/>
      <c r="G176" s="658"/>
    </row>
    <row r="177" spans="1:7" ht="15.75" x14ac:dyDescent="0.25">
      <c r="A177" s="683" t="s">
        <v>1618</v>
      </c>
      <c r="B177" s="660">
        <v>60</v>
      </c>
      <c r="C177" s="660">
        <v>40</v>
      </c>
      <c r="D177" s="668">
        <f>'INSUMOS VARIOS'!B3</f>
        <v>3500</v>
      </c>
      <c r="E177" s="669">
        <f>D177*C177/B177</f>
        <v>2333.3333333333335</v>
      </c>
    </row>
    <row r="178" spans="1:7" ht="15.75" x14ac:dyDescent="0.25">
      <c r="A178" s="670" t="s">
        <v>525</v>
      </c>
      <c r="B178" s="671"/>
      <c r="C178" s="671"/>
      <c r="D178" s="672"/>
      <c r="E178" s="673">
        <f>SUM(E165:E177)</f>
        <v>18598.071179487179</v>
      </c>
      <c r="F178" s="658"/>
      <c r="G178" s="653"/>
    </row>
    <row r="179" spans="1:7" ht="16.5" thickBot="1" x14ac:dyDescent="0.3">
      <c r="A179" s="675" t="s">
        <v>4918</v>
      </c>
      <c r="B179" s="676"/>
      <c r="C179" s="676"/>
      <c r="D179" s="677"/>
      <c r="E179" s="1422">
        <f>E178*2</f>
        <v>37196.142358974357</v>
      </c>
      <c r="F179" s="809"/>
      <c r="G179" s="653"/>
    </row>
    <row r="180" spans="1:7" ht="16.5" thickBot="1" x14ac:dyDescent="0.3">
      <c r="A180" s="684" t="s">
        <v>1559</v>
      </c>
      <c r="B180" s="685"/>
      <c r="C180" s="685"/>
      <c r="D180" s="686"/>
      <c r="E180" s="784">
        <f>E179+E179*20%</f>
        <v>44635.370830769229</v>
      </c>
      <c r="F180" s="1372">
        <v>46000</v>
      </c>
    </row>
    <row r="181" spans="1:7" ht="16.5" thickBot="1" x14ac:dyDescent="0.3">
      <c r="E181" s="652"/>
      <c r="F181" s="1275">
        <f>F180*70%</f>
        <v>32199.999999999996</v>
      </c>
    </row>
  </sheetData>
  <mergeCells count="14">
    <mergeCell ref="A66:E66"/>
    <mergeCell ref="A86:E86"/>
    <mergeCell ref="A90:A91"/>
    <mergeCell ref="A46:E46"/>
    <mergeCell ref="A2:E2"/>
    <mergeCell ref="A27:E27"/>
    <mergeCell ref="A31:A32"/>
    <mergeCell ref="A144:E144"/>
    <mergeCell ref="A163:E163"/>
    <mergeCell ref="A128:A129"/>
    <mergeCell ref="A103:E103"/>
    <mergeCell ref="A107:A108"/>
    <mergeCell ref="A110:A111"/>
    <mergeCell ref="A125:E125"/>
  </mergeCells>
  <pageMargins left="0.7" right="0.7" top="0.75" bottom="0.75" header="0.3" footer="0.3"/>
  <ignoredErrors>
    <ignoredError sqref="E13"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AAF04-A326-4DB0-B5FF-C4EA7A83C59D}">
  <dimension ref="A1:N118"/>
  <sheetViews>
    <sheetView topLeftCell="A3" workbookViewId="0">
      <selection activeCell="I116" sqref="I116"/>
    </sheetView>
  </sheetViews>
  <sheetFormatPr baseColWidth="10" defaultRowHeight="15" x14ac:dyDescent="0.25"/>
  <cols>
    <col min="1" max="1" width="29" bestFit="1" customWidth="1"/>
    <col min="2" max="2" width="0.140625" customWidth="1"/>
    <col min="3" max="3" width="0.28515625" customWidth="1"/>
    <col min="4" max="4" width="11.85546875" bestFit="1" customWidth="1"/>
    <col min="6" max="6" width="26.28515625" customWidth="1"/>
    <col min="7" max="8" width="0.28515625" customWidth="1"/>
    <col min="9" max="9" width="12.5703125" bestFit="1" customWidth="1"/>
    <col min="11" max="11" width="28.140625" customWidth="1"/>
    <col min="12" max="12" width="0.140625" customWidth="1"/>
    <col min="13" max="13" width="0.28515625" customWidth="1"/>
    <col min="14" max="14" width="11.85546875" bestFit="1" customWidth="1"/>
  </cols>
  <sheetData>
    <row r="1" spans="1:14" ht="15.75" thickBot="1" x14ac:dyDescent="0.3">
      <c r="A1" s="966" t="s">
        <v>84</v>
      </c>
      <c r="B1" s="967" t="s">
        <v>543</v>
      </c>
      <c r="C1" s="967" t="s">
        <v>544</v>
      </c>
      <c r="D1" s="968" t="s">
        <v>545</v>
      </c>
      <c r="E1" s="969"/>
      <c r="F1" s="966" t="s">
        <v>84</v>
      </c>
      <c r="G1" s="967" t="s">
        <v>543</v>
      </c>
      <c r="H1" s="967" t="s">
        <v>544</v>
      </c>
      <c r="I1" s="968" t="s">
        <v>545</v>
      </c>
      <c r="J1" s="970"/>
      <c r="K1" s="966" t="s">
        <v>84</v>
      </c>
      <c r="L1" s="967" t="s">
        <v>543</v>
      </c>
      <c r="M1" s="967" t="s">
        <v>544</v>
      </c>
      <c r="N1" s="968" t="s">
        <v>545</v>
      </c>
    </row>
    <row r="2" spans="1:14" ht="15.75" thickBot="1" x14ac:dyDescent="0.3">
      <c r="A2" s="1534" t="s">
        <v>546</v>
      </c>
      <c r="B2" s="1535"/>
      <c r="C2" s="1535"/>
      <c r="D2" s="1536"/>
      <c r="E2" s="971"/>
      <c r="F2" s="1531" t="s">
        <v>547</v>
      </c>
      <c r="G2" s="1532"/>
      <c r="H2" s="1532"/>
      <c r="I2" s="1533"/>
      <c r="J2" s="970"/>
      <c r="K2" s="1537" t="s">
        <v>204</v>
      </c>
      <c r="L2" s="1538"/>
      <c r="M2" s="1538"/>
      <c r="N2" s="1539"/>
    </row>
    <row r="3" spans="1:14" ht="15.75" thickBot="1" x14ac:dyDescent="0.3">
      <c r="A3" s="972" t="s">
        <v>548</v>
      </c>
      <c r="B3" s="973"/>
      <c r="C3" s="973"/>
      <c r="D3" s="974">
        <f>AROS!H48</f>
        <v>15000</v>
      </c>
      <c r="E3" s="971"/>
      <c r="F3" s="975" t="s">
        <v>168</v>
      </c>
      <c r="G3" s="976" t="e">
        <f>#REF!</f>
        <v>#REF!</v>
      </c>
      <c r="H3" s="977">
        <f>'SALE COLLARES'!T16</f>
        <v>2700</v>
      </c>
      <c r="I3" s="977">
        <f>'SALE COLLARES'!T17</f>
        <v>5400</v>
      </c>
      <c r="J3" s="970"/>
      <c r="K3" s="978" t="s">
        <v>549</v>
      </c>
      <c r="L3" s="979"/>
      <c r="M3" s="979">
        <f>OSITO!N18</f>
        <v>0</v>
      </c>
      <c r="N3" s="980">
        <f>OSITO!X17</f>
        <v>12000</v>
      </c>
    </row>
    <row r="4" spans="1:14" ht="15.75" thickBot="1" x14ac:dyDescent="0.3">
      <c r="A4" s="981" t="s">
        <v>277</v>
      </c>
      <c r="B4" s="982"/>
      <c r="C4" s="983"/>
      <c r="D4" s="984">
        <f>AROS!J457</f>
        <v>24000</v>
      </c>
      <c r="E4" s="971"/>
      <c r="F4" s="985" t="s">
        <v>2142</v>
      </c>
      <c r="G4" s="986"/>
      <c r="H4" s="987"/>
      <c r="I4" s="987">
        <f>LAZOS!H40</f>
        <v>18000</v>
      </c>
      <c r="J4" s="970"/>
      <c r="K4" s="1540" t="s">
        <v>550</v>
      </c>
      <c r="L4" s="1541"/>
      <c r="M4" s="1541"/>
      <c r="N4" s="1542"/>
    </row>
    <row r="5" spans="1:14" x14ac:dyDescent="0.25">
      <c r="A5" s="988" t="s">
        <v>150</v>
      </c>
      <c r="B5" s="989"/>
      <c r="C5" s="990"/>
      <c r="D5" s="991">
        <f>AROS!H306</f>
        <v>13600</v>
      </c>
      <c r="E5" s="971"/>
      <c r="F5" s="985" t="s">
        <v>2288</v>
      </c>
      <c r="G5" s="986"/>
      <c r="H5" s="987"/>
      <c r="I5" s="987">
        <f>LAZOS!I66</f>
        <v>29000</v>
      </c>
      <c r="J5" s="970"/>
      <c r="K5" s="972" t="s">
        <v>336</v>
      </c>
      <c r="L5" s="973">
        <f>STRAPS!F32</f>
        <v>3187.3817685238737</v>
      </c>
      <c r="M5" s="973">
        <f>STRAPS!H176</f>
        <v>4500</v>
      </c>
      <c r="N5" s="974">
        <f>STRAPS!H177</f>
        <v>9000</v>
      </c>
    </row>
    <row r="6" spans="1:14" ht="15.75" thickBot="1" x14ac:dyDescent="0.3">
      <c r="A6" s="988" t="s">
        <v>141</v>
      </c>
      <c r="B6" s="989"/>
      <c r="C6" s="991"/>
      <c r="D6" s="991">
        <f>AROS!I275</f>
        <v>23000</v>
      </c>
      <c r="E6" s="971"/>
      <c r="F6" s="988" t="s">
        <v>364</v>
      </c>
      <c r="G6" s="992"/>
      <c r="H6" s="991">
        <f>LAZOS!G147</f>
        <v>11500</v>
      </c>
      <c r="I6" s="991">
        <f>LAZOS!J13</f>
        <v>24000</v>
      </c>
      <c r="J6" s="970"/>
      <c r="K6" s="993" t="s">
        <v>372</v>
      </c>
      <c r="L6" s="994"/>
      <c r="M6" s="994"/>
      <c r="N6" s="995">
        <f>STRAPS!I196</f>
        <v>9000</v>
      </c>
    </row>
    <row r="7" spans="1:14" ht="15.75" thickBot="1" x14ac:dyDescent="0.3">
      <c r="A7" s="981" t="s">
        <v>2209</v>
      </c>
      <c r="B7" s="982"/>
      <c r="C7" s="984"/>
      <c r="D7" s="984">
        <f>AROS!J449</f>
        <v>39000</v>
      </c>
      <c r="E7" s="971"/>
      <c r="F7" s="988" t="s">
        <v>365</v>
      </c>
      <c r="G7" s="992"/>
      <c r="H7" s="991">
        <f>LAZOS!G148</f>
        <v>23000</v>
      </c>
      <c r="I7" s="991">
        <f>LAZOS!J25</f>
        <v>39000</v>
      </c>
      <c r="J7" s="970"/>
      <c r="K7" s="1543" t="s">
        <v>552</v>
      </c>
      <c r="L7" s="1544"/>
      <c r="M7" s="1544"/>
      <c r="N7" s="1545"/>
    </row>
    <row r="8" spans="1:14" ht="15.75" thickBot="1" x14ac:dyDescent="0.3">
      <c r="A8" s="981" t="s">
        <v>127</v>
      </c>
      <c r="B8" s="982"/>
      <c r="C8" s="984">
        <f>AROS!H387</f>
        <v>8200</v>
      </c>
      <c r="D8" s="984">
        <f>AROS!H388</f>
        <v>16400</v>
      </c>
      <c r="E8" s="996"/>
      <c r="F8" s="997" t="s">
        <v>363</v>
      </c>
      <c r="G8" s="998"/>
      <c r="H8" s="999">
        <f>LAZOS!G147</f>
        <v>11500</v>
      </c>
      <c r="I8" s="999">
        <f>LAZOS!G148</f>
        <v>23000</v>
      </c>
      <c r="J8" s="970"/>
      <c r="K8" s="975" t="s">
        <v>554</v>
      </c>
      <c r="L8" s="976">
        <f>'TOBILLERAS Y ANILLOS'!E11</f>
        <v>0</v>
      </c>
      <c r="M8" s="976">
        <f>VARIOS!E17</f>
        <v>1724.35</v>
      </c>
      <c r="N8" s="977">
        <v>3200</v>
      </c>
    </row>
    <row r="9" spans="1:14" ht="15.75" thickBot="1" x14ac:dyDescent="0.3">
      <c r="A9" s="981" t="s">
        <v>137</v>
      </c>
      <c r="B9" s="982"/>
      <c r="C9" s="984"/>
      <c r="D9" s="984">
        <f>AROS!I263</f>
        <v>34000</v>
      </c>
      <c r="E9" s="971"/>
      <c r="F9" s="1534" t="s">
        <v>551</v>
      </c>
      <c r="G9" s="1535"/>
      <c r="H9" s="1535"/>
      <c r="I9" s="1536"/>
      <c r="J9" s="970"/>
      <c r="K9" s="993" t="s">
        <v>556</v>
      </c>
      <c r="L9" s="994" t="e">
        <f>'TOBILLERAS Y ANILLOS'!#REF!</f>
        <v>#REF!</v>
      </c>
      <c r="M9" s="994">
        <f>VARIOS!E25</f>
        <v>4400</v>
      </c>
      <c r="N9" s="995">
        <v>5200</v>
      </c>
    </row>
    <row r="10" spans="1:14" ht="15.75" thickBot="1" x14ac:dyDescent="0.3">
      <c r="A10" s="981" t="s">
        <v>553</v>
      </c>
      <c r="B10" s="982"/>
      <c r="C10" s="984"/>
      <c r="D10" s="984">
        <f>AROS!G111</f>
        <v>13000</v>
      </c>
      <c r="E10" s="971"/>
      <c r="F10" s="972" t="s">
        <v>385</v>
      </c>
      <c r="G10" s="973">
        <f>CADENAS!AD13</f>
        <v>2826.7333333333336</v>
      </c>
      <c r="H10" s="973">
        <f>CADENAS!AF13</f>
        <v>2300</v>
      </c>
      <c r="I10" s="974">
        <f>CADENAS!AF14</f>
        <v>4600</v>
      </c>
      <c r="J10" s="970"/>
      <c r="K10" s="1534" t="s">
        <v>558</v>
      </c>
      <c r="L10" s="1535"/>
      <c r="M10" s="1535"/>
      <c r="N10" s="1536"/>
    </row>
    <row r="11" spans="1:14" x14ac:dyDescent="0.25">
      <c r="A11" s="981" t="s">
        <v>555</v>
      </c>
      <c r="B11" s="982"/>
      <c r="C11" s="984">
        <f>AROS!G110</f>
        <v>6500</v>
      </c>
      <c r="D11" s="984">
        <f>AROS!G102</f>
        <v>12000</v>
      </c>
      <c r="E11" s="971"/>
      <c r="F11" s="988" t="s">
        <v>386</v>
      </c>
      <c r="G11" s="989">
        <f>CADENAS!AD26</f>
        <v>2305.4</v>
      </c>
      <c r="H11" s="989">
        <f>CADENAS!AF26</f>
        <v>2300</v>
      </c>
      <c r="I11" s="991">
        <f>CADENAS!AF27</f>
        <v>4600</v>
      </c>
      <c r="J11" s="970"/>
      <c r="K11" s="988" t="s">
        <v>531</v>
      </c>
      <c r="L11" s="989">
        <f>HOLDERS!T116</f>
        <v>1205.4533333333334</v>
      </c>
      <c r="M11" s="989">
        <f>HOLDERS!U116</f>
        <v>1600</v>
      </c>
      <c r="N11" s="991">
        <v>3200</v>
      </c>
    </row>
    <row r="12" spans="1:14" x14ac:dyDescent="0.25">
      <c r="A12" s="988" t="s">
        <v>557</v>
      </c>
      <c r="B12" s="989"/>
      <c r="C12" s="989">
        <f>AROS!G92</f>
        <v>5000</v>
      </c>
      <c r="D12" s="991">
        <f>AROS!G93</f>
        <v>10000</v>
      </c>
      <c r="E12" s="971"/>
      <c r="F12" s="988" t="s">
        <v>277</v>
      </c>
      <c r="G12" s="989">
        <f>CADENAS!E37</f>
        <v>4830.666666666667</v>
      </c>
      <c r="H12" s="989" t="e">
        <f>#REF!</f>
        <v>#REF!</v>
      </c>
      <c r="I12" s="991">
        <f>CADENAS!I38</f>
        <v>22000</v>
      </c>
      <c r="J12" s="970"/>
      <c r="K12" s="988" t="s">
        <v>532</v>
      </c>
      <c r="L12" s="989">
        <f>HOLDERS!E130</f>
        <v>1187.3422222222221</v>
      </c>
      <c r="M12" s="989">
        <f>HOLDERS!F130</f>
        <v>1600</v>
      </c>
      <c r="N12" s="991">
        <v>3200</v>
      </c>
    </row>
    <row r="13" spans="1:14" x14ac:dyDescent="0.25">
      <c r="A13" s="988" t="s">
        <v>185</v>
      </c>
      <c r="B13" s="989"/>
      <c r="C13" s="989"/>
      <c r="D13" s="991">
        <v>7000</v>
      </c>
      <c r="E13" s="971"/>
      <c r="F13" s="988" t="s">
        <v>272</v>
      </c>
      <c r="G13" s="989">
        <f>CADENAS!E13</f>
        <v>2807.3333333333335</v>
      </c>
      <c r="H13" s="989">
        <f>CADENAS!G13</f>
        <v>7000</v>
      </c>
      <c r="I13" s="991">
        <f>CADENAS!G14</f>
        <v>14000</v>
      </c>
      <c r="J13" s="970"/>
      <c r="K13" s="988" t="s">
        <v>526</v>
      </c>
      <c r="L13" s="989">
        <f>HOLDERS!M116</f>
        <v>901.65333333333331</v>
      </c>
      <c r="M13" s="989">
        <f>HOLDERS!N116</f>
        <v>1300</v>
      </c>
      <c r="N13" s="991">
        <v>2600</v>
      </c>
    </row>
    <row r="14" spans="1:14" ht="15.75" thickBot="1" x14ac:dyDescent="0.3">
      <c r="A14" s="988" t="s">
        <v>166</v>
      </c>
      <c r="B14" s="989"/>
      <c r="C14" s="989"/>
      <c r="D14" s="991">
        <f>AROS!H400</f>
        <v>10000</v>
      </c>
      <c r="E14" s="971"/>
      <c r="F14" s="981" t="s">
        <v>307</v>
      </c>
      <c r="G14" s="982"/>
      <c r="H14" s="984">
        <f>CADENAS!G58</f>
        <v>9000</v>
      </c>
      <c r="I14" s="984">
        <f>CADENAS!G59</f>
        <v>18000</v>
      </c>
      <c r="J14" s="970"/>
      <c r="K14" s="988" t="s">
        <v>528</v>
      </c>
      <c r="L14" s="989">
        <f>HOLDERS!E116</f>
        <v>1036.6755555555555</v>
      </c>
      <c r="M14" s="989">
        <f>HOLDERS!F116</f>
        <v>1500</v>
      </c>
      <c r="N14" s="991">
        <v>3000</v>
      </c>
    </row>
    <row r="15" spans="1:14" ht="15.75" thickBot="1" x14ac:dyDescent="0.3">
      <c r="A15" s="997" t="s">
        <v>153</v>
      </c>
      <c r="B15" s="1000">
        <f>'SALE AROS'!F111</f>
        <v>10223.963207547171</v>
      </c>
      <c r="C15" s="1000">
        <f>'SALE AROS'!H111</f>
        <v>1600</v>
      </c>
      <c r="D15" s="1001">
        <f>'SALE AROS'!H112</f>
        <v>3200</v>
      </c>
      <c r="E15" s="971"/>
      <c r="F15" s="981" t="s">
        <v>274</v>
      </c>
      <c r="G15" s="982"/>
      <c r="H15" s="984">
        <f>CADENAS!G69</f>
        <v>9000</v>
      </c>
      <c r="I15" s="984">
        <f>CADENAS!G70</f>
        <v>18000</v>
      </c>
      <c r="J15" s="970"/>
      <c r="K15" s="1531" t="s">
        <v>560</v>
      </c>
      <c r="L15" s="1532"/>
      <c r="M15" s="1532"/>
      <c r="N15" s="1533"/>
    </row>
    <row r="16" spans="1:14" ht="15.75" thickBot="1" x14ac:dyDescent="0.3">
      <c r="A16" s="988" t="s">
        <v>167</v>
      </c>
      <c r="B16" s="989"/>
      <c r="C16" s="989"/>
      <c r="D16" s="1002">
        <f>AROS!H413</f>
        <v>20000</v>
      </c>
      <c r="E16" s="971"/>
      <c r="F16" s="981" t="s">
        <v>284</v>
      </c>
      <c r="G16" s="982">
        <f>CADENAS!E47</f>
        <v>2870</v>
      </c>
      <c r="H16" s="982">
        <f>CADENAS!G47</f>
        <v>2433</v>
      </c>
      <c r="I16" s="984">
        <f>CADENAS!I48</f>
        <v>22000</v>
      </c>
      <c r="J16" s="970"/>
      <c r="K16" s="972" t="s">
        <v>561</v>
      </c>
      <c r="L16" s="973" t="e">
        <f>'TOBILLERAS Y ANILLOS'!#REF!</f>
        <v>#REF!</v>
      </c>
      <c r="M16" s="973" t="e">
        <f>VARIOS!#REF!</f>
        <v>#REF!</v>
      </c>
      <c r="N16" s="974">
        <v>2000</v>
      </c>
    </row>
    <row r="17" spans="1:14" ht="15.75" thickBot="1" x14ac:dyDescent="0.3">
      <c r="A17" s="988" t="s">
        <v>188</v>
      </c>
      <c r="B17" s="992"/>
      <c r="C17" s="989"/>
      <c r="D17" s="984">
        <f>AROS!G137</f>
        <v>16000</v>
      </c>
      <c r="E17" s="971"/>
      <c r="F17" s="988" t="s">
        <v>273</v>
      </c>
      <c r="G17" s="989">
        <f>'SALE CADENAS'!E24</f>
        <v>3039.3333333333335</v>
      </c>
      <c r="H17" s="989">
        <f>'SALE CADENAS'!G24</f>
        <v>2500</v>
      </c>
      <c r="I17" s="991">
        <f>I15</f>
        <v>18000</v>
      </c>
      <c r="J17" s="970"/>
      <c r="K17" s="1534" t="s">
        <v>563</v>
      </c>
      <c r="L17" s="1535"/>
      <c r="M17" s="1535"/>
      <c r="N17" s="1536"/>
    </row>
    <row r="18" spans="1:14" x14ac:dyDescent="0.25">
      <c r="A18" s="988" t="s">
        <v>559</v>
      </c>
      <c r="B18" s="992"/>
      <c r="C18" s="989"/>
      <c r="D18" s="991">
        <f>D17</f>
        <v>16000</v>
      </c>
      <c r="E18" s="971"/>
      <c r="F18" s="988" t="s">
        <v>305</v>
      </c>
      <c r="G18" s="989">
        <f>CADENAS!E25</f>
        <v>9923.4</v>
      </c>
      <c r="H18" s="989">
        <f>CADENAS!G25</f>
        <v>26000</v>
      </c>
      <c r="I18" s="991">
        <f>CADENAS!G26</f>
        <v>0</v>
      </c>
      <c r="J18" s="970"/>
      <c r="K18" s="972" t="s">
        <v>515</v>
      </c>
      <c r="L18" s="973">
        <f>HOLDERS!E54</f>
        <v>52</v>
      </c>
      <c r="M18" s="973">
        <f>HOLDERS!F54</f>
        <v>52</v>
      </c>
      <c r="N18" s="974">
        <v>4500</v>
      </c>
    </row>
    <row r="19" spans="1:14" x14ac:dyDescent="0.25">
      <c r="A19" s="988" t="s">
        <v>189</v>
      </c>
      <c r="B19" s="989"/>
      <c r="C19" s="989"/>
      <c r="D19" s="991">
        <f>AROS!G138</f>
        <v>18000</v>
      </c>
      <c r="E19" s="971"/>
      <c r="F19" s="988" t="s">
        <v>285</v>
      </c>
      <c r="G19" s="989"/>
      <c r="H19" s="991">
        <f>CADENAS!G81</f>
        <v>2433</v>
      </c>
      <c r="I19" s="991">
        <f>CADENAS!I82</f>
        <v>0</v>
      </c>
      <c r="J19" s="970"/>
      <c r="K19" s="988" t="s">
        <v>567</v>
      </c>
      <c r="L19" s="989">
        <f>HOLDERS!M54</f>
        <v>10.78</v>
      </c>
      <c r="M19" s="989">
        <f>HOLDERS!N54</f>
        <v>21.56</v>
      </c>
      <c r="N19" s="991">
        <v>5000</v>
      </c>
    </row>
    <row r="20" spans="1:14" ht="15.75" thickBot="1" x14ac:dyDescent="0.3">
      <c r="A20" s="988" t="s">
        <v>562</v>
      </c>
      <c r="B20" s="989"/>
      <c r="C20" s="989"/>
      <c r="D20" s="991">
        <f>D19</f>
        <v>18000</v>
      </c>
      <c r="E20" s="971"/>
      <c r="F20" s="1003" t="s">
        <v>564</v>
      </c>
      <c r="G20" s="989">
        <f>'SALE CADENAS'!E12</f>
        <v>1878</v>
      </c>
      <c r="H20" s="989">
        <f>'SALE CADENAS'!G12</f>
        <v>1900</v>
      </c>
      <c r="I20" s="1004">
        <f>'SALE CADENAS'!G13</f>
        <v>3800</v>
      </c>
      <c r="J20" s="970"/>
      <c r="K20" s="988" t="s">
        <v>568</v>
      </c>
      <c r="L20" s="989">
        <f>HOLDERS!E40</f>
        <v>50</v>
      </c>
      <c r="M20" s="989">
        <f>HOLDERS!F40</f>
        <v>0</v>
      </c>
      <c r="N20" s="991">
        <v>5000</v>
      </c>
    </row>
    <row r="21" spans="1:14" ht="15.75" thickBot="1" x14ac:dyDescent="0.3">
      <c r="A21" s="988" t="s">
        <v>145</v>
      </c>
      <c r="B21" s="989">
        <f>AROS!F223</f>
        <v>7511.995480225989</v>
      </c>
      <c r="C21" s="989">
        <f>AROS!H223</f>
        <v>5500</v>
      </c>
      <c r="D21" s="991">
        <f>AROS!H224</f>
        <v>11000</v>
      </c>
      <c r="E21" s="971"/>
      <c r="F21" s="1534" t="s">
        <v>566</v>
      </c>
      <c r="G21" s="1535"/>
      <c r="H21" s="1535"/>
      <c r="I21" s="1536"/>
      <c r="J21" s="970"/>
      <c r="K21" s="1005" t="s">
        <v>569</v>
      </c>
      <c r="L21" s="1006">
        <f>HOLDERS!T128</f>
        <v>0</v>
      </c>
      <c r="M21" s="1006">
        <f>HOLDERS!U128</f>
        <v>0</v>
      </c>
      <c r="N21" s="1007">
        <v>5500</v>
      </c>
    </row>
    <row r="22" spans="1:14" ht="15.75" thickBot="1" x14ac:dyDescent="0.3">
      <c r="A22" s="988" t="s">
        <v>565</v>
      </c>
      <c r="B22" s="1008">
        <f>AROS!E56</f>
        <v>1540</v>
      </c>
      <c r="C22" s="989">
        <f>AROS!G56</f>
        <v>1600</v>
      </c>
      <c r="D22" s="1009">
        <v>2500</v>
      </c>
      <c r="E22" s="971"/>
      <c r="F22" s="1010" t="s">
        <v>150</v>
      </c>
      <c r="G22" s="1011"/>
      <c r="H22" s="1011"/>
      <c r="I22" s="1012">
        <f>CADENAS!T117</f>
        <v>30000</v>
      </c>
      <c r="J22" s="970"/>
      <c r="K22" s="1534" t="s">
        <v>570</v>
      </c>
      <c r="L22" s="1535"/>
      <c r="M22" s="1535"/>
      <c r="N22" s="1536"/>
    </row>
    <row r="23" spans="1:14" x14ac:dyDescent="0.25">
      <c r="A23" s="988" t="s">
        <v>129</v>
      </c>
      <c r="B23" s="989">
        <f>AROS!F239</f>
        <v>6613.6340659340658</v>
      </c>
      <c r="C23" s="989">
        <f>AROS!H239</f>
        <v>3800</v>
      </c>
      <c r="D23" s="991">
        <f>AROS!H240</f>
        <v>7600</v>
      </c>
      <c r="E23" s="971"/>
      <c r="F23" s="988" t="s">
        <v>141</v>
      </c>
      <c r="G23" s="989"/>
      <c r="H23" s="991">
        <f>CADENAS!T90</f>
        <v>5100</v>
      </c>
      <c r="I23" s="991">
        <f>CADENAS!T91</f>
        <v>10200</v>
      </c>
      <c r="J23" s="970"/>
      <c r="K23" s="972" t="s">
        <v>571</v>
      </c>
      <c r="L23" s="973">
        <f>HOLDERS!E59</f>
        <v>0</v>
      </c>
      <c r="M23" s="973">
        <f>HOLDERS!F59</f>
        <v>80</v>
      </c>
      <c r="N23" s="974">
        <v>16800</v>
      </c>
    </row>
    <row r="24" spans="1:14" x14ac:dyDescent="0.25">
      <c r="A24" s="988" t="s">
        <v>2258</v>
      </c>
      <c r="B24" s="989"/>
      <c r="C24" s="989">
        <f>AROS!G372</f>
        <v>8000</v>
      </c>
      <c r="D24" s="991">
        <f>AROS!G373</f>
        <v>16000</v>
      </c>
      <c r="E24" s="971"/>
      <c r="F24" s="988" t="s">
        <v>317</v>
      </c>
      <c r="G24" s="989"/>
      <c r="H24" s="991"/>
      <c r="I24" s="991">
        <f>CADENAS!T131</f>
        <v>22000</v>
      </c>
      <c r="J24" s="970"/>
      <c r="K24" s="970"/>
      <c r="L24" s="970"/>
      <c r="M24" s="970"/>
      <c r="N24" s="970"/>
    </row>
    <row r="25" spans="1:14" x14ac:dyDescent="0.25">
      <c r="A25" s="988" t="s">
        <v>414</v>
      </c>
      <c r="B25" s="989"/>
      <c r="C25" s="991"/>
      <c r="D25" s="991">
        <f>AROS!I318</f>
        <v>36000</v>
      </c>
      <c r="E25" s="971"/>
      <c r="F25" s="988" t="s">
        <v>145</v>
      </c>
      <c r="G25" s="989">
        <f>CADENAS!R17</f>
        <v>10612.8</v>
      </c>
      <c r="H25" s="991"/>
      <c r="I25" s="991">
        <f>CADENAS!T17</f>
        <v>16000</v>
      </c>
      <c r="J25" s="970"/>
      <c r="K25" s="970"/>
      <c r="L25" s="970"/>
      <c r="M25" s="970"/>
      <c r="N25" s="970"/>
    </row>
    <row r="26" spans="1:14" x14ac:dyDescent="0.25">
      <c r="A26" s="988" t="s">
        <v>154</v>
      </c>
      <c r="B26" s="989">
        <f>AROS!F251</f>
        <v>23949.127181873006</v>
      </c>
      <c r="C26" s="989">
        <f>AROS!H251</f>
        <v>42000</v>
      </c>
      <c r="D26" s="991">
        <f>AROS!H252</f>
        <v>25200</v>
      </c>
      <c r="E26" s="971"/>
      <c r="F26" s="1003" t="s">
        <v>212</v>
      </c>
      <c r="G26" s="1013"/>
      <c r="H26" s="1013">
        <f>'SALE CADENAS'!R34</f>
        <v>2500</v>
      </c>
      <c r="I26" s="1004">
        <f>'SALE CADENAS'!R35</f>
        <v>5000</v>
      </c>
      <c r="J26" s="970"/>
      <c r="K26" s="970"/>
      <c r="L26" s="970"/>
      <c r="M26" s="970"/>
      <c r="N26" s="970"/>
    </row>
    <row r="27" spans="1:14" x14ac:dyDescent="0.25">
      <c r="A27" s="997" t="s">
        <v>168</v>
      </c>
      <c r="B27" s="1000" t="e">
        <f>#REF!</f>
        <v>#REF!</v>
      </c>
      <c r="C27" s="1014">
        <f>'SALE AROS'!G31</f>
        <v>2450</v>
      </c>
      <c r="D27" s="999">
        <f>'SALE AROS'!G32</f>
        <v>4900</v>
      </c>
      <c r="E27" s="971"/>
      <c r="F27" s="1015" t="s">
        <v>228</v>
      </c>
      <c r="G27" s="1016">
        <f>'COLLAR INICIAL'!E16</f>
        <v>11974.964285714286</v>
      </c>
      <c r="H27" s="989">
        <f>'COLLAR INICIAL'!G16</f>
        <v>28000</v>
      </c>
      <c r="I27" s="1017">
        <f>'COLLAR INICIAL'!G17</f>
        <v>0</v>
      </c>
      <c r="J27" s="970"/>
      <c r="K27" s="970"/>
      <c r="L27" s="970"/>
      <c r="M27" s="970"/>
      <c r="N27" s="970"/>
    </row>
    <row r="28" spans="1:14" x14ac:dyDescent="0.25">
      <c r="A28" s="988" t="s">
        <v>136</v>
      </c>
      <c r="B28" s="989"/>
      <c r="C28" s="990"/>
      <c r="D28" s="991">
        <f>AROS!I287</f>
        <v>30000</v>
      </c>
      <c r="E28" s="971"/>
      <c r="F28" s="1018" t="s">
        <v>318</v>
      </c>
      <c r="G28" s="1016"/>
      <c r="H28" s="1017">
        <f>CADENAS!T45</f>
        <v>11000</v>
      </c>
      <c r="I28" s="1017">
        <f>CADENAS!T46</f>
        <v>22000</v>
      </c>
      <c r="J28" s="970"/>
      <c r="K28" s="970"/>
      <c r="L28" s="970"/>
      <c r="M28" s="970"/>
      <c r="N28" s="970"/>
    </row>
    <row r="29" spans="1:14" x14ac:dyDescent="0.25">
      <c r="A29" s="997" t="s">
        <v>144</v>
      </c>
      <c r="B29" s="1000"/>
      <c r="C29" s="1000">
        <f>'SALE AROS'!H45</f>
        <v>1500</v>
      </c>
      <c r="D29" s="999">
        <f>'SALE AROS'!H46</f>
        <v>3000</v>
      </c>
      <c r="E29" s="971"/>
      <c r="F29" s="1018" t="s">
        <v>304</v>
      </c>
      <c r="G29" s="1016">
        <f>CADENAS!R102</f>
        <v>4114</v>
      </c>
      <c r="H29" s="1017"/>
      <c r="I29" s="1017">
        <f>CADENAS!T102</f>
        <v>6200</v>
      </c>
      <c r="J29" s="970"/>
      <c r="K29" s="970"/>
      <c r="L29" s="970"/>
      <c r="M29" s="970"/>
      <c r="N29" s="970"/>
    </row>
    <row r="30" spans="1:14" x14ac:dyDescent="0.25">
      <c r="A30" s="988" t="s">
        <v>99</v>
      </c>
      <c r="B30" s="989" t="e">
        <f>#REF!</f>
        <v>#REF!</v>
      </c>
      <c r="C30" s="991"/>
      <c r="D30" s="991">
        <f>AROS!G155</f>
        <v>6800</v>
      </c>
      <c r="E30" s="971"/>
      <c r="F30" s="1003" t="s">
        <v>139</v>
      </c>
      <c r="G30" s="989"/>
      <c r="H30" s="991"/>
      <c r="I30" s="1004">
        <f>'SALE CADENAS'!R21</f>
        <v>5900</v>
      </c>
      <c r="J30" s="970"/>
      <c r="K30" s="970"/>
      <c r="L30" s="970"/>
      <c r="M30" s="970"/>
      <c r="N30" s="970"/>
    </row>
    <row r="31" spans="1:14" x14ac:dyDescent="0.25">
      <c r="A31" s="988" t="s">
        <v>572</v>
      </c>
      <c r="B31" s="989">
        <f>AROS!C83</f>
        <v>3740</v>
      </c>
      <c r="C31" s="989">
        <f>AROS!L113</f>
        <v>0</v>
      </c>
      <c r="D31" s="991">
        <f>AROS!E84</f>
        <v>14400</v>
      </c>
      <c r="E31" s="971"/>
      <c r="F31" s="1019" t="s">
        <v>1966</v>
      </c>
      <c r="G31" s="989"/>
      <c r="H31" s="990"/>
      <c r="I31" s="1020">
        <f>CADENAS!T145</f>
        <v>20000</v>
      </c>
      <c r="J31" s="970"/>
      <c r="K31" s="970"/>
      <c r="L31" s="970"/>
      <c r="M31" s="970"/>
      <c r="N31" s="970"/>
    </row>
    <row r="32" spans="1:14" x14ac:dyDescent="0.25">
      <c r="A32" s="988" t="s">
        <v>573</v>
      </c>
      <c r="B32" s="989"/>
      <c r="C32" s="989">
        <f>AROS!E74</f>
        <v>5200</v>
      </c>
      <c r="D32" s="991">
        <f>AROS!E75</f>
        <v>10400</v>
      </c>
      <c r="E32" s="971"/>
      <c r="F32" s="988" t="s">
        <v>138</v>
      </c>
      <c r="G32" s="989" t="str">
        <f>'SALE COLLARES'!A53</f>
        <v>XMAYOR</v>
      </c>
      <c r="H32" s="990">
        <f>CADENAS!T76</f>
        <v>18000</v>
      </c>
      <c r="I32" s="991">
        <f>CADENAS!T77</f>
        <v>0</v>
      </c>
      <c r="J32" s="970"/>
      <c r="K32" s="970"/>
      <c r="L32" s="970"/>
      <c r="M32" s="970"/>
      <c r="N32" s="970"/>
    </row>
    <row r="33" spans="1:14" x14ac:dyDescent="0.25">
      <c r="A33" s="981" t="s">
        <v>2210</v>
      </c>
      <c r="B33" s="982"/>
      <c r="C33" s="983"/>
      <c r="D33" s="984">
        <f>AROS!J433</f>
        <v>29000</v>
      </c>
      <c r="E33" s="971"/>
      <c r="F33" s="988" t="s">
        <v>2291</v>
      </c>
      <c r="G33" s="989"/>
      <c r="H33" s="990"/>
      <c r="I33" s="991">
        <f>CADENAS!T187</f>
        <v>22000</v>
      </c>
      <c r="J33" s="970"/>
      <c r="K33" s="970"/>
      <c r="L33" s="970"/>
      <c r="M33" s="970"/>
      <c r="N33" s="970"/>
    </row>
    <row r="34" spans="1:14" x14ac:dyDescent="0.25">
      <c r="A34" s="1021" t="s">
        <v>139</v>
      </c>
      <c r="B34" s="1022"/>
      <c r="C34" s="1023">
        <f>'SALE AROS'!G79</f>
        <v>1900</v>
      </c>
      <c r="D34" s="1023">
        <f>'SALE AROS'!G80</f>
        <v>3800</v>
      </c>
      <c r="E34" s="971"/>
      <c r="F34" s="988" t="s">
        <v>294</v>
      </c>
      <c r="G34" s="989"/>
      <c r="H34" s="990"/>
      <c r="I34" s="991">
        <f>CADENAS!T159</f>
        <v>17000</v>
      </c>
      <c r="J34" s="970"/>
      <c r="K34" s="970"/>
      <c r="L34" s="970"/>
      <c r="M34" s="970"/>
      <c r="N34" s="970"/>
    </row>
    <row r="35" spans="1:14" x14ac:dyDescent="0.25">
      <c r="A35" s="1019" t="s">
        <v>162</v>
      </c>
      <c r="B35" s="1024" t="e">
        <f>#REF!</f>
        <v>#REF!</v>
      </c>
      <c r="C35" s="1020" t="e">
        <f>AROS!#REF!</f>
        <v>#REF!</v>
      </c>
      <c r="D35" s="1020">
        <f>AROS!H345</f>
        <v>17000</v>
      </c>
      <c r="E35" s="971"/>
      <c r="F35" s="988" t="s">
        <v>574</v>
      </c>
      <c r="G35" s="989">
        <f>CADENAS!R30</f>
        <v>6431.4</v>
      </c>
      <c r="H35" s="989">
        <f>CADENAS!T30</f>
        <v>7200</v>
      </c>
      <c r="I35" s="991">
        <f>CADENAS!T31</f>
        <v>7200</v>
      </c>
      <c r="J35" s="970"/>
      <c r="K35" s="970"/>
      <c r="L35" s="970"/>
      <c r="M35" s="970"/>
      <c r="N35" s="970"/>
    </row>
    <row r="36" spans="1:14" x14ac:dyDescent="0.25">
      <c r="A36" s="988" t="s">
        <v>97</v>
      </c>
      <c r="B36" s="989"/>
      <c r="C36" s="989"/>
      <c r="D36" s="991">
        <f>AROS!G174</f>
        <v>12000</v>
      </c>
      <c r="E36" s="971"/>
      <c r="F36" s="981" t="s">
        <v>316</v>
      </c>
      <c r="G36" s="982"/>
      <c r="H36" s="984"/>
      <c r="I36" s="984">
        <f>CADENAS!T58</f>
        <v>22000</v>
      </c>
      <c r="J36" s="970"/>
      <c r="K36" s="970"/>
      <c r="L36" s="970"/>
      <c r="M36" s="971"/>
      <c r="N36" s="971"/>
    </row>
    <row r="37" spans="1:14" ht="15.75" thickBot="1" x14ac:dyDescent="0.3">
      <c r="A37" s="988" t="s">
        <v>257</v>
      </c>
      <c r="B37" s="989"/>
      <c r="C37" s="989"/>
      <c r="D37" s="991">
        <f>D36</f>
        <v>12000</v>
      </c>
      <c r="E37" s="971"/>
      <c r="F37" s="1025" t="s">
        <v>313</v>
      </c>
      <c r="G37" s="992"/>
      <c r="H37" s="992"/>
      <c r="I37" s="1026">
        <f>CADENAS!T173</f>
        <v>20000</v>
      </c>
      <c r="J37" s="970"/>
      <c r="K37" s="970"/>
      <c r="L37" s="970"/>
      <c r="M37" s="971"/>
      <c r="N37" s="971"/>
    </row>
    <row r="38" spans="1:14" ht="15.75" thickBot="1" x14ac:dyDescent="0.3">
      <c r="A38" s="988" t="s">
        <v>138</v>
      </c>
      <c r="B38" s="989"/>
      <c r="C38" s="991">
        <f>AROS!G332</f>
        <v>9000</v>
      </c>
      <c r="D38" s="991">
        <f>AROS!G333</f>
        <v>18000</v>
      </c>
      <c r="E38" s="971"/>
      <c r="F38" s="1531" t="s">
        <v>575</v>
      </c>
      <c r="G38" s="1532"/>
      <c r="H38" s="1532"/>
      <c r="I38" s="1533"/>
      <c r="J38" s="970"/>
      <c r="K38" s="970"/>
      <c r="L38" s="970"/>
      <c r="M38" s="971"/>
      <c r="N38" s="971"/>
    </row>
    <row r="39" spans="1:14" x14ac:dyDescent="0.25">
      <c r="A39" s="988" t="s">
        <v>134</v>
      </c>
      <c r="B39" s="989">
        <f>AROS!E209</f>
        <v>9978.5333333333328</v>
      </c>
      <c r="C39" s="991">
        <f>AROS!G209</f>
        <v>12000</v>
      </c>
      <c r="D39" s="991">
        <f>AROS!G210</f>
        <v>24000</v>
      </c>
      <c r="E39" s="971"/>
      <c r="F39" s="972" t="s">
        <v>2271</v>
      </c>
      <c r="G39" s="973"/>
      <c r="H39" s="974">
        <f>COLLARES!U102</f>
        <v>2633</v>
      </c>
      <c r="I39" s="974">
        <f>COLLARES!W103</f>
        <v>0</v>
      </c>
      <c r="J39" s="970"/>
      <c r="K39" s="970"/>
      <c r="L39" s="970"/>
      <c r="M39" s="971"/>
      <c r="N39" s="971"/>
    </row>
    <row r="40" spans="1:14" x14ac:dyDescent="0.25">
      <c r="A40" s="997" t="s">
        <v>160</v>
      </c>
      <c r="B40" s="1000" t="e">
        <f>#REF!</f>
        <v>#REF!</v>
      </c>
      <c r="C40" s="1000">
        <f>'SALE AROS'!G14</f>
        <v>1400</v>
      </c>
      <c r="D40" s="999">
        <f>'SALE AROS'!G15</f>
        <v>2800</v>
      </c>
      <c r="E40" s="971"/>
      <c r="F40" s="981" t="s">
        <v>373</v>
      </c>
      <c r="G40" s="982"/>
      <c r="H40" s="984"/>
      <c r="I40" s="984">
        <f>COLLARES!I264</f>
        <v>8800</v>
      </c>
      <c r="J40" s="970"/>
      <c r="K40" s="970"/>
      <c r="L40" s="970"/>
      <c r="M40" s="971"/>
      <c r="N40" s="971"/>
    </row>
    <row r="41" spans="1:14" x14ac:dyDescent="0.25">
      <c r="A41" s="985" t="s">
        <v>164</v>
      </c>
      <c r="B41" s="1027"/>
      <c r="C41" s="987">
        <f>AROS!G359</f>
        <v>5500</v>
      </c>
      <c r="D41" s="987">
        <f>AROS!G360</f>
        <v>11000</v>
      </c>
      <c r="E41" s="971"/>
      <c r="F41" s="1021" t="s">
        <v>381</v>
      </c>
      <c r="G41" s="1022"/>
      <c r="H41" s="1023">
        <f>'SALE COLLARES'!I203</f>
        <v>2350</v>
      </c>
      <c r="I41" s="1023">
        <f>'SALE COLLARES'!I204</f>
        <v>4700</v>
      </c>
      <c r="J41" s="970"/>
      <c r="K41" s="970"/>
      <c r="L41" s="970"/>
      <c r="M41" s="970"/>
      <c r="N41" s="970"/>
    </row>
    <row r="42" spans="1:14" x14ac:dyDescent="0.25">
      <c r="A42" s="1019" t="s">
        <v>2262</v>
      </c>
      <c r="B42" s="1024"/>
      <c r="C42" s="1024"/>
      <c r="D42" s="1020">
        <f>AROS!H163</f>
        <v>12000</v>
      </c>
      <c r="E42" s="971"/>
      <c r="F42" s="981" t="s">
        <v>369</v>
      </c>
      <c r="G42" s="982"/>
      <c r="H42" s="984">
        <f>COLLARES!H89</f>
        <v>4400</v>
      </c>
      <c r="I42" s="984">
        <f>COLLARES!H90</f>
        <v>8800</v>
      </c>
      <c r="J42" s="970"/>
      <c r="K42" s="970"/>
      <c r="L42" s="970"/>
      <c r="M42" s="970"/>
      <c r="N42" s="970"/>
    </row>
    <row r="43" spans="1:14" x14ac:dyDescent="0.25">
      <c r="A43" s="988" t="s">
        <v>133</v>
      </c>
      <c r="B43" s="989">
        <f>AROS!F196</f>
        <v>11078.45197740113</v>
      </c>
      <c r="C43" s="989">
        <f>AROS!H196</f>
        <v>10000</v>
      </c>
      <c r="D43" s="991">
        <f>AROS!H197</f>
        <v>20000</v>
      </c>
      <c r="E43" s="971"/>
      <c r="F43" s="1021" t="s">
        <v>347</v>
      </c>
      <c r="G43" s="1022"/>
      <c r="H43" s="1023">
        <f>'SALE COLLARES'!I161</f>
        <v>2350</v>
      </c>
      <c r="I43" s="1023">
        <f>'SALE COLLARES'!I162</f>
        <v>4700</v>
      </c>
      <c r="J43" s="970"/>
      <c r="K43" s="970"/>
      <c r="L43" s="970"/>
      <c r="M43" s="970"/>
      <c r="N43" s="970"/>
    </row>
    <row r="44" spans="1:14" x14ac:dyDescent="0.25">
      <c r="A44" s="988" t="s">
        <v>2212</v>
      </c>
      <c r="B44" s="989"/>
      <c r="C44" s="989"/>
      <c r="D44" s="991">
        <f>AROS!J441</f>
        <v>31000</v>
      </c>
      <c r="E44" s="971"/>
      <c r="F44" s="985" t="s">
        <v>374</v>
      </c>
      <c r="G44" s="1027"/>
      <c r="H44" s="1028"/>
      <c r="I44" s="987">
        <f>COLLARES!I306</f>
        <v>17800</v>
      </c>
      <c r="J44" s="970"/>
      <c r="K44" s="970"/>
      <c r="L44" s="970"/>
      <c r="M44" s="970"/>
      <c r="N44" s="970"/>
    </row>
    <row r="45" spans="1:14" x14ac:dyDescent="0.25">
      <c r="A45" s="988" t="s">
        <v>576</v>
      </c>
      <c r="B45" s="1029"/>
      <c r="C45" s="989"/>
      <c r="D45" s="991">
        <f>'SALE AROS'!H120</f>
        <v>4000</v>
      </c>
      <c r="E45" s="971"/>
      <c r="F45" s="985" t="s">
        <v>127</v>
      </c>
      <c r="G45" s="1027">
        <f>COLLARES!F71</f>
        <v>10739.630769230769</v>
      </c>
      <c r="H45" s="1027">
        <f>COLLARES!H71</f>
        <v>11600</v>
      </c>
      <c r="I45" s="987">
        <f>COLLARES!H72</f>
        <v>23200</v>
      </c>
      <c r="J45" s="970"/>
      <c r="K45" s="970"/>
      <c r="L45" s="970"/>
      <c r="M45" s="970"/>
      <c r="N45" s="970"/>
    </row>
    <row r="46" spans="1:14" x14ac:dyDescent="0.25">
      <c r="A46" s="988" t="s">
        <v>103</v>
      </c>
      <c r="B46" s="989">
        <f>AROS!C65</f>
        <v>1566</v>
      </c>
      <c r="C46" s="989">
        <f>AROS!E65</f>
        <v>1500</v>
      </c>
      <c r="D46" s="991">
        <f>AROS!E66</f>
        <v>3000</v>
      </c>
      <c r="E46" s="971"/>
      <c r="F46" s="1021" t="s">
        <v>336</v>
      </c>
      <c r="G46" s="1022"/>
      <c r="H46" s="1023">
        <f>'SALE COLLARES'!H266</f>
        <v>3000</v>
      </c>
      <c r="I46" s="1023">
        <f>'SALE COLLARES'!H267</f>
        <v>6000</v>
      </c>
      <c r="J46" s="970"/>
      <c r="K46" s="970"/>
      <c r="L46" s="970"/>
      <c r="M46" s="970"/>
      <c r="N46" s="970"/>
    </row>
    <row r="47" spans="1:14" x14ac:dyDescent="0.25">
      <c r="A47" s="988" t="s">
        <v>264</v>
      </c>
      <c r="B47" s="989" t="e">
        <f>AROS!#REF!</f>
        <v>#REF!</v>
      </c>
      <c r="C47" s="989" t="e">
        <f>AROS!#REF!</f>
        <v>#REF!</v>
      </c>
      <c r="D47" s="991">
        <f>AROS!H128</f>
        <v>17000</v>
      </c>
      <c r="E47" s="971"/>
      <c r="F47" s="985" t="s">
        <v>166</v>
      </c>
      <c r="G47" s="1027"/>
      <c r="H47" s="1028"/>
      <c r="I47" s="987">
        <f>COLLARES!G209</f>
        <v>18000</v>
      </c>
      <c r="J47" s="970"/>
      <c r="K47" s="971"/>
      <c r="L47" s="971"/>
      <c r="M47" s="970"/>
      <c r="N47" s="970"/>
    </row>
    <row r="48" spans="1:14" x14ac:dyDescent="0.25">
      <c r="A48" s="988" t="s">
        <v>156</v>
      </c>
      <c r="B48" s="989"/>
      <c r="C48" s="989"/>
      <c r="D48" s="991">
        <f>AROS!H119</f>
        <v>20000</v>
      </c>
      <c r="E48" s="971"/>
      <c r="F48" s="1019" t="s">
        <v>288</v>
      </c>
      <c r="G48" s="1024"/>
      <c r="H48" s="1024"/>
      <c r="I48" s="1020">
        <f>COLLARES!V163</f>
        <v>0</v>
      </c>
      <c r="J48" s="970"/>
      <c r="K48" s="970"/>
      <c r="L48" s="970"/>
      <c r="M48" s="970"/>
      <c r="N48" s="970"/>
    </row>
    <row r="49" spans="1:14" x14ac:dyDescent="0.25">
      <c r="A49" s="988" t="s">
        <v>157</v>
      </c>
      <c r="B49" s="989"/>
      <c r="C49" s="989"/>
      <c r="D49" s="991">
        <f>D48</f>
        <v>20000</v>
      </c>
      <c r="E49" s="971"/>
      <c r="F49" s="1021" t="s">
        <v>153</v>
      </c>
      <c r="G49" s="1022"/>
      <c r="H49" s="1023">
        <f>COLLARES!G538</f>
        <v>10000</v>
      </c>
      <c r="I49" s="1023">
        <f>COLLARES!G539</f>
        <v>20000</v>
      </c>
      <c r="J49" s="970"/>
      <c r="K49" s="970"/>
      <c r="L49" s="970"/>
      <c r="M49" s="970"/>
      <c r="N49" s="970"/>
    </row>
    <row r="50" spans="1:14" x14ac:dyDescent="0.25">
      <c r="A50" s="988" t="s">
        <v>158</v>
      </c>
      <c r="B50" s="989"/>
      <c r="C50" s="989"/>
      <c r="D50" s="991">
        <f>D49</f>
        <v>20000</v>
      </c>
      <c r="E50" s="971"/>
      <c r="F50" s="1021" t="s">
        <v>370</v>
      </c>
      <c r="G50" s="1022">
        <f>'SALE COLLARES'!F132</f>
        <v>14569.570534178585</v>
      </c>
      <c r="H50" s="1022">
        <f>'SALE COLLARES'!H132</f>
        <v>6300</v>
      </c>
      <c r="I50" s="1023">
        <f>'SALE COLLARES'!H133</f>
        <v>12600</v>
      </c>
      <c r="J50" s="970"/>
      <c r="K50" s="970"/>
      <c r="L50" s="970"/>
      <c r="M50" s="970"/>
      <c r="N50" s="970"/>
    </row>
    <row r="51" spans="1:14" x14ac:dyDescent="0.25">
      <c r="A51" s="988" t="s">
        <v>101</v>
      </c>
      <c r="B51" s="989"/>
      <c r="C51" s="989">
        <f>AROS!E10</f>
        <v>10132</v>
      </c>
      <c r="D51" s="991">
        <f>AROS!F11</f>
        <v>0</v>
      </c>
      <c r="E51" s="971"/>
      <c r="F51" s="981" t="s">
        <v>167</v>
      </c>
      <c r="G51" s="982"/>
      <c r="H51" s="982"/>
      <c r="I51" s="984">
        <f>COLLARES!H282</f>
        <v>23000</v>
      </c>
      <c r="J51" s="970"/>
      <c r="K51" s="970"/>
      <c r="L51" s="970"/>
      <c r="M51" s="970"/>
      <c r="N51" s="970"/>
    </row>
    <row r="52" spans="1:14" x14ac:dyDescent="0.25">
      <c r="A52" s="988" t="s">
        <v>577</v>
      </c>
      <c r="B52" s="989"/>
      <c r="C52" s="989"/>
      <c r="D52" s="991">
        <f>AROS!G30</f>
        <v>20000</v>
      </c>
      <c r="E52" s="971"/>
      <c r="F52" s="1019" t="s">
        <v>372</v>
      </c>
      <c r="G52" s="1024"/>
      <c r="H52" s="1024"/>
      <c r="I52" s="1020">
        <f>COLLARES!U84</f>
        <v>34000</v>
      </c>
      <c r="J52" s="970"/>
      <c r="K52" s="970"/>
      <c r="L52" s="970"/>
      <c r="M52" s="970"/>
      <c r="N52" s="970"/>
    </row>
    <row r="53" spans="1:14" x14ac:dyDescent="0.25">
      <c r="A53" s="988" t="s">
        <v>89</v>
      </c>
      <c r="B53" s="989">
        <f>AROS!D39</f>
        <v>2366</v>
      </c>
      <c r="C53" s="989">
        <f>AROS!F39</f>
        <v>3800</v>
      </c>
      <c r="D53" s="991">
        <f>AROS!F40</f>
        <v>7600</v>
      </c>
      <c r="E53" s="971"/>
      <c r="F53" s="1019" t="s">
        <v>360</v>
      </c>
      <c r="G53" s="1024" t="e">
        <f>#REF!</f>
        <v>#REF!</v>
      </c>
      <c r="H53" s="1024"/>
      <c r="I53" s="1020">
        <f>COLLARES!I38</f>
        <v>30000</v>
      </c>
      <c r="J53" s="970"/>
      <c r="K53" s="970"/>
      <c r="L53" s="970"/>
      <c r="M53" s="970"/>
      <c r="N53" s="970"/>
    </row>
    <row r="54" spans="1:14" x14ac:dyDescent="0.25">
      <c r="A54" s="988" t="s">
        <v>283</v>
      </c>
      <c r="B54" s="989">
        <f>AROS!E184</f>
        <v>4270.666666666667</v>
      </c>
      <c r="C54" s="989">
        <f>AROS!G184</f>
        <v>8500</v>
      </c>
      <c r="D54" s="991">
        <f>AROS!G185</f>
        <v>17000</v>
      </c>
      <c r="E54" s="971"/>
      <c r="F54" s="1019" t="s">
        <v>2289</v>
      </c>
      <c r="G54" s="1024"/>
      <c r="H54" s="1024"/>
      <c r="I54" s="1020">
        <f>COLLARES!G322</f>
        <v>26000</v>
      </c>
      <c r="J54" s="970"/>
      <c r="K54" s="970"/>
      <c r="L54" s="970"/>
      <c r="M54" s="970"/>
      <c r="N54" s="970"/>
    </row>
    <row r="55" spans="1:14" x14ac:dyDescent="0.25">
      <c r="A55" s="988" t="s">
        <v>2281</v>
      </c>
      <c r="B55" s="989"/>
      <c r="C55" s="990"/>
      <c r="D55" s="991">
        <f>AROS!J465</f>
        <v>36000</v>
      </c>
      <c r="E55" s="971"/>
      <c r="F55" s="997" t="s">
        <v>578</v>
      </c>
      <c r="G55" s="1000">
        <f>'SALE COLLARES'!F33</f>
        <v>10363.865445665446</v>
      </c>
      <c r="H55" s="1000">
        <f>'SALE COLLARES'!H33</f>
        <v>2100</v>
      </c>
      <c r="I55" s="999">
        <f>'SALE COLLARES'!H34</f>
        <v>4200</v>
      </c>
      <c r="J55" s="970"/>
      <c r="K55" s="970"/>
      <c r="L55" s="970"/>
      <c r="M55" s="970"/>
      <c r="N55" s="970"/>
    </row>
    <row r="56" spans="1:14" x14ac:dyDescent="0.25">
      <c r="A56" s="997" t="s">
        <v>142</v>
      </c>
      <c r="B56" s="1000"/>
      <c r="C56" s="999">
        <f>'SALE AROS'!H93</f>
        <v>2100</v>
      </c>
      <c r="D56" s="999">
        <f>'SALE AROS'!H94</f>
        <v>4200</v>
      </c>
      <c r="E56" s="971"/>
      <c r="F56" s="981" t="s">
        <v>322</v>
      </c>
      <c r="G56" s="982"/>
      <c r="H56" s="984"/>
      <c r="I56" s="984">
        <f>COLLARES!W56</f>
        <v>82000</v>
      </c>
      <c r="J56" s="970"/>
      <c r="K56" s="970"/>
      <c r="L56" s="970"/>
      <c r="M56" s="970"/>
      <c r="N56" s="970"/>
    </row>
    <row r="57" spans="1:14" ht="15.75" thickBot="1" x14ac:dyDescent="0.3">
      <c r="A57" s="1030" t="s">
        <v>140</v>
      </c>
      <c r="B57" s="1031"/>
      <c r="C57" s="1032">
        <f>'SALE AROS'!G65</f>
        <v>1700</v>
      </c>
      <c r="D57" s="1032">
        <f>'SALE AROS'!G66</f>
        <v>3400</v>
      </c>
      <c r="E57" s="971"/>
      <c r="F57" s="988" t="s">
        <v>579</v>
      </c>
      <c r="G57" s="989"/>
      <c r="H57" s="989"/>
      <c r="I57" s="991">
        <f>COLLARES!W122</f>
        <v>24000</v>
      </c>
      <c r="J57" s="970"/>
      <c r="K57" s="970"/>
      <c r="L57" s="970"/>
      <c r="M57" s="970"/>
      <c r="N57" s="970"/>
    </row>
    <row r="58" spans="1:14" ht="15.75" thickBot="1" x14ac:dyDescent="0.3">
      <c r="A58" s="1537" t="s">
        <v>581</v>
      </c>
      <c r="B58" s="1538"/>
      <c r="C58" s="1538"/>
      <c r="D58" s="1539"/>
      <c r="E58" s="971"/>
      <c r="F58" s="1019" t="s">
        <v>362</v>
      </c>
      <c r="G58" s="1024">
        <f>COLLARES!F70</f>
        <v>5369.8153846153846</v>
      </c>
      <c r="H58" s="1020"/>
      <c r="I58" s="1020">
        <f>COLLARES!H130</f>
        <v>20000</v>
      </c>
      <c r="J58" s="970"/>
      <c r="K58" s="970"/>
      <c r="L58" s="970"/>
      <c r="M58" s="970"/>
      <c r="N58" s="970"/>
    </row>
    <row r="59" spans="1:14" x14ac:dyDescent="0.25">
      <c r="A59" s="975" t="s">
        <v>250</v>
      </c>
      <c r="B59" s="976" t="e">
        <f>#REF!</f>
        <v>#REF!</v>
      </c>
      <c r="C59" s="977">
        <f>AROS!T272</f>
        <v>4600</v>
      </c>
      <c r="D59" s="977">
        <v>2200</v>
      </c>
      <c r="E59" s="971"/>
      <c r="F59" s="1033" t="s">
        <v>580</v>
      </c>
      <c r="G59" s="1034">
        <f>'COLLAR INICIAL'!E27</f>
        <v>1458.3333333333333</v>
      </c>
      <c r="H59" s="1035">
        <f>'COLLAR INICIAL'!H48</f>
        <v>5000</v>
      </c>
      <c r="I59" s="1035">
        <f>'COLLAR INICIAL'!H49</f>
        <v>10000</v>
      </c>
      <c r="J59" s="970"/>
      <c r="K59" s="970"/>
      <c r="L59" s="970"/>
      <c r="M59" s="970"/>
      <c r="N59" s="970"/>
    </row>
    <row r="60" spans="1:14" x14ac:dyDescent="0.25">
      <c r="A60" s="1021" t="s">
        <v>212</v>
      </c>
      <c r="B60" s="1022" t="e">
        <f>#REF!</f>
        <v>#REF!</v>
      </c>
      <c r="C60" s="1023">
        <f>'SALE AROS'!R51</f>
        <v>1240</v>
      </c>
      <c r="D60" s="1023">
        <v>3200</v>
      </c>
      <c r="E60" s="971"/>
      <c r="F60" s="997" t="s">
        <v>144</v>
      </c>
      <c r="G60" s="1000"/>
      <c r="H60" s="1036">
        <f>'SALE COLLARES'!I238</f>
        <v>3350</v>
      </c>
      <c r="I60" s="1036">
        <f>'SALE COLLARES'!I239</f>
        <v>6700</v>
      </c>
      <c r="J60" s="970"/>
      <c r="K60" s="970"/>
      <c r="L60" s="970"/>
      <c r="M60" s="970"/>
      <c r="N60" s="970"/>
    </row>
    <row r="61" spans="1:14" x14ac:dyDescent="0.25">
      <c r="A61" s="1021" t="s">
        <v>206</v>
      </c>
      <c r="B61" s="1022"/>
      <c r="C61" s="1023">
        <f>'SALE AROS'!R39</f>
        <v>1440</v>
      </c>
      <c r="D61" s="1023">
        <v>2800</v>
      </c>
      <c r="E61" s="971"/>
      <c r="F61" s="997" t="s">
        <v>380</v>
      </c>
      <c r="G61" s="1000"/>
      <c r="H61" s="1000">
        <f>'SALE COLLARES'!I181</f>
        <v>2350</v>
      </c>
      <c r="I61" s="1036">
        <f>'SALE COLLARES'!I182</f>
        <v>4700</v>
      </c>
      <c r="J61" s="970"/>
      <c r="K61" s="970"/>
      <c r="L61" s="970"/>
      <c r="M61" s="970"/>
      <c r="N61" s="970"/>
    </row>
    <row r="62" spans="1:14" x14ac:dyDescent="0.25">
      <c r="A62" s="981" t="s">
        <v>582</v>
      </c>
      <c r="B62" s="982" t="e">
        <f>#REF!</f>
        <v>#REF!</v>
      </c>
      <c r="C62" s="984" t="e">
        <f>#REF!</f>
        <v>#REF!</v>
      </c>
      <c r="D62" s="984">
        <v>4000</v>
      </c>
      <c r="E62" s="971"/>
      <c r="F62" s="997" t="s">
        <v>359</v>
      </c>
      <c r="G62" s="1000"/>
      <c r="H62" s="1000">
        <f>COLLARES!H421</f>
        <v>10000</v>
      </c>
      <c r="I62" s="1036">
        <f>COLLARES!H422</f>
        <v>20000</v>
      </c>
      <c r="J62" s="970"/>
      <c r="K62" s="970"/>
      <c r="L62" s="970"/>
      <c r="M62" s="970"/>
      <c r="N62" s="970"/>
    </row>
    <row r="63" spans="1:14" x14ac:dyDescent="0.25">
      <c r="A63" s="1037" t="s">
        <v>583</v>
      </c>
      <c r="B63" s="983">
        <f>AROS!R40</f>
        <v>4411.333333333333</v>
      </c>
      <c r="C63" s="984">
        <f>AROS!T40</f>
        <v>16000</v>
      </c>
      <c r="D63" s="984">
        <f>AROS!T41</f>
        <v>0</v>
      </c>
      <c r="E63" s="971"/>
      <c r="F63" s="1019" t="s">
        <v>221</v>
      </c>
      <c r="G63" s="1024">
        <f>COLLARES!T142</f>
        <v>10682.337345359045</v>
      </c>
      <c r="H63" s="1024"/>
      <c r="I63" s="1038">
        <f>COLLARES!V143</f>
        <v>0</v>
      </c>
      <c r="J63" s="970"/>
      <c r="K63" s="970"/>
      <c r="L63" s="970"/>
      <c r="M63" s="970"/>
      <c r="N63" s="970"/>
    </row>
    <row r="64" spans="1:14" x14ac:dyDescent="0.25">
      <c r="A64" s="1037" t="s">
        <v>215</v>
      </c>
      <c r="B64" s="983"/>
      <c r="C64" s="984"/>
      <c r="D64" s="984">
        <f>D87</f>
        <v>18000</v>
      </c>
      <c r="E64" s="971"/>
      <c r="F64" s="997" t="s">
        <v>216</v>
      </c>
      <c r="G64" s="1000"/>
      <c r="H64" s="1000"/>
      <c r="I64" s="999">
        <f>'SALE COLLARES'!I224</f>
        <v>4700</v>
      </c>
      <c r="J64" s="970"/>
      <c r="K64" s="970"/>
      <c r="L64" s="970"/>
      <c r="M64" s="970"/>
      <c r="N64" s="970"/>
    </row>
    <row r="65" spans="1:14" x14ac:dyDescent="0.25">
      <c r="A65" s="1037" t="s">
        <v>221</v>
      </c>
      <c r="B65" s="984">
        <f>AROS!R15</f>
        <v>2892.9333333333334</v>
      </c>
      <c r="C65" s="984">
        <f>AROS!T15</f>
        <v>840</v>
      </c>
      <c r="D65" s="984">
        <v>2000</v>
      </c>
      <c r="E65" s="971"/>
      <c r="F65" s="997" t="s">
        <v>371</v>
      </c>
      <c r="G65" s="1000">
        <f>'SALE COLLARES'!F107</f>
        <v>10807.385700456993</v>
      </c>
      <c r="H65" s="1000">
        <f>'SALE COLLARES'!H107</f>
        <v>3400</v>
      </c>
      <c r="I65" s="999">
        <f>'SALE COLLARES'!H108</f>
        <v>6800</v>
      </c>
      <c r="J65" s="970"/>
      <c r="K65" s="970"/>
      <c r="L65" s="970"/>
      <c r="M65" s="970"/>
      <c r="N65" s="970"/>
    </row>
    <row r="66" spans="1:14" x14ac:dyDescent="0.25">
      <c r="A66" s="1039" t="s">
        <v>139</v>
      </c>
      <c r="B66" s="1000" t="e">
        <f>#REF!</f>
        <v>#REF!</v>
      </c>
      <c r="C66" s="999">
        <f>'SALE AROS'!R26</f>
        <v>1240</v>
      </c>
      <c r="D66" s="999">
        <v>2500</v>
      </c>
      <c r="E66" s="971"/>
      <c r="F66" s="988" t="s">
        <v>290</v>
      </c>
      <c r="G66" s="989"/>
      <c r="H66" s="989"/>
      <c r="I66" s="991">
        <f>COLLARES!V33</f>
        <v>78000</v>
      </c>
      <c r="J66" s="970"/>
      <c r="K66" s="970"/>
      <c r="L66" s="970"/>
      <c r="M66" s="970"/>
      <c r="N66" s="970"/>
    </row>
    <row r="67" spans="1:14" x14ac:dyDescent="0.25">
      <c r="A67" s="988" t="s">
        <v>584</v>
      </c>
      <c r="B67" s="990">
        <f>AROS!R87</f>
        <v>4338.5200000000004</v>
      </c>
      <c r="C67" s="990"/>
      <c r="D67" s="991">
        <f>D87</f>
        <v>18000</v>
      </c>
      <c r="E67" s="971"/>
      <c r="F67" s="988" t="s">
        <v>361</v>
      </c>
      <c r="G67" s="989"/>
      <c r="H67" s="991"/>
      <c r="I67" s="991">
        <f>COLLARES!I38</f>
        <v>30000</v>
      </c>
      <c r="J67" s="970"/>
      <c r="K67" s="970"/>
      <c r="L67" s="970"/>
      <c r="M67" s="970"/>
      <c r="N67" s="970"/>
    </row>
    <row r="68" spans="1:14" x14ac:dyDescent="0.25">
      <c r="A68" s="988" t="s">
        <v>252</v>
      </c>
      <c r="B68" s="989"/>
      <c r="C68" s="991">
        <f>AROS!T114</f>
        <v>3900</v>
      </c>
      <c r="D68" s="991">
        <f>AROS!T115</f>
        <v>7800</v>
      </c>
      <c r="E68" s="971"/>
      <c r="F68" s="988" t="s">
        <v>343</v>
      </c>
      <c r="G68" s="989">
        <f>COLLARES!F20</f>
        <v>9919.4380952380943</v>
      </c>
      <c r="H68" s="989">
        <f>COLLARES!H20</f>
        <v>3300</v>
      </c>
      <c r="I68" s="991">
        <f>COLLARES!H21</f>
        <v>6600</v>
      </c>
      <c r="J68" s="970"/>
      <c r="K68" s="970"/>
      <c r="L68" s="970"/>
      <c r="M68" s="970"/>
      <c r="N68" s="970"/>
    </row>
    <row r="69" spans="1:14" x14ac:dyDescent="0.25">
      <c r="A69" s="997" t="s">
        <v>586</v>
      </c>
      <c r="B69" s="1000">
        <f>'SALE AROS'!P61</f>
        <v>4740</v>
      </c>
      <c r="C69" s="1000">
        <f>'SALE AROS'!R61</f>
        <v>1250</v>
      </c>
      <c r="D69" s="999">
        <v>2500</v>
      </c>
      <c r="E69" s="971"/>
      <c r="F69" s="997" t="s">
        <v>160</v>
      </c>
      <c r="G69" s="1000" t="e">
        <f>#REF!</f>
        <v>#REF!</v>
      </c>
      <c r="H69" s="1000">
        <f>'SALE COLLARES'!H88</f>
        <v>2850</v>
      </c>
      <c r="I69" s="999">
        <f>'SALE COLLARES'!H89</f>
        <v>5700</v>
      </c>
      <c r="J69" s="970"/>
      <c r="K69" s="970"/>
      <c r="L69" s="970"/>
      <c r="M69" s="970"/>
      <c r="N69" s="970"/>
    </row>
    <row r="70" spans="1:14" x14ac:dyDescent="0.25">
      <c r="A70" s="988" t="s">
        <v>253</v>
      </c>
      <c r="B70" s="989">
        <f>AROS!R30</f>
        <v>3983.6942857142858</v>
      </c>
      <c r="C70" s="989">
        <f>AROS!T30</f>
        <v>5500</v>
      </c>
      <c r="D70" s="991">
        <f>AROS!T31</f>
        <v>11000</v>
      </c>
      <c r="E70" s="971"/>
      <c r="F70" s="988" t="s">
        <v>585</v>
      </c>
      <c r="G70" s="989"/>
      <c r="H70" s="989"/>
      <c r="I70" s="991">
        <f>COLLARES!H54</f>
        <v>23000</v>
      </c>
      <c r="J70" s="970"/>
      <c r="K70" s="970"/>
      <c r="L70" s="970"/>
      <c r="M70" s="970"/>
      <c r="N70" s="970"/>
    </row>
    <row r="71" spans="1:14" ht="15.75" thickBot="1" x14ac:dyDescent="0.3">
      <c r="A71" s="997" t="s">
        <v>225</v>
      </c>
      <c r="B71" s="1000">
        <f>AROS!R31</f>
        <v>0</v>
      </c>
      <c r="C71" s="999">
        <f>'SALE AROS'!R74</f>
        <v>1440</v>
      </c>
      <c r="D71" s="999">
        <v>2800</v>
      </c>
      <c r="E71" s="971"/>
      <c r="F71" s="988" t="s">
        <v>320</v>
      </c>
      <c r="G71" s="989" t="e">
        <f>#REF!</f>
        <v>#REF!</v>
      </c>
      <c r="H71" s="989"/>
      <c r="I71" s="991">
        <f>COLLARES!W19</f>
        <v>0</v>
      </c>
      <c r="J71" s="970"/>
      <c r="K71" s="970"/>
      <c r="L71" s="970"/>
      <c r="M71" s="970"/>
      <c r="N71" s="970"/>
    </row>
    <row r="72" spans="1:14" ht="15.75" thickBot="1" x14ac:dyDescent="0.3">
      <c r="A72" s="1540" t="s">
        <v>588</v>
      </c>
      <c r="B72" s="1541"/>
      <c r="C72" s="1541"/>
      <c r="D72" s="1542"/>
      <c r="E72" s="971"/>
      <c r="F72" s="997" t="s">
        <v>384</v>
      </c>
      <c r="G72" s="1000"/>
      <c r="H72" s="999">
        <f>'SALE COLLARES'!G355</f>
        <v>2250</v>
      </c>
      <c r="I72" s="999">
        <f>'SALE COLLARES'!G356</f>
        <v>4500</v>
      </c>
      <c r="J72" s="970"/>
      <c r="K72" s="970"/>
      <c r="L72" s="970"/>
      <c r="M72" s="970"/>
      <c r="N72" s="970"/>
    </row>
    <row r="73" spans="1:14" x14ac:dyDescent="0.25">
      <c r="A73" s="972" t="s">
        <v>590</v>
      </c>
      <c r="B73" s="973" t="s">
        <v>591</v>
      </c>
      <c r="C73" s="973"/>
      <c r="D73" s="974">
        <f>D87</f>
        <v>18000</v>
      </c>
      <c r="E73" s="971"/>
      <c r="F73" s="1019" t="s">
        <v>587</v>
      </c>
      <c r="G73" s="1024"/>
      <c r="H73" s="1020"/>
      <c r="I73" s="1020">
        <f>COLLARES!H172</f>
        <v>16000</v>
      </c>
      <c r="J73" s="970"/>
      <c r="K73" s="970"/>
      <c r="L73" s="970"/>
      <c r="M73" s="970"/>
      <c r="N73" s="970"/>
    </row>
    <row r="74" spans="1:14" x14ac:dyDescent="0.25">
      <c r="A74" s="981" t="s">
        <v>217</v>
      </c>
      <c r="B74" s="982"/>
      <c r="C74" s="982"/>
      <c r="D74" s="984">
        <f t="shared" ref="D74:D79" si="0">D73</f>
        <v>18000</v>
      </c>
      <c r="E74" s="971"/>
      <c r="F74" s="988" t="s">
        <v>589</v>
      </c>
      <c r="G74" s="989"/>
      <c r="H74" s="991"/>
      <c r="I74" s="991">
        <f>COLLARES!H192</f>
        <v>8800</v>
      </c>
      <c r="J74" s="970"/>
      <c r="K74" s="970"/>
      <c r="L74" s="970"/>
      <c r="M74" s="970"/>
      <c r="N74" s="970"/>
    </row>
    <row r="75" spans="1:14" x14ac:dyDescent="0.25">
      <c r="A75" s="988" t="s">
        <v>205</v>
      </c>
      <c r="B75" s="989" t="e">
        <f>#REF!</f>
        <v>#REF!</v>
      </c>
      <c r="C75" s="989"/>
      <c r="D75" s="984">
        <f t="shared" si="0"/>
        <v>18000</v>
      </c>
      <c r="E75" s="971"/>
      <c r="F75" s="988" t="s">
        <v>375</v>
      </c>
      <c r="G75" s="989"/>
      <c r="H75" s="991"/>
      <c r="I75" s="991">
        <f>COLLARES!I226</f>
        <v>11600</v>
      </c>
      <c r="J75" s="970"/>
      <c r="K75" s="970"/>
      <c r="L75" s="970"/>
      <c r="M75" s="970"/>
      <c r="N75" s="970"/>
    </row>
    <row r="76" spans="1:14" x14ac:dyDescent="0.25">
      <c r="A76" s="988" t="s">
        <v>209</v>
      </c>
      <c r="B76" s="989"/>
      <c r="C76" s="989"/>
      <c r="D76" s="984">
        <f t="shared" si="0"/>
        <v>18000</v>
      </c>
      <c r="E76" s="971"/>
      <c r="F76" s="997" t="s">
        <v>592</v>
      </c>
      <c r="G76" s="1000"/>
      <c r="H76" s="999">
        <f>COLLARES!H673</f>
        <v>7500</v>
      </c>
      <c r="I76" s="999">
        <f>COLLARES!H674</f>
        <v>15000</v>
      </c>
      <c r="J76" s="970"/>
      <c r="K76" s="970"/>
      <c r="L76" s="970"/>
      <c r="M76" s="970"/>
      <c r="N76" s="970"/>
    </row>
    <row r="77" spans="1:14" x14ac:dyDescent="0.25">
      <c r="A77" s="988" t="s">
        <v>218</v>
      </c>
      <c r="B77" s="989"/>
      <c r="C77" s="989"/>
      <c r="D77" s="984">
        <f t="shared" si="0"/>
        <v>18000</v>
      </c>
      <c r="E77" s="971"/>
      <c r="F77" s="997" t="s">
        <v>593</v>
      </c>
      <c r="G77" s="1000"/>
      <c r="H77" s="999">
        <f>H76</f>
        <v>7500</v>
      </c>
      <c r="I77" s="999">
        <f>I76</f>
        <v>15000</v>
      </c>
      <c r="J77" s="970"/>
      <c r="K77" s="970"/>
      <c r="L77" s="970"/>
      <c r="M77" s="970"/>
      <c r="N77" s="970"/>
    </row>
    <row r="78" spans="1:14" x14ac:dyDescent="0.25">
      <c r="A78" s="988" t="s">
        <v>594</v>
      </c>
      <c r="B78" s="989"/>
      <c r="C78" s="989"/>
      <c r="D78" s="984">
        <f t="shared" si="0"/>
        <v>18000</v>
      </c>
      <c r="E78" s="971"/>
      <c r="F78" s="988" t="s">
        <v>126</v>
      </c>
      <c r="G78" s="989"/>
      <c r="H78" s="991">
        <f>H79</f>
        <v>3000</v>
      </c>
      <c r="I78" s="991">
        <f>I42</f>
        <v>8800</v>
      </c>
      <c r="J78" s="970"/>
      <c r="K78" s="970"/>
      <c r="L78" s="970"/>
      <c r="M78" s="970"/>
      <c r="N78" s="970"/>
    </row>
    <row r="79" spans="1:14" ht="15.75" thickBot="1" x14ac:dyDescent="0.3">
      <c r="A79" s="988" t="s">
        <v>596</v>
      </c>
      <c r="B79" s="989"/>
      <c r="C79" s="989"/>
      <c r="D79" s="984">
        <f t="shared" si="0"/>
        <v>18000</v>
      </c>
      <c r="E79" s="971"/>
      <c r="F79" s="1030" t="s">
        <v>140</v>
      </c>
      <c r="G79" s="1040"/>
      <c r="H79" s="1041">
        <f>'SALE COLLARES'!H294</f>
        <v>3000</v>
      </c>
      <c r="I79" s="1041">
        <f>'SALE COLLARES'!H295</f>
        <v>6000</v>
      </c>
      <c r="J79" s="970"/>
      <c r="K79" s="970"/>
      <c r="L79" s="970"/>
      <c r="M79" s="970"/>
      <c r="N79" s="970"/>
    </row>
    <row r="80" spans="1:14" ht="15.75" thickBot="1" x14ac:dyDescent="0.3">
      <c r="A80" s="988" t="s">
        <v>2274</v>
      </c>
      <c r="B80" s="989"/>
      <c r="C80" s="990"/>
      <c r="D80" s="984">
        <f>AROS!T194</f>
        <v>8600</v>
      </c>
      <c r="E80" s="971"/>
      <c r="F80" s="1534" t="s">
        <v>595</v>
      </c>
      <c r="G80" s="1535"/>
      <c r="H80" s="1535"/>
      <c r="I80" s="1536"/>
      <c r="J80" s="970"/>
      <c r="K80" s="970"/>
      <c r="L80" s="970"/>
      <c r="M80" s="970"/>
      <c r="N80" s="970"/>
    </row>
    <row r="81" spans="1:14" x14ac:dyDescent="0.25">
      <c r="A81" s="988" t="s">
        <v>213</v>
      </c>
      <c r="B81" s="989"/>
      <c r="C81" s="991">
        <f>AROS!T122</f>
        <v>0</v>
      </c>
      <c r="D81" s="984">
        <f>D79</f>
        <v>18000</v>
      </c>
      <c r="E81" s="971"/>
      <c r="F81" s="972" t="s">
        <v>373</v>
      </c>
      <c r="G81" s="1042">
        <f>PULSERAS!E88</f>
        <v>1242.4733333333334</v>
      </c>
      <c r="H81" s="1042">
        <f>PULSERAS!G88</f>
        <v>0</v>
      </c>
      <c r="I81" s="1043">
        <f>PULSERAS!H141</f>
        <v>8000</v>
      </c>
      <c r="J81" s="970"/>
      <c r="K81" s="970"/>
      <c r="L81" s="970"/>
      <c r="M81" s="970"/>
      <c r="N81" s="970"/>
    </row>
    <row r="82" spans="1:14" x14ac:dyDescent="0.25">
      <c r="A82" s="988" t="s">
        <v>201</v>
      </c>
      <c r="B82" s="989">
        <f>AROS!R96</f>
        <v>4474</v>
      </c>
      <c r="C82" s="989"/>
      <c r="D82" s="984">
        <f>D79</f>
        <v>18000</v>
      </c>
      <c r="E82" s="971"/>
      <c r="F82" s="981" t="s">
        <v>597</v>
      </c>
      <c r="G82" s="1044">
        <f>PULSERAS!E89</f>
        <v>2484.9466666666667</v>
      </c>
      <c r="H82" s="1044">
        <f>PULSERAS!G89</f>
        <v>2900</v>
      </c>
      <c r="I82" s="1045">
        <f>PULSERAS!G90</f>
        <v>5800</v>
      </c>
      <c r="J82" s="970"/>
      <c r="K82" s="970"/>
      <c r="L82" s="970"/>
      <c r="M82" s="970"/>
      <c r="N82" s="970"/>
    </row>
    <row r="83" spans="1:14" x14ac:dyDescent="0.25">
      <c r="A83" s="988" t="s">
        <v>216</v>
      </c>
      <c r="B83" s="989"/>
      <c r="C83" s="989"/>
      <c r="D83" s="984">
        <f>D82</f>
        <v>18000</v>
      </c>
      <c r="E83" s="971"/>
      <c r="F83" s="988" t="s">
        <v>277</v>
      </c>
      <c r="G83" s="989">
        <f>PULSERAS!N9</f>
        <v>3752.666666666667</v>
      </c>
      <c r="H83" s="989">
        <f>PULSERAS!P9</f>
        <v>7000</v>
      </c>
      <c r="I83" s="991">
        <f>PULSERAS!P10</f>
        <v>14000</v>
      </c>
      <c r="J83" s="970"/>
      <c r="K83" s="970"/>
      <c r="L83" s="970"/>
      <c r="M83" s="970"/>
      <c r="N83" s="970"/>
    </row>
    <row r="84" spans="1:14" x14ac:dyDescent="0.25">
      <c r="A84" s="988" t="s">
        <v>598</v>
      </c>
      <c r="B84" s="989"/>
      <c r="C84" s="989"/>
      <c r="D84" s="984">
        <f>D83</f>
        <v>18000</v>
      </c>
      <c r="E84" s="971"/>
      <c r="F84" s="997" t="s">
        <v>347</v>
      </c>
      <c r="G84" s="1000"/>
      <c r="H84" s="999">
        <f>'SALE PULSERAS'!H39</f>
        <v>1100</v>
      </c>
      <c r="I84" s="999">
        <f>'SALE PULSERAS'!H40</f>
        <v>2200</v>
      </c>
      <c r="J84" s="970"/>
      <c r="K84" s="970"/>
      <c r="L84" s="970"/>
      <c r="M84" s="970"/>
      <c r="N84" s="970"/>
    </row>
    <row r="85" spans="1:14" x14ac:dyDescent="0.25">
      <c r="A85" s="988" t="s">
        <v>2259</v>
      </c>
      <c r="B85" s="989"/>
      <c r="C85" s="989"/>
      <c r="D85" s="984">
        <f>AROS!T185</f>
        <v>7200</v>
      </c>
      <c r="E85" s="971"/>
      <c r="F85" s="997" t="s">
        <v>336</v>
      </c>
      <c r="G85" s="1000"/>
      <c r="H85" s="999">
        <f>'SALE PULSERAS'!H137</f>
        <v>1450</v>
      </c>
      <c r="I85" s="999">
        <f>'SALE PULSERAS'!H138</f>
        <v>2900</v>
      </c>
      <c r="J85" s="970"/>
      <c r="K85" s="970"/>
      <c r="L85" s="970"/>
      <c r="M85" s="970"/>
      <c r="N85" s="970"/>
    </row>
    <row r="86" spans="1:14" x14ac:dyDescent="0.25">
      <c r="A86" s="988" t="s">
        <v>2260</v>
      </c>
      <c r="B86" s="989"/>
      <c r="C86" s="989"/>
      <c r="D86" s="984">
        <f>AROS!T177</f>
        <v>7200</v>
      </c>
      <c r="E86" s="971"/>
      <c r="F86" s="988" t="s">
        <v>398</v>
      </c>
      <c r="G86" s="989">
        <f>PULSERAS!C7</f>
        <v>1662</v>
      </c>
      <c r="H86" s="989">
        <f>PULSERAS!E7</f>
        <v>1600</v>
      </c>
      <c r="I86" s="991">
        <f>PULSERAS!E8</f>
        <v>3200</v>
      </c>
      <c r="J86" s="970"/>
      <c r="K86" s="970"/>
      <c r="L86" s="970"/>
      <c r="M86" s="970"/>
      <c r="N86" s="970"/>
    </row>
    <row r="87" spans="1:14" x14ac:dyDescent="0.25">
      <c r="A87" s="988" t="s">
        <v>200</v>
      </c>
      <c r="B87" s="989">
        <f>AROS!R59</f>
        <v>9624</v>
      </c>
      <c r="C87" s="989"/>
      <c r="D87" s="984">
        <f>AROS!T59</f>
        <v>18000</v>
      </c>
      <c r="E87" s="971"/>
      <c r="F87" s="981" t="s">
        <v>166</v>
      </c>
      <c r="G87" s="982"/>
      <c r="H87" s="982"/>
      <c r="I87" s="984">
        <f>PULSERAS!I126</f>
        <v>15000</v>
      </c>
      <c r="J87" s="970"/>
      <c r="K87" s="970"/>
      <c r="L87" s="970"/>
      <c r="M87" s="970"/>
      <c r="N87" s="970"/>
    </row>
    <row r="88" spans="1:14" x14ac:dyDescent="0.25">
      <c r="A88" s="988" t="s">
        <v>599</v>
      </c>
      <c r="B88" s="989">
        <f>AROS!R77</f>
        <v>7970</v>
      </c>
      <c r="C88" s="989"/>
      <c r="D88" s="984">
        <f>D87</f>
        <v>18000</v>
      </c>
      <c r="E88" s="971"/>
      <c r="F88" s="1021" t="s">
        <v>370</v>
      </c>
      <c r="G88" s="1022">
        <f>'SALE PULSERAS'!F58</f>
        <v>0</v>
      </c>
      <c r="H88" s="1022">
        <f>'SALE PULSERAS'!H103</f>
        <v>1700</v>
      </c>
      <c r="I88" s="1023">
        <f>'SALE PULSERAS'!H104</f>
        <v>3400</v>
      </c>
      <c r="J88" s="970"/>
      <c r="K88" s="970"/>
      <c r="L88" s="970"/>
      <c r="M88" s="970"/>
      <c r="N88" s="970"/>
    </row>
    <row r="89" spans="1:14" ht="15.75" thickBot="1" x14ac:dyDescent="0.3">
      <c r="A89" s="993" t="s">
        <v>574</v>
      </c>
      <c r="B89" s="994"/>
      <c r="C89" s="994"/>
      <c r="D89" s="995">
        <f>AROS!T50</f>
        <v>28000</v>
      </c>
      <c r="E89" s="971"/>
      <c r="F89" s="981" t="s">
        <v>167</v>
      </c>
      <c r="G89" s="982"/>
      <c r="H89" s="982"/>
      <c r="I89" s="984">
        <f>PULSERAS!H152</f>
        <v>12000</v>
      </c>
      <c r="J89" s="970"/>
      <c r="K89" s="970"/>
      <c r="L89" s="970"/>
      <c r="M89" s="970"/>
      <c r="N89" s="970"/>
    </row>
    <row r="90" spans="1:14" ht="15.75" thickBot="1" x14ac:dyDescent="0.3">
      <c r="A90" s="1546" t="s">
        <v>600</v>
      </c>
      <c r="B90" s="1547"/>
      <c r="C90" s="1547"/>
      <c r="D90" s="1548"/>
      <c r="E90" s="1046"/>
      <c r="F90" s="981" t="s">
        <v>458</v>
      </c>
      <c r="G90" s="982"/>
      <c r="H90" s="982"/>
      <c r="I90" s="984">
        <f>PULSERAS!G187</f>
        <v>5800</v>
      </c>
      <c r="J90" s="970"/>
      <c r="K90" s="970"/>
      <c r="L90" s="970"/>
      <c r="M90" s="970"/>
      <c r="N90" s="970"/>
    </row>
    <row r="91" spans="1:14" x14ac:dyDescent="0.25">
      <c r="A91" s="972" t="s">
        <v>2261</v>
      </c>
      <c r="B91" s="973">
        <f>AROS!AB13</f>
        <v>2828.5</v>
      </c>
      <c r="C91" s="973">
        <f>AROS!AD13</f>
        <v>0</v>
      </c>
      <c r="D91" s="974">
        <f>AROS!AD62</f>
        <v>17000</v>
      </c>
      <c r="E91" s="971"/>
      <c r="F91" s="1019" t="s">
        <v>360</v>
      </c>
      <c r="G91" s="1024" t="e">
        <f>#REF!</f>
        <v>#REF!</v>
      </c>
      <c r="H91" s="1024"/>
      <c r="I91" s="1020">
        <f>PULSERAS!I108</f>
        <v>23600</v>
      </c>
      <c r="J91" s="970"/>
      <c r="K91" s="970"/>
      <c r="L91" s="970"/>
      <c r="M91" s="970"/>
      <c r="N91" s="970"/>
    </row>
    <row r="92" spans="1:14" x14ac:dyDescent="0.25">
      <c r="A92" s="981" t="s">
        <v>270</v>
      </c>
      <c r="B92" s="982">
        <f>AROS!AB14</f>
        <v>5657</v>
      </c>
      <c r="C92" s="982">
        <f>AROS!AD14</f>
        <v>3900</v>
      </c>
      <c r="D92" s="984">
        <f>D91</f>
        <v>17000</v>
      </c>
      <c r="E92" s="971"/>
      <c r="F92" s="1047" t="s">
        <v>421</v>
      </c>
      <c r="G92" s="1048">
        <f>PULSERAS!F77</f>
        <v>4668.7484952380955</v>
      </c>
      <c r="H92" s="1048">
        <f>PULSERAS!H77</f>
        <v>12000</v>
      </c>
      <c r="I92" s="1049">
        <f>PULSERAS!H78</f>
        <v>0</v>
      </c>
      <c r="J92" s="970"/>
      <c r="K92" s="970"/>
      <c r="L92" s="970"/>
      <c r="M92" s="970"/>
      <c r="N92" s="970"/>
    </row>
    <row r="93" spans="1:14" x14ac:dyDescent="0.25">
      <c r="A93" s="988" t="s">
        <v>268</v>
      </c>
      <c r="B93" s="989">
        <f>AROS!AB39</f>
        <v>4420</v>
      </c>
      <c r="C93" s="989">
        <f>AROS!AD39</f>
        <v>3900</v>
      </c>
      <c r="D93" s="991">
        <f>D92</f>
        <v>17000</v>
      </c>
      <c r="E93" s="971"/>
      <c r="F93" s="997" t="s">
        <v>578</v>
      </c>
      <c r="G93" s="1050"/>
      <c r="H93" s="1051">
        <f>PULSERAS!G209</f>
        <v>7500</v>
      </c>
      <c r="I93" s="999">
        <f>'SALE PULSERAS'!H23</f>
        <v>2500</v>
      </c>
      <c r="J93" s="970"/>
      <c r="K93" s="970"/>
      <c r="L93" s="970"/>
      <c r="M93" s="970"/>
      <c r="N93" s="970"/>
    </row>
    <row r="94" spans="1:14" ht="15.75" thickBot="1" x14ac:dyDescent="0.3">
      <c r="A94" s="993" t="s">
        <v>269</v>
      </c>
      <c r="B94" s="994">
        <f>AROS!AB25</f>
        <v>8142</v>
      </c>
      <c r="C94" s="994">
        <f>AROS!AD25</f>
        <v>6500</v>
      </c>
      <c r="D94" s="995">
        <f>D93</f>
        <v>17000</v>
      </c>
      <c r="E94" s="971"/>
      <c r="F94" s="988" t="s">
        <v>601</v>
      </c>
      <c r="G94" s="1052"/>
      <c r="H94" s="1008">
        <f>PULSERAS!H32</f>
        <v>5000</v>
      </c>
      <c r="I94" s="991">
        <f>PULSERAS!H33</f>
        <v>10000</v>
      </c>
      <c r="J94" s="970"/>
      <c r="K94" s="970"/>
      <c r="L94" s="970"/>
      <c r="M94" s="970"/>
      <c r="N94" s="970"/>
    </row>
    <row r="95" spans="1:14" ht="15.75" thickBot="1" x14ac:dyDescent="0.3">
      <c r="A95" s="1537" t="s">
        <v>602</v>
      </c>
      <c r="B95" s="1538"/>
      <c r="C95" s="1538"/>
      <c r="D95" s="1539"/>
      <c r="E95" s="971"/>
      <c r="F95" s="988" t="s">
        <v>417</v>
      </c>
      <c r="G95" s="992">
        <f>PULSERAS!F64</f>
        <v>4514.7490183150185</v>
      </c>
      <c r="H95" s="989">
        <f>PULSERAS!H64</f>
        <v>8400</v>
      </c>
      <c r="I95" s="991">
        <f>PULSERAS!H65</f>
        <v>0</v>
      </c>
      <c r="J95" s="970"/>
      <c r="K95" s="970"/>
      <c r="L95" s="970"/>
      <c r="M95" s="970"/>
      <c r="N95" s="970"/>
    </row>
    <row r="96" spans="1:14" x14ac:dyDescent="0.25">
      <c r="A96" s="988" t="s">
        <v>262</v>
      </c>
      <c r="B96" s="1029"/>
      <c r="C96" s="989"/>
      <c r="D96" s="991">
        <f>AROS!AN18</f>
        <v>10400</v>
      </c>
      <c r="E96" s="971"/>
      <c r="F96" s="988" t="s">
        <v>2272</v>
      </c>
      <c r="G96" s="989"/>
      <c r="H96" s="989"/>
      <c r="I96" s="991">
        <f>PULSERAS!G267</f>
        <v>17000</v>
      </c>
      <c r="J96" s="970"/>
      <c r="K96" s="970"/>
      <c r="L96" s="970"/>
      <c r="M96" s="970"/>
      <c r="N96" s="970"/>
    </row>
    <row r="97" spans="1:14" x14ac:dyDescent="0.25">
      <c r="A97" s="1053" t="s">
        <v>265</v>
      </c>
      <c r="B97" s="1054"/>
      <c r="C97" s="1055"/>
      <c r="D97" s="1056">
        <f>D96</f>
        <v>10400</v>
      </c>
      <c r="E97" s="971"/>
      <c r="F97" s="988" t="s">
        <v>201</v>
      </c>
      <c r="G97" s="989"/>
      <c r="H97" s="989"/>
      <c r="I97" s="991">
        <f>PULSERAS!G332</f>
        <v>11000</v>
      </c>
      <c r="J97" s="970"/>
      <c r="K97" s="970"/>
      <c r="L97" s="970"/>
      <c r="M97" s="970"/>
      <c r="N97" s="970"/>
    </row>
    <row r="98" spans="1:14" x14ac:dyDescent="0.25">
      <c r="A98" s="1053" t="s">
        <v>603</v>
      </c>
      <c r="B98" s="1054"/>
      <c r="C98" s="1055"/>
      <c r="D98" s="1056">
        <f>AROS!AN42</f>
        <v>11400</v>
      </c>
      <c r="E98" s="1057"/>
      <c r="F98" s="988" t="s">
        <v>416</v>
      </c>
      <c r="G98" s="989">
        <f>PULSERAS!F48</f>
        <v>5700.9847619047632</v>
      </c>
      <c r="H98" s="989">
        <f>PULSERAS!H48</f>
        <v>1300</v>
      </c>
      <c r="I98" s="991">
        <f>PULSERAS!H49</f>
        <v>2600</v>
      </c>
      <c r="J98" s="970"/>
      <c r="K98" s="970"/>
      <c r="L98" s="970"/>
      <c r="M98" s="970"/>
      <c r="N98" s="970"/>
    </row>
    <row r="99" spans="1:14" x14ac:dyDescent="0.25">
      <c r="A99" s="1053" t="s">
        <v>264</v>
      </c>
      <c r="B99" s="1054"/>
      <c r="C99" s="1055"/>
      <c r="D99" s="1056">
        <f>D98</f>
        <v>11400</v>
      </c>
      <c r="E99" s="971"/>
      <c r="F99" s="988" t="s">
        <v>362</v>
      </c>
      <c r="G99" s="989"/>
      <c r="H99" s="989"/>
      <c r="I99" s="991">
        <f>PULSERAS!I285</f>
        <v>15000</v>
      </c>
      <c r="J99" s="970"/>
      <c r="K99" s="970"/>
      <c r="L99" s="970"/>
      <c r="M99" s="970"/>
      <c r="N99" s="970"/>
    </row>
    <row r="100" spans="1:14" ht="15.75" thickBot="1" x14ac:dyDescent="0.3">
      <c r="A100" s="993" t="s">
        <v>263</v>
      </c>
      <c r="B100" s="1058"/>
      <c r="C100" s="994"/>
      <c r="D100" s="995">
        <f>AROS!AN18</f>
        <v>10400</v>
      </c>
      <c r="E100" s="971"/>
      <c r="F100" s="1003" t="s">
        <v>436</v>
      </c>
      <c r="G100" s="1013">
        <f>'SALE PULSERAS'!F11</f>
        <v>4508.1419999999998</v>
      </c>
      <c r="H100" s="1013">
        <f>'SALE PULSERAS'!H11</f>
        <v>1650</v>
      </c>
      <c r="I100" s="1004">
        <f>'SALE PULSERAS'!H12</f>
        <v>3300</v>
      </c>
      <c r="J100" s="970"/>
      <c r="K100" s="1059"/>
      <c r="L100" s="1059"/>
      <c r="M100" s="1059"/>
      <c r="N100" s="1059"/>
    </row>
    <row r="101" spans="1:14" ht="15.75" thickBot="1" x14ac:dyDescent="0.3">
      <c r="A101" s="1531" t="s">
        <v>604</v>
      </c>
      <c r="B101" s="1532"/>
      <c r="C101" s="1532"/>
      <c r="D101" s="1533"/>
      <c r="E101" s="971"/>
      <c r="F101" s="997" t="s">
        <v>144</v>
      </c>
      <c r="G101" s="1000"/>
      <c r="H101" s="999">
        <f>'SALE PULSERAS'!H148</f>
        <v>1650</v>
      </c>
      <c r="I101" s="999">
        <f>'SALE PULSERAS'!H149</f>
        <v>3300</v>
      </c>
      <c r="J101" s="970"/>
      <c r="K101" s="970"/>
      <c r="L101" s="970"/>
      <c r="M101" s="970"/>
      <c r="N101" s="970"/>
    </row>
    <row r="102" spans="1:14" ht="15.75" thickBot="1" x14ac:dyDescent="0.3">
      <c r="A102" s="1060" t="s">
        <v>228</v>
      </c>
      <c r="B102" s="979">
        <f>'COLLAR INICIAL'!E29</f>
        <v>6954.1749999999993</v>
      </c>
      <c r="C102" s="979">
        <f>'COLLAR INICIAL'!G29</f>
        <v>18000</v>
      </c>
      <c r="D102" s="980">
        <f>'COLLAR INICIAL'!G30</f>
        <v>0</v>
      </c>
      <c r="E102" s="971"/>
      <c r="F102" s="988" t="s">
        <v>435</v>
      </c>
      <c r="G102" s="989"/>
      <c r="H102" s="989"/>
      <c r="I102" s="991">
        <f>PULSERAS!H247</f>
        <v>11000</v>
      </c>
      <c r="J102" s="970"/>
      <c r="K102" s="970"/>
      <c r="L102" s="970"/>
      <c r="M102" s="970"/>
      <c r="N102" s="970"/>
    </row>
    <row r="103" spans="1:14" ht="15.75" thickBot="1" x14ac:dyDescent="0.3">
      <c r="A103" s="1540" t="s">
        <v>605</v>
      </c>
      <c r="B103" s="1541"/>
      <c r="C103" s="1541"/>
      <c r="D103" s="1542"/>
      <c r="E103" s="971"/>
      <c r="F103" s="988" t="s">
        <v>449</v>
      </c>
      <c r="G103" s="989"/>
      <c r="H103" s="989"/>
      <c r="I103" s="991">
        <f>PULSERAS!H297</f>
        <v>6200</v>
      </c>
      <c r="J103" s="970"/>
      <c r="K103" s="970"/>
      <c r="L103" s="970"/>
      <c r="M103" s="970"/>
      <c r="N103" s="970"/>
    </row>
    <row r="104" spans="1:14" x14ac:dyDescent="0.25">
      <c r="A104" s="972" t="s">
        <v>262</v>
      </c>
      <c r="B104" s="973"/>
      <c r="C104" s="973"/>
      <c r="D104" s="974">
        <f>'TOBILLERAS Y ANILLOS'!O68</f>
        <v>26000</v>
      </c>
      <c r="E104" s="971"/>
      <c r="F104" s="981" t="s">
        <v>450</v>
      </c>
      <c r="G104" s="983"/>
      <c r="H104" s="983"/>
      <c r="I104" s="984">
        <f>PULSERAS!H322</f>
        <v>6400</v>
      </c>
      <c r="J104" s="970"/>
      <c r="K104" s="970"/>
      <c r="L104" s="970"/>
      <c r="M104" s="970"/>
      <c r="N104" s="970"/>
    </row>
    <row r="105" spans="1:14" x14ac:dyDescent="0.25">
      <c r="A105" s="981" t="s">
        <v>475</v>
      </c>
      <c r="B105" s="982"/>
      <c r="C105" s="982"/>
      <c r="D105" s="984">
        <f>'TOBILLERAS Y ANILLOS'!O24</f>
        <v>13000</v>
      </c>
      <c r="E105" s="971"/>
      <c r="F105" s="981" t="s">
        <v>2295</v>
      </c>
      <c r="G105" s="983"/>
      <c r="H105" s="983"/>
      <c r="I105" s="984">
        <f>PULSERAS!G201</f>
        <v>5800</v>
      </c>
      <c r="J105" s="970"/>
      <c r="K105" s="970"/>
      <c r="L105" s="970"/>
      <c r="M105" s="970"/>
      <c r="N105" s="970"/>
    </row>
    <row r="106" spans="1:14" x14ac:dyDescent="0.25">
      <c r="A106" s="988" t="s">
        <v>474</v>
      </c>
      <c r="B106" s="989"/>
      <c r="C106" s="990"/>
      <c r="D106" s="991">
        <f>'TOBILLERAS Y ANILLOS'!O44</f>
        <v>7200</v>
      </c>
      <c r="E106" s="971"/>
      <c r="F106" s="1021" t="s">
        <v>371</v>
      </c>
      <c r="G106" s="1023">
        <f>'SALE PULSERAS'!F57</f>
        <v>6633.6542986425338</v>
      </c>
      <c r="H106" s="1023">
        <f>'SALE PULSERAS'!H57</f>
        <v>1850</v>
      </c>
      <c r="I106" s="1023">
        <f>'SALE PULSERAS'!H58</f>
        <v>3700</v>
      </c>
      <c r="J106" s="970"/>
      <c r="K106" s="970"/>
      <c r="L106" s="970"/>
      <c r="M106" s="970"/>
      <c r="N106" s="970"/>
    </row>
    <row r="107" spans="1:14" x14ac:dyDescent="0.25">
      <c r="A107" s="988" t="s">
        <v>320</v>
      </c>
      <c r="B107" s="989" t="e">
        <f>#REF!</f>
        <v>#REF!</v>
      </c>
      <c r="C107" s="991">
        <f>'TOBILLERAS Y ANILLOS'!Q35</f>
        <v>7000</v>
      </c>
      <c r="D107" s="991">
        <f>'TOBILLERAS Y ANILLOS'!Q36</f>
        <v>14000</v>
      </c>
      <c r="E107" s="971"/>
      <c r="F107" s="1019" t="s">
        <v>290</v>
      </c>
      <c r="G107" s="1024">
        <f>PULSERAS!E222</f>
        <v>36221.104761904753</v>
      </c>
      <c r="H107" s="1020">
        <f>PULSERAS!G222</f>
        <v>2433</v>
      </c>
      <c r="I107" s="1020">
        <f>PULSERAS!I223</f>
        <v>0</v>
      </c>
      <c r="J107" s="970"/>
      <c r="K107" s="970"/>
      <c r="L107" s="970"/>
      <c r="M107" s="970"/>
      <c r="N107" s="970"/>
    </row>
    <row r="108" spans="1:14" x14ac:dyDescent="0.25">
      <c r="A108" s="988" t="s">
        <v>264</v>
      </c>
      <c r="B108" s="989"/>
      <c r="C108" s="990"/>
      <c r="D108" s="991">
        <f>'TOBILLERAS Y ANILLOS'!O60</f>
        <v>6200</v>
      </c>
      <c r="E108" s="971"/>
      <c r="F108" s="997" t="s">
        <v>160</v>
      </c>
      <c r="G108" s="1000" t="e">
        <f>#REF!</f>
        <v>#REF!</v>
      </c>
      <c r="H108" s="1000">
        <f>'SALE PULSERAS'!H162</f>
        <v>1650</v>
      </c>
      <c r="I108" s="999">
        <f>'SALE PULSERAS'!H163</f>
        <v>3300</v>
      </c>
      <c r="J108" s="970"/>
      <c r="K108" s="970"/>
      <c r="L108" s="970"/>
      <c r="M108" s="970"/>
      <c r="N108" s="970"/>
    </row>
    <row r="109" spans="1:14" x14ac:dyDescent="0.25">
      <c r="A109" s="988" t="s">
        <v>283</v>
      </c>
      <c r="B109" s="989"/>
      <c r="C109" s="989"/>
      <c r="D109" s="991">
        <f>'TOBILLERAS Y ANILLOS'!O16</f>
        <v>20000</v>
      </c>
      <c r="E109" s="971"/>
      <c r="F109" s="988" t="s">
        <v>200</v>
      </c>
      <c r="G109" s="989">
        <f>PULSERAS!E20</f>
        <v>2239.5623030303032</v>
      </c>
      <c r="H109" s="989">
        <f>PULSERAS!G20</f>
        <v>3500</v>
      </c>
      <c r="I109" s="991">
        <f>PULSERAS!G21</f>
        <v>7000</v>
      </c>
      <c r="J109" s="970"/>
      <c r="K109" s="970"/>
      <c r="L109" s="970"/>
      <c r="M109" s="970"/>
      <c r="N109" s="970"/>
    </row>
    <row r="110" spans="1:14" x14ac:dyDescent="0.25">
      <c r="A110" s="1053" t="s">
        <v>316</v>
      </c>
      <c r="B110" s="1055"/>
      <c r="C110" s="1055"/>
      <c r="D110" s="1056">
        <f>'TOBILLERAS Y ANILLOS'!O52</f>
        <v>14000</v>
      </c>
      <c r="E110" s="971"/>
      <c r="F110" s="988" t="s">
        <v>348</v>
      </c>
      <c r="G110" s="989">
        <f>PULSERAS!F235</f>
        <v>4112.4222857142859</v>
      </c>
      <c r="H110" s="989">
        <f>PULSERAS!H235</f>
        <v>6500</v>
      </c>
      <c r="I110" s="991">
        <f>PULSERAS!H236</f>
        <v>13000</v>
      </c>
      <c r="J110" s="970"/>
      <c r="K110" s="970"/>
      <c r="L110" s="970"/>
      <c r="M110" s="970"/>
      <c r="N110" s="970"/>
    </row>
    <row r="111" spans="1:14" x14ac:dyDescent="0.25">
      <c r="A111" s="988" t="s">
        <v>313</v>
      </c>
      <c r="B111" s="989">
        <f>'TOBILLERAS Y ANILLOS'!M6</f>
        <v>3588</v>
      </c>
      <c r="C111" s="989"/>
      <c r="D111" s="991">
        <f>'TOBILLERAS Y ANILLOS'!O7</f>
        <v>14000</v>
      </c>
      <c r="E111" s="1046"/>
      <c r="F111" s="988" t="s">
        <v>285</v>
      </c>
      <c r="G111" s="989">
        <f>'PULSERAS FW21'!E46</f>
        <v>3468.2666666666664</v>
      </c>
      <c r="H111" s="989">
        <f>'PULSERAS FW21'!G46</f>
        <v>1440</v>
      </c>
      <c r="I111" s="991">
        <f>PULSERAS!G309</f>
        <v>14000</v>
      </c>
      <c r="J111" s="970"/>
      <c r="K111" s="970"/>
      <c r="L111" s="970"/>
      <c r="M111" s="970"/>
      <c r="N111" s="970"/>
    </row>
    <row r="112" spans="1:14" ht="15.75" thickBot="1" x14ac:dyDescent="0.3">
      <c r="A112" s="1061" t="s">
        <v>476</v>
      </c>
      <c r="B112" s="1062">
        <f>'TOBILLERAS Y ANILLOS'!M7</f>
        <v>7176</v>
      </c>
      <c r="C112" s="1062"/>
      <c r="D112" s="1063">
        <v>2500</v>
      </c>
      <c r="E112" s="971"/>
      <c r="F112" s="988" t="s">
        <v>320</v>
      </c>
      <c r="G112" s="989">
        <f>PULSERAS!N21</f>
        <v>15992.02294117647</v>
      </c>
      <c r="H112" s="989" t="e">
        <f>PULSERAS!#REF!</f>
        <v>#REF!</v>
      </c>
      <c r="I112" s="991">
        <f>PULSERAS!P22</f>
        <v>0</v>
      </c>
      <c r="J112" s="970"/>
      <c r="K112" s="1059"/>
      <c r="L112" s="1059"/>
      <c r="M112" s="1059"/>
      <c r="N112" s="1059"/>
    </row>
    <row r="113" spans="1:14" x14ac:dyDescent="0.25">
      <c r="A113" s="971"/>
      <c r="B113" s="971"/>
      <c r="C113" s="971"/>
      <c r="D113" s="971"/>
      <c r="E113" s="971"/>
      <c r="F113" s="997" t="s">
        <v>384</v>
      </c>
      <c r="G113" s="1050"/>
      <c r="H113" s="999">
        <f>'SALE PULSERAS'!G119</f>
        <v>1450</v>
      </c>
      <c r="I113" s="999">
        <f>'SALE PULSERAS'!G120</f>
        <v>2900</v>
      </c>
      <c r="J113" s="970"/>
      <c r="K113" s="1059"/>
      <c r="L113" s="1059"/>
      <c r="M113" s="1059"/>
      <c r="N113" s="1059"/>
    </row>
    <row r="114" spans="1:14" x14ac:dyDescent="0.25">
      <c r="A114" s="971"/>
      <c r="B114" s="971"/>
      <c r="C114" s="971"/>
      <c r="D114" s="971"/>
      <c r="E114" s="971"/>
      <c r="F114" s="988" t="s">
        <v>462</v>
      </c>
      <c r="G114" s="989"/>
      <c r="H114" s="1064"/>
      <c r="I114" s="1064">
        <f>PULSERAS!G257</f>
        <v>5800</v>
      </c>
      <c r="J114" s="970"/>
      <c r="K114" s="1059"/>
      <c r="L114" s="1059"/>
      <c r="M114" s="1059"/>
      <c r="N114" s="1059"/>
    </row>
    <row r="115" spans="1:14" x14ac:dyDescent="0.25">
      <c r="A115" s="971"/>
      <c r="B115" s="971"/>
      <c r="C115" s="971"/>
      <c r="D115" s="971"/>
      <c r="E115" s="971"/>
      <c r="F115" s="988" t="s">
        <v>2297</v>
      </c>
      <c r="G115" s="989"/>
      <c r="H115" s="991">
        <f>PULSERAS!R163</f>
        <v>3800</v>
      </c>
      <c r="I115" s="991">
        <f>COLLARES!I226</f>
        <v>11600</v>
      </c>
      <c r="J115" s="970"/>
      <c r="K115" s="970"/>
      <c r="L115" s="970"/>
      <c r="M115" s="970"/>
      <c r="N115" s="970"/>
    </row>
    <row r="116" spans="1:14" x14ac:dyDescent="0.25">
      <c r="A116" s="971"/>
      <c r="B116" s="971"/>
      <c r="C116" s="971"/>
      <c r="D116" s="971"/>
      <c r="E116" s="971"/>
      <c r="F116" s="988" t="s">
        <v>156</v>
      </c>
      <c r="G116" s="989" t="e">
        <f>#REF!</f>
        <v>#REF!</v>
      </c>
      <c r="H116" s="991">
        <f>PULSERAS!G209</f>
        <v>7500</v>
      </c>
      <c r="I116" s="991">
        <f>PULSERAS!G210</f>
        <v>15000</v>
      </c>
      <c r="J116" s="970"/>
      <c r="K116" s="1059"/>
      <c r="L116" s="1059"/>
      <c r="M116" s="1059"/>
      <c r="N116" s="1059"/>
    </row>
    <row r="117" spans="1:14" ht="15.75" thickBot="1" x14ac:dyDescent="0.3">
      <c r="A117" s="971"/>
      <c r="B117" s="971"/>
      <c r="C117" s="971"/>
      <c r="D117" s="971"/>
      <c r="E117" s="971"/>
      <c r="F117" s="988" t="s">
        <v>2273</v>
      </c>
      <c r="G117" s="1065"/>
      <c r="H117" s="1066">
        <f>'SALE PULSERAS'!H103</f>
        <v>1700</v>
      </c>
      <c r="I117" s="1014">
        <f>'SALE PULSERAS'!H104</f>
        <v>3400</v>
      </c>
      <c r="J117" s="1067"/>
      <c r="K117" s="970"/>
      <c r="L117" s="970"/>
      <c r="M117" s="970"/>
      <c r="N117" s="970"/>
    </row>
    <row r="118" spans="1:14" ht="15.75" thickBot="1" x14ac:dyDescent="0.3">
      <c r="A118" s="971"/>
      <c r="B118" s="971"/>
      <c r="C118" s="971"/>
      <c r="D118" s="971"/>
      <c r="E118" s="971"/>
      <c r="F118" s="1030" t="s">
        <v>140</v>
      </c>
      <c r="G118" s="971"/>
      <c r="H118" s="971"/>
      <c r="I118" s="1068">
        <f>'SALE PULSERAS'!H104</f>
        <v>3400</v>
      </c>
      <c r="J118" s="970"/>
      <c r="K118" s="970"/>
      <c r="L118" s="970"/>
      <c r="M118" s="970"/>
      <c r="N118" s="970"/>
    </row>
  </sheetData>
  <mergeCells count="19">
    <mergeCell ref="A103:D103"/>
    <mergeCell ref="A58:D58"/>
    <mergeCell ref="A72:D72"/>
    <mergeCell ref="F80:I80"/>
    <mergeCell ref="A90:D90"/>
    <mergeCell ref="A95:D95"/>
    <mergeCell ref="A101:D101"/>
    <mergeCell ref="F38:I38"/>
    <mergeCell ref="A2:D2"/>
    <mergeCell ref="F2:I2"/>
    <mergeCell ref="K2:N2"/>
    <mergeCell ref="K4:N4"/>
    <mergeCell ref="K7:N7"/>
    <mergeCell ref="F9:I9"/>
    <mergeCell ref="K10:N10"/>
    <mergeCell ref="K15:N15"/>
    <mergeCell ref="K17:N17"/>
    <mergeCell ref="F21:I21"/>
    <mergeCell ref="K22:N22"/>
  </mergeCell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9B719-7584-4321-9945-1B1CA9FAD378}">
  <dimension ref="A1:F28"/>
  <sheetViews>
    <sheetView topLeftCell="A20" workbookViewId="0">
      <selection activeCell="C26" sqref="C26"/>
    </sheetView>
  </sheetViews>
  <sheetFormatPr baseColWidth="10" defaultRowHeight="15" x14ac:dyDescent="0.25"/>
  <cols>
    <col min="1" max="1" width="26.28515625" bestFit="1" customWidth="1"/>
    <col min="3" max="4" width="12.85546875" bestFit="1" customWidth="1"/>
    <col min="5" max="5" width="15.42578125" bestFit="1" customWidth="1"/>
  </cols>
  <sheetData>
    <row r="1" spans="1:6" ht="16.5" thickBot="1" x14ac:dyDescent="0.3">
      <c r="A1" s="1821" t="s">
        <v>4297</v>
      </c>
      <c r="B1" s="1822"/>
      <c r="C1" s="1823"/>
      <c r="D1" s="1294"/>
      <c r="E1" s="1403" t="s">
        <v>513</v>
      </c>
    </row>
    <row r="2" spans="1:6" ht="16.5" thickBot="1" x14ac:dyDescent="0.3">
      <c r="A2" s="774" t="s">
        <v>916</v>
      </c>
      <c r="B2" s="776" t="s">
        <v>742</v>
      </c>
      <c r="C2" s="777" t="s">
        <v>1549</v>
      </c>
      <c r="D2" s="653"/>
      <c r="E2" s="1404" t="s">
        <v>1260</v>
      </c>
    </row>
    <row r="3" spans="1:6" ht="16.5" thickBot="1" x14ac:dyDescent="0.3">
      <c r="A3" s="665" t="s">
        <v>4298</v>
      </c>
      <c r="B3" s="769"/>
      <c r="C3" s="662">
        <f>PIEDRAS!K6</f>
        <v>300</v>
      </c>
      <c r="D3" s="653"/>
      <c r="E3" s="1404" t="s">
        <v>4319</v>
      </c>
    </row>
    <row r="4" spans="1:6" ht="16.5" thickBot="1" x14ac:dyDescent="0.3">
      <c r="A4" s="665" t="s">
        <v>1557</v>
      </c>
      <c r="B4" s="769"/>
      <c r="C4" s="662">
        <f>PACKAGING!E4</f>
        <v>80</v>
      </c>
      <c r="D4" s="653"/>
      <c r="E4" s="1404" t="s">
        <v>4322</v>
      </c>
    </row>
    <row r="5" spans="1:6" ht="16.5" thickBot="1" x14ac:dyDescent="0.3">
      <c r="A5" s="665" t="s">
        <v>1670</v>
      </c>
      <c r="B5" s="769"/>
      <c r="C5" s="662">
        <f>PACKAGING!E8</f>
        <v>420</v>
      </c>
      <c r="D5" s="653"/>
      <c r="E5" s="1404" t="s">
        <v>4323</v>
      </c>
    </row>
    <row r="6" spans="1:6" ht="16.5" thickBot="1" x14ac:dyDescent="0.3">
      <c r="A6" s="670" t="s">
        <v>525</v>
      </c>
      <c r="B6" s="672"/>
      <c r="C6" s="673">
        <f>SUM(C3:C5)</f>
        <v>800</v>
      </c>
      <c r="D6" s="653"/>
      <c r="E6" s="658"/>
    </row>
    <row r="7" spans="1:6" ht="16.5" thickBot="1" x14ac:dyDescent="0.3">
      <c r="A7" s="675" t="s">
        <v>544</v>
      </c>
      <c r="B7" s="676"/>
      <c r="C7" s="692">
        <f>C6*2</f>
        <v>1600</v>
      </c>
      <c r="D7" s="680">
        <f>C7+C7*70%</f>
        <v>2720</v>
      </c>
      <c r="E7" s="681">
        <v>10000</v>
      </c>
    </row>
    <row r="8" spans="1:6" ht="16.5" thickBot="1" x14ac:dyDescent="0.3">
      <c r="A8" s="781" t="s">
        <v>1559</v>
      </c>
      <c r="B8" s="783"/>
      <c r="C8" s="686"/>
      <c r="D8" s="690"/>
      <c r="E8" s="1275">
        <v>5000</v>
      </c>
      <c r="F8" t="s">
        <v>3688</v>
      </c>
    </row>
    <row r="10" spans="1:6" ht="15.75" thickBot="1" x14ac:dyDescent="0.3"/>
    <row r="11" spans="1:6" ht="15.75" thickBot="1" x14ac:dyDescent="0.3">
      <c r="A11" s="1821" t="s">
        <v>4545</v>
      </c>
      <c r="B11" s="1822"/>
      <c r="C11" s="1823"/>
    </row>
    <row r="12" spans="1:6" x14ac:dyDescent="0.25">
      <c r="A12" s="774" t="s">
        <v>916</v>
      </c>
      <c r="B12" s="776" t="s">
        <v>742</v>
      </c>
      <c r="C12" s="777" t="s">
        <v>1549</v>
      </c>
    </row>
    <row r="13" spans="1:6" x14ac:dyDescent="0.25">
      <c r="A13" s="665" t="s">
        <v>4504</v>
      </c>
      <c r="B13" s="769"/>
      <c r="C13" s="662">
        <f>'AROS, CADENAS, DIJES, ETC'!T43</f>
        <v>4040</v>
      </c>
    </row>
    <row r="14" spans="1:6" x14ac:dyDescent="0.25">
      <c r="A14" s="665" t="s">
        <v>1557</v>
      </c>
      <c r="B14" s="769"/>
      <c r="C14" s="662">
        <f>PACKAGING!E4</f>
        <v>80</v>
      </c>
    </row>
    <row r="15" spans="1:6" x14ac:dyDescent="0.25">
      <c r="A15" s="665" t="s">
        <v>4540</v>
      </c>
      <c r="B15" s="769"/>
      <c r="C15" s="662">
        <f>PACKAGING!I9</f>
        <v>1000</v>
      </c>
    </row>
    <row r="16" spans="1:6" ht="15.75" thickBot="1" x14ac:dyDescent="0.3">
      <c r="A16" s="670" t="s">
        <v>525</v>
      </c>
      <c r="B16" s="672"/>
      <c r="C16" s="673">
        <f>SUM(C13:C15)</f>
        <v>5120</v>
      </c>
    </row>
    <row r="17" spans="1:6" ht="16.5" thickBot="1" x14ac:dyDescent="0.3">
      <c r="A17" s="675" t="s">
        <v>544</v>
      </c>
      <c r="B17" s="676"/>
      <c r="C17" s="692">
        <f>C16*2</f>
        <v>10240</v>
      </c>
      <c r="D17" s="680">
        <f>C17+C17*70%</f>
        <v>17408</v>
      </c>
      <c r="E17" s="681">
        <v>30000</v>
      </c>
    </row>
    <row r="18" spans="1:6" ht="16.5" thickBot="1" x14ac:dyDescent="0.3">
      <c r="A18" s="781" t="s">
        <v>1559</v>
      </c>
      <c r="B18" s="783"/>
      <c r="C18" s="686"/>
      <c r="D18" s="690"/>
      <c r="E18" s="1275"/>
      <c r="F18" t="s">
        <v>3688</v>
      </c>
    </row>
    <row r="20" spans="1:6" ht="15.75" thickBot="1" x14ac:dyDescent="0.3"/>
    <row r="21" spans="1:6" ht="15.75" thickBot="1" x14ac:dyDescent="0.3">
      <c r="A21" s="1821" t="s">
        <v>4546</v>
      </c>
      <c r="B21" s="1822"/>
      <c r="C21" s="1823"/>
    </row>
    <row r="22" spans="1:6" x14ac:dyDescent="0.25">
      <c r="A22" s="774" t="s">
        <v>916</v>
      </c>
      <c r="B22" s="776" t="s">
        <v>742</v>
      </c>
      <c r="C22" s="777" t="s">
        <v>1549</v>
      </c>
    </row>
    <row r="23" spans="1:6" x14ac:dyDescent="0.25">
      <c r="A23" s="665" t="s">
        <v>4505</v>
      </c>
      <c r="B23" s="769"/>
      <c r="C23" s="662">
        <f>'AROS, CADENAS, DIJES, ETC'!T44</f>
        <v>4470</v>
      </c>
    </row>
    <row r="24" spans="1:6" x14ac:dyDescent="0.25">
      <c r="A24" s="665" t="s">
        <v>1557</v>
      </c>
      <c r="B24" s="769"/>
      <c r="C24" s="662">
        <f>PACKAGING!E4</f>
        <v>80</v>
      </c>
    </row>
    <row r="25" spans="1:6" x14ac:dyDescent="0.25">
      <c r="A25" s="665" t="s">
        <v>4540</v>
      </c>
      <c r="B25" s="769"/>
      <c r="C25" s="662">
        <f>PACKAGING!I9</f>
        <v>1000</v>
      </c>
    </row>
    <row r="26" spans="1:6" ht="15.75" thickBot="1" x14ac:dyDescent="0.3">
      <c r="A26" s="670" t="s">
        <v>525</v>
      </c>
      <c r="B26" s="672"/>
      <c r="C26" s="673">
        <f>SUM(C23:C25)</f>
        <v>5550</v>
      </c>
    </row>
    <row r="27" spans="1:6" ht="16.5" thickBot="1" x14ac:dyDescent="0.3">
      <c r="A27" s="675" t="s">
        <v>544</v>
      </c>
      <c r="B27" s="676"/>
      <c r="C27" s="692">
        <f>C26*2</f>
        <v>11100</v>
      </c>
      <c r="D27" s="680">
        <f>C27+C27*70%</f>
        <v>18870</v>
      </c>
      <c r="E27" s="681">
        <v>32000</v>
      </c>
    </row>
    <row r="28" spans="1:6" ht="16.5" thickBot="1" x14ac:dyDescent="0.3">
      <c r="A28" s="781" t="s">
        <v>1559</v>
      </c>
      <c r="B28" s="783"/>
      <c r="C28" s="686"/>
      <c r="D28" s="690"/>
      <c r="E28" s="1275"/>
      <c r="F28" t="s">
        <v>3688</v>
      </c>
    </row>
  </sheetData>
  <mergeCells count="3">
    <mergeCell ref="A1:C1"/>
    <mergeCell ref="A11:C11"/>
    <mergeCell ref="A21:C21"/>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099A9-5A8D-4216-9E67-338092127B20}">
  <sheetPr>
    <pageSetUpPr fitToPage="1"/>
  </sheetPr>
  <dimension ref="A1:L43"/>
  <sheetViews>
    <sheetView topLeftCell="A28" workbookViewId="0">
      <selection activeCell="H45" sqref="H45"/>
    </sheetView>
  </sheetViews>
  <sheetFormatPr baseColWidth="10" defaultRowHeight="15" x14ac:dyDescent="0.25"/>
  <cols>
    <col min="1" max="1" width="29.7109375" bestFit="1" customWidth="1"/>
    <col min="2" max="2" width="8.85546875" bestFit="1" customWidth="1"/>
    <col min="5" max="5" width="12.85546875" bestFit="1" customWidth="1"/>
    <col min="6" max="6" width="18.5703125" bestFit="1" customWidth="1"/>
    <col min="7" max="8" width="12.85546875" bestFit="1" customWidth="1"/>
    <col min="9" max="9" width="13.140625" bestFit="1" customWidth="1"/>
    <col min="10" max="10" width="13.85546875" bestFit="1" customWidth="1"/>
    <col min="11" max="11" width="14.7109375" bestFit="1" customWidth="1"/>
    <col min="12" max="12" width="11.140625" bestFit="1" customWidth="1"/>
  </cols>
  <sheetData>
    <row r="1" spans="1:12" ht="16.5" thickBot="1" x14ac:dyDescent="0.3">
      <c r="A1" s="1738" t="s">
        <v>4126</v>
      </c>
      <c r="B1" s="1739"/>
      <c r="C1" s="1739"/>
      <c r="D1" s="1739"/>
      <c r="E1" s="1740"/>
      <c r="F1" s="653"/>
      <c r="G1" s="653"/>
      <c r="H1" s="653"/>
      <c r="I1" s="653"/>
      <c r="J1" s="653"/>
      <c r="K1" s="653"/>
    </row>
    <row r="2" spans="1:12" ht="15.75" x14ac:dyDescent="0.25">
      <c r="A2" s="654" t="s">
        <v>916</v>
      </c>
      <c r="B2" s="655" t="s">
        <v>743</v>
      </c>
      <c r="C2" s="655" t="s">
        <v>1566</v>
      </c>
      <c r="D2" s="656" t="s">
        <v>1035</v>
      </c>
      <c r="E2" s="657" t="s">
        <v>1549</v>
      </c>
      <c r="F2" s="658"/>
      <c r="G2" s="653"/>
      <c r="H2" s="653"/>
      <c r="I2" s="653"/>
      <c r="J2" s="653"/>
      <c r="K2" s="653"/>
    </row>
    <row r="3" spans="1:12" ht="15.75" x14ac:dyDescent="0.25">
      <c r="A3" s="665" t="s">
        <v>4108</v>
      </c>
      <c r="B3" s="660"/>
      <c r="C3" s="660">
        <v>2</v>
      </c>
      <c r="D3" s="661">
        <f>'HILOS-CORDONES-TANZA-CUERO'!E8</f>
        <v>47</v>
      </c>
      <c r="E3" s="662">
        <f>D3*C3</f>
        <v>94</v>
      </c>
      <c r="F3" s="658"/>
      <c r="G3" s="653"/>
      <c r="H3" s="653"/>
      <c r="I3" s="653"/>
      <c r="J3" s="653"/>
      <c r="K3" s="653"/>
    </row>
    <row r="4" spans="1:12" ht="15.75" x14ac:dyDescent="0.25">
      <c r="A4" s="666" t="s">
        <v>1936</v>
      </c>
      <c r="B4" s="660"/>
      <c r="C4" s="660">
        <v>2</v>
      </c>
      <c r="D4" s="661">
        <f>PIEDRAS!F19</f>
        <v>102.05882352941177</v>
      </c>
      <c r="E4" s="662">
        <f>D4*C4</f>
        <v>204.11764705882354</v>
      </c>
      <c r="F4" s="658"/>
      <c r="G4" s="653"/>
      <c r="H4" s="653"/>
      <c r="I4" s="653"/>
      <c r="J4" s="653"/>
      <c r="K4" s="653"/>
    </row>
    <row r="5" spans="1:12" ht="15.75" x14ac:dyDescent="0.25">
      <c r="A5" s="666" t="s">
        <v>3361</v>
      </c>
      <c r="B5" s="660"/>
      <c r="C5" s="660">
        <v>3</v>
      </c>
      <c r="D5" s="661">
        <f>PIEDRAS!F74</f>
        <v>103.44827586206897</v>
      </c>
      <c r="E5" s="662">
        <f>D5*C5</f>
        <v>310.34482758620692</v>
      </c>
      <c r="F5" s="658"/>
      <c r="G5" s="653"/>
      <c r="H5" s="653"/>
      <c r="I5" s="653"/>
      <c r="J5" s="653"/>
      <c r="K5" s="653"/>
    </row>
    <row r="6" spans="1:12" ht="15.75" x14ac:dyDescent="0.25">
      <c r="A6" s="666" t="s">
        <v>4109</v>
      </c>
      <c r="B6" s="660"/>
      <c r="C6" s="660">
        <v>1</v>
      </c>
      <c r="D6" s="661">
        <f>VIDRIOS!E29</f>
        <v>59.583333333333336</v>
      </c>
      <c r="E6" s="662">
        <f>D6*C6</f>
        <v>59.583333333333336</v>
      </c>
      <c r="F6" s="658"/>
      <c r="G6" s="653"/>
      <c r="H6" s="653"/>
      <c r="I6" s="653"/>
      <c r="J6" s="653"/>
      <c r="K6" s="653"/>
    </row>
    <row r="7" spans="1:12" ht="15.75" x14ac:dyDescent="0.25">
      <c r="A7" s="666" t="s">
        <v>3185</v>
      </c>
      <c r="B7" s="660"/>
      <c r="C7" s="660">
        <v>1</v>
      </c>
      <c r="D7" s="661">
        <f>VIDRIOS!E32</f>
        <v>59.583333333333336</v>
      </c>
      <c r="E7" s="662">
        <f>C7*D7</f>
        <v>59.583333333333336</v>
      </c>
      <c r="F7" s="658"/>
      <c r="G7" s="653"/>
      <c r="H7" s="653"/>
      <c r="I7" s="653"/>
      <c r="J7" s="653"/>
      <c r="K7" s="653"/>
    </row>
    <row r="8" spans="1:12" ht="15.75" x14ac:dyDescent="0.25">
      <c r="A8" s="666" t="s">
        <v>3404</v>
      </c>
      <c r="B8" s="660"/>
      <c r="C8" s="660">
        <v>2</v>
      </c>
      <c r="D8" s="661">
        <f>PIEDRAS!F79</f>
        <v>257.14285714285717</v>
      </c>
      <c r="E8" s="662">
        <f>D8*C8</f>
        <v>514.28571428571433</v>
      </c>
      <c r="F8" s="658"/>
      <c r="G8" s="653"/>
      <c r="H8" s="653"/>
      <c r="I8" s="653"/>
      <c r="J8" s="653"/>
      <c r="K8" s="653"/>
    </row>
    <row r="9" spans="1:12" ht="15.75" x14ac:dyDescent="0.25">
      <c r="A9" s="666" t="s">
        <v>3510</v>
      </c>
      <c r="B9" s="660"/>
      <c r="C9" s="660">
        <v>2</v>
      </c>
      <c r="D9" s="661">
        <f>PIEDRAS!F125</f>
        <v>140.625</v>
      </c>
      <c r="E9" s="662">
        <f>D9*C9</f>
        <v>281.25</v>
      </c>
      <c r="F9" s="658"/>
      <c r="G9" s="653"/>
      <c r="H9" s="653"/>
      <c r="I9" s="653"/>
      <c r="J9" s="653"/>
      <c r="K9" s="653"/>
    </row>
    <row r="10" spans="1:12" ht="15.75" x14ac:dyDescent="0.25">
      <c r="A10" s="1736" t="s">
        <v>1691</v>
      </c>
      <c r="B10" s="660" t="s">
        <v>4119</v>
      </c>
      <c r="C10" s="660">
        <v>3</v>
      </c>
      <c r="D10" s="661">
        <f>'PERLAS 2'!O9</f>
        <v>672.86363636363637</v>
      </c>
      <c r="E10" s="667">
        <f>D10*C10</f>
        <v>2018.590909090909</v>
      </c>
      <c r="F10" s="660" t="s">
        <v>4124</v>
      </c>
      <c r="G10" s="1330" t="s">
        <v>525</v>
      </c>
      <c r="H10" s="1330" t="s">
        <v>544</v>
      </c>
      <c r="I10" s="1331">
        <v>0.5</v>
      </c>
      <c r="J10" s="1333" t="s">
        <v>2268</v>
      </c>
      <c r="K10" s="1332" t="s">
        <v>4125</v>
      </c>
    </row>
    <row r="11" spans="1:12" ht="15.75" x14ac:dyDescent="0.25">
      <c r="A11" s="1737"/>
      <c r="B11" s="660" t="s">
        <v>1288</v>
      </c>
      <c r="C11" s="660">
        <v>1</v>
      </c>
      <c r="D11" s="661">
        <f>'PERLAS 2'!H10</f>
        <v>1674</v>
      </c>
      <c r="E11" s="667">
        <f>D11</f>
        <v>1674</v>
      </c>
      <c r="F11" s="660" t="s">
        <v>4120</v>
      </c>
      <c r="G11" s="1184">
        <f>E21</f>
        <v>18056.706345119499</v>
      </c>
      <c r="H11" s="1184">
        <f>G11*2</f>
        <v>36113.412690238998</v>
      </c>
      <c r="I11" s="1184">
        <f>H11+H11*50%</f>
        <v>54170.119035358497</v>
      </c>
      <c r="J11" s="1334">
        <f>I11+G22+G23</f>
        <v>57448.119035358497</v>
      </c>
      <c r="K11" s="1335"/>
      <c r="L11" s="467"/>
    </row>
    <row r="12" spans="1:12" ht="15.75" x14ac:dyDescent="0.25">
      <c r="A12" s="666" t="s">
        <v>4110</v>
      </c>
      <c r="B12" s="660"/>
      <c r="C12" s="660">
        <v>2</v>
      </c>
      <c r="D12" s="661">
        <f>PIEDRAS!F151</f>
        <v>17.164179104477611</v>
      </c>
      <c r="E12" s="667">
        <f>D12*2</f>
        <v>34.328358208955223</v>
      </c>
      <c r="F12" s="660" t="s">
        <v>4121</v>
      </c>
      <c r="G12" s="1184">
        <f>E21+E19</f>
        <v>20756.706345119499</v>
      </c>
      <c r="H12" s="1184">
        <f>G12*2</f>
        <v>41513.412690238998</v>
      </c>
      <c r="I12" s="1184">
        <f t="shared" ref="I12:I14" si="0">H12+H12*50%</f>
        <v>62270.119035358497</v>
      </c>
      <c r="J12" s="1334">
        <f>I12+G22+G23</f>
        <v>65548.119035358497</v>
      </c>
      <c r="K12" s="1332"/>
      <c r="L12" s="467"/>
    </row>
    <row r="13" spans="1:12" ht="15.75" x14ac:dyDescent="0.25">
      <c r="A13" s="666" t="s">
        <v>4115</v>
      </c>
      <c r="B13" s="660"/>
      <c r="C13" s="660">
        <v>1</v>
      </c>
      <c r="D13" s="661">
        <f>PIEDRAS!F126</f>
        <v>291.66666666666669</v>
      </c>
      <c r="E13" s="662">
        <f t="shared" ref="E13:E19" si="1">D13*C13</f>
        <v>291.66666666666669</v>
      </c>
      <c r="F13" s="660" t="s">
        <v>4122</v>
      </c>
      <c r="G13" s="1184">
        <f>E21+E19+E19</f>
        <v>23456.706345119499</v>
      </c>
      <c r="H13" s="1184">
        <f>G13*2</f>
        <v>46913.412690238998</v>
      </c>
      <c r="I13" s="1184">
        <f t="shared" si="0"/>
        <v>70370.119035358497</v>
      </c>
      <c r="J13" s="1334">
        <f>I13+G22+G23</f>
        <v>73648.119035358497</v>
      </c>
      <c r="K13" s="1332"/>
      <c r="L13" s="467"/>
    </row>
    <row r="14" spans="1:12" ht="15.75" x14ac:dyDescent="0.25">
      <c r="A14" s="666" t="s">
        <v>3111</v>
      </c>
      <c r="B14" s="660"/>
      <c r="C14" s="660">
        <v>2</v>
      </c>
      <c r="D14" s="661">
        <f>FORNITURAS!D15</f>
        <v>142</v>
      </c>
      <c r="E14" s="667">
        <f t="shared" si="1"/>
        <v>284</v>
      </c>
      <c r="F14" s="660" t="s">
        <v>4123</v>
      </c>
      <c r="G14" s="1184">
        <f>E21+E19+E19+E19</f>
        <v>26156.706345119499</v>
      </c>
      <c r="H14" s="1184">
        <f>G14*2</f>
        <v>52313.412690238998</v>
      </c>
      <c r="I14" s="1184">
        <f t="shared" si="0"/>
        <v>78470.119035358497</v>
      </c>
      <c r="J14" s="1334">
        <f>I14+G22+G23</f>
        <v>81748.119035358497</v>
      </c>
      <c r="K14" s="1332"/>
      <c r="L14" s="467"/>
    </row>
    <row r="15" spans="1:12" ht="15.75" x14ac:dyDescent="0.25">
      <c r="A15" s="1734" t="s">
        <v>4111</v>
      </c>
      <c r="B15" s="660" t="s">
        <v>1933</v>
      </c>
      <c r="C15" s="660">
        <v>3</v>
      </c>
      <c r="D15" s="668">
        <f>FORNITURAS!D5</f>
        <v>46.8</v>
      </c>
      <c r="E15" s="669">
        <f t="shared" si="1"/>
        <v>140.39999999999998</v>
      </c>
      <c r="F15" s="653"/>
      <c r="G15" s="658"/>
      <c r="H15" s="653"/>
      <c r="I15" s="653"/>
      <c r="J15" s="653"/>
      <c r="K15" s="653"/>
    </row>
    <row r="16" spans="1:12" ht="15.75" x14ac:dyDescent="0.25">
      <c r="A16" s="1735"/>
      <c r="B16" s="660" t="s">
        <v>1658</v>
      </c>
      <c r="C16" s="660">
        <v>2</v>
      </c>
      <c r="D16" s="668">
        <f>FORNITURAS!D8</f>
        <v>192.77777777777777</v>
      </c>
      <c r="E16" s="669">
        <f t="shared" si="1"/>
        <v>385.55555555555554</v>
      </c>
      <c r="F16" s="653"/>
      <c r="G16" s="658"/>
      <c r="H16" s="653"/>
      <c r="I16" s="653"/>
      <c r="J16" s="653"/>
      <c r="K16" s="653"/>
    </row>
    <row r="17" spans="1:11" ht="15.75" x14ac:dyDescent="0.25">
      <c r="A17" s="663" t="s">
        <v>4112</v>
      </c>
      <c r="B17" s="660"/>
      <c r="C17" s="660">
        <v>1</v>
      </c>
      <c r="D17" s="668">
        <f>FORNITURAS!O11</f>
        <v>1800</v>
      </c>
      <c r="E17" s="669">
        <f t="shared" si="1"/>
        <v>1800</v>
      </c>
      <c r="F17" s="653"/>
      <c r="G17" s="658"/>
      <c r="H17" s="653"/>
      <c r="I17" s="653"/>
      <c r="J17" s="653"/>
      <c r="K17" s="653"/>
    </row>
    <row r="18" spans="1:11" ht="15.75" x14ac:dyDescent="0.25">
      <c r="A18" s="663" t="s">
        <v>59</v>
      </c>
      <c r="B18" s="660"/>
      <c r="C18" s="660">
        <v>1</v>
      </c>
      <c r="D18" s="668">
        <f>'AROS, CADENAS, DIJES, ETC'!P188</f>
        <v>4580</v>
      </c>
      <c r="E18" s="669">
        <f t="shared" si="1"/>
        <v>4580</v>
      </c>
      <c r="F18" s="653"/>
      <c r="G18" s="658"/>
      <c r="H18" s="653"/>
      <c r="I18" s="653"/>
      <c r="J18" s="653"/>
      <c r="K18" s="653"/>
    </row>
    <row r="19" spans="1:11" ht="15.75" x14ac:dyDescent="0.25">
      <c r="A19" s="663" t="s">
        <v>4113</v>
      </c>
      <c r="B19" s="660"/>
      <c r="C19" s="660">
        <v>1</v>
      </c>
      <c r="D19" s="668">
        <f>'AROS, CADENAS, DIJES, ETC'!P191</f>
        <v>2700</v>
      </c>
      <c r="E19" s="669">
        <f t="shared" si="1"/>
        <v>2700</v>
      </c>
      <c r="F19" s="653"/>
      <c r="G19" s="658"/>
      <c r="H19" s="653"/>
      <c r="I19" s="653"/>
      <c r="J19" s="653"/>
      <c r="K19" s="653"/>
    </row>
    <row r="20" spans="1:11" ht="15.75" x14ac:dyDescent="0.25">
      <c r="A20" s="663" t="s">
        <v>1618</v>
      </c>
      <c r="B20" s="660">
        <v>60</v>
      </c>
      <c r="C20" s="660">
        <v>45</v>
      </c>
      <c r="D20" s="668">
        <f>'INSUMOS VARIOS'!B3</f>
        <v>3500</v>
      </c>
      <c r="E20" s="669">
        <f>D20*C20/B20</f>
        <v>2625</v>
      </c>
      <c r="F20" s="1" t="s">
        <v>3023</v>
      </c>
      <c r="G20" s="653"/>
      <c r="H20" s="653"/>
      <c r="I20" s="653"/>
      <c r="J20" s="653"/>
      <c r="K20" s="653"/>
    </row>
    <row r="21" spans="1:11" ht="16.5" thickBot="1" x14ac:dyDescent="0.3">
      <c r="A21" s="1336" t="s">
        <v>525</v>
      </c>
      <c r="B21" s="1226"/>
      <c r="C21" s="1226"/>
      <c r="D21" s="1337"/>
      <c r="E21" s="1338">
        <f>SUM(E3:E20)</f>
        <v>18056.706345119499</v>
      </c>
      <c r="F21" s="698">
        <f>(E21+G22+G23)</f>
        <v>21334.706345119499</v>
      </c>
      <c r="G21" s="658" t="s">
        <v>2028</v>
      </c>
      <c r="H21" s="674" t="s">
        <v>2029</v>
      </c>
      <c r="J21" s="653"/>
      <c r="K21" s="653"/>
    </row>
    <row r="22" spans="1:11" ht="16.5" thickBot="1" x14ac:dyDescent="0.3">
      <c r="A22" s="675" t="s">
        <v>544</v>
      </c>
      <c r="B22" s="676"/>
      <c r="C22" s="676"/>
      <c r="D22" s="677"/>
      <c r="E22" s="692">
        <f>E21*2</f>
        <v>36113.412690238998</v>
      </c>
      <c r="F22" s="679">
        <f>E22+E22*30%</f>
        <v>46947.4364973107</v>
      </c>
      <c r="G22" s="680">
        <f>PACKAGING!I3</f>
        <v>2433</v>
      </c>
      <c r="H22" s="681">
        <f>F22+G22+G23</f>
        <v>50225.4364973107</v>
      </c>
      <c r="I22" s="1277"/>
      <c r="J22" s="653"/>
      <c r="K22" s="653"/>
    </row>
    <row r="23" spans="1:11" ht="16.5" thickBot="1" x14ac:dyDescent="0.3">
      <c r="A23" s="684" t="s">
        <v>1559</v>
      </c>
      <c r="B23" s="685"/>
      <c r="C23" s="685"/>
      <c r="D23" s="686"/>
      <c r="E23" s="686"/>
      <c r="F23" s="688"/>
      <c r="G23" s="699">
        <f>PACKAGING!I5</f>
        <v>845</v>
      </c>
      <c r="I23" s="1277"/>
      <c r="J23" s="653"/>
      <c r="K23" s="653"/>
    </row>
    <row r="24" spans="1:11" ht="16.5" thickBot="1" x14ac:dyDescent="0.3">
      <c r="J24" s="653"/>
      <c r="K24" s="653"/>
    </row>
    <row r="25" spans="1:11" ht="15.75" thickBot="1" x14ac:dyDescent="0.3">
      <c r="A25" s="1738" t="s">
        <v>4127</v>
      </c>
      <c r="B25" s="1739"/>
      <c r="C25" s="1739"/>
      <c r="D25" s="1739"/>
      <c r="E25" s="1740"/>
    </row>
    <row r="26" spans="1:11" ht="15.75" x14ac:dyDescent="0.25">
      <c r="A26" s="654" t="s">
        <v>916</v>
      </c>
      <c r="B26" s="655" t="s">
        <v>743</v>
      </c>
      <c r="C26" s="655" t="s">
        <v>1566</v>
      </c>
      <c r="D26" s="656" t="s">
        <v>1035</v>
      </c>
      <c r="E26" s="657" t="s">
        <v>1549</v>
      </c>
      <c r="F26" s="653"/>
      <c r="G26" s="653"/>
      <c r="H26" s="653"/>
      <c r="I26" s="653"/>
      <c r="J26" s="653"/>
      <c r="K26" s="653"/>
    </row>
    <row r="27" spans="1:11" ht="15.75" x14ac:dyDescent="0.25">
      <c r="A27" s="665" t="s">
        <v>3340</v>
      </c>
      <c r="B27" s="660"/>
      <c r="C27" s="660">
        <v>2</v>
      </c>
      <c r="D27" s="661">
        <f>'HILOS-CORDONES-TANZA-CUERO'!E8</f>
        <v>47</v>
      </c>
      <c r="E27" s="662">
        <f>D27*C27</f>
        <v>94</v>
      </c>
      <c r="F27" s="658"/>
      <c r="G27" s="653"/>
      <c r="H27" s="653"/>
      <c r="I27" s="653"/>
      <c r="J27" s="653"/>
      <c r="K27" s="653"/>
    </row>
    <row r="28" spans="1:11" ht="15.75" x14ac:dyDescent="0.25">
      <c r="A28" s="666" t="s">
        <v>3511</v>
      </c>
      <c r="B28" s="660"/>
      <c r="C28" s="660">
        <v>7</v>
      </c>
      <c r="D28" s="661">
        <f>PIEDRAS!F119</f>
        <v>95.238095238095241</v>
      </c>
      <c r="E28" s="662">
        <f>D28*C28</f>
        <v>666.66666666666674</v>
      </c>
      <c r="F28" s="658"/>
      <c r="G28" s="653"/>
      <c r="H28" s="653"/>
      <c r="I28" s="653"/>
      <c r="J28" s="653"/>
      <c r="K28" s="653"/>
    </row>
    <row r="29" spans="1:11" ht="15.75" x14ac:dyDescent="0.25">
      <c r="A29" s="666" t="s">
        <v>3786</v>
      </c>
      <c r="B29" s="660" t="s">
        <v>1022</v>
      </c>
      <c r="C29" s="660">
        <v>3</v>
      </c>
      <c r="D29" s="661">
        <f>FORNITURAS!D26</f>
        <v>297.14285714285717</v>
      </c>
      <c r="E29" s="662">
        <f>D29*C29</f>
        <v>891.42857142857156</v>
      </c>
      <c r="F29" s="658"/>
      <c r="G29" s="653"/>
      <c r="H29" s="653"/>
      <c r="I29" s="653"/>
      <c r="J29" s="653"/>
      <c r="K29" s="653"/>
    </row>
    <row r="30" spans="1:11" ht="15.75" x14ac:dyDescent="0.25">
      <c r="A30" s="1736" t="s">
        <v>1691</v>
      </c>
      <c r="B30" s="660" t="s">
        <v>4119</v>
      </c>
      <c r="C30" s="660">
        <v>7</v>
      </c>
      <c r="D30" s="661">
        <f>'PERLAS 2'!O9</f>
        <v>672.86363636363637</v>
      </c>
      <c r="E30" s="667">
        <f>D30*C30</f>
        <v>4710.045454545455</v>
      </c>
      <c r="F30" s="660" t="s">
        <v>4124</v>
      </c>
      <c r="G30" s="1330" t="s">
        <v>525</v>
      </c>
      <c r="H30" s="1330" t="s">
        <v>544</v>
      </c>
      <c r="I30" s="1331">
        <v>0.5</v>
      </c>
      <c r="J30" s="1333" t="s">
        <v>2268</v>
      </c>
      <c r="K30" s="1332" t="s">
        <v>4125</v>
      </c>
    </row>
    <row r="31" spans="1:11" ht="15.75" x14ac:dyDescent="0.25">
      <c r="A31" s="1737"/>
      <c r="B31" s="660" t="s">
        <v>1288</v>
      </c>
      <c r="C31" s="660">
        <v>1</v>
      </c>
      <c r="D31" s="661">
        <f>'PERLAS 2'!H10</f>
        <v>1674</v>
      </c>
      <c r="E31" s="667">
        <f>D31</f>
        <v>1674</v>
      </c>
      <c r="F31" s="660" t="s">
        <v>4120</v>
      </c>
      <c r="G31" s="1184">
        <f>E39</f>
        <v>20409.096248196249</v>
      </c>
      <c r="H31" s="1184">
        <f>G31*2</f>
        <v>40818.192496392498</v>
      </c>
      <c r="I31" s="1184">
        <f>H31+H31*50%</f>
        <v>61227.288744588746</v>
      </c>
      <c r="J31" s="1334">
        <f>I31+G40+G41</f>
        <v>64505.288744588746</v>
      </c>
      <c r="K31" s="1419">
        <v>64000</v>
      </c>
    </row>
    <row r="32" spans="1:11" ht="15.75" x14ac:dyDescent="0.25">
      <c r="A32" s="666" t="s">
        <v>3111</v>
      </c>
      <c r="B32" s="660"/>
      <c r="C32" s="660">
        <v>1</v>
      </c>
      <c r="D32" s="661">
        <f>FORNITURAS!D15</f>
        <v>142</v>
      </c>
      <c r="E32" s="667">
        <f t="shared" ref="E32:E37" si="2">D32*C32</f>
        <v>142</v>
      </c>
      <c r="F32" s="660" t="s">
        <v>4121</v>
      </c>
      <c r="G32" s="1184">
        <f>E39+E37</f>
        <v>23109.096248196249</v>
      </c>
      <c r="H32" s="1184">
        <f>G32*2</f>
        <v>46218.192496392498</v>
      </c>
      <c r="I32" s="1184">
        <f t="shared" ref="I32:I34" si="3">H32+H32*50%</f>
        <v>69327.288744588746</v>
      </c>
      <c r="J32" s="1334">
        <f>I32+G40+G41</f>
        <v>72605.288744588746</v>
      </c>
      <c r="K32" s="1184">
        <v>72000</v>
      </c>
    </row>
    <row r="33" spans="1:11" ht="15.75" x14ac:dyDescent="0.25">
      <c r="A33" s="1734" t="s">
        <v>4111</v>
      </c>
      <c r="B33" s="660" t="s">
        <v>1933</v>
      </c>
      <c r="C33" s="660">
        <v>3</v>
      </c>
      <c r="D33" s="668">
        <f>FORNITURAS!D5</f>
        <v>46.8</v>
      </c>
      <c r="E33" s="669">
        <f t="shared" si="2"/>
        <v>140.39999999999998</v>
      </c>
      <c r="F33" s="660" t="s">
        <v>4122</v>
      </c>
      <c r="G33" s="1184">
        <f>E39+E37+E37</f>
        <v>25809.096248196249</v>
      </c>
      <c r="H33" s="1184">
        <f>G33*2</f>
        <v>51618.192496392498</v>
      </c>
      <c r="I33" s="1184">
        <f t="shared" si="3"/>
        <v>77427.288744588746</v>
      </c>
      <c r="J33" s="1334">
        <f>I33+G40+G41</f>
        <v>80705.288744588746</v>
      </c>
      <c r="K33" s="1184">
        <v>80000</v>
      </c>
    </row>
    <row r="34" spans="1:11" ht="15.75" x14ac:dyDescent="0.25">
      <c r="A34" s="1735"/>
      <c r="B34" s="660" t="s">
        <v>1658</v>
      </c>
      <c r="C34" s="660">
        <v>2</v>
      </c>
      <c r="D34" s="668">
        <f>FORNITURAS!D8</f>
        <v>192.77777777777777</v>
      </c>
      <c r="E34" s="669">
        <f t="shared" si="2"/>
        <v>385.55555555555554</v>
      </c>
      <c r="F34" s="660" t="s">
        <v>4123</v>
      </c>
      <c r="G34" s="1184">
        <f>E39+E37+E37+E37</f>
        <v>28509.096248196249</v>
      </c>
      <c r="H34" s="1184">
        <f>G34*2</f>
        <v>57018.192496392498</v>
      </c>
      <c r="I34" s="1184">
        <f t="shared" si="3"/>
        <v>85527.288744588746</v>
      </c>
      <c r="J34" s="1334">
        <f>I34+G40+G41</f>
        <v>88805.288744588746</v>
      </c>
      <c r="K34" s="1184">
        <v>88000</v>
      </c>
    </row>
    <row r="35" spans="1:11" ht="15.75" x14ac:dyDescent="0.25">
      <c r="A35" s="663" t="s">
        <v>4112</v>
      </c>
      <c r="B35" s="660"/>
      <c r="C35" s="660">
        <v>1</v>
      </c>
      <c r="D35" s="668">
        <f>FORNITURAS!O11</f>
        <v>1800</v>
      </c>
      <c r="E35" s="669">
        <f t="shared" si="2"/>
        <v>1800</v>
      </c>
      <c r="F35" s="653"/>
      <c r="G35" s="658"/>
      <c r="H35" s="653"/>
      <c r="I35" s="653"/>
      <c r="J35" s="653"/>
      <c r="K35" s="653"/>
    </row>
    <row r="36" spans="1:11" ht="15.75" x14ac:dyDescent="0.25">
      <c r="A36" s="663" t="s">
        <v>59</v>
      </c>
      <c r="B36" s="660"/>
      <c r="C36" s="660">
        <v>1</v>
      </c>
      <c r="D36" s="668">
        <f>'AROS, CADENAS, DIJES, ETC'!P188</f>
        <v>4580</v>
      </c>
      <c r="E36" s="669">
        <f t="shared" si="2"/>
        <v>4580</v>
      </c>
      <c r="F36" s="653"/>
      <c r="G36" s="658"/>
      <c r="H36" s="653"/>
      <c r="I36" s="653"/>
      <c r="J36" s="653"/>
      <c r="K36" s="653"/>
    </row>
    <row r="37" spans="1:11" ht="15.75" x14ac:dyDescent="0.25">
      <c r="A37" s="663" t="s">
        <v>4113</v>
      </c>
      <c r="B37" s="660"/>
      <c r="C37" s="660">
        <v>1</v>
      </c>
      <c r="D37" s="668">
        <f>'AROS, CADENAS, DIJES, ETC'!P191</f>
        <v>2700</v>
      </c>
      <c r="E37" s="669">
        <f t="shared" si="2"/>
        <v>2700</v>
      </c>
      <c r="F37" s="653"/>
      <c r="G37" s="658"/>
      <c r="H37" s="653"/>
      <c r="I37" s="653"/>
      <c r="J37" s="653"/>
      <c r="K37" s="653"/>
    </row>
    <row r="38" spans="1:11" ht="15.75" x14ac:dyDescent="0.25">
      <c r="A38" s="663" t="s">
        <v>1618</v>
      </c>
      <c r="B38" s="660">
        <v>60</v>
      </c>
      <c r="C38" s="660">
        <v>45</v>
      </c>
      <c r="D38" s="668">
        <f>'INSUMOS VARIOS'!B3</f>
        <v>3500</v>
      </c>
      <c r="E38" s="669">
        <f>D38*C38/B38</f>
        <v>2625</v>
      </c>
      <c r="F38" s="1" t="s">
        <v>3023</v>
      </c>
      <c r="G38" s="653"/>
      <c r="H38" s="653"/>
      <c r="I38" s="653"/>
      <c r="J38" s="653"/>
      <c r="K38" s="653"/>
    </row>
    <row r="39" spans="1:11" ht="16.5" thickBot="1" x14ac:dyDescent="0.3">
      <c r="A39" s="670" t="s">
        <v>525</v>
      </c>
      <c r="B39" s="671"/>
      <c r="C39" s="671"/>
      <c r="D39" s="672"/>
      <c r="E39" s="673">
        <f>SUM(E27:E38)</f>
        <v>20409.096248196249</v>
      </c>
      <c r="F39" s="698">
        <f>(E39+G40+G41)</f>
        <v>23687.096248196249</v>
      </c>
      <c r="G39" s="658" t="s">
        <v>2028</v>
      </c>
      <c r="H39" s="674" t="s">
        <v>2029</v>
      </c>
      <c r="J39" s="653"/>
      <c r="K39" s="653"/>
    </row>
    <row r="40" spans="1:11" ht="16.5" thickBot="1" x14ac:dyDescent="0.3">
      <c r="A40" s="675" t="s">
        <v>544</v>
      </c>
      <c r="B40" s="676"/>
      <c r="C40" s="676"/>
      <c r="D40" s="677"/>
      <c r="E40" s="692">
        <f>E39*2</f>
        <v>40818.192496392498</v>
      </c>
      <c r="F40" s="679">
        <f>E40+E40*30%</f>
        <v>53063.650245310244</v>
      </c>
      <c r="G40" s="680">
        <f>PACKAGING!I3</f>
        <v>2433</v>
      </c>
      <c r="H40" s="681">
        <f>F40+G40+G41</f>
        <v>56341.650245310244</v>
      </c>
      <c r="I40" s="1277"/>
      <c r="J40" s="653"/>
      <c r="K40" s="653"/>
    </row>
    <row r="41" spans="1:11" ht="16.5" thickBot="1" x14ac:dyDescent="0.3">
      <c r="A41" s="684" t="s">
        <v>1559</v>
      </c>
      <c r="B41" s="685"/>
      <c r="C41" s="685"/>
      <c r="D41" s="686"/>
      <c r="E41" s="686"/>
      <c r="F41" s="688"/>
      <c r="G41" s="699">
        <f>PACKAGING!I5</f>
        <v>845</v>
      </c>
      <c r="I41" s="1277"/>
      <c r="J41" s="653"/>
      <c r="K41" s="653"/>
    </row>
    <row r="42" spans="1:11" ht="15.75" x14ac:dyDescent="0.25">
      <c r="J42" s="653"/>
      <c r="K42" s="653"/>
    </row>
    <row r="43" spans="1:11" ht="15.75" x14ac:dyDescent="0.25">
      <c r="J43" s="653"/>
      <c r="K43" s="653"/>
    </row>
  </sheetData>
  <mergeCells count="6">
    <mergeCell ref="A33:A34"/>
    <mergeCell ref="A1:E1"/>
    <mergeCell ref="A15:A16"/>
    <mergeCell ref="A25:E25"/>
    <mergeCell ref="A10:A11"/>
    <mergeCell ref="A30:A31"/>
  </mergeCells>
  <pageMargins left="0.7" right="0.7" top="0.75" bottom="0.75" header="0.3" footer="0.3"/>
  <pageSetup scale="49" fitToHeight="0" orientation="portrait" horizontalDpi="180" verticalDpi="180" r:id="rId1"/>
  <ignoredErrors>
    <ignoredError sqref="E7 E31" formula="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08DDC-ACE4-4A9A-A64C-9720890A4CD6}">
  <dimension ref="A1:I25"/>
  <sheetViews>
    <sheetView workbookViewId="0">
      <selection activeCell="K10" sqref="K10"/>
    </sheetView>
  </sheetViews>
  <sheetFormatPr baseColWidth="10" defaultRowHeight="15" x14ac:dyDescent="0.25"/>
  <cols>
    <col min="1" max="1" width="25.5703125" bestFit="1" customWidth="1"/>
    <col min="5" max="8" width="12.85546875" bestFit="1" customWidth="1"/>
  </cols>
  <sheetData>
    <row r="1" spans="1:9" ht="15.75" thickBot="1" x14ac:dyDescent="0.3"/>
    <row r="2" spans="1:9" ht="16.5" thickBot="1" x14ac:dyDescent="0.3">
      <c r="A2" s="1811" t="s">
        <v>4631</v>
      </c>
      <c r="B2" s="1812"/>
      <c r="C2" s="1812"/>
      <c r="D2" s="1812"/>
      <c r="E2" s="1812"/>
      <c r="F2" s="1813"/>
      <c r="G2" s="653"/>
      <c r="H2" s="653"/>
      <c r="I2" s="652"/>
    </row>
    <row r="3" spans="1:9" ht="15.75" x14ac:dyDescent="0.25">
      <c r="A3" s="821" t="s">
        <v>916</v>
      </c>
      <c r="B3" s="1365" t="s">
        <v>1073</v>
      </c>
      <c r="C3" s="823" t="s">
        <v>1089</v>
      </c>
      <c r="D3" s="823" t="s">
        <v>1547</v>
      </c>
      <c r="E3" s="823" t="s">
        <v>1035</v>
      </c>
      <c r="F3" s="824" t="s">
        <v>1549</v>
      </c>
      <c r="G3" s="658"/>
      <c r="H3" s="653"/>
      <c r="I3" s="652"/>
    </row>
    <row r="4" spans="1:9" ht="15.75" x14ac:dyDescent="0.25">
      <c r="A4" s="1366" t="s">
        <v>4630</v>
      </c>
      <c r="B4" s="769" t="s">
        <v>4615</v>
      </c>
      <c r="C4" s="1367"/>
      <c r="D4" s="779">
        <v>1</v>
      </c>
      <c r="E4" s="668">
        <v>9850</v>
      </c>
      <c r="F4" s="662">
        <f>E4*D4</f>
        <v>9850</v>
      </c>
      <c r="G4" s="658"/>
      <c r="H4" s="653"/>
      <c r="I4" s="652"/>
    </row>
    <row r="5" spans="1:9" ht="15.75" x14ac:dyDescent="0.25">
      <c r="A5" s="1366" t="s">
        <v>4633</v>
      </c>
      <c r="B5" s="769" t="s">
        <v>4632</v>
      </c>
      <c r="C5" s="1367"/>
      <c r="D5" s="779"/>
      <c r="E5" s="668"/>
      <c r="F5" s="662">
        <f>PACKAGING!I11</f>
        <v>560</v>
      </c>
      <c r="G5" s="658"/>
      <c r="H5" s="653"/>
      <c r="I5" s="652"/>
    </row>
    <row r="6" spans="1:9" ht="16.5" thickBot="1" x14ac:dyDescent="0.3">
      <c r="A6" s="670" t="s">
        <v>525</v>
      </c>
      <c r="B6" s="672"/>
      <c r="C6" s="780"/>
      <c r="D6" s="780"/>
      <c r="E6" s="780"/>
      <c r="F6" s="673">
        <f>SUM(F4:F4)</f>
        <v>9850</v>
      </c>
      <c r="G6" s="809"/>
      <c r="H6" s="653"/>
      <c r="I6" s="652"/>
    </row>
    <row r="7" spans="1:9" ht="16.5" thickBot="1" x14ac:dyDescent="0.3">
      <c r="A7" s="1368" t="s">
        <v>1559</v>
      </c>
      <c r="B7" s="1369"/>
      <c r="C7" s="1369"/>
      <c r="D7" s="1369"/>
      <c r="E7" s="825"/>
      <c r="F7" s="787">
        <f>F6*2</f>
        <v>19700</v>
      </c>
      <c r="G7" s="1370">
        <f>F7+F7*70%</f>
        <v>33490</v>
      </c>
      <c r="H7" s="1372">
        <v>40000</v>
      </c>
      <c r="I7" s="1371" t="s">
        <v>3687</v>
      </c>
    </row>
    <row r="8" spans="1:9" ht="16.5" thickBot="1" x14ac:dyDescent="0.3">
      <c r="A8" s="652"/>
      <c r="B8" s="652"/>
      <c r="C8" s="652"/>
      <c r="D8" s="652"/>
      <c r="E8" s="652"/>
      <c r="F8" s="652"/>
      <c r="G8" s="652"/>
      <c r="H8" s="1275"/>
      <c r="I8" s="1371"/>
    </row>
    <row r="9" spans="1:9" ht="15.75" thickBot="1" x14ac:dyDescent="0.3"/>
    <row r="10" spans="1:9" ht="16.5" thickBot="1" x14ac:dyDescent="0.3">
      <c r="A10" s="1811" t="s">
        <v>4634</v>
      </c>
      <c r="B10" s="1812"/>
      <c r="C10" s="1812"/>
      <c r="D10" s="1812"/>
      <c r="E10" s="1812"/>
      <c r="F10" s="1813"/>
      <c r="G10" s="653"/>
      <c r="H10" s="653"/>
      <c r="I10" s="652"/>
    </row>
    <row r="11" spans="1:9" ht="15.75" x14ac:dyDescent="0.25">
      <c r="A11" s="821" t="s">
        <v>916</v>
      </c>
      <c r="B11" s="1365" t="s">
        <v>1073</v>
      </c>
      <c r="C11" s="823" t="s">
        <v>1089</v>
      </c>
      <c r="D11" s="823" t="s">
        <v>1547</v>
      </c>
      <c r="E11" s="823" t="s">
        <v>1035</v>
      </c>
      <c r="F11" s="824" t="s">
        <v>1549</v>
      </c>
      <c r="G11" s="658"/>
      <c r="H11" s="653"/>
      <c r="I11" s="652"/>
    </row>
    <row r="12" spans="1:9" ht="15.75" x14ac:dyDescent="0.25">
      <c r="A12" s="1366" t="s">
        <v>4614</v>
      </c>
      <c r="B12" s="769" t="s">
        <v>4615</v>
      </c>
      <c r="C12" s="1367"/>
      <c r="D12" s="779">
        <v>1</v>
      </c>
      <c r="E12" s="668">
        <f>'INSUMOS VARIOS'!J66</f>
        <v>9438</v>
      </c>
      <c r="F12" s="662">
        <f>E12*D12</f>
        <v>9438</v>
      </c>
      <c r="G12" s="658"/>
      <c r="H12" s="653"/>
      <c r="I12" s="652"/>
    </row>
    <row r="13" spans="1:9" ht="15.75" x14ac:dyDescent="0.25">
      <c r="A13" s="1366" t="s">
        <v>4633</v>
      </c>
      <c r="B13" s="769" t="s">
        <v>4632</v>
      </c>
      <c r="C13" s="1367"/>
      <c r="D13" s="779"/>
      <c r="E13" s="668"/>
      <c r="F13" s="662">
        <f>PACKAGING!I11</f>
        <v>560</v>
      </c>
      <c r="G13" s="658"/>
      <c r="H13" s="653"/>
      <c r="I13" s="652"/>
    </row>
    <row r="14" spans="1:9" ht="16.5" thickBot="1" x14ac:dyDescent="0.3">
      <c r="A14" s="670" t="s">
        <v>525</v>
      </c>
      <c r="B14" s="672"/>
      <c r="C14" s="780"/>
      <c r="D14" s="780"/>
      <c r="E14" s="780"/>
      <c r="F14" s="673">
        <f>SUM(F12:F12)</f>
        <v>9438</v>
      </c>
      <c r="G14" s="809"/>
      <c r="H14" s="653"/>
      <c r="I14" s="652"/>
    </row>
    <row r="15" spans="1:9" ht="16.5" thickBot="1" x14ac:dyDescent="0.3">
      <c r="A15" s="1368" t="s">
        <v>1559</v>
      </c>
      <c r="B15" s="1369"/>
      <c r="C15" s="1369"/>
      <c r="D15" s="1369"/>
      <c r="E15" s="825"/>
      <c r="F15" s="787">
        <f>F14*2</f>
        <v>18876</v>
      </c>
      <c r="G15" s="1370">
        <f>F15+F15*70%</f>
        <v>32089.199999999997</v>
      </c>
      <c r="H15" s="1372">
        <v>42000</v>
      </c>
      <c r="I15" s="1371" t="s">
        <v>3687</v>
      </c>
    </row>
    <row r="16" spans="1:9" ht="16.5" thickBot="1" x14ac:dyDescent="0.3">
      <c r="A16" s="652"/>
      <c r="B16" s="652"/>
      <c r="C16" s="652"/>
      <c r="D16" s="652"/>
      <c r="E16" s="652"/>
      <c r="F16" s="652"/>
      <c r="G16" s="652"/>
      <c r="H16" s="1275"/>
      <c r="I16" s="1371"/>
    </row>
    <row r="18" spans="1:9" ht="15.75" thickBot="1" x14ac:dyDescent="0.3"/>
    <row r="19" spans="1:9" ht="16.5" thickBot="1" x14ac:dyDescent="0.3">
      <c r="A19" s="1811" t="s">
        <v>4620</v>
      </c>
      <c r="B19" s="1812"/>
      <c r="C19" s="1812"/>
      <c r="D19" s="1812"/>
      <c r="E19" s="1812"/>
      <c r="F19" s="1813"/>
      <c r="G19" s="653"/>
      <c r="H19" s="653"/>
      <c r="I19" s="652"/>
    </row>
    <row r="20" spans="1:9" ht="15.75" x14ac:dyDescent="0.25">
      <c r="A20" s="821" t="s">
        <v>916</v>
      </c>
      <c r="B20" s="1365" t="s">
        <v>1073</v>
      </c>
      <c r="C20" s="823" t="s">
        <v>1089</v>
      </c>
      <c r="D20" s="823" t="s">
        <v>1547</v>
      </c>
      <c r="E20" s="823" t="s">
        <v>1035</v>
      </c>
      <c r="F20" s="824" t="s">
        <v>1549</v>
      </c>
      <c r="G20" s="658"/>
      <c r="H20" s="653"/>
      <c r="I20" s="652"/>
    </row>
    <row r="21" spans="1:9" ht="15.75" x14ac:dyDescent="0.25">
      <c r="A21" s="1366" t="s">
        <v>4617</v>
      </c>
      <c r="B21" s="769" t="s">
        <v>4619</v>
      </c>
      <c r="C21" s="1367"/>
      <c r="D21" s="779">
        <v>1</v>
      </c>
      <c r="E21" s="668">
        <f>'INSUMOS VARIOS'!J67</f>
        <v>10721</v>
      </c>
      <c r="F21" s="662">
        <f>E21*D21</f>
        <v>10721</v>
      </c>
      <c r="G21" s="658"/>
      <c r="H21" s="653"/>
      <c r="I21" s="652"/>
    </row>
    <row r="22" spans="1:9" ht="15.75" x14ac:dyDescent="0.25">
      <c r="A22" s="1366" t="s">
        <v>4633</v>
      </c>
      <c r="B22" s="769" t="s">
        <v>4632</v>
      </c>
      <c r="C22" s="1367"/>
      <c r="D22" s="779"/>
      <c r="E22" s="668"/>
      <c r="F22" s="662">
        <f>PACKAGING!I11</f>
        <v>560</v>
      </c>
      <c r="G22" s="658"/>
      <c r="H22" s="653"/>
      <c r="I22" s="652"/>
    </row>
    <row r="23" spans="1:9" ht="16.5" thickBot="1" x14ac:dyDescent="0.3">
      <c r="A23" s="670" t="s">
        <v>525</v>
      </c>
      <c r="B23" s="672"/>
      <c r="C23" s="780"/>
      <c r="D23" s="780"/>
      <c r="E23" s="780"/>
      <c r="F23" s="673">
        <f>SUM(F21:F21)</f>
        <v>10721</v>
      </c>
      <c r="G23" s="809"/>
      <c r="H23" s="653"/>
      <c r="I23" s="652"/>
    </row>
    <row r="24" spans="1:9" ht="16.5" thickBot="1" x14ac:dyDescent="0.3">
      <c r="A24" s="1368" t="s">
        <v>1559</v>
      </c>
      <c r="B24" s="1369"/>
      <c r="C24" s="1369"/>
      <c r="D24" s="1369"/>
      <c r="E24" s="825"/>
      <c r="F24" s="787">
        <f>F23*2</f>
        <v>21442</v>
      </c>
      <c r="G24" s="1370">
        <f>F24+F24*70%</f>
        <v>36451.4</v>
      </c>
      <c r="H24" s="1372">
        <v>50000</v>
      </c>
      <c r="I24" s="1371" t="s">
        <v>3687</v>
      </c>
    </row>
    <row r="25" spans="1:9" ht="16.5" thickBot="1" x14ac:dyDescent="0.3">
      <c r="A25" s="652"/>
      <c r="B25" s="652"/>
      <c r="C25" s="652"/>
      <c r="D25" s="652"/>
      <c r="E25" s="652"/>
      <c r="F25" s="652"/>
      <c r="G25" s="652"/>
      <c r="H25" s="1275"/>
      <c r="I25" s="1371"/>
    </row>
  </sheetData>
  <mergeCells count="3">
    <mergeCell ref="A2:F2"/>
    <mergeCell ref="A10:F10"/>
    <mergeCell ref="A19:F19"/>
  </mergeCell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4B807-5D83-4A19-B3FA-63092EEDA4A7}">
  <sheetPr>
    <pageSetUpPr fitToPage="1"/>
  </sheetPr>
  <dimension ref="A1:L54"/>
  <sheetViews>
    <sheetView topLeftCell="A36" workbookViewId="0">
      <selection activeCell="A2" sqref="A2:L54"/>
    </sheetView>
  </sheetViews>
  <sheetFormatPr baseColWidth="10" defaultRowHeight="15" x14ac:dyDescent="0.25"/>
  <cols>
    <col min="3" max="3" width="11.28515625" customWidth="1"/>
    <col min="6" max="6" width="10.42578125" customWidth="1"/>
    <col min="9" max="9" width="9.7109375" customWidth="1"/>
    <col min="12" max="12" width="7.7109375" customWidth="1"/>
  </cols>
  <sheetData>
    <row r="1" spans="1:12" ht="15.75" thickBot="1" x14ac:dyDescent="0.3"/>
    <row r="2" spans="1:12" ht="19.5" thickBot="1" x14ac:dyDescent="0.35">
      <c r="A2" s="1838" t="s">
        <v>4641</v>
      </c>
      <c r="B2" s="1839"/>
      <c r="C2" s="1840"/>
      <c r="D2" s="1838" t="s">
        <v>4642</v>
      </c>
      <c r="E2" s="1839"/>
      <c r="F2" s="1840"/>
      <c r="G2" s="1838" t="s">
        <v>4643</v>
      </c>
      <c r="H2" s="1839"/>
      <c r="I2" s="1840"/>
      <c r="J2" s="1838" t="s">
        <v>4644</v>
      </c>
      <c r="K2" s="1839"/>
      <c r="L2" s="1840"/>
    </row>
    <row r="3" spans="1:12" x14ac:dyDescent="0.25">
      <c r="A3" s="1830" t="s">
        <v>4646</v>
      </c>
      <c r="B3" s="1831"/>
      <c r="C3" s="1832"/>
      <c r="D3" s="1830" t="s">
        <v>4645</v>
      </c>
      <c r="E3" s="1831"/>
      <c r="F3" s="1832"/>
      <c r="G3" s="1836" t="s">
        <v>4545</v>
      </c>
      <c r="H3" s="1836"/>
      <c r="I3" s="1836"/>
      <c r="J3" s="1830" t="s">
        <v>4723</v>
      </c>
      <c r="K3" s="1831"/>
      <c r="L3" s="1832"/>
    </row>
    <row r="4" spans="1:12" x14ac:dyDescent="0.25">
      <c r="A4" s="1824" t="s">
        <v>4649</v>
      </c>
      <c r="B4" s="1825"/>
      <c r="C4" s="1826"/>
      <c r="D4" s="1824" t="s">
        <v>4647</v>
      </c>
      <c r="E4" s="1825"/>
      <c r="F4" s="1826"/>
      <c r="G4" s="1837" t="s">
        <v>4546</v>
      </c>
      <c r="H4" s="1837"/>
      <c r="I4" s="1837"/>
      <c r="J4" s="1824" t="s">
        <v>4747</v>
      </c>
      <c r="K4" s="1825"/>
      <c r="L4" s="1826"/>
    </row>
    <row r="5" spans="1:12" x14ac:dyDescent="0.25">
      <c r="A5" s="1824" t="s">
        <v>4650</v>
      </c>
      <c r="B5" s="1825"/>
      <c r="C5" s="1826"/>
      <c r="D5" s="1824" t="s">
        <v>4648</v>
      </c>
      <c r="E5" s="1825"/>
      <c r="F5" s="1826"/>
      <c r="G5" s="1837" t="s">
        <v>4749</v>
      </c>
      <c r="H5" s="1837"/>
      <c r="I5" s="1837"/>
      <c r="J5" s="1824" t="s">
        <v>4748</v>
      </c>
      <c r="K5" s="1825"/>
      <c r="L5" s="1826"/>
    </row>
    <row r="6" spans="1:12" x14ac:dyDescent="0.25">
      <c r="A6" s="1824" t="s">
        <v>4651</v>
      </c>
      <c r="B6" s="1825"/>
      <c r="C6" s="1826"/>
      <c r="D6" s="1824" t="s">
        <v>4653</v>
      </c>
      <c r="E6" s="1825"/>
      <c r="F6" s="1826"/>
      <c r="G6" s="1837" t="s">
        <v>4750</v>
      </c>
      <c r="H6" s="1837"/>
      <c r="I6" s="1837"/>
      <c r="J6" s="1824"/>
      <c r="K6" s="1825"/>
      <c r="L6" s="1826"/>
    </row>
    <row r="7" spans="1:12" x14ac:dyDescent="0.25">
      <c r="A7" s="1824" t="s">
        <v>4652</v>
      </c>
      <c r="B7" s="1825"/>
      <c r="C7" s="1826"/>
      <c r="D7" s="1824" t="s">
        <v>4655</v>
      </c>
      <c r="E7" s="1825"/>
      <c r="F7" s="1826"/>
      <c r="G7" s="1837" t="s">
        <v>4751</v>
      </c>
      <c r="H7" s="1837"/>
      <c r="I7" s="1837"/>
      <c r="J7" s="1824"/>
      <c r="K7" s="1825"/>
      <c r="L7" s="1826"/>
    </row>
    <row r="8" spans="1:12" x14ac:dyDescent="0.25">
      <c r="A8" s="1824" t="s">
        <v>4654</v>
      </c>
      <c r="B8" s="1825"/>
      <c r="C8" s="1826"/>
      <c r="D8" s="1824" t="s">
        <v>4656</v>
      </c>
      <c r="E8" s="1825"/>
      <c r="F8" s="1826"/>
      <c r="G8" s="1824"/>
      <c r="H8" s="1825"/>
      <c r="I8" s="1826"/>
      <c r="J8" s="1824"/>
      <c r="K8" s="1825"/>
      <c r="L8" s="1826"/>
    </row>
    <row r="9" spans="1:12" x14ac:dyDescent="0.25">
      <c r="A9" s="1824" t="s">
        <v>4658</v>
      </c>
      <c r="B9" s="1825"/>
      <c r="C9" s="1826"/>
      <c r="D9" s="1824" t="s">
        <v>4657</v>
      </c>
      <c r="E9" s="1825"/>
      <c r="F9" s="1826"/>
      <c r="G9" s="1824"/>
      <c r="H9" s="1825"/>
      <c r="I9" s="1826"/>
      <c r="J9" s="1824"/>
      <c r="K9" s="1825"/>
      <c r="L9" s="1826"/>
    </row>
    <row r="10" spans="1:12" x14ac:dyDescent="0.25">
      <c r="A10" s="1824" t="s">
        <v>4659</v>
      </c>
      <c r="B10" s="1825"/>
      <c r="C10" s="1826"/>
      <c r="D10" s="1824" t="s">
        <v>4663</v>
      </c>
      <c r="E10" s="1825"/>
      <c r="F10" s="1826"/>
      <c r="G10" s="1824"/>
      <c r="H10" s="1825"/>
      <c r="I10" s="1826"/>
      <c r="J10" s="1824"/>
      <c r="K10" s="1825"/>
      <c r="L10" s="1826"/>
    </row>
    <row r="11" spans="1:12" x14ac:dyDescent="0.25">
      <c r="A11" s="1824" t="s">
        <v>4660</v>
      </c>
      <c r="B11" s="1825"/>
      <c r="C11" s="1826"/>
      <c r="D11" s="1824" t="s">
        <v>4669</v>
      </c>
      <c r="E11" s="1825"/>
      <c r="F11" s="1826"/>
      <c r="G11" s="1824"/>
      <c r="H11" s="1825"/>
      <c r="I11" s="1826"/>
      <c r="J11" s="1824"/>
      <c r="K11" s="1825"/>
      <c r="L11" s="1826"/>
    </row>
    <row r="12" spans="1:12" x14ac:dyDescent="0.25">
      <c r="A12" s="1824" t="s">
        <v>4661</v>
      </c>
      <c r="B12" s="1825"/>
      <c r="C12" s="1826"/>
      <c r="D12" s="1824" t="s">
        <v>4697</v>
      </c>
      <c r="E12" s="1825"/>
      <c r="F12" s="1826"/>
      <c r="G12" s="1824"/>
      <c r="H12" s="1825"/>
      <c r="I12" s="1826"/>
      <c r="J12" s="1824"/>
      <c r="K12" s="1825"/>
      <c r="L12" s="1826"/>
    </row>
    <row r="13" spans="1:12" x14ac:dyDescent="0.25">
      <c r="A13" s="1824" t="s">
        <v>4662</v>
      </c>
      <c r="B13" s="1825"/>
      <c r="C13" s="1826"/>
      <c r="D13" s="1824" t="s">
        <v>4701</v>
      </c>
      <c r="E13" s="1825"/>
      <c r="F13" s="1826"/>
      <c r="G13" s="1824"/>
      <c r="H13" s="1825"/>
      <c r="I13" s="1826"/>
      <c r="J13" s="1824"/>
      <c r="K13" s="1825"/>
      <c r="L13" s="1826"/>
    </row>
    <row r="14" spans="1:12" x14ac:dyDescent="0.25">
      <c r="A14" s="1824" t="s">
        <v>4715</v>
      </c>
      <c r="B14" s="1825"/>
      <c r="C14" s="1826"/>
      <c r="D14" s="1824" t="s">
        <v>4714</v>
      </c>
      <c r="E14" s="1825"/>
      <c r="F14" s="1826"/>
      <c r="G14" s="1824"/>
      <c r="H14" s="1825"/>
      <c r="I14" s="1826"/>
      <c r="J14" s="1824"/>
      <c r="K14" s="1825"/>
      <c r="L14" s="1826"/>
    </row>
    <row r="15" spans="1:12" x14ac:dyDescent="0.25">
      <c r="A15" s="1824" t="s">
        <v>4716</v>
      </c>
      <c r="B15" s="1825"/>
      <c r="C15" s="1826"/>
      <c r="D15" s="1824"/>
      <c r="E15" s="1825"/>
      <c r="F15" s="1826"/>
      <c r="G15" s="1824"/>
      <c r="H15" s="1825"/>
      <c r="I15" s="1826"/>
      <c r="J15" s="1824"/>
      <c r="K15" s="1825"/>
      <c r="L15" s="1826"/>
    </row>
    <row r="16" spans="1:12" x14ac:dyDescent="0.25">
      <c r="A16" s="1824" t="s">
        <v>4717</v>
      </c>
      <c r="B16" s="1825"/>
      <c r="C16" s="1826"/>
      <c r="D16" s="1824"/>
      <c r="E16" s="1825"/>
      <c r="F16" s="1826"/>
      <c r="G16" s="1824"/>
      <c r="H16" s="1825"/>
      <c r="I16" s="1826"/>
      <c r="J16" s="1824"/>
      <c r="K16" s="1825"/>
      <c r="L16" s="1826"/>
    </row>
    <row r="17" spans="1:12" x14ac:dyDescent="0.25">
      <c r="A17" s="1824" t="s">
        <v>4718</v>
      </c>
      <c r="B17" s="1825"/>
      <c r="C17" s="1826"/>
      <c r="D17" s="1824"/>
      <c r="E17" s="1825"/>
      <c r="F17" s="1826"/>
      <c r="G17" s="1824"/>
      <c r="H17" s="1825"/>
      <c r="I17" s="1826"/>
      <c r="J17" s="1824"/>
      <c r="K17" s="1825"/>
      <c r="L17" s="1826"/>
    </row>
    <row r="18" spans="1:12" x14ac:dyDescent="0.25">
      <c r="A18" s="1824" t="s">
        <v>4719</v>
      </c>
      <c r="B18" s="1825"/>
      <c r="C18" s="1826"/>
      <c r="D18" s="1824"/>
      <c r="E18" s="1825"/>
      <c r="F18" s="1826"/>
      <c r="G18" s="1824"/>
      <c r="H18" s="1825"/>
      <c r="I18" s="1826"/>
      <c r="J18" s="1824"/>
      <c r="K18" s="1825"/>
      <c r="L18" s="1826"/>
    </row>
    <row r="19" spans="1:12" x14ac:dyDescent="0.25">
      <c r="A19" s="1824" t="s">
        <v>4720</v>
      </c>
      <c r="B19" s="1825"/>
      <c r="C19" s="1826"/>
      <c r="D19" s="1824"/>
      <c r="E19" s="1825"/>
      <c r="F19" s="1826"/>
      <c r="G19" s="1824"/>
      <c r="H19" s="1825"/>
      <c r="I19" s="1826"/>
      <c r="J19" s="1824"/>
      <c r="K19" s="1825"/>
      <c r="L19" s="1826"/>
    </row>
    <row r="20" spans="1:12" x14ac:dyDescent="0.25">
      <c r="A20" s="1824" t="s">
        <v>4721</v>
      </c>
      <c r="B20" s="1825"/>
      <c r="C20" s="1826"/>
      <c r="D20" s="1824"/>
      <c r="E20" s="1825"/>
      <c r="F20" s="1826"/>
      <c r="G20" s="1824"/>
      <c r="H20" s="1825"/>
      <c r="I20" s="1826"/>
      <c r="J20" s="1824"/>
      <c r="K20" s="1825"/>
      <c r="L20" s="1826"/>
    </row>
    <row r="21" spans="1:12" x14ac:dyDescent="0.25">
      <c r="A21" s="1824" t="s">
        <v>4722</v>
      </c>
      <c r="B21" s="1825"/>
      <c r="C21" s="1826"/>
      <c r="D21" s="1824"/>
      <c r="E21" s="1825"/>
      <c r="F21" s="1826"/>
      <c r="G21" s="1824"/>
      <c r="H21" s="1825"/>
      <c r="I21" s="1826"/>
      <c r="J21" s="1824"/>
      <c r="K21" s="1825"/>
      <c r="L21" s="1826"/>
    </row>
    <row r="22" spans="1:12" x14ac:dyDescent="0.25">
      <c r="A22" s="1824" t="s">
        <v>4724</v>
      </c>
      <c r="B22" s="1825"/>
      <c r="C22" s="1826"/>
      <c r="D22" s="1824"/>
      <c r="E22" s="1825"/>
      <c r="F22" s="1826"/>
      <c r="G22" s="1824"/>
      <c r="H22" s="1825"/>
      <c r="I22" s="1826"/>
      <c r="J22" s="1824"/>
      <c r="K22" s="1825"/>
      <c r="L22" s="1826"/>
    </row>
    <row r="23" spans="1:12" x14ac:dyDescent="0.25">
      <c r="A23" s="1824" t="s">
        <v>4725</v>
      </c>
      <c r="B23" s="1825"/>
      <c r="C23" s="1826"/>
      <c r="D23" s="1824"/>
      <c r="E23" s="1825"/>
      <c r="F23" s="1826"/>
      <c r="G23" s="1824"/>
      <c r="H23" s="1825"/>
      <c r="I23" s="1826"/>
      <c r="J23" s="1824"/>
      <c r="K23" s="1825"/>
      <c r="L23" s="1826"/>
    </row>
    <row r="24" spans="1:12" ht="15.75" thickBot="1" x14ac:dyDescent="0.3">
      <c r="A24" s="1833" t="s">
        <v>4726</v>
      </c>
      <c r="B24" s="1834"/>
      <c r="C24" s="1835"/>
      <c r="D24" s="1833"/>
      <c r="E24" s="1834"/>
      <c r="F24" s="1835"/>
      <c r="G24" s="1833"/>
      <c r="H24" s="1834"/>
      <c r="I24" s="1835"/>
      <c r="J24" s="1827"/>
      <c r="K24" s="1828"/>
      <c r="L24" s="1829"/>
    </row>
    <row r="25" spans="1:12" ht="19.5" thickBot="1" x14ac:dyDescent="0.35">
      <c r="A25" s="1838" t="s">
        <v>4664</v>
      </c>
      <c r="B25" s="1839"/>
      <c r="C25" s="1840"/>
      <c r="D25" s="1838" t="s">
        <v>4665</v>
      </c>
      <c r="E25" s="1839"/>
      <c r="F25" s="1840"/>
      <c r="G25" s="1838" t="s">
        <v>4666</v>
      </c>
      <c r="H25" s="1839"/>
      <c r="I25" s="1840"/>
      <c r="J25" s="1838" t="s">
        <v>4667</v>
      </c>
      <c r="K25" s="1839"/>
      <c r="L25" s="1840"/>
    </row>
    <row r="26" spans="1:12" x14ac:dyDescent="0.25">
      <c r="A26" s="1830" t="s">
        <v>4668</v>
      </c>
      <c r="B26" s="1831"/>
      <c r="C26" s="1832"/>
      <c r="D26" s="1830" t="s">
        <v>4682</v>
      </c>
      <c r="E26" s="1831"/>
      <c r="F26" s="1832"/>
      <c r="G26" s="1830" t="s">
        <v>4675</v>
      </c>
      <c r="H26" s="1831"/>
      <c r="I26" s="1832"/>
      <c r="J26" s="1830" t="s">
        <v>4672</v>
      </c>
      <c r="K26" s="1831"/>
      <c r="L26" s="1832"/>
    </row>
    <row r="27" spans="1:12" x14ac:dyDescent="0.25">
      <c r="A27" s="1824" t="s">
        <v>3814</v>
      </c>
      <c r="B27" s="1825"/>
      <c r="C27" s="1826"/>
      <c r="D27" s="1824" t="s">
        <v>4687</v>
      </c>
      <c r="E27" s="1825"/>
      <c r="F27" s="1826"/>
      <c r="G27" s="1824" t="s">
        <v>4678</v>
      </c>
      <c r="H27" s="1825"/>
      <c r="I27" s="1826"/>
      <c r="J27" s="1824" t="s">
        <v>4674</v>
      </c>
      <c r="K27" s="1825"/>
      <c r="L27" s="1826"/>
    </row>
    <row r="28" spans="1:12" x14ac:dyDescent="0.25">
      <c r="A28" s="1824" t="s">
        <v>4670</v>
      </c>
      <c r="B28" s="1825"/>
      <c r="C28" s="1826"/>
      <c r="D28" s="1824" t="s">
        <v>4710</v>
      </c>
      <c r="E28" s="1825"/>
      <c r="F28" s="1826"/>
      <c r="G28" s="1824" t="s">
        <v>4686</v>
      </c>
      <c r="H28" s="1825"/>
      <c r="I28" s="1826"/>
      <c r="J28" s="1824" t="s">
        <v>330</v>
      </c>
      <c r="K28" s="1825"/>
      <c r="L28" s="1826"/>
    </row>
    <row r="29" spans="1:12" x14ac:dyDescent="0.25">
      <c r="A29" s="1824" t="s">
        <v>4671</v>
      </c>
      <c r="B29" s="1825"/>
      <c r="C29" s="1826"/>
      <c r="D29" s="1824" t="s">
        <v>4690</v>
      </c>
      <c r="E29" s="1825"/>
      <c r="F29" s="1826"/>
      <c r="G29" s="1824" t="s">
        <v>4688</v>
      </c>
      <c r="H29" s="1825"/>
      <c r="I29" s="1826"/>
      <c r="J29" s="1824" t="s">
        <v>4691</v>
      </c>
      <c r="K29" s="1825"/>
      <c r="L29" s="1826"/>
    </row>
    <row r="30" spans="1:12" x14ac:dyDescent="0.25">
      <c r="A30" s="1824" t="s">
        <v>4673</v>
      </c>
      <c r="B30" s="1825"/>
      <c r="C30" s="1826"/>
      <c r="D30" s="1824" t="s">
        <v>4693</v>
      </c>
      <c r="E30" s="1825"/>
      <c r="F30" s="1826"/>
      <c r="G30" s="1824" t="s">
        <v>4695</v>
      </c>
      <c r="H30" s="1825"/>
      <c r="I30" s="1826"/>
      <c r="J30" s="1824" t="s">
        <v>4692</v>
      </c>
      <c r="K30" s="1825"/>
      <c r="L30" s="1826"/>
    </row>
    <row r="31" spans="1:12" x14ac:dyDescent="0.25">
      <c r="A31" s="1824" t="s">
        <v>4676</v>
      </c>
      <c r="B31" s="1825"/>
      <c r="C31" s="1826"/>
      <c r="D31" s="1824" t="s">
        <v>4703</v>
      </c>
      <c r="E31" s="1825"/>
      <c r="F31" s="1826"/>
      <c r="G31" s="1824" t="s">
        <v>4696</v>
      </c>
      <c r="H31" s="1825"/>
      <c r="I31" s="1826"/>
      <c r="J31" s="1824" t="s">
        <v>4706</v>
      </c>
      <c r="K31" s="1825"/>
      <c r="L31" s="1826"/>
    </row>
    <row r="32" spans="1:12" x14ac:dyDescent="0.25">
      <c r="A32" s="1824" t="s">
        <v>4677</v>
      </c>
      <c r="B32" s="1825"/>
      <c r="C32" s="1826"/>
      <c r="D32" s="1824" t="s">
        <v>4740</v>
      </c>
      <c r="E32" s="1825"/>
      <c r="F32" s="1826"/>
      <c r="G32" s="1824" t="s">
        <v>4698</v>
      </c>
      <c r="H32" s="1825"/>
      <c r="I32" s="1826"/>
      <c r="J32" s="1824"/>
      <c r="K32" s="1825"/>
      <c r="L32" s="1826"/>
    </row>
    <row r="33" spans="1:12" x14ac:dyDescent="0.25">
      <c r="A33" s="1824" t="s">
        <v>4679</v>
      </c>
      <c r="B33" s="1825"/>
      <c r="C33" s="1826"/>
      <c r="D33" s="1824" t="s">
        <v>4741</v>
      </c>
      <c r="E33" s="1825"/>
      <c r="F33" s="1826"/>
      <c r="G33" s="1824" t="s">
        <v>4699</v>
      </c>
      <c r="H33" s="1825"/>
      <c r="I33" s="1826"/>
      <c r="J33" s="1824"/>
      <c r="K33" s="1825"/>
      <c r="L33" s="1826"/>
    </row>
    <row r="34" spans="1:12" x14ac:dyDescent="0.25">
      <c r="A34" s="1824" t="s">
        <v>4680</v>
      </c>
      <c r="B34" s="1825"/>
      <c r="C34" s="1826"/>
      <c r="D34" s="1824"/>
      <c r="E34" s="1825"/>
      <c r="F34" s="1826"/>
      <c r="G34" s="1824" t="s">
        <v>4700</v>
      </c>
      <c r="H34" s="1825"/>
      <c r="I34" s="1826"/>
      <c r="J34" s="1824"/>
      <c r="K34" s="1825"/>
      <c r="L34" s="1826"/>
    </row>
    <row r="35" spans="1:12" x14ac:dyDescent="0.25">
      <c r="A35" s="1824" t="s">
        <v>4681</v>
      </c>
      <c r="B35" s="1825"/>
      <c r="C35" s="1826"/>
      <c r="D35" s="1824"/>
      <c r="E35" s="1825"/>
      <c r="F35" s="1826"/>
      <c r="G35" s="1824" t="s">
        <v>4702</v>
      </c>
      <c r="H35" s="1825"/>
      <c r="I35" s="1826"/>
      <c r="J35" s="1824"/>
      <c r="K35" s="1825"/>
      <c r="L35" s="1826"/>
    </row>
    <row r="36" spans="1:12" x14ac:dyDescent="0.25">
      <c r="A36" s="1824" t="s">
        <v>4683</v>
      </c>
      <c r="B36" s="1825"/>
      <c r="C36" s="1826"/>
      <c r="D36" s="1824"/>
      <c r="E36" s="1825"/>
      <c r="F36" s="1826"/>
      <c r="G36" s="1824" t="s">
        <v>4704</v>
      </c>
      <c r="H36" s="1825"/>
      <c r="I36" s="1826"/>
      <c r="J36" s="1824"/>
      <c r="K36" s="1825"/>
      <c r="L36" s="1826"/>
    </row>
    <row r="37" spans="1:12" x14ac:dyDescent="0.25">
      <c r="A37" s="1824" t="s">
        <v>4684</v>
      </c>
      <c r="B37" s="1825"/>
      <c r="C37" s="1826"/>
      <c r="D37" s="1824"/>
      <c r="E37" s="1825"/>
      <c r="F37" s="1826"/>
      <c r="G37" s="1824" t="s">
        <v>4705</v>
      </c>
      <c r="H37" s="1825"/>
      <c r="I37" s="1826"/>
      <c r="J37" s="1824"/>
      <c r="K37" s="1825"/>
      <c r="L37" s="1826"/>
    </row>
    <row r="38" spans="1:12" x14ac:dyDescent="0.25">
      <c r="A38" s="1824" t="s">
        <v>4685</v>
      </c>
      <c r="B38" s="1825"/>
      <c r="C38" s="1826"/>
      <c r="D38" s="1824"/>
      <c r="E38" s="1825"/>
      <c r="F38" s="1826"/>
      <c r="G38" s="1824" t="s">
        <v>4712</v>
      </c>
      <c r="H38" s="1825"/>
      <c r="I38" s="1826"/>
      <c r="J38" s="1824"/>
      <c r="K38" s="1825"/>
      <c r="L38" s="1826"/>
    </row>
    <row r="39" spans="1:12" x14ac:dyDescent="0.25">
      <c r="A39" s="1824" t="s">
        <v>4689</v>
      </c>
      <c r="B39" s="1825"/>
      <c r="C39" s="1826"/>
      <c r="D39" s="1824"/>
      <c r="E39" s="1825"/>
      <c r="F39" s="1826"/>
      <c r="G39" s="1824" t="s">
        <v>4727</v>
      </c>
      <c r="H39" s="1825"/>
      <c r="I39" s="1826"/>
      <c r="J39" s="1824"/>
      <c r="K39" s="1825"/>
      <c r="L39" s="1826"/>
    </row>
    <row r="40" spans="1:12" x14ac:dyDescent="0.25">
      <c r="A40" s="1824" t="s">
        <v>4694</v>
      </c>
      <c r="B40" s="1825"/>
      <c r="C40" s="1826"/>
      <c r="D40" s="1824"/>
      <c r="E40" s="1825"/>
      <c r="F40" s="1826"/>
      <c r="G40" s="1824" t="s">
        <v>4728</v>
      </c>
      <c r="H40" s="1825"/>
      <c r="I40" s="1826"/>
      <c r="J40" s="1824"/>
      <c r="K40" s="1825"/>
      <c r="L40" s="1826"/>
    </row>
    <row r="41" spans="1:12" x14ac:dyDescent="0.25">
      <c r="A41" s="1824" t="s">
        <v>4707</v>
      </c>
      <c r="B41" s="1825"/>
      <c r="C41" s="1826"/>
      <c r="D41" s="1824"/>
      <c r="E41" s="1825"/>
      <c r="F41" s="1826"/>
      <c r="G41" s="1824" t="s">
        <v>4729</v>
      </c>
      <c r="H41" s="1825"/>
      <c r="I41" s="1826"/>
      <c r="J41" s="1824"/>
      <c r="K41" s="1825"/>
      <c r="L41" s="1826"/>
    </row>
    <row r="42" spans="1:12" x14ac:dyDescent="0.25">
      <c r="A42" s="1824" t="s">
        <v>4708</v>
      </c>
      <c r="B42" s="1825"/>
      <c r="C42" s="1826"/>
      <c r="D42" s="1824"/>
      <c r="E42" s="1825"/>
      <c r="F42" s="1826"/>
      <c r="G42" s="1824" t="s">
        <v>4730</v>
      </c>
      <c r="H42" s="1825"/>
      <c r="I42" s="1826"/>
      <c r="J42" s="1824"/>
      <c r="K42" s="1825"/>
      <c r="L42" s="1826"/>
    </row>
    <row r="43" spans="1:12" x14ac:dyDescent="0.25">
      <c r="A43" s="1824" t="s">
        <v>4709</v>
      </c>
      <c r="B43" s="1825"/>
      <c r="C43" s="1826"/>
      <c r="D43" s="1824"/>
      <c r="E43" s="1825"/>
      <c r="F43" s="1826"/>
      <c r="G43" s="1824" t="s">
        <v>4731</v>
      </c>
      <c r="H43" s="1825"/>
      <c r="I43" s="1826"/>
      <c r="J43" s="1824"/>
      <c r="K43" s="1825"/>
      <c r="L43" s="1826"/>
    </row>
    <row r="44" spans="1:12" x14ac:dyDescent="0.25">
      <c r="A44" s="1824" t="s">
        <v>4711</v>
      </c>
      <c r="B44" s="1825"/>
      <c r="C44" s="1826"/>
      <c r="D44" s="1824"/>
      <c r="E44" s="1825"/>
      <c r="F44" s="1826"/>
      <c r="G44" s="1824" t="s">
        <v>4733</v>
      </c>
      <c r="H44" s="1825"/>
      <c r="I44" s="1826"/>
      <c r="J44" s="1824"/>
      <c r="K44" s="1825"/>
      <c r="L44" s="1826"/>
    </row>
    <row r="45" spans="1:12" x14ac:dyDescent="0.25">
      <c r="A45" s="1824" t="s">
        <v>4713</v>
      </c>
      <c r="B45" s="1825"/>
      <c r="C45" s="1826"/>
      <c r="D45" s="1824"/>
      <c r="E45" s="1825"/>
      <c r="F45" s="1826"/>
      <c r="G45" s="1824" t="s">
        <v>4734</v>
      </c>
      <c r="H45" s="1825"/>
      <c r="I45" s="1826"/>
      <c r="J45" s="1824"/>
      <c r="K45" s="1825"/>
      <c r="L45" s="1826"/>
    </row>
    <row r="46" spans="1:12" x14ac:dyDescent="0.25">
      <c r="A46" s="1824" t="s">
        <v>4732</v>
      </c>
      <c r="B46" s="1825"/>
      <c r="C46" s="1826"/>
      <c r="D46" s="1824"/>
      <c r="E46" s="1825"/>
      <c r="F46" s="1826"/>
      <c r="G46" s="1824" t="s">
        <v>4736</v>
      </c>
      <c r="H46" s="1825"/>
      <c r="I46" s="1826"/>
      <c r="J46" s="1824"/>
      <c r="K46" s="1825"/>
      <c r="L46" s="1826"/>
    </row>
    <row r="47" spans="1:12" x14ac:dyDescent="0.25">
      <c r="A47" s="1824" t="s">
        <v>4735</v>
      </c>
      <c r="B47" s="1825"/>
      <c r="C47" s="1826"/>
      <c r="D47" s="1824"/>
      <c r="E47" s="1825"/>
      <c r="F47" s="1826"/>
      <c r="G47" s="1824" t="s">
        <v>4737</v>
      </c>
      <c r="H47" s="1825"/>
      <c r="I47" s="1826"/>
      <c r="J47" s="1824"/>
      <c r="K47" s="1825"/>
      <c r="L47" s="1826"/>
    </row>
    <row r="48" spans="1:12" x14ac:dyDescent="0.25">
      <c r="A48" s="1824" t="s">
        <v>4739</v>
      </c>
      <c r="B48" s="1825"/>
      <c r="C48" s="1826"/>
      <c r="D48" s="1824"/>
      <c r="E48" s="1825"/>
      <c r="F48" s="1826"/>
      <c r="G48" s="1824" t="s">
        <v>4738</v>
      </c>
      <c r="H48" s="1825"/>
      <c r="I48" s="1826"/>
      <c r="J48" s="1824"/>
      <c r="K48" s="1825"/>
      <c r="L48" s="1826"/>
    </row>
    <row r="49" spans="1:12" x14ac:dyDescent="0.25">
      <c r="A49" s="1824" t="s">
        <v>4742</v>
      </c>
      <c r="B49" s="1825"/>
      <c r="C49" s="1826"/>
      <c r="D49" s="1824"/>
      <c r="E49" s="1825"/>
      <c r="F49" s="1826"/>
      <c r="G49" s="1824"/>
      <c r="H49" s="1825"/>
      <c r="I49" s="1826"/>
      <c r="J49" s="1824"/>
      <c r="K49" s="1825"/>
      <c r="L49" s="1826"/>
    </row>
    <row r="50" spans="1:12" x14ac:dyDescent="0.25">
      <c r="A50" s="1824" t="s">
        <v>4743</v>
      </c>
      <c r="B50" s="1825"/>
      <c r="C50" s="1826"/>
      <c r="D50" s="1824"/>
      <c r="E50" s="1825"/>
      <c r="F50" s="1826"/>
      <c r="G50" s="1824"/>
      <c r="H50" s="1825"/>
      <c r="I50" s="1826"/>
      <c r="J50" s="1824"/>
      <c r="K50" s="1825"/>
      <c r="L50" s="1826"/>
    </row>
    <row r="51" spans="1:12" x14ac:dyDescent="0.25">
      <c r="A51" s="1824" t="s">
        <v>4744</v>
      </c>
      <c r="B51" s="1825"/>
      <c r="C51" s="1826"/>
      <c r="D51" s="1824"/>
      <c r="E51" s="1825"/>
      <c r="F51" s="1826"/>
      <c r="G51" s="1824"/>
      <c r="H51" s="1825"/>
      <c r="I51" s="1826"/>
      <c r="J51" s="1824"/>
      <c r="K51" s="1825"/>
      <c r="L51" s="1826"/>
    </row>
    <row r="52" spans="1:12" x14ac:dyDescent="0.25">
      <c r="A52" s="1824" t="s">
        <v>4745</v>
      </c>
      <c r="B52" s="1825"/>
      <c r="C52" s="1826"/>
      <c r="D52" s="1824"/>
      <c r="E52" s="1825"/>
      <c r="F52" s="1826"/>
      <c r="G52" s="1824"/>
      <c r="H52" s="1825"/>
      <c r="I52" s="1826"/>
      <c r="J52" s="1824"/>
      <c r="K52" s="1825"/>
      <c r="L52" s="1826"/>
    </row>
    <row r="53" spans="1:12" x14ac:dyDescent="0.25">
      <c r="A53" s="1824" t="s">
        <v>4746</v>
      </c>
      <c r="B53" s="1825"/>
      <c r="C53" s="1826"/>
      <c r="D53" s="1824"/>
      <c r="E53" s="1825"/>
      <c r="F53" s="1826"/>
      <c r="G53" s="1824"/>
      <c r="H53" s="1825"/>
      <c r="I53" s="1826"/>
      <c r="J53" s="1824"/>
      <c r="K53" s="1825"/>
      <c r="L53" s="1826"/>
    </row>
    <row r="54" spans="1:12" x14ac:dyDescent="0.25">
      <c r="A54" s="1824" t="s">
        <v>4752</v>
      </c>
      <c r="B54" s="1825"/>
      <c r="C54" s="1826"/>
      <c r="D54" s="1824"/>
      <c r="E54" s="1825"/>
      <c r="F54" s="1826"/>
      <c r="G54" s="1824"/>
      <c r="H54" s="1825"/>
      <c r="I54" s="1826"/>
      <c r="J54" s="1824"/>
      <c r="K54" s="1825"/>
      <c r="L54" s="1826"/>
    </row>
  </sheetData>
  <mergeCells count="212">
    <mergeCell ref="A2:C2"/>
    <mergeCell ref="D2:F2"/>
    <mergeCell ref="G2:I2"/>
    <mergeCell ref="J2:L2"/>
    <mergeCell ref="A25:C25"/>
    <mergeCell ref="D25:F25"/>
    <mergeCell ref="G25:I25"/>
    <mergeCell ref="J25:L25"/>
    <mergeCell ref="A9:C9"/>
    <mergeCell ref="A10:C10"/>
    <mergeCell ref="A11:C11"/>
    <mergeCell ref="A12:C12"/>
    <mergeCell ref="A13:C13"/>
    <mergeCell ref="A14:C14"/>
    <mergeCell ref="A15:C15"/>
    <mergeCell ref="A16:C16"/>
    <mergeCell ref="A23:C23"/>
    <mergeCell ref="D23:F23"/>
    <mergeCell ref="A3:C3"/>
    <mergeCell ref="A4:C4"/>
    <mergeCell ref="A5:C5"/>
    <mergeCell ref="A6:C6"/>
    <mergeCell ref="A7:C7"/>
    <mergeCell ref="A8:C8"/>
    <mergeCell ref="A22:C22"/>
    <mergeCell ref="D21:F21"/>
    <mergeCell ref="D22:F22"/>
    <mergeCell ref="A24:C24"/>
    <mergeCell ref="D14:F14"/>
    <mergeCell ref="D15:F15"/>
    <mergeCell ref="D16:F16"/>
    <mergeCell ref="D17:F17"/>
    <mergeCell ref="D18:F18"/>
    <mergeCell ref="D19:F19"/>
    <mergeCell ref="A17:C17"/>
    <mergeCell ref="A18:C18"/>
    <mergeCell ref="A19:C19"/>
    <mergeCell ref="A20:C20"/>
    <mergeCell ref="A21:C21"/>
    <mergeCell ref="G3:I3"/>
    <mergeCell ref="G4:I4"/>
    <mergeCell ref="G5:I5"/>
    <mergeCell ref="G6:I6"/>
    <mergeCell ref="G7:I7"/>
    <mergeCell ref="J3:L3"/>
    <mergeCell ref="J4:L4"/>
    <mergeCell ref="J5:L5"/>
    <mergeCell ref="D20:F20"/>
    <mergeCell ref="D8:F8"/>
    <mergeCell ref="D9:F9"/>
    <mergeCell ref="D10:F10"/>
    <mergeCell ref="D11:F11"/>
    <mergeCell ref="D12:F12"/>
    <mergeCell ref="D13:F13"/>
    <mergeCell ref="D3:F3"/>
    <mergeCell ref="D4:F4"/>
    <mergeCell ref="D5:F5"/>
    <mergeCell ref="D6:F6"/>
    <mergeCell ref="D7:F7"/>
    <mergeCell ref="J6:L6"/>
    <mergeCell ref="J7:L7"/>
    <mergeCell ref="J8:L8"/>
    <mergeCell ref="J9:L9"/>
    <mergeCell ref="A54:C54"/>
    <mergeCell ref="A53:C53"/>
    <mergeCell ref="A52:C52"/>
    <mergeCell ref="A51:C51"/>
    <mergeCell ref="A50:C50"/>
    <mergeCell ref="A46:C46"/>
    <mergeCell ref="A47:C47"/>
    <mergeCell ref="A48:C48"/>
    <mergeCell ref="A38:C38"/>
    <mergeCell ref="A39:C39"/>
    <mergeCell ref="A40:C40"/>
    <mergeCell ref="A41:C41"/>
    <mergeCell ref="A42:C42"/>
    <mergeCell ref="A43:C43"/>
    <mergeCell ref="A49:C49"/>
    <mergeCell ref="A44:C44"/>
    <mergeCell ref="A45:C45"/>
    <mergeCell ref="G37:I37"/>
    <mergeCell ref="G26:I26"/>
    <mergeCell ref="G27:I27"/>
    <mergeCell ref="G28:I28"/>
    <mergeCell ref="G29:I29"/>
    <mergeCell ref="G30:I30"/>
    <mergeCell ref="G31:I31"/>
    <mergeCell ref="A32:C32"/>
    <mergeCell ref="A33:C33"/>
    <mergeCell ref="A34:C34"/>
    <mergeCell ref="A35:C35"/>
    <mergeCell ref="A36:C36"/>
    <mergeCell ref="A37:C37"/>
    <mergeCell ref="A27:C27"/>
    <mergeCell ref="A26:C26"/>
    <mergeCell ref="A28:C28"/>
    <mergeCell ref="A29:C29"/>
    <mergeCell ref="A30:C30"/>
    <mergeCell ref="A31:C31"/>
    <mergeCell ref="D26:F26"/>
    <mergeCell ref="D27:F27"/>
    <mergeCell ref="D28:F28"/>
    <mergeCell ref="D29:F29"/>
    <mergeCell ref="D30:F30"/>
    <mergeCell ref="G47:I47"/>
    <mergeCell ref="G49:I49"/>
    <mergeCell ref="G50:I50"/>
    <mergeCell ref="G51:I51"/>
    <mergeCell ref="G52:I52"/>
    <mergeCell ref="G53:I53"/>
    <mergeCell ref="G54:I54"/>
    <mergeCell ref="G38:I38"/>
    <mergeCell ref="G39:I39"/>
    <mergeCell ref="G40:I40"/>
    <mergeCell ref="G41:I41"/>
    <mergeCell ref="G42:I42"/>
    <mergeCell ref="G48:I48"/>
    <mergeCell ref="G44:I44"/>
    <mergeCell ref="G43:I43"/>
    <mergeCell ref="G45:I45"/>
    <mergeCell ref="G46:I46"/>
    <mergeCell ref="J10:L10"/>
    <mergeCell ref="G14:I14"/>
    <mergeCell ref="G15:I15"/>
    <mergeCell ref="G16:I16"/>
    <mergeCell ref="G17:I17"/>
    <mergeCell ref="G8:I8"/>
    <mergeCell ref="G9:I9"/>
    <mergeCell ref="G10:I10"/>
    <mergeCell ref="G11:I11"/>
    <mergeCell ref="G12:I12"/>
    <mergeCell ref="G13:I13"/>
    <mergeCell ref="J16:L16"/>
    <mergeCell ref="J11:L11"/>
    <mergeCell ref="J12:L12"/>
    <mergeCell ref="J13:L13"/>
    <mergeCell ref="J14:L14"/>
    <mergeCell ref="J15:L15"/>
    <mergeCell ref="J17:L17"/>
    <mergeCell ref="D48:F48"/>
    <mergeCell ref="D49:F49"/>
    <mergeCell ref="D54:F54"/>
    <mergeCell ref="D53:F53"/>
    <mergeCell ref="D52:F52"/>
    <mergeCell ref="D51:F51"/>
    <mergeCell ref="D50:F50"/>
    <mergeCell ref="D39:F39"/>
    <mergeCell ref="D40:F40"/>
    <mergeCell ref="D41:F41"/>
    <mergeCell ref="D42:F42"/>
    <mergeCell ref="D43:F43"/>
    <mergeCell ref="D44:F44"/>
    <mergeCell ref="D45:F45"/>
    <mergeCell ref="D46:F46"/>
    <mergeCell ref="G20:I20"/>
    <mergeCell ref="G21:I21"/>
    <mergeCell ref="G23:I23"/>
    <mergeCell ref="G22:I22"/>
    <mergeCell ref="G24:I24"/>
    <mergeCell ref="G18:I18"/>
    <mergeCell ref="G19:I19"/>
    <mergeCell ref="D35:F35"/>
    <mergeCell ref="D36:F36"/>
    <mergeCell ref="G32:I32"/>
    <mergeCell ref="G33:I33"/>
    <mergeCell ref="G34:I34"/>
    <mergeCell ref="G35:I35"/>
    <mergeCell ref="G36:I36"/>
    <mergeCell ref="D32:F32"/>
    <mergeCell ref="D31:F31"/>
    <mergeCell ref="D33:F33"/>
    <mergeCell ref="D34:F34"/>
    <mergeCell ref="D24:F24"/>
    <mergeCell ref="D37:F37"/>
    <mergeCell ref="D38:F38"/>
    <mergeCell ref="J32:L32"/>
    <mergeCell ref="J33:L33"/>
    <mergeCell ref="J34:L34"/>
    <mergeCell ref="J35:L35"/>
    <mergeCell ref="J54:L54"/>
    <mergeCell ref="J51:L51"/>
    <mergeCell ref="J49:L49"/>
    <mergeCell ref="J48:L48"/>
    <mergeCell ref="J50:L50"/>
    <mergeCell ref="J52:L52"/>
    <mergeCell ref="J53:L53"/>
    <mergeCell ref="J38:L38"/>
    <mergeCell ref="J46:L46"/>
    <mergeCell ref="J42:L42"/>
    <mergeCell ref="J40:L40"/>
    <mergeCell ref="J39:L39"/>
    <mergeCell ref="J41:L41"/>
    <mergeCell ref="J45:L45"/>
    <mergeCell ref="J44:L44"/>
    <mergeCell ref="J43:L43"/>
    <mergeCell ref="J47:L47"/>
    <mergeCell ref="D47:F47"/>
    <mergeCell ref="J18:L18"/>
    <mergeCell ref="J19:L19"/>
    <mergeCell ref="J20:L20"/>
    <mergeCell ref="J21:L21"/>
    <mergeCell ref="J36:L36"/>
    <mergeCell ref="J37:L37"/>
    <mergeCell ref="J24:L24"/>
    <mergeCell ref="J23:L23"/>
    <mergeCell ref="J22:L22"/>
    <mergeCell ref="J26:L26"/>
    <mergeCell ref="J27:L27"/>
    <mergeCell ref="J28:L28"/>
    <mergeCell ref="J29:L29"/>
    <mergeCell ref="J30:L30"/>
    <mergeCell ref="J31:L31"/>
  </mergeCells>
  <pageMargins left="0.7" right="0.7" top="0.75" bottom="0.75" header="0.3" footer="0.3"/>
  <pageSetup paperSize="9" scale="61" fitToWidth="0" orientation="landscape" horizontalDpi="180" verticalDpi="180"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Hoja31"/>
  <dimension ref="A1:F22"/>
  <sheetViews>
    <sheetView workbookViewId="0">
      <selection sqref="A1:F12"/>
    </sheetView>
  </sheetViews>
  <sheetFormatPr baseColWidth="10" defaultColWidth="10.85546875" defaultRowHeight="15.75" x14ac:dyDescent="0.25"/>
  <cols>
    <col min="1" max="1" width="12.5703125" style="171" bestFit="1" customWidth="1"/>
    <col min="2" max="3" width="10.85546875" style="171"/>
    <col min="4" max="4" width="11.5703125" style="171" bestFit="1" customWidth="1"/>
    <col min="5" max="5" width="10.85546875" style="171"/>
    <col min="6" max="6" width="11.5703125" style="171" bestFit="1" customWidth="1"/>
    <col min="7" max="16384" width="10.85546875" style="171"/>
  </cols>
  <sheetData>
    <row r="1" spans="1:6" ht="16.5" thickBot="1" x14ac:dyDescent="0.3">
      <c r="A1" s="1576" t="s">
        <v>1215</v>
      </c>
      <c r="B1" s="1577"/>
      <c r="C1" s="1577"/>
      <c r="D1" s="1577"/>
      <c r="E1" s="1577"/>
    </row>
    <row r="2" spans="1:6" x14ac:dyDescent="0.25">
      <c r="A2" s="78" t="s">
        <v>916</v>
      </c>
      <c r="B2" s="76" t="s">
        <v>742</v>
      </c>
      <c r="C2" s="108" t="s">
        <v>1948</v>
      </c>
      <c r="D2" s="108" t="s">
        <v>1035</v>
      </c>
      <c r="E2" s="77" t="s">
        <v>1549</v>
      </c>
      <c r="F2" s="1"/>
    </row>
    <row r="3" spans="1:6" x14ac:dyDescent="0.25">
      <c r="A3" s="3" t="s">
        <v>1541</v>
      </c>
      <c r="B3" s="2" t="s">
        <v>1218</v>
      </c>
      <c r="C3" s="6">
        <v>1</v>
      </c>
      <c r="D3" s="66">
        <f>'INS VARIOS'!B64</f>
        <v>880</v>
      </c>
      <c r="E3" s="39">
        <f>D3*C3</f>
        <v>880</v>
      </c>
      <c r="F3" s="1"/>
    </row>
    <row r="4" spans="1:6" x14ac:dyDescent="0.25">
      <c r="A4" s="184" t="s">
        <v>1160</v>
      </c>
      <c r="B4" s="2"/>
      <c r="C4" s="6">
        <v>4</v>
      </c>
      <c r="D4" s="66">
        <f>'INSUMOS VARIOS'!E54</f>
        <v>177.5</v>
      </c>
      <c r="E4" s="39">
        <f>D4*C4</f>
        <v>710</v>
      </c>
      <c r="F4" s="1"/>
    </row>
    <row r="5" spans="1:6" x14ac:dyDescent="0.25">
      <c r="A5" s="184" t="s">
        <v>2126</v>
      </c>
      <c r="B5" s="2"/>
      <c r="C5" s="6">
        <v>2</v>
      </c>
      <c r="D5" s="66">
        <f>'INS VARIOS'!E59</f>
        <v>10</v>
      </c>
      <c r="E5" s="39">
        <f>D5*C5</f>
        <v>20</v>
      </c>
      <c r="F5" s="1"/>
    </row>
    <row r="6" spans="1:6" x14ac:dyDescent="0.25">
      <c r="A6" s="184" t="s">
        <v>1839</v>
      </c>
      <c r="B6" s="2"/>
      <c r="C6" s="6">
        <v>0.5</v>
      </c>
      <c r="D6" s="66">
        <f>'INS VARIOS'!H55</f>
        <v>170</v>
      </c>
      <c r="E6" s="39">
        <f>D6*C6</f>
        <v>85</v>
      </c>
      <c r="F6" s="1"/>
    </row>
    <row r="7" spans="1:6" x14ac:dyDescent="0.25">
      <c r="A7" s="184" t="s">
        <v>1224</v>
      </c>
      <c r="B7" s="2"/>
      <c r="C7" s="6">
        <v>1</v>
      </c>
      <c r="D7" s="66" t="e">
        <f>'HILOS-CORDONES-TANZA-CUERO'!#REF!</f>
        <v>#REF!</v>
      </c>
      <c r="E7" s="39" t="e">
        <f>D7*C7</f>
        <v>#REF!</v>
      </c>
      <c r="F7" s="1"/>
    </row>
    <row r="8" spans="1:6" x14ac:dyDescent="0.25">
      <c r="A8" s="1701" t="s">
        <v>1557</v>
      </c>
      <c r="B8" s="2" t="s">
        <v>1531</v>
      </c>
      <c r="C8" s="6"/>
      <c r="D8" s="6"/>
      <c r="E8" s="39" t="e">
        <f>PACKAGING!#REF!</f>
        <v>#REF!</v>
      </c>
      <c r="F8" s="1"/>
    </row>
    <row r="9" spans="1:6" x14ac:dyDescent="0.25">
      <c r="A9" s="1702"/>
      <c r="B9" s="2" t="s">
        <v>1542</v>
      </c>
      <c r="C9" s="6"/>
      <c r="D9" s="6"/>
      <c r="E9" s="39">
        <f>PACKAGING!E13</f>
        <v>6</v>
      </c>
      <c r="F9" s="1"/>
    </row>
    <row r="10" spans="1:6" x14ac:dyDescent="0.25">
      <c r="A10" s="3" t="s">
        <v>1558</v>
      </c>
      <c r="B10" s="2"/>
      <c r="C10" s="6"/>
      <c r="D10" s="6"/>
      <c r="E10" s="39">
        <v>120</v>
      </c>
      <c r="F10" s="1"/>
    </row>
    <row r="11" spans="1:6" x14ac:dyDescent="0.25">
      <c r="A11" s="79" t="s">
        <v>525</v>
      </c>
      <c r="B11" s="70"/>
      <c r="C11" s="85"/>
      <c r="D11" s="85"/>
      <c r="E11" s="51" t="e">
        <f>SUM(E3:E10)</f>
        <v>#REF!</v>
      </c>
      <c r="F11" s="1"/>
    </row>
    <row r="12" spans="1:6" ht="19.5" thickBot="1" x14ac:dyDescent="0.3">
      <c r="A12" s="81" t="s">
        <v>1559</v>
      </c>
      <c r="B12" s="73"/>
      <c r="C12" s="73"/>
      <c r="D12" s="73"/>
      <c r="E12" s="219" t="e">
        <f>E11*2</f>
        <v>#REF!</v>
      </c>
      <c r="F12" s="74">
        <v>2800</v>
      </c>
    </row>
    <row r="13" spans="1:6" ht="16.5" thickBot="1" x14ac:dyDescent="0.3"/>
    <row r="14" spans="1:6" ht="16.5" thickBot="1" x14ac:dyDescent="0.3">
      <c r="A14" s="1568" t="s">
        <v>1215</v>
      </c>
      <c r="B14" s="1569"/>
      <c r="C14" s="1570"/>
      <c r="D14" s="1"/>
    </row>
    <row r="15" spans="1:6" x14ac:dyDescent="0.25">
      <c r="A15" s="78" t="s">
        <v>916</v>
      </c>
      <c r="B15" s="76" t="s">
        <v>742</v>
      </c>
      <c r="C15" s="77" t="s">
        <v>1549</v>
      </c>
      <c r="D15" s="1"/>
    </row>
    <row r="16" spans="1:6" x14ac:dyDescent="0.25">
      <c r="A16" s="3" t="s">
        <v>1541</v>
      </c>
      <c r="B16" s="2" t="s">
        <v>1219</v>
      </c>
      <c r="C16" s="39">
        <f>'INS VARIOS'!B65</f>
        <v>880</v>
      </c>
      <c r="D16" s="1"/>
    </row>
    <row r="17" spans="1:4" x14ac:dyDescent="0.25">
      <c r="A17" s="1701" t="s">
        <v>1557</v>
      </c>
      <c r="B17" s="2" t="s">
        <v>1531</v>
      </c>
      <c r="C17" s="39" t="e">
        <f>PACKAGING!#REF!</f>
        <v>#REF!</v>
      </c>
      <c r="D17" s="1"/>
    </row>
    <row r="18" spans="1:4" x14ac:dyDescent="0.25">
      <c r="A18" s="1702"/>
      <c r="B18" s="2" t="s">
        <v>1542</v>
      </c>
      <c r="C18" s="39">
        <f>PACKAGING!E13</f>
        <v>6</v>
      </c>
      <c r="D18" s="1"/>
    </row>
    <row r="19" spans="1:4" x14ac:dyDescent="0.25">
      <c r="A19" s="191" t="s">
        <v>2127</v>
      </c>
      <c r="B19" s="2"/>
      <c r="C19" s="39">
        <v>50</v>
      </c>
      <c r="D19" s="1"/>
    </row>
    <row r="20" spans="1:4" x14ac:dyDescent="0.25">
      <c r="A20" s="3" t="s">
        <v>1558</v>
      </c>
      <c r="B20" s="2"/>
      <c r="C20" s="39">
        <v>350</v>
      </c>
      <c r="D20" s="1"/>
    </row>
    <row r="21" spans="1:4" x14ac:dyDescent="0.25">
      <c r="A21" s="79" t="s">
        <v>525</v>
      </c>
      <c r="B21" s="70"/>
      <c r="C21" s="51" t="e">
        <f>SUM(C16:C20)</f>
        <v>#REF!</v>
      </c>
      <c r="D21" s="1"/>
    </row>
    <row r="22" spans="1:4" ht="19.5" thickBot="1" x14ac:dyDescent="0.3">
      <c r="A22" s="81" t="s">
        <v>1559</v>
      </c>
      <c r="B22" s="73"/>
      <c r="C22" s="219" t="e">
        <f>C21*2</f>
        <v>#REF!</v>
      </c>
      <c r="D22" s="74">
        <v>3000</v>
      </c>
    </row>
  </sheetData>
  <mergeCells count="4">
    <mergeCell ref="A14:C14"/>
    <mergeCell ref="A17:A18"/>
    <mergeCell ref="A8:A9"/>
    <mergeCell ref="A1:E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D215"/>
  <sheetViews>
    <sheetView zoomScale="70" zoomScaleNormal="70" workbookViewId="0">
      <selection activeCell="C140" sqref="A1:C140"/>
    </sheetView>
  </sheetViews>
  <sheetFormatPr baseColWidth="10" defaultColWidth="10.85546875" defaultRowHeight="18.75" x14ac:dyDescent="0.25"/>
  <cols>
    <col min="1" max="1" width="9.140625" style="359" bestFit="1" customWidth="1"/>
    <col min="2" max="2" width="59.140625" style="287" customWidth="1"/>
    <col min="3" max="3" width="18.42578125" style="430" bestFit="1" customWidth="1"/>
    <col min="4" max="4" width="19.140625" style="287" bestFit="1" customWidth="1"/>
    <col min="5" max="5" width="21.140625" style="287" bestFit="1" customWidth="1"/>
    <col min="6" max="16384" width="10.85546875" style="287"/>
  </cols>
  <sheetData>
    <row r="1" spans="1:4" ht="27.95" customHeight="1" x14ac:dyDescent="0.25">
      <c r="A1" s="1555" t="s">
        <v>606</v>
      </c>
      <c r="B1" s="1555"/>
      <c r="C1" s="1555"/>
    </row>
    <row r="2" spans="1:4" ht="27.95" customHeight="1" x14ac:dyDescent="0.25">
      <c r="A2" s="367"/>
      <c r="B2" s="367"/>
      <c r="C2" s="428"/>
    </row>
    <row r="3" spans="1:4" ht="27.95" customHeight="1" x14ac:dyDescent="0.25">
      <c r="A3" s="367"/>
      <c r="B3" s="367"/>
      <c r="C3" s="428"/>
    </row>
    <row r="4" spans="1:4" ht="18" customHeight="1" x14ac:dyDescent="0.25">
      <c r="A4" s="1549" t="s">
        <v>546</v>
      </c>
      <c r="B4" s="1550"/>
      <c r="C4" s="1551"/>
    </row>
    <row r="5" spans="1:4" ht="27.95" customHeight="1" x14ac:dyDescent="0.25">
      <c r="A5" s="1552"/>
      <c r="B5" s="1553"/>
      <c r="C5" s="1554"/>
      <c r="D5" s="360"/>
    </row>
    <row r="6" spans="1:4" ht="27.95" customHeight="1" x14ac:dyDescent="0.25">
      <c r="A6" s="364" t="s">
        <v>607</v>
      </c>
      <c r="B6" s="365" t="s">
        <v>101</v>
      </c>
      <c r="C6" s="366">
        <f>'LISTA PRECIOS'!C52</f>
        <v>10132</v>
      </c>
      <c r="D6" s="360"/>
    </row>
    <row r="7" spans="1:4" ht="27.95" customHeight="1" x14ac:dyDescent="0.25">
      <c r="A7" s="364" t="s">
        <v>608</v>
      </c>
      <c r="B7" s="365" t="s">
        <v>89</v>
      </c>
      <c r="C7" s="366">
        <f>'LISTA PRECIOS'!C54</f>
        <v>3800</v>
      </c>
      <c r="D7" s="360"/>
    </row>
    <row r="8" spans="1:4" ht="27.95" customHeight="1" x14ac:dyDescent="0.25">
      <c r="A8" s="364" t="s">
        <v>609</v>
      </c>
      <c r="B8" s="362" t="s">
        <v>610</v>
      </c>
      <c r="C8" s="366">
        <f>'LISTA PRECIOS'!C71</f>
        <v>5500</v>
      </c>
      <c r="D8" s="360"/>
    </row>
    <row r="9" spans="1:4" ht="27.95" customHeight="1" x14ac:dyDescent="0.25">
      <c r="A9" s="364" t="s">
        <v>611</v>
      </c>
      <c r="B9" s="362" t="s">
        <v>133</v>
      </c>
      <c r="C9" s="366">
        <f>'LISTA PRECIOS'!C46</f>
        <v>0</v>
      </c>
      <c r="D9" s="360"/>
    </row>
    <row r="10" spans="1:4" ht="27.95" customHeight="1" x14ac:dyDescent="0.25">
      <c r="A10" s="364" t="s">
        <v>612</v>
      </c>
      <c r="B10" s="362" t="s">
        <v>103</v>
      </c>
      <c r="C10" s="366" t="e">
        <f>'LISTA PRECIOS'!C48</f>
        <v>#REF!</v>
      </c>
      <c r="D10" s="360"/>
    </row>
    <row r="11" spans="1:4" ht="27.95" customHeight="1" x14ac:dyDescent="0.25">
      <c r="A11" s="364" t="s">
        <v>613</v>
      </c>
      <c r="B11" s="362" t="s">
        <v>614</v>
      </c>
      <c r="C11" s="366">
        <f>'LISTA PRECIOS'!C64</f>
        <v>16000</v>
      </c>
      <c r="D11" s="360"/>
    </row>
    <row r="12" spans="1:4" ht="27.95" customHeight="1" x14ac:dyDescent="0.25">
      <c r="A12" s="364" t="s">
        <v>615</v>
      </c>
      <c r="B12" s="362" t="s">
        <v>154</v>
      </c>
      <c r="C12" s="366">
        <f>'LISTA PRECIOS'!C27</f>
        <v>2450</v>
      </c>
      <c r="D12" s="360"/>
    </row>
    <row r="13" spans="1:4" ht="27.95" customHeight="1" x14ac:dyDescent="0.25">
      <c r="A13" s="364" t="s">
        <v>616</v>
      </c>
      <c r="B13" s="362" t="s">
        <v>145</v>
      </c>
      <c r="C13" s="366">
        <f>'LISTA PRECIOS'!C22</f>
        <v>1600</v>
      </c>
      <c r="D13" s="360"/>
    </row>
    <row r="14" spans="1:4" ht="27.95" customHeight="1" x14ac:dyDescent="0.25">
      <c r="A14" s="364" t="s">
        <v>617</v>
      </c>
      <c r="B14" s="362" t="s">
        <v>129</v>
      </c>
      <c r="C14" s="366">
        <f>'LISTA PRECIOS'!C24</f>
        <v>8000</v>
      </c>
      <c r="D14" s="360"/>
    </row>
    <row r="15" spans="1:4" ht="27.95" customHeight="1" x14ac:dyDescent="0.25">
      <c r="A15" s="364" t="s">
        <v>618</v>
      </c>
      <c r="B15" s="362" t="s">
        <v>134</v>
      </c>
      <c r="C15" s="366">
        <f>'LISTA PRECIOS'!C41</f>
        <v>1400</v>
      </c>
      <c r="D15" s="360"/>
    </row>
    <row r="16" spans="1:4" ht="27.95" customHeight="1" x14ac:dyDescent="0.25">
      <c r="A16" s="542" t="s">
        <v>619</v>
      </c>
      <c r="B16" s="427" t="s">
        <v>283</v>
      </c>
      <c r="C16" s="429">
        <f>'LISTA PRECIOS'!C55</f>
        <v>8500</v>
      </c>
      <c r="D16" s="360"/>
    </row>
    <row r="17" spans="1:4" ht="27.95" customHeight="1" x14ac:dyDescent="0.25">
      <c r="A17" s="542" t="s">
        <v>620</v>
      </c>
      <c r="B17" s="427" t="s">
        <v>621</v>
      </c>
      <c r="C17" s="429">
        <f>'LISTA PRECIOS'!C43</f>
        <v>5500</v>
      </c>
      <c r="D17" s="360"/>
    </row>
    <row r="18" spans="1:4" ht="27.95" customHeight="1" x14ac:dyDescent="0.25">
      <c r="A18" s="542" t="s">
        <v>622</v>
      </c>
      <c r="B18" s="427" t="s">
        <v>623</v>
      </c>
      <c r="C18" s="429">
        <f>C17</f>
        <v>5500</v>
      </c>
      <c r="D18" s="360"/>
    </row>
    <row r="19" spans="1:4" ht="27.95" customHeight="1" x14ac:dyDescent="0.25">
      <c r="A19" s="542" t="s">
        <v>624</v>
      </c>
      <c r="B19" s="427" t="s">
        <v>625</v>
      </c>
      <c r="C19" s="429">
        <f>'LISTA PRECIOS'!C61</f>
        <v>1240</v>
      </c>
      <c r="D19" s="360"/>
    </row>
    <row r="20" spans="1:4" ht="27.95" customHeight="1" x14ac:dyDescent="0.25">
      <c r="A20" s="542" t="s">
        <v>626</v>
      </c>
      <c r="B20" s="427" t="s">
        <v>627</v>
      </c>
      <c r="C20" s="429">
        <f>'LISTA PRECIOS'!C28</f>
        <v>0</v>
      </c>
      <c r="D20" s="360"/>
    </row>
    <row r="21" spans="1:4" ht="27.95" customHeight="1" x14ac:dyDescent="0.25">
      <c r="A21" s="542" t="s">
        <v>628</v>
      </c>
      <c r="B21" s="427" t="s">
        <v>629</v>
      </c>
      <c r="C21" s="429">
        <f>C20</f>
        <v>0</v>
      </c>
      <c r="D21" s="360"/>
    </row>
    <row r="22" spans="1:4" ht="27.95" customHeight="1" x14ac:dyDescent="0.25">
      <c r="A22" s="542" t="s">
        <v>630</v>
      </c>
      <c r="B22" s="427" t="s">
        <v>631</v>
      </c>
      <c r="C22" s="429">
        <f>C21</f>
        <v>0</v>
      </c>
      <c r="D22" s="360"/>
    </row>
    <row r="23" spans="1:4" ht="27.95" customHeight="1" x14ac:dyDescent="0.25">
      <c r="A23" s="542" t="s">
        <v>632</v>
      </c>
      <c r="B23" s="427" t="s">
        <v>633</v>
      </c>
      <c r="C23" s="429">
        <f>C22</f>
        <v>0</v>
      </c>
      <c r="D23" s="360"/>
    </row>
    <row r="24" spans="1:4" ht="27.95" customHeight="1" x14ac:dyDescent="0.25">
      <c r="A24" s="542" t="s">
        <v>634</v>
      </c>
      <c r="B24" s="427" t="s">
        <v>164</v>
      </c>
      <c r="C24" s="429">
        <f>'LISTA PRECIOS'!C42</f>
        <v>0</v>
      </c>
      <c r="D24" s="360"/>
    </row>
    <row r="25" spans="1:4" ht="27.95" customHeight="1" x14ac:dyDescent="0.25">
      <c r="A25" s="542"/>
      <c r="B25" s="427" t="s">
        <v>144</v>
      </c>
      <c r="C25" s="429">
        <f>'LISTA PRECIOS'!C30</f>
        <v>0</v>
      </c>
      <c r="D25" s="360"/>
    </row>
    <row r="26" spans="1:4" ht="27.95" customHeight="1" x14ac:dyDescent="0.25">
      <c r="A26" s="542"/>
      <c r="B26" s="427" t="s">
        <v>143</v>
      </c>
      <c r="C26" s="429">
        <f>'LISTA PRECIOS'!C25</f>
        <v>0</v>
      </c>
      <c r="D26" s="360"/>
    </row>
    <row r="27" spans="1:4" ht="27.95" customHeight="1" x14ac:dyDescent="0.25">
      <c r="A27" s="542"/>
      <c r="B27" s="427" t="s">
        <v>127</v>
      </c>
      <c r="C27" s="429">
        <f>'LISTA PRECIOS'!C11</f>
        <v>6500</v>
      </c>
      <c r="D27" s="360"/>
    </row>
    <row r="28" spans="1:4" ht="27.95" customHeight="1" x14ac:dyDescent="0.25">
      <c r="A28" s="542"/>
      <c r="B28" s="427" t="s">
        <v>139</v>
      </c>
      <c r="C28" s="429" t="e">
        <f>'LISTA PRECIOS'!C36</f>
        <v>#REF!</v>
      </c>
      <c r="D28" s="360"/>
    </row>
    <row r="29" spans="1:4" ht="27.95" customHeight="1" x14ac:dyDescent="0.25">
      <c r="A29" s="542"/>
      <c r="B29" s="427" t="s">
        <v>138</v>
      </c>
      <c r="C29" s="429">
        <f>'LISTA PRECIOS'!C40</f>
        <v>12000</v>
      </c>
      <c r="D29" s="360"/>
    </row>
    <row r="30" spans="1:4" ht="27.95" customHeight="1" x14ac:dyDescent="0.25">
      <c r="A30" s="542"/>
      <c r="B30" s="427" t="s">
        <v>142</v>
      </c>
      <c r="C30" s="429">
        <f>'LISTA PRECIOS'!C57</f>
        <v>2100</v>
      </c>
      <c r="D30" s="360"/>
    </row>
    <row r="31" spans="1:4" ht="27.95" customHeight="1" x14ac:dyDescent="0.25">
      <c r="A31" s="364"/>
      <c r="B31" s="362" t="s">
        <v>140</v>
      </c>
      <c r="C31" s="366">
        <f>'LISTA PRECIOS'!C58</f>
        <v>1700</v>
      </c>
      <c r="D31" s="360"/>
    </row>
    <row r="32" spans="1:4" ht="27.95" customHeight="1" x14ac:dyDescent="0.25">
      <c r="A32" s="364"/>
      <c r="B32" s="362" t="s">
        <v>635</v>
      </c>
      <c r="C32" s="366">
        <f>'LISTA PRECIOS'!C33</f>
        <v>5200</v>
      </c>
      <c r="D32" s="360"/>
    </row>
    <row r="33" spans="1:4" ht="27.95" customHeight="1" x14ac:dyDescent="0.25">
      <c r="A33" s="364"/>
      <c r="B33" s="362" t="s">
        <v>636</v>
      </c>
      <c r="C33" s="366">
        <f>'LISTA PRECIOS'!C35</f>
        <v>1900</v>
      </c>
      <c r="D33" s="360"/>
    </row>
    <row r="34" spans="1:4" ht="27.95" customHeight="1" x14ac:dyDescent="0.25">
      <c r="A34" s="364"/>
      <c r="B34" s="362" t="s">
        <v>153</v>
      </c>
      <c r="C34" s="366">
        <f>'LISTA PRECIOS'!C16</f>
        <v>0</v>
      </c>
      <c r="D34" s="360"/>
    </row>
    <row r="35" spans="1:4" ht="27.95" customHeight="1" x14ac:dyDescent="0.25">
      <c r="A35" s="364"/>
      <c r="B35" s="362" t="s">
        <v>106</v>
      </c>
      <c r="C35" s="366">
        <f>'LISTA PRECIOS'!C8</f>
        <v>8200</v>
      </c>
      <c r="D35" s="360"/>
    </row>
    <row r="36" spans="1:4" ht="27.95" customHeight="1" x14ac:dyDescent="0.25">
      <c r="A36" s="364"/>
      <c r="B36" s="362" t="s">
        <v>637</v>
      </c>
      <c r="C36" s="366">
        <f>'LISTA PRECIOS'!C9</f>
        <v>0</v>
      </c>
      <c r="D36" s="360"/>
    </row>
    <row r="37" spans="1:4" ht="27.95" customHeight="1" x14ac:dyDescent="0.25">
      <c r="A37" s="364"/>
      <c r="B37" s="362" t="s">
        <v>638</v>
      </c>
      <c r="C37" s="366">
        <f>'LISTA PRECIOS'!C69</f>
        <v>3900</v>
      </c>
      <c r="D37" s="360"/>
    </row>
    <row r="38" spans="1:4" ht="27.95" customHeight="1" x14ac:dyDescent="0.25">
      <c r="A38" s="364"/>
      <c r="B38" s="362" t="s">
        <v>639</v>
      </c>
      <c r="C38" s="366">
        <f>'LISTA PRECIOS'!C60</f>
        <v>4600</v>
      </c>
      <c r="D38" s="360"/>
    </row>
    <row r="39" spans="1:4" ht="27.95" customHeight="1" x14ac:dyDescent="0.25">
      <c r="A39" s="364"/>
      <c r="B39" s="362" t="s">
        <v>640</v>
      </c>
      <c r="C39" s="366">
        <f>'LISTA PRECIOS'!C62</f>
        <v>1440</v>
      </c>
      <c r="D39" s="360"/>
    </row>
    <row r="40" spans="1:4" ht="27.95" customHeight="1" x14ac:dyDescent="0.25">
      <c r="A40" s="364"/>
      <c r="B40" s="362" t="s">
        <v>641</v>
      </c>
      <c r="C40" s="366">
        <f>'LISTA PRECIOS'!C72</f>
        <v>1440</v>
      </c>
      <c r="D40" s="360"/>
    </row>
    <row r="41" spans="1:4" ht="27.95" customHeight="1" x14ac:dyDescent="0.25">
      <c r="A41" s="364"/>
      <c r="B41" s="362" t="s">
        <v>642</v>
      </c>
      <c r="C41" s="366">
        <f>'LISTA PRECIOS'!C67</f>
        <v>1240</v>
      </c>
      <c r="D41" s="360"/>
    </row>
    <row r="42" spans="1:4" ht="27.95" customHeight="1" x14ac:dyDescent="0.25">
      <c r="A42" s="364"/>
      <c r="B42" s="362" t="s">
        <v>643</v>
      </c>
      <c r="C42" s="366">
        <f>'LISTA PRECIOS'!C66</f>
        <v>840</v>
      </c>
      <c r="D42" s="360"/>
    </row>
    <row r="43" spans="1:4" ht="27.95" customHeight="1" x14ac:dyDescent="0.25">
      <c r="A43" s="364"/>
      <c r="B43" s="362" t="s">
        <v>644</v>
      </c>
      <c r="C43" s="366" t="e">
        <f>'LISTA PRECIOS'!#REF!</f>
        <v>#REF!</v>
      </c>
      <c r="D43" s="360"/>
    </row>
    <row r="44" spans="1:4" ht="27.95" customHeight="1" x14ac:dyDescent="0.25">
      <c r="A44" s="591"/>
      <c r="B44" s="368"/>
      <c r="C44" s="369"/>
      <c r="D44" s="360"/>
    </row>
    <row r="45" spans="1:4" ht="18" customHeight="1" x14ac:dyDescent="0.25">
      <c r="A45" s="1556" t="s">
        <v>575</v>
      </c>
      <c r="B45" s="1557"/>
      <c r="C45" s="1558"/>
      <c r="D45" s="360"/>
    </row>
    <row r="46" spans="1:4" ht="27.95" customHeight="1" x14ac:dyDescent="0.25">
      <c r="A46" s="1552"/>
      <c r="B46" s="1553"/>
      <c r="C46" s="1554"/>
      <c r="D46" s="360"/>
    </row>
    <row r="47" spans="1:4" ht="27.95" customHeight="1" x14ac:dyDescent="0.25">
      <c r="A47" s="361" t="s">
        <v>645</v>
      </c>
      <c r="B47" s="362" t="s">
        <v>646</v>
      </c>
      <c r="C47" s="366">
        <f>'LISTA PRECIOS'!H56</f>
        <v>2100</v>
      </c>
      <c r="D47" s="363"/>
    </row>
    <row r="48" spans="1:4" ht="27.95" customHeight="1" x14ac:dyDescent="0.25">
      <c r="A48" s="361" t="s">
        <v>647</v>
      </c>
      <c r="B48" s="362" t="s">
        <v>648</v>
      </c>
      <c r="C48" s="366">
        <f>C47</f>
        <v>2100</v>
      </c>
      <c r="D48" s="363"/>
    </row>
    <row r="49" spans="1:4" ht="27.95" customHeight="1" x14ac:dyDescent="0.25">
      <c r="A49" s="361" t="s">
        <v>649</v>
      </c>
      <c r="B49" s="362" t="s">
        <v>650</v>
      </c>
      <c r="C49" s="366">
        <f>'LISTA PRECIOS'!H19</f>
        <v>2433</v>
      </c>
      <c r="D49" s="363"/>
    </row>
    <row r="50" spans="1:4" ht="27.95" customHeight="1" x14ac:dyDescent="0.25">
      <c r="A50" s="361" t="s">
        <v>651</v>
      </c>
      <c r="B50" s="362" t="s">
        <v>652</v>
      </c>
      <c r="C50" s="366" t="e">
        <f>'LISTA PRECIOS'!H12</f>
        <v>#REF!</v>
      </c>
      <c r="D50" s="363"/>
    </row>
    <row r="51" spans="1:4" ht="27.95" customHeight="1" x14ac:dyDescent="0.25">
      <c r="A51" s="361" t="s">
        <v>653</v>
      </c>
      <c r="B51" s="362" t="s">
        <v>654</v>
      </c>
      <c r="C51" s="366">
        <f>'LISTA PRECIOS'!H13</f>
        <v>7000</v>
      </c>
      <c r="D51" s="363"/>
    </row>
    <row r="52" spans="1:4" ht="27.95" customHeight="1" x14ac:dyDescent="0.25">
      <c r="A52" s="361" t="s">
        <v>655</v>
      </c>
      <c r="B52" s="362" t="s">
        <v>656</v>
      </c>
      <c r="C52" s="366">
        <f>'LISTA PRECIOS'!H18</f>
        <v>26000</v>
      </c>
      <c r="D52" s="363"/>
    </row>
    <row r="53" spans="1:4" ht="27.95" customHeight="1" x14ac:dyDescent="0.25">
      <c r="A53" s="361" t="s">
        <v>657</v>
      </c>
      <c r="B53" s="362" t="s">
        <v>658</v>
      </c>
      <c r="C53" s="366">
        <f>'LISTA PRECIOS'!H17</f>
        <v>2500</v>
      </c>
      <c r="D53" s="363"/>
    </row>
    <row r="54" spans="1:4" ht="27.95" customHeight="1" x14ac:dyDescent="0.25">
      <c r="A54" s="361" t="s">
        <v>659</v>
      </c>
      <c r="B54" s="362" t="s">
        <v>284</v>
      </c>
      <c r="C54" s="366">
        <f>'LISTA PRECIOS'!H16</f>
        <v>2433</v>
      </c>
      <c r="D54" s="363"/>
    </row>
    <row r="55" spans="1:4" ht="27.95" customHeight="1" x14ac:dyDescent="0.25">
      <c r="A55" s="361" t="s">
        <v>660</v>
      </c>
      <c r="B55" s="362" t="s">
        <v>564</v>
      </c>
      <c r="C55" s="366">
        <f>'LISTA PRECIOS'!H20</f>
        <v>1900</v>
      </c>
      <c r="D55" s="363"/>
    </row>
    <row r="56" spans="1:4" ht="27.95" customHeight="1" x14ac:dyDescent="0.25">
      <c r="A56" s="361" t="s">
        <v>661</v>
      </c>
      <c r="B56" s="362" t="s">
        <v>343</v>
      </c>
      <c r="C56" s="366">
        <f>'LISTA PRECIOS'!H70</f>
        <v>3300</v>
      </c>
      <c r="D56" s="363"/>
    </row>
    <row r="57" spans="1:4" ht="27.95" customHeight="1" x14ac:dyDescent="0.25">
      <c r="A57" s="361" t="s">
        <v>662</v>
      </c>
      <c r="B57" s="362" t="s">
        <v>621</v>
      </c>
      <c r="C57" s="366">
        <f>'LISTA PRECIOS'!H71</f>
        <v>2850</v>
      </c>
      <c r="D57" s="363"/>
    </row>
    <row r="58" spans="1:4" ht="27.95" customHeight="1" x14ac:dyDescent="0.25">
      <c r="A58" s="361" t="s">
        <v>663</v>
      </c>
      <c r="B58" s="362" t="s">
        <v>623</v>
      </c>
      <c r="C58" s="366">
        <f>C57</f>
        <v>2850</v>
      </c>
      <c r="D58" s="363"/>
    </row>
    <row r="59" spans="1:4" ht="27.95" customHeight="1" x14ac:dyDescent="0.25">
      <c r="A59" s="361" t="s">
        <v>664</v>
      </c>
      <c r="B59" s="362" t="s">
        <v>633</v>
      </c>
      <c r="C59" s="366">
        <f>'LISTA PRECIOS'!H3</f>
        <v>2700</v>
      </c>
      <c r="D59" s="363"/>
    </row>
    <row r="60" spans="1:4" ht="27.95" customHeight="1" x14ac:dyDescent="0.25">
      <c r="A60" s="361" t="s">
        <v>665</v>
      </c>
      <c r="B60" s="362" t="s">
        <v>629</v>
      </c>
      <c r="C60" s="366">
        <f>C59</f>
        <v>2700</v>
      </c>
      <c r="D60" s="363"/>
    </row>
    <row r="61" spans="1:4" ht="27.95" customHeight="1" x14ac:dyDescent="0.25">
      <c r="A61" s="361" t="s">
        <v>666</v>
      </c>
      <c r="B61" s="362" t="s">
        <v>631</v>
      </c>
      <c r="C61" s="366">
        <f>C60</f>
        <v>2700</v>
      </c>
      <c r="D61" s="363"/>
    </row>
    <row r="62" spans="1:4" ht="27.95" customHeight="1" x14ac:dyDescent="0.25">
      <c r="A62" s="361" t="s">
        <v>667</v>
      </c>
      <c r="B62" s="362" t="s">
        <v>627</v>
      </c>
      <c r="C62" s="366">
        <f>C61</f>
        <v>2700</v>
      </c>
      <c r="D62" s="363"/>
    </row>
    <row r="63" spans="1:4" ht="27.95" customHeight="1" x14ac:dyDescent="0.25">
      <c r="A63" s="361" t="s">
        <v>668</v>
      </c>
      <c r="B63" s="362" t="s">
        <v>359</v>
      </c>
      <c r="C63" s="366">
        <f>'LISTA PRECIOS'!H63</f>
        <v>2350</v>
      </c>
      <c r="D63" s="363"/>
    </row>
    <row r="64" spans="1:4" ht="27.95" customHeight="1" x14ac:dyDescent="0.25">
      <c r="A64" s="361" t="s">
        <v>669</v>
      </c>
      <c r="B64" s="362" t="s">
        <v>138</v>
      </c>
      <c r="C64" s="366">
        <f>'LISTA PRECIOS'!H32</f>
        <v>18000</v>
      </c>
      <c r="D64" s="363"/>
    </row>
    <row r="65" spans="1:4" ht="27.95" customHeight="1" x14ac:dyDescent="0.25">
      <c r="A65" s="361" t="s">
        <v>670</v>
      </c>
      <c r="B65" s="362" t="s">
        <v>212</v>
      </c>
      <c r="C65" s="366">
        <f>'LISTA PRECIOS'!H26</f>
        <v>2500</v>
      </c>
      <c r="D65" s="363"/>
    </row>
    <row r="66" spans="1:4" ht="27.95" customHeight="1" x14ac:dyDescent="0.25">
      <c r="A66" s="361" t="s">
        <v>671</v>
      </c>
      <c r="B66" s="362" t="s">
        <v>672</v>
      </c>
      <c r="C66" s="366">
        <f>'LISTA PRECIOS'!H56</f>
        <v>2100</v>
      </c>
      <c r="D66" s="363"/>
    </row>
    <row r="67" spans="1:4" ht="27.95" customHeight="1" x14ac:dyDescent="0.25">
      <c r="A67" s="361" t="s">
        <v>673</v>
      </c>
      <c r="B67" s="362" t="s">
        <v>127</v>
      </c>
      <c r="C67" s="366">
        <f>'LISTA PRECIOS'!H45</f>
        <v>11600</v>
      </c>
      <c r="D67" s="363"/>
    </row>
    <row r="68" spans="1:4" ht="27.95" customHeight="1" x14ac:dyDescent="0.25">
      <c r="A68" s="361" t="s">
        <v>674</v>
      </c>
      <c r="B68" s="362" t="s">
        <v>371</v>
      </c>
      <c r="C68" s="366">
        <f>'LISTA PRECIOS'!H67</f>
        <v>3400</v>
      </c>
      <c r="D68" s="363"/>
    </row>
    <row r="69" spans="1:4" ht="27.95" customHeight="1" x14ac:dyDescent="0.25">
      <c r="A69" s="361" t="s">
        <v>675</v>
      </c>
      <c r="B69" s="362" t="s">
        <v>370</v>
      </c>
      <c r="C69" s="366">
        <f>'LISTA PRECIOS'!H51</f>
        <v>6300</v>
      </c>
      <c r="D69" s="363"/>
    </row>
    <row r="70" spans="1:4" ht="27.95" customHeight="1" x14ac:dyDescent="0.25">
      <c r="A70" s="361" t="s">
        <v>676</v>
      </c>
      <c r="B70" s="362" t="s">
        <v>307</v>
      </c>
      <c r="C70" s="366">
        <f>'LISTA PRECIOS'!H14</f>
        <v>9000</v>
      </c>
      <c r="D70" s="363"/>
    </row>
    <row r="71" spans="1:4" ht="27.95" customHeight="1" x14ac:dyDescent="0.25">
      <c r="A71" s="361"/>
      <c r="B71" s="362" t="s">
        <v>677</v>
      </c>
      <c r="C71" s="366">
        <f>'LISTA PRECIOS'!H56</f>
        <v>2100</v>
      </c>
      <c r="D71" s="363"/>
    </row>
    <row r="72" spans="1:4" ht="27.95" customHeight="1" x14ac:dyDescent="0.25">
      <c r="A72" s="361"/>
      <c r="B72" s="362" t="s">
        <v>141</v>
      </c>
      <c r="C72" s="366">
        <f>'LISTA PRECIOS'!H23</f>
        <v>5100</v>
      </c>
      <c r="D72" s="363"/>
    </row>
    <row r="73" spans="1:4" ht="27.95" customHeight="1" x14ac:dyDescent="0.25">
      <c r="A73" s="361"/>
      <c r="B73" s="362" t="s">
        <v>318</v>
      </c>
      <c r="C73" s="366">
        <f>'LISTA PRECIOS'!H28</f>
        <v>11000</v>
      </c>
      <c r="D73" s="363"/>
    </row>
    <row r="74" spans="1:4" ht="27.95" customHeight="1" x14ac:dyDescent="0.25">
      <c r="A74" s="361"/>
      <c r="B74" s="362" t="s">
        <v>138</v>
      </c>
      <c r="C74" s="366">
        <f>'LISTA PRECIOS'!H32</f>
        <v>18000</v>
      </c>
      <c r="D74" s="363"/>
    </row>
    <row r="75" spans="1:4" ht="27.95" customHeight="1" x14ac:dyDescent="0.25">
      <c r="A75" s="361"/>
      <c r="B75" s="362" t="s">
        <v>321</v>
      </c>
      <c r="C75" s="366">
        <f>'LISTA PRECIOS'!H39</f>
        <v>2633</v>
      </c>
      <c r="D75" s="363"/>
    </row>
    <row r="76" spans="1:4" ht="27.95" customHeight="1" x14ac:dyDescent="0.25">
      <c r="A76" s="361"/>
      <c r="B76" s="362" t="s">
        <v>381</v>
      </c>
      <c r="C76" s="366">
        <f>'LISTA PRECIOS'!H41</f>
        <v>2350</v>
      </c>
      <c r="D76" s="363"/>
    </row>
    <row r="77" spans="1:4" ht="27.95" customHeight="1" x14ac:dyDescent="0.25">
      <c r="A77" s="361"/>
      <c r="B77" s="362" t="s">
        <v>379</v>
      </c>
      <c r="C77" s="366" t="e">
        <f>'LISTA PRECIOS'!#REF!</f>
        <v>#REF!</v>
      </c>
      <c r="D77" s="363"/>
    </row>
    <row r="78" spans="1:4" ht="27.95" customHeight="1" x14ac:dyDescent="0.25">
      <c r="A78" s="361"/>
      <c r="B78" s="362" t="s">
        <v>369</v>
      </c>
      <c r="C78" s="366">
        <f>'LISTA PRECIOS'!H42</f>
        <v>4400</v>
      </c>
      <c r="D78" s="363"/>
    </row>
    <row r="79" spans="1:4" ht="27.95" customHeight="1" x14ac:dyDescent="0.25">
      <c r="A79" s="361"/>
      <c r="B79" s="362" t="s">
        <v>347</v>
      </c>
      <c r="C79" s="366">
        <f>'LISTA PRECIOS'!H43</f>
        <v>2350</v>
      </c>
      <c r="D79" s="363"/>
    </row>
    <row r="80" spans="1:4" ht="27.95" customHeight="1" x14ac:dyDescent="0.25">
      <c r="A80" s="361"/>
      <c r="B80" s="362" t="s">
        <v>336</v>
      </c>
      <c r="C80" s="366">
        <f>'LISTA PRECIOS'!H46</f>
        <v>3000</v>
      </c>
      <c r="D80" s="363"/>
    </row>
    <row r="81" spans="1:4" ht="27.95" customHeight="1" x14ac:dyDescent="0.25">
      <c r="A81" s="361"/>
      <c r="B81" s="362" t="s">
        <v>153</v>
      </c>
      <c r="C81" s="366">
        <f>'LISTA PRECIOS'!H50</f>
        <v>10000</v>
      </c>
      <c r="D81" s="363"/>
    </row>
    <row r="82" spans="1:4" ht="27.95" customHeight="1" x14ac:dyDescent="0.25">
      <c r="A82" s="361"/>
      <c r="B82" s="362" t="s">
        <v>144</v>
      </c>
      <c r="C82" s="366">
        <f>'LISTA PRECIOS'!H62</f>
        <v>3350</v>
      </c>
      <c r="D82" s="363"/>
    </row>
    <row r="83" spans="1:4" ht="27.95" customHeight="1" x14ac:dyDescent="0.25">
      <c r="A83" s="361"/>
      <c r="B83" s="362" t="s">
        <v>380</v>
      </c>
      <c r="C83" s="366">
        <f>'LISTA PRECIOS'!H63</f>
        <v>2350</v>
      </c>
      <c r="D83" s="363"/>
    </row>
    <row r="84" spans="1:4" ht="27.95" customHeight="1" x14ac:dyDescent="0.25">
      <c r="A84" s="361"/>
      <c r="B84" s="362" t="s">
        <v>359</v>
      </c>
      <c r="C84" s="366">
        <f>'LISTA PRECIOS'!H63</f>
        <v>2350</v>
      </c>
      <c r="D84" s="363"/>
    </row>
    <row r="85" spans="1:4" ht="27.95" customHeight="1" x14ac:dyDescent="0.25">
      <c r="A85" s="361"/>
      <c r="B85" s="362" t="s">
        <v>678</v>
      </c>
      <c r="C85" s="366">
        <f>'LISTA PRECIOS'!H71</f>
        <v>2850</v>
      </c>
      <c r="D85" s="363"/>
    </row>
    <row r="86" spans="1:4" ht="27.95" customHeight="1" x14ac:dyDescent="0.25">
      <c r="A86" s="361"/>
      <c r="B86" s="362" t="s">
        <v>384</v>
      </c>
      <c r="C86" s="366">
        <f>'LISTA PRECIOS'!H74</f>
        <v>2250</v>
      </c>
      <c r="D86" s="363"/>
    </row>
    <row r="87" spans="1:4" ht="27.95" customHeight="1" x14ac:dyDescent="0.25">
      <c r="A87" s="361"/>
      <c r="B87" s="362" t="s">
        <v>679</v>
      </c>
      <c r="C87" s="366" t="e">
        <f>'LISTA PRECIOS'!#REF!</f>
        <v>#REF!</v>
      </c>
      <c r="D87" s="363"/>
    </row>
    <row r="88" spans="1:4" ht="27.95" customHeight="1" x14ac:dyDescent="0.25">
      <c r="A88" s="361"/>
      <c r="B88" s="362" t="s">
        <v>592</v>
      </c>
      <c r="C88" s="366">
        <f>'LISTA PRECIOS'!H79</f>
        <v>7500</v>
      </c>
      <c r="D88" s="363"/>
    </row>
    <row r="89" spans="1:4" ht="27.95" customHeight="1" x14ac:dyDescent="0.25">
      <c r="A89" s="361"/>
      <c r="B89" s="362" t="s">
        <v>593</v>
      </c>
      <c r="C89" s="366">
        <f>'LISTA PRECIOS'!H80</f>
        <v>7500</v>
      </c>
      <c r="D89" s="363"/>
    </row>
    <row r="90" spans="1:4" ht="27.95" customHeight="1" x14ac:dyDescent="0.25">
      <c r="A90" s="361"/>
      <c r="B90" s="362" t="s">
        <v>148</v>
      </c>
      <c r="C90" s="366">
        <f>'LISTA PRECIOS'!H81</f>
        <v>3000</v>
      </c>
      <c r="D90" s="363"/>
    </row>
    <row r="91" spans="1:4" ht="27.95" customHeight="1" x14ac:dyDescent="0.25">
      <c r="A91" s="361"/>
      <c r="B91" s="362" t="s">
        <v>140</v>
      </c>
      <c r="C91" s="366">
        <f>'LISTA PRECIOS'!H82</f>
        <v>3000</v>
      </c>
      <c r="D91" s="363"/>
    </row>
    <row r="92" spans="1:4" ht="27.95" customHeight="1" x14ac:dyDescent="0.25">
      <c r="A92" s="361"/>
      <c r="B92" s="362" t="s">
        <v>363</v>
      </c>
      <c r="C92" s="366">
        <f>'LISTA PRECIOS'!H8</f>
        <v>11500</v>
      </c>
      <c r="D92" s="363"/>
    </row>
    <row r="93" spans="1:4" ht="27.95" customHeight="1" x14ac:dyDescent="0.25">
      <c r="A93" s="594"/>
      <c r="B93" s="541"/>
      <c r="C93" s="595"/>
      <c r="D93" s="363"/>
    </row>
    <row r="94" spans="1:4" ht="18" customHeight="1" x14ac:dyDescent="0.25">
      <c r="A94" s="1549" t="s">
        <v>595</v>
      </c>
      <c r="B94" s="1550"/>
      <c r="C94" s="1551"/>
      <c r="D94" s="363"/>
    </row>
    <row r="95" spans="1:4" ht="27.95" customHeight="1" x14ac:dyDescent="0.25">
      <c r="A95" s="1552"/>
      <c r="B95" s="1553"/>
      <c r="C95" s="1554"/>
      <c r="D95" s="363"/>
    </row>
    <row r="96" spans="1:4" ht="27.95" customHeight="1" x14ac:dyDescent="0.25">
      <c r="A96" s="361" t="s">
        <v>680</v>
      </c>
      <c r="B96" s="362" t="s">
        <v>398</v>
      </c>
      <c r="C96" s="366">
        <f>'LISTA PRECIOS'!H91</f>
        <v>1600</v>
      </c>
      <c r="D96" s="363"/>
    </row>
    <row r="97" spans="1:4" ht="27.95" customHeight="1" x14ac:dyDescent="0.25">
      <c r="A97" s="361" t="s">
        <v>681</v>
      </c>
      <c r="B97" s="362" t="s">
        <v>285</v>
      </c>
      <c r="C97" s="366">
        <f>'LISTA PRECIOS'!H117</f>
        <v>1440</v>
      </c>
      <c r="D97" s="360"/>
    </row>
    <row r="98" spans="1:4" ht="27.95" customHeight="1" x14ac:dyDescent="0.25">
      <c r="A98" s="361" t="s">
        <v>682</v>
      </c>
      <c r="B98" s="362" t="s">
        <v>277</v>
      </c>
      <c r="C98" s="366">
        <f>'LISTA PRECIOS'!H86</f>
        <v>7000</v>
      </c>
      <c r="D98" s="360"/>
    </row>
    <row r="99" spans="1:4" ht="27.95" customHeight="1" x14ac:dyDescent="0.25">
      <c r="A99" s="361" t="s">
        <v>683</v>
      </c>
      <c r="B99" s="362" t="s">
        <v>684</v>
      </c>
      <c r="C99" s="366">
        <f>'LISTA PRECIOS'!H98</f>
        <v>12000</v>
      </c>
      <c r="D99" s="363"/>
    </row>
    <row r="100" spans="1:4" ht="27.95" customHeight="1" x14ac:dyDescent="0.25">
      <c r="A100" s="361" t="s">
        <v>685</v>
      </c>
      <c r="B100" s="362" t="s">
        <v>320</v>
      </c>
      <c r="C100" s="366" t="e">
        <f>'LISTA PRECIOS'!H118</f>
        <v>#REF!</v>
      </c>
      <c r="D100" s="360"/>
    </row>
    <row r="101" spans="1:4" ht="27.95" customHeight="1" x14ac:dyDescent="0.25">
      <c r="A101" s="361" t="s">
        <v>686</v>
      </c>
      <c r="B101" s="427" t="s">
        <v>687</v>
      </c>
      <c r="C101" s="429">
        <f>'LISTA PRECIOS'!H106</f>
        <v>1650</v>
      </c>
      <c r="D101" s="360"/>
    </row>
    <row r="102" spans="1:4" ht="27.95" customHeight="1" x14ac:dyDescent="0.25">
      <c r="A102" s="361" t="s">
        <v>688</v>
      </c>
      <c r="B102" s="362" t="s">
        <v>689</v>
      </c>
      <c r="C102" s="366">
        <f>'LISTA PRECIOS'!H104</f>
        <v>1300</v>
      </c>
      <c r="D102" s="360"/>
    </row>
    <row r="103" spans="1:4" ht="27.95" customHeight="1" x14ac:dyDescent="0.25">
      <c r="A103" s="361" t="s">
        <v>690</v>
      </c>
      <c r="B103" s="362" t="s">
        <v>691</v>
      </c>
      <c r="C103" s="366">
        <f>'LISTA PRECIOS'!H116</f>
        <v>6500</v>
      </c>
      <c r="D103" s="360"/>
    </row>
    <row r="104" spans="1:4" ht="27.95" customHeight="1" x14ac:dyDescent="0.25">
      <c r="A104" s="361" t="s">
        <v>692</v>
      </c>
      <c r="B104" s="362" t="s">
        <v>200</v>
      </c>
      <c r="C104" s="366">
        <f>'LISTA PRECIOS'!H115</f>
        <v>3500</v>
      </c>
      <c r="D104" s="360"/>
    </row>
    <row r="105" spans="1:4" ht="27.95" customHeight="1" x14ac:dyDescent="0.25">
      <c r="A105" s="361" t="s">
        <v>693</v>
      </c>
      <c r="B105" s="362" t="s">
        <v>694</v>
      </c>
      <c r="C105" s="366" t="e">
        <f>'LISTA PRECIOS'!#REF!</f>
        <v>#REF!</v>
      </c>
      <c r="D105" s="360"/>
    </row>
    <row r="106" spans="1:4" ht="27.95" customHeight="1" x14ac:dyDescent="0.25">
      <c r="A106" s="361" t="s">
        <v>695</v>
      </c>
      <c r="B106" s="362" t="s">
        <v>621</v>
      </c>
      <c r="C106" s="366">
        <f>'LISTA PRECIOS'!H114</f>
        <v>1650</v>
      </c>
      <c r="D106" s="360"/>
    </row>
    <row r="107" spans="1:4" ht="27.95" customHeight="1" x14ac:dyDescent="0.25">
      <c r="A107" s="361" t="s">
        <v>696</v>
      </c>
      <c r="B107" s="362" t="s">
        <v>623</v>
      </c>
      <c r="C107" s="366">
        <f>C106</f>
        <v>1650</v>
      </c>
      <c r="D107" s="360"/>
    </row>
    <row r="108" spans="1:4" ht="27.95" customHeight="1" x14ac:dyDescent="0.25">
      <c r="A108" s="361"/>
      <c r="B108" s="362" t="s">
        <v>678</v>
      </c>
      <c r="C108" s="366">
        <f>'LISTA PRECIOS'!H114</f>
        <v>1650</v>
      </c>
      <c r="D108" s="360"/>
    </row>
    <row r="109" spans="1:4" ht="27.95" customHeight="1" x14ac:dyDescent="0.25">
      <c r="A109" s="361" t="s">
        <v>697</v>
      </c>
      <c r="B109" s="362" t="s">
        <v>290</v>
      </c>
      <c r="C109" s="366">
        <f>'LISTA PRECIOS'!H113</f>
        <v>2433</v>
      </c>
      <c r="D109" s="360"/>
    </row>
    <row r="110" spans="1:4" ht="27.95" customHeight="1" x14ac:dyDescent="0.25">
      <c r="A110" s="361" t="s">
        <v>698</v>
      </c>
      <c r="B110" s="362" t="s">
        <v>371</v>
      </c>
      <c r="C110" s="366">
        <f>'LISTA PRECIOS'!H112</f>
        <v>1850</v>
      </c>
      <c r="D110" s="360"/>
    </row>
    <row r="111" spans="1:4" ht="27.95" customHeight="1" x14ac:dyDescent="0.25">
      <c r="A111" s="361" t="s">
        <v>699</v>
      </c>
      <c r="B111" s="362" t="s">
        <v>370</v>
      </c>
      <c r="C111" s="366">
        <f>'LISTA PRECIOS'!H93</f>
        <v>1700</v>
      </c>
      <c r="D111" s="360"/>
    </row>
    <row r="112" spans="1:4" ht="27.95" customHeight="1" x14ac:dyDescent="0.25">
      <c r="A112" s="361"/>
      <c r="B112" s="362" t="s">
        <v>384</v>
      </c>
      <c r="C112" s="366">
        <f>'LISTA PRECIOS'!H119</f>
        <v>1450</v>
      </c>
      <c r="D112" s="360"/>
    </row>
    <row r="113" spans="1:4" ht="27.95" customHeight="1" x14ac:dyDescent="0.25">
      <c r="A113" s="361"/>
      <c r="B113" s="362" t="s">
        <v>679</v>
      </c>
      <c r="C113" s="366" t="e">
        <f>'LISTA PRECIOS'!#REF!</f>
        <v>#REF!</v>
      </c>
      <c r="D113" s="360"/>
    </row>
    <row r="114" spans="1:4" ht="27.95" customHeight="1" x14ac:dyDescent="0.25">
      <c r="A114" s="361"/>
      <c r="B114" s="362" t="s">
        <v>144</v>
      </c>
      <c r="C114" s="366">
        <f>'LISTA PRECIOS'!H107</f>
        <v>1650</v>
      </c>
      <c r="D114" s="360"/>
    </row>
    <row r="115" spans="1:4" ht="27.95" customHeight="1" x14ac:dyDescent="0.25">
      <c r="A115" s="361"/>
      <c r="B115" s="362" t="s">
        <v>336</v>
      </c>
      <c r="C115" s="366">
        <f>'LISTA PRECIOS'!H88</f>
        <v>1450</v>
      </c>
      <c r="D115" s="360"/>
    </row>
    <row r="116" spans="1:4" ht="27.95" customHeight="1" x14ac:dyDescent="0.25">
      <c r="A116" s="361"/>
      <c r="B116" s="362" t="s">
        <v>347</v>
      </c>
      <c r="C116" s="366">
        <f>'LISTA PRECIOS'!H87</f>
        <v>1100</v>
      </c>
      <c r="D116" s="360"/>
    </row>
    <row r="117" spans="1:4" ht="27.95" customHeight="1" x14ac:dyDescent="0.25">
      <c r="A117" s="361"/>
      <c r="B117" s="362" t="s">
        <v>140</v>
      </c>
      <c r="C117" s="366">
        <f>'LISTA PRECIOS'!H122</f>
        <v>1700</v>
      </c>
      <c r="D117" s="360"/>
    </row>
    <row r="118" spans="1:4" ht="27.95" customHeight="1" x14ac:dyDescent="0.25">
      <c r="A118" s="361"/>
      <c r="B118" s="362" t="s">
        <v>700</v>
      </c>
      <c r="C118" s="366">
        <f>'LISTA PRECIOS'!H121</f>
        <v>7500</v>
      </c>
      <c r="D118" s="360"/>
    </row>
    <row r="119" spans="1:4" ht="27.95" customHeight="1" x14ac:dyDescent="0.25">
      <c r="A119" s="367"/>
      <c r="B119" s="368"/>
      <c r="C119" s="369"/>
      <c r="D119" s="360"/>
    </row>
    <row r="120" spans="1:4" ht="18" customHeight="1" x14ac:dyDescent="0.25">
      <c r="A120" s="1549" t="s">
        <v>558</v>
      </c>
      <c r="B120" s="1550"/>
      <c r="C120" s="1551"/>
      <c r="D120" s="360"/>
    </row>
    <row r="121" spans="1:4" ht="18" customHeight="1" x14ac:dyDescent="0.25">
      <c r="A121" s="1552"/>
      <c r="B121" s="1553"/>
      <c r="C121" s="1554"/>
      <c r="D121" s="360"/>
    </row>
    <row r="122" spans="1:4" ht="27.95" customHeight="1" x14ac:dyDescent="0.25">
      <c r="A122" s="361" t="s">
        <v>701</v>
      </c>
      <c r="B122" s="362" t="s">
        <v>702</v>
      </c>
      <c r="C122" s="366">
        <f>'LISTA PRECIOS'!M14</f>
        <v>1300</v>
      </c>
      <c r="D122" s="360"/>
    </row>
    <row r="123" spans="1:4" ht="27.95" customHeight="1" x14ac:dyDescent="0.25">
      <c r="A123" s="361" t="s">
        <v>703</v>
      </c>
      <c r="B123" s="362" t="s">
        <v>704</v>
      </c>
      <c r="C123" s="366">
        <f>'LISTA PRECIOS'!M14</f>
        <v>1300</v>
      </c>
      <c r="D123" s="360"/>
    </row>
    <row r="124" spans="1:4" ht="27.95" customHeight="1" x14ac:dyDescent="0.25">
      <c r="A124" s="361" t="s">
        <v>705</v>
      </c>
      <c r="B124" s="362" t="s">
        <v>706</v>
      </c>
      <c r="C124" s="366">
        <f>'LISTA PRECIOS'!M14</f>
        <v>1300</v>
      </c>
      <c r="D124" s="360"/>
    </row>
    <row r="125" spans="1:4" ht="27.95" customHeight="1" x14ac:dyDescent="0.25">
      <c r="A125" s="361" t="s">
        <v>707</v>
      </c>
      <c r="B125" s="362" t="s">
        <v>708</v>
      </c>
      <c r="C125" s="366">
        <f>'LISTA PRECIOS'!M15</f>
        <v>1500</v>
      </c>
      <c r="D125" s="366"/>
    </row>
    <row r="126" spans="1:4" ht="27.95" customHeight="1" x14ac:dyDescent="0.25">
      <c r="A126" s="361" t="s">
        <v>709</v>
      </c>
      <c r="B126" s="362" t="s">
        <v>710</v>
      </c>
      <c r="C126" s="366">
        <f>'LISTA PRECIOS'!M15</f>
        <v>1500</v>
      </c>
      <c r="D126" s="360"/>
    </row>
    <row r="127" spans="1:4" ht="27.95" customHeight="1" x14ac:dyDescent="0.25">
      <c r="A127" s="361" t="s">
        <v>711</v>
      </c>
      <c r="B127" s="362" t="s">
        <v>712</v>
      </c>
      <c r="C127" s="366">
        <f>'LISTA PRECIOS'!M15</f>
        <v>1500</v>
      </c>
      <c r="D127" s="360"/>
    </row>
    <row r="128" spans="1:4" ht="27.95" customHeight="1" x14ac:dyDescent="0.25">
      <c r="A128" s="361" t="s">
        <v>713</v>
      </c>
      <c r="B128" s="362" t="s">
        <v>714</v>
      </c>
      <c r="C128" s="366">
        <f>'LISTA PRECIOS'!M15</f>
        <v>1500</v>
      </c>
      <c r="D128" s="360"/>
    </row>
    <row r="129" spans="1:4" ht="27.95" customHeight="1" x14ac:dyDescent="0.25">
      <c r="A129" s="361" t="s">
        <v>715</v>
      </c>
      <c r="B129" s="362" t="s">
        <v>716</v>
      </c>
      <c r="C129" s="366">
        <f>'LISTA PRECIOS'!M15</f>
        <v>1500</v>
      </c>
      <c r="D129" s="360"/>
    </row>
    <row r="130" spans="1:4" ht="27.95" customHeight="1" x14ac:dyDescent="0.25">
      <c r="A130" s="361" t="s">
        <v>717</v>
      </c>
      <c r="B130" s="362" t="s">
        <v>718</v>
      </c>
      <c r="C130" s="366">
        <f>'LISTA PRECIOS'!M15</f>
        <v>1500</v>
      </c>
      <c r="D130" s="360"/>
    </row>
    <row r="131" spans="1:4" ht="27.95" customHeight="1" x14ac:dyDescent="0.25">
      <c r="A131" s="361" t="s">
        <v>719</v>
      </c>
      <c r="B131" s="362" t="s">
        <v>720</v>
      </c>
      <c r="C131" s="366">
        <f>'LISTA PRECIOS'!M12</f>
        <v>1600</v>
      </c>
      <c r="D131" s="360"/>
    </row>
    <row r="132" spans="1:4" ht="27.95" customHeight="1" x14ac:dyDescent="0.25">
      <c r="A132" s="361" t="s">
        <v>721</v>
      </c>
      <c r="B132" s="362" t="s">
        <v>722</v>
      </c>
      <c r="C132" s="366">
        <f>'LISTA PRECIOS'!M12</f>
        <v>1600</v>
      </c>
    </row>
    <row r="133" spans="1:4" ht="27.95" customHeight="1" x14ac:dyDescent="0.25">
      <c r="A133" s="361" t="s">
        <v>723</v>
      </c>
      <c r="B133" s="362" t="s">
        <v>724</v>
      </c>
      <c r="C133" s="366">
        <f>'LISTA PRECIOS'!M12</f>
        <v>1600</v>
      </c>
    </row>
    <row r="134" spans="1:4" ht="27.95" customHeight="1" x14ac:dyDescent="0.25">
      <c r="A134" s="361" t="s">
        <v>725</v>
      </c>
      <c r="B134" s="362" t="s">
        <v>726</v>
      </c>
      <c r="C134" s="366">
        <f>'LISTA PRECIOS'!M12</f>
        <v>1600</v>
      </c>
    </row>
    <row r="135" spans="1:4" ht="27.95" customHeight="1" x14ac:dyDescent="0.25">
      <c r="A135" s="361" t="s">
        <v>727</v>
      </c>
      <c r="B135" s="362" t="s">
        <v>728</v>
      </c>
      <c r="C135" s="366">
        <f>'LISTA PRECIOS'!M13</f>
        <v>1600</v>
      </c>
    </row>
    <row r="136" spans="1:4" ht="27.95" customHeight="1" x14ac:dyDescent="0.25">
      <c r="A136" s="361" t="s">
        <v>729</v>
      </c>
      <c r="B136" s="362" t="s">
        <v>730</v>
      </c>
      <c r="C136" s="366">
        <f>'LISTA PRECIOS'!M13</f>
        <v>1600</v>
      </c>
    </row>
    <row r="137" spans="1:4" ht="27.95" customHeight="1" x14ac:dyDescent="0.25">
      <c r="A137" s="454" t="s">
        <v>731</v>
      </c>
      <c r="B137" s="455" t="s">
        <v>732</v>
      </c>
      <c r="C137" s="456">
        <f>'LISTA PRECIOS'!M13</f>
        <v>1600</v>
      </c>
    </row>
    <row r="138" spans="1:4" ht="27.95" customHeight="1" x14ac:dyDescent="0.25">
      <c r="A138" s="361" t="s">
        <v>733</v>
      </c>
      <c r="B138" s="362" t="s">
        <v>734</v>
      </c>
      <c r="C138" s="366">
        <f>'LISTA PRECIOS'!M13</f>
        <v>1600</v>
      </c>
    </row>
    <row r="139" spans="1:4" ht="27.95" customHeight="1" x14ac:dyDescent="0.25">
      <c r="A139" s="361" t="s">
        <v>735</v>
      </c>
      <c r="B139" s="362" t="s">
        <v>736</v>
      </c>
      <c r="C139" s="366">
        <f>'LISTA PRECIOS'!M13</f>
        <v>1600</v>
      </c>
    </row>
    <row r="140" spans="1:4" ht="27.95" customHeight="1" x14ac:dyDescent="0.25">
      <c r="A140" s="361" t="s">
        <v>737</v>
      </c>
      <c r="B140" s="362" t="s">
        <v>738</v>
      </c>
      <c r="C140" s="366">
        <f>'LISTA PRECIOS'!M13</f>
        <v>1600</v>
      </c>
    </row>
    <row r="141" spans="1:4" ht="27.95" customHeight="1" x14ac:dyDescent="0.25"/>
    <row r="142" spans="1:4" ht="18" customHeight="1" x14ac:dyDescent="0.25"/>
    <row r="143" spans="1:4" ht="18" customHeight="1" x14ac:dyDescent="0.25">
      <c r="D143" s="360"/>
    </row>
    <row r="144" spans="1:4" ht="27.95" customHeight="1" x14ac:dyDescent="0.25">
      <c r="D144" s="360"/>
    </row>
    <row r="145" spans="1:4" ht="27.95" customHeight="1" x14ac:dyDescent="0.25">
      <c r="D145" s="360"/>
    </row>
    <row r="146" spans="1:4" ht="27.95" customHeight="1" x14ac:dyDescent="0.25">
      <c r="D146" s="360"/>
    </row>
    <row r="147" spans="1:4" ht="27.95" customHeight="1" x14ac:dyDescent="0.25">
      <c r="D147" s="360"/>
    </row>
    <row r="148" spans="1:4" ht="27.95" customHeight="1" x14ac:dyDescent="0.25">
      <c r="D148" s="360"/>
    </row>
    <row r="149" spans="1:4" ht="27.95" customHeight="1" x14ac:dyDescent="0.25">
      <c r="D149" s="360"/>
    </row>
    <row r="150" spans="1:4" ht="27.95" customHeight="1" x14ac:dyDescent="0.25"/>
    <row r="151" spans="1:4" ht="27.95" customHeight="1" x14ac:dyDescent="0.25">
      <c r="A151" s="440"/>
      <c r="B151" s="440"/>
      <c r="C151" s="538"/>
    </row>
    <row r="152" spans="1:4" ht="27.95" customHeight="1" x14ac:dyDescent="0.25">
      <c r="A152" s="440"/>
      <c r="B152" s="440"/>
      <c r="C152" s="538"/>
    </row>
    <row r="153" spans="1:4" ht="27.95" customHeight="1" x14ac:dyDescent="0.25">
      <c r="A153" s="431"/>
      <c r="C153" s="432"/>
    </row>
    <row r="154" spans="1:4" ht="27.95" customHeight="1" x14ac:dyDescent="0.25">
      <c r="A154" s="441"/>
      <c r="B154" s="441"/>
      <c r="C154" s="539"/>
    </row>
    <row r="155" spans="1:4" ht="27.95" customHeight="1" x14ac:dyDescent="0.25">
      <c r="A155" s="441"/>
      <c r="B155" s="441"/>
      <c r="C155" s="539"/>
    </row>
    <row r="156" spans="1:4" ht="27.95" customHeight="1" x14ac:dyDescent="0.25">
      <c r="A156" s="437"/>
      <c r="B156" s="438"/>
      <c r="C156" s="436"/>
    </row>
    <row r="157" spans="1:4" ht="27.95" customHeight="1" x14ac:dyDescent="0.25">
      <c r="A157" s="437"/>
      <c r="B157" s="438"/>
      <c r="C157" s="436"/>
    </row>
    <row r="158" spans="1:4" ht="27.95" customHeight="1" x14ac:dyDescent="0.25">
      <c r="A158" s="437"/>
      <c r="B158" s="438"/>
      <c r="C158" s="436"/>
    </row>
    <row r="159" spans="1:4" ht="27.95" customHeight="1" x14ac:dyDescent="0.25">
      <c r="A159" s="437"/>
      <c r="B159" s="438"/>
      <c r="C159" s="436"/>
    </row>
    <row r="160" spans="1:4" ht="30.6" customHeight="1" x14ac:dyDescent="0.25">
      <c r="A160" s="437"/>
      <c r="B160" s="438"/>
      <c r="C160" s="436"/>
    </row>
    <row r="161" spans="1:3" ht="19.5" customHeight="1" x14ac:dyDescent="0.25">
      <c r="A161" s="437"/>
      <c r="B161" s="435"/>
      <c r="C161" s="436"/>
    </row>
    <row r="162" spans="1:3" ht="19.5" customHeight="1" x14ac:dyDescent="0.25">
      <c r="A162" s="439"/>
      <c r="B162" s="435"/>
      <c r="C162" s="436"/>
    </row>
    <row r="163" spans="1:3" ht="27.95" customHeight="1" x14ac:dyDescent="0.25">
      <c r="A163" s="439"/>
      <c r="B163" s="435"/>
      <c r="C163" s="436"/>
    </row>
    <row r="164" spans="1:3" ht="27.95" customHeight="1" x14ac:dyDescent="0.25">
      <c r="A164" s="439"/>
      <c r="B164" s="435"/>
      <c r="C164" s="436"/>
    </row>
    <row r="165" spans="1:3" ht="27.95" customHeight="1" x14ac:dyDescent="0.25">
      <c r="A165" s="434"/>
      <c r="B165" s="435"/>
      <c r="C165" s="436"/>
    </row>
    <row r="166" spans="1:3" ht="27.95" customHeight="1" x14ac:dyDescent="0.25">
      <c r="A166" s="287"/>
      <c r="C166" s="433"/>
    </row>
    <row r="167" spans="1:3" ht="27.95" customHeight="1" x14ac:dyDescent="0.25">
      <c r="A167" s="431"/>
      <c r="C167" s="432"/>
    </row>
    <row r="168" spans="1:3" ht="27.95" customHeight="1" x14ac:dyDescent="0.25">
      <c r="A168" s="441"/>
      <c r="B168" s="441"/>
      <c r="C168" s="539"/>
    </row>
    <row r="169" spans="1:3" ht="27.95" customHeight="1" x14ac:dyDescent="0.25">
      <c r="A169" s="441"/>
      <c r="B169" s="441"/>
      <c r="C169" s="539"/>
    </row>
    <row r="170" spans="1:3" ht="27.95" customHeight="1" x14ac:dyDescent="0.25">
      <c r="A170" s="434"/>
      <c r="B170" s="435"/>
      <c r="C170" s="436"/>
    </row>
    <row r="171" spans="1:3" ht="27.95" customHeight="1" x14ac:dyDescent="0.25">
      <c r="A171" s="434"/>
      <c r="B171" s="435"/>
      <c r="C171" s="436"/>
    </row>
    <row r="172" spans="1:3" ht="27.95" customHeight="1" x14ac:dyDescent="0.25">
      <c r="A172" s="434"/>
      <c r="B172" s="435"/>
      <c r="C172" s="436"/>
    </row>
    <row r="173" spans="1:3" ht="27.95" customHeight="1" x14ac:dyDescent="0.25">
      <c r="A173" s="434"/>
      <c r="B173" s="435"/>
      <c r="C173" s="436"/>
    </row>
    <row r="174" spans="1:3" ht="27.95" customHeight="1" x14ac:dyDescent="0.25">
      <c r="A174" s="434"/>
      <c r="B174" s="435"/>
      <c r="C174" s="436"/>
    </row>
    <row r="175" spans="1:3" ht="27.95" customHeight="1" x14ac:dyDescent="0.25">
      <c r="A175" s="434"/>
      <c r="B175" s="435"/>
      <c r="C175" s="436"/>
    </row>
    <row r="176" spans="1:3" ht="27.95" customHeight="1" x14ac:dyDescent="0.25">
      <c r="A176" s="434"/>
      <c r="B176" s="435"/>
      <c r="C176" s="436"/>
    </row>
    <row r="177" spans="1:4" ht="27.95" customHeight="1" x14ac:dyDescent="0.25">
      <c r="A177" s="434"/>
      <c r="B177" s="435"/>
      <c r="C177" s="436"/>
    </row>
    <row r="178" spans="1:4" ht="27.95" customHeight="1" x14ac:dyDescent="0.25">
      <c r="A178" s="434"/>
      <c r="B178" s="435"/>
      <c r="C178" s="436"/>
    </row>
    <row r="179" spans="1:4" ht="27.95" customHeight="1" x14ac:dyDescent="0.25">
      <c r="A179" s="434"/>
      <c r="B179" s="435"/>
      <c r="C179" s="436"/>
      <c r="D179" s="424"/>
    </row>
    <row r="180" spans="1:4" ht="27.95" customHeight="1" x14ac:dyDescent="0.25">
      <c r="A180" s="434"/>
      <c r="B180" s="435"/>
      <c r="C180" s="436"/>
      <c r="D180" s="424"/>
    </row>
    <row r="181" spans="1:4" ht="27.95" customHeight="1" x14ac:dyDescent="0.25">
      <c r="A181" s="434"/>
      <c r="B181" s="435"/>
      <c r="C181" s="436"/>
      <c r="D181" s="424"/>
    </row>
    <row r="182" spans="1:4" ht="27.95" customHeight="1" x14ac:dyDescent="0.25">
      <c r="A182" s="434"/>
      <c r="B182" s="435"/>
      <c r="C182" s="436"/>
      <c r="D182" s="424"/>
    </row>
    <row r="183" spans="1:4" ht="27.95" customHeight="1" x14ac:dyDescent="0.25">
      <c r="A183" s="434"/>
      <c r="B183" s="435"/>
      <c r="C183" s="436"/>
      <c r="D183" s="424"/>
    </row>
    <row r="184" spans="1:4" ht="27.95" customHeight="1" x14ac:dyDescent="0.25">
      <c r="A184" s="434"/>
      <c r="B184" s="435"/>
      <c r="C184" s="436"/>
      <c r="D184" s="424"/>
    </row>
    <row r="185" spans="1:4" ht="27.95" customHeight="1" x14ac:dyDescent="0.25">
      <c r="A185" s="434"/>
      <c r="B185" s="435"/>
      <c r="C185" s="436"/>
      <c r="D185" s="424"/>
    </row>
    <row r="186" spans="1:4" ht="27.95" customHeight="1" x14ac:dyDescent="0.25">
      <c r="A186" s="434"/>
      <c r="B186" s="435"/>
      <c r="C186" s="436"/>
      <c r="D186" s="424"/>
    </row>
    <row r="187" spans="1:4" ht="27.95" customHeight="1" x14ac:dyDescent="0.25">
      <c r="A187" s="434"/>
      <c r="B187" s="435"/>
      <c r="C187" s="436"/>
      <c r="D187" s="424"/>
    </row>
    <row r="188" spans="1:4" ht="27.95" customHeight="1" x14ac:dyDescent="0.25">
      <c r="A188" s="434"/>
      <c r="B188" s="435"/>
      <c r="C188" s="436"/>
      <c r="D188" s="424"/>
    </row>
    <row r="189" spans="1:4" ht="27.95" customHeight="1" x14ac:dyDescent="0.25">
      <c r="A189" s="434"/>
      <c r="B189" s="435"/>
      <c r="C189" s="436"/>
      <c r="D189" s="424"/>
    </row>
    <row r="190" spans="1:4" ht="27.95" customHeight="1" x14ac:dyDescent="0.25">
      <c r="A190" s="434"/>
      <c r="B190" s="435"/>
      <c r="C190" s="436"/>
    </row>
    <row r="191" spans="1:4" ht="27.95" customHeight="1" x14ac:dyDescent="0.25">
      <c r="A191" s="434"/>
      <c r="B191" s="435"/>
      <c r="C191" s="436"/>
    </row>
    <row r="192" spans="1:4" ht="27.95" customHeight="1" x14ac:dyDescent="0.25">
      <c r="A192" s="434"/>
      <c r="B192" s="435"/>
      <c r="C192" s="436"/>
    </row>
    <row r="193" spans="1:3" ht="27.95" customHeight="1" x14ac:dyDescent="0.25">
      <c r="A193" s="434"/>
      <c r="B193" s="435"/>
      <c r="C193" s="436"/>
    </row>
    <row r="194" spans="1:3" ht="19.5" customHeight="1" x14ac:dyDescent="0.25">
      <c r="A194" s="434"/>
      <c r="B194" s="435"/>
      <c r="C194" s="436"/>
    </row>
    <row r="195" spans="1:3" ht="19.5" customHeight="1" x14ac:dyDescent="0.25">
      <c r="A195" s="434"/>
      <c r="B195" s="435"/>
      <c r="C195" s="436"/>
    </row>
    <row r="196" spans="1:3" ht="27.95" customHeight="1" x14ac:dyDescent="0.25">
      <c r="A196" s="434"/>
      <c r="B196" s="435"/>
      <c r="C196" s="436"/>
    </row>
    <row r="197" spans="1:3" ht="27.95" customHeight="1" x14ac:dyDescent="0.25">
      <c r="A197" s="434"/>
      <c r="B197" s="435"/>
      <c r="C197" s="436"/>
    </row>
    <row r="198" spans="1:3" ht="27.95" customHeight="1" x14ac:dyDescent="0.25">
      <c r="A198" s="434"/>
      <c r="B198" s="435"/>
      <c r="C198" s="436"/>
    </row>
    <row r="199" spans="1:3" ht="27.95" customHeight="1" x14ac:dyDescent="0.25">
      <c r="A199" s="431"/>
      <c r="C199" s="432"/>
    </row>
    <row r="200" spans="1:3" ht="27.95" customHeight="1" x14ac:dyDescent="0.25">
      <c r="A200" s="431"/>
      <c r="C200" s="432"/>
    </row>
    <row r="201" spans="1:3" ht="27.95" customHeight="1" x14ac:dyDescent="0.25">
      <c r="A201" s="441"/>
      <c r="B201" s="441"/>
      <c r="C201" s="539"/>
    </row>
    <row r="202" spans="1:3" ht="27.95" customHeight="1" x14ac:dyDescent="0.25">
      <c r="A202" s="441"/>
      <c r="B202" s="441"/>
      <c r="C202" s="539"/>
    </row>
    <row r="203" spans="1:3" ht="27.95" customHeight="1" x14ac:dyDescent="0.25">
      <c r="A203" s="434"/>
      <c r="B203" s="435"/>
      <c r="C203" s="436"/>
    </row>
    <row r="204" spans="1:3" ht="27.95" customHeight="1" x14ac:dyDescent="0.25">
      <c r="A204" s="434"/>
      <c r="B204" s="435"/>
      <c r="C204" s="436"/>
    </row>
    <row r="205" spans="1:3" ht="27.95" customHeight="1" x14ac:dyDescent="0.25">
      <c r="A205" s="434"/>
      <c r="B205" s="435"/>
      <c r="C205" s="436"/>
    </row>
    <row r="206" spans="1:3" ht="27.95" customHeight="1" x14ac:dyDescent="0.25">
      <c r="A206" s="434"/>
      <c r="B206" s="435"/>
      <c r="C206" s="436"/>
    </row>
    <row r="207" spans="1:3" ht="27.95" customHeight="1" x14ac:dyDescent="0.25">
      <c r="A207" s="434"/>
      <c r="B207" s="435"/>
      <c r="C207" s="436"/>
    </row>
    <row r="208" spans="1:3" ht="27.95" customHeight="1" x14ac:dyDescent="0.25">
      <c r="A208" s="434"/>
      <c r="B208" s="435"/>
      <c r="C208" s="436"/>
    </row>
    <row r="209" spans="1:3" ht="19.5" customHeight="1" x14ac:dyDescent="0.25">
      <c r="A209" s="434"/>
      <c r="B209" s="435"/>
      <c r="C209" s="436"/>
    </row>
    <row r="210" spans="1:3" ht="19.5" x14ac:dyDescent="0.25">
      <c r="A210" s="434"/>
      <c r="B210" s="435"/>
      <c r="C210" s="436"/>
    </row>
    <row r="211" spans="1:3" ht="19.5" x14ac:dyDescent="0.25">
      <c r="A211" s="434"/>
      <c r="B211" s="435"/>
      <c r="C211" s="436"/>
    </row>
    <row r="212" spans="1:3" x14ac:dyDescent="0.25">
      <c r="A212" s="431"/>
      <c r="C212" s="432"/>
    </row>
    <row r="213" spans="1:3" x14ac:dyDescent="0.25">
      <c r="A213" s="431"/>
      <c r="C213" s="432"/>
    </row>
    <row r="214" spans="1:3" x14ac:dyDescent="0.25">
      <c r="A214" s="431"/>
      <c r="C214" s="432"/>
    </row>
    <row r="215" spans="1:3" x14ac:dyDescent="0.25">
      <c r="A215" s="431"/>
      <c r="C215" s="432"/>
    </row>
  </sheetData>
  <mergeCells count="5">
    <mergeCell ref="A120:C121"/>
    <mergeCell ref="A1:C1"/>
    <mergeCell ref="A4:C5"/>
    <mergeCell ref="A45:C46"/>
    <mergeCell ref="A94:C95"/>
  </mergeCells>
  <pageMargins left="0.7" right="0.7" top="0.75" bottom="0.75" header="0.3" footer="0.3"/>
  <pageSetup paperSize="9" orientation="portrait" r:id="rId1"/>
  <ignoredErrors>
    <ignoredError sqref="A141 A227:A1048576 A149" numberStoredAsText="1"/>
    <ignoredError sqref="C59"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AE209"/>
  <sheetViews>
    <sheetView topLeftCell="A60" zoomScale="68" zoomScaleNormal="68" workbookViewId="0">
      <selection activeCell="K97" sqref="K97"/>
    </sheetView>
  </sheetViews>
  <sheetFormatPr baseColWidth="10" defaultColWidth="10.85546875" defaultRowHeight="15.75" x14ac:dyDescent="0.25"/>
  <cols>
    <col min="1" max="1" width="56.28515625" style="1" customWidth="1"/>
    <col min="2" max="2" width="14" style="1" bestFit="1" customWidth="1"/>
    <col min="3" max="3" width="12.7109375" style="1" bestFit="1" customWidth="1"/>
    <col min="4" max="4" width="14.140625" style="1" bestFit="1" customWidth="1"/>
    <col min="5" max="5" width="12.140625" style="1" bestFit="1" customWidth="1"/>
    <col min="6" max="6" width="46.42578125" style="1" bestFit="1" customWidth="1"/>
    <col min="7" max="7" width="12.140625" style="1" customWidth="1"/>
    <col min="8" max="8" width="13.7109375" style="1" bestFit="1" customWidth="1"/>
    <col min="9" max="9" width="14.85546875" style="1" bestFit="1" customWidth="1"/>
    <col min="10" max="10" width="17" style="1" bestFit="1" customWidth="1"/>
    <col min="11" max="11" width="14.42578125" style="1" bestFit="1" customWidth="1"/>
    <col min="12" max="12" width="12.85546875" style="1" customWidth="1"/>
    <col min="13" max="13" width="41.5703125" style="1" bestFit="1" customWidth="1"/>
    <col min="14" max="14" width="20.42578125" style="1" bestFit="1" customWidth="1"/>
    <col min="15" max="16" width="17" style="1" bestFit="1" customWidth="1"/>
    <col min="17" max="17" width="18.42578125" style="1" bestFit="1" customWidth="1"/>
    <col min="18" max="18" width="29.42578125" style="1" bestFit="1" customWidth="1"/>
    <col min="19" max="19" width="14.140625" style="1" bestFit="1" customWidth="1"/>
    <col min="20" max="20" width="15.28515625" style="1" bestFit="1" customWidth="1"/>
    <col min="21" max="22" width="15.28515625" style="1" customWidth="1"/>
    <col min="23" max="23" width="29.85546875" style="1" bestFit="1" customWidth="1"/>
    <col min="24" max="24" width="24" style="1" customWidth="1"/>
    <col min="25" max="25" width="9.7109375" style="1" bestFit="1" customWidth="1"/>
    <col min="26" max="26" width="13.7109375" style="1" bestFit="1" customWidth="1"/>
    <col min="27" max="27" width="14.7109375" style="1" bestFit="1" customWidth="1"/>
    <col min="28" max="28" width="29" style="1" bestFit="1" customWidth="1"/>
    <col min="29" max="29" width="13.140625" style="1" bestFit="1" customWidth="1"/>
    <col min="30" max="30" width="10.7109375" style="1" bestFit="1" customWidth="1"/>
    <col min="31" max="31" width="11" style="1" bestFit="1" customWidth="1"/>
    <col min="32" max="16384" width="10.85546875" style="1"/>
  </cols>
  <sheetData>
    <row r="1" spans="1:24" ht="15.95" customHeight="1" thickBot="1" x14ac:dyDescent="0.3">
      <c r="A1" s="1568" t="s">
        <v>739</v>
      </c>
      <c r="B1" s="1569"/>
      <c r="C1" s="1569"/>
      <c r="D1" s="1570"/>
      <c r="E1" s="8"/>
      <c r="F1" s="1568" t="s">
        <v>551</v>
      </c>
      <c r="G1" s="1569"/>
      <c r="H1" s="1569"/>
      <c r="I1" s="1569"/>
      <c r="J1" s="1570"/>
      <c r="L1" s="60"/>
      <c r="M1" s="1565" t="s">
        <v>2228</v>
      </c>
      <c r="N1" s="1566"/>
      <c r="O1" s="1567"/>
      <c r="Q1" s="103"/>
      <c r="R1" s="1571" t="s">
        <v>913</v>
      </c>
      <c r="S1" s="1571"/>
      <c r="T1" s="1571"/>
      <c r="U1" s="1571"/>
      <c r="V1" s="1572"/>
    </row>
    <row r="2" spans="1:24" ht="16.5" thickBot="1" x14ac:dyDescent="0.3">
      <c r="A2" s="14" t="s">
        <v>742</v>
      </c>
      <c r="B2" s="14" t="s">
        <v>743</v>
      </c>
      <c r="C2" s="14" t="s">
        <v>744</v>
      </c>
      <c r="D2" s="25" t="s">
        <v>745</v>
      </c>
      <c r="F2" s="14" t="s">
        <v>916</v>
      </c>
      <c r="G2" s="14" t="s">
        <v>931</v>
      </c>
      <c r="H2" s="14" t="s">
        <v>932</v>
      </c>
      <c r="I2" s="25" t="s">
        <v>747</v>
      </c>
      <c r="J2" s="25" t="s">
        <v>933</v>
      </c>
      <c r="L2" s="60"/>
      <c r="M2" s="14" t="s">
        <v>746</v>
      </c>
      <c r="N2" s="19" t="s">
        <v>742</v>
      </c>
      <c r="O2" s="14" t="s">
        <v>747</v>
      </c>
      <c r="Q2" s="103"/>
      <c r="R2" s="1482" t="s">
        <v>916</v>
      </c>
      <c r="S2" s="48" t="s">
        <v>742</v>
      </c>
      <c r="T2" s="48" t="s">
        <v>747</v>
      </c>
      <c r="U2" s="48" t="s">
        <v>4492</v>
      </c>
      <c r="V2" s="1483" t="s">
        <v>1630</v>
      </c>
    </row>
    <row r="3" spans="1:24" ht="16.5" thickBot="1" x14ac:dyDescent="0.3">
      <c r="A3" s="1559" t="s">
        <v>748</v>
      </c>
      <c r="B3" s="18" t="s">
        <v>749</v>
      </c>
      <c r="C3" s="31">
        <v>1200</v>
      </c>
      <c r="D3" s="26">
        <f t="shared" ref="D3:D7" si="0">C3/2</f>
        <v>600</v>
      </c>
      <c r="E3" s="60"/>
      <c r="F3" s="1559" t="s">
        <v>939</v>
      </c>
      <c r="G3" s="38" t="s">
        <v>940</v>
      </c>
      <c r="H3" s="87" t="s">
        <v>941</v>
      </c>
      <c r="I3" s="137">
        <v>137</v>
      </c>
      <c r="J3" s="231"/>
      <c r="L3" s="60"/>
      <c r="M3" s="15" t="s">
        <v>751</v>
      </c>
      <c r="N3" s="15"/>
      <c r="O3" s="16">
        <v>206</v>
      </c>
      <c r="Q3" s="103"/>
      <c r="R3" s="98" t="s">
        <v>920</v>
      </c>
      <c r="S3" s="2" t="s">
        <v>803</v>
      </c>
      <c r="T3" s="69">
        <f>237+24</f>
        <v>261</v>
      </c>
      <c r="U3" s="69"/>
      <c r="V3" s="196"/>
    </row>
    <row r="4" spans="1:24" ht="16.5" thickBot="1" x14ac:dyDescent="0.3">
      <c r="A4" s="1564"/>
      <c r="B4" s="387" t="s">
        <v>754</v>
      </c>
      <c r="C4" s="31">
        <v>1200</v>
      </c>
      <c r="D4" s="463">
        <f t="shared" si="0"/>
        <v>600</v>
      </c>
      <c r="E4" s="60"/>
      <c r="F4" s="1564"/>
      <c r="G4" s="153" t="s">
        <v>946</v>
      </c>
      <c r="H4" s="87" t="s">
        <v>941</v>
      </c>
      <c r="I4" s="137">
        <f>303+30</f>
        <v>333</v>
      </c>
      <c r="J4" s="231"/>
      <c r="L4" s="60"/>
      <c r="M4" s="15" t="s">
        <v>757</v>
      </c>
      <c r="N4" s="15"/>
      <c r="O4" s="16">
        <v>72</v>
      </c>
      <c r="Q4" s="103"/>
      <c r="R4" s="98" t="s">
        <v>923</v>
      </c>
      <c r="S4" s="2"/>
      <c r="T4" s="69">
        <v>4395</v>
      </c>
      <c r="U4" s="69"/>
      <c r="V4" s="196"/>
    </row>
    <row r="5" spans="1:24" ht="16.5" thickBot="1" x14ac:dyDescent="0.3">
      <c r="A5" s="1564"/>
      <c r="B5" s="387" t="s">
        <v>759</v>
      </c>
      <c r="C5" s="31">
        <v>1200</v>
      </c>
      <c r="D5" s="463">
        <f>C5/2</f>
        <v>600</v>
      </c>
      <c r="E5" s="60"/>
      <c r="F5" s="1560"/>
      <c r="G5" s="153" t="s">
        <v>950</v>
      </c>
      <c r="H5" s="87" t="s">
        <v>941</v>
      </c>
      <c r="I5" s="137">
        <f>303+30</f>
        <v>333</v>
      </c>
      <c r="J5" s="231"/>
      <c r="L5" s="60"/>
      <c r="M5" s="15" t="s">
        <v>762</v>
      </c>
      <c r="N5" s="15"/>
      <c r="O5" s="16">
        <v>72</v>
      </c>
      <c r="Q5" s="103"/>
      <c r="R5" s="98" t="s">
        <v>926</v>
      </c>
      <c r="S5" s="2"/>
      <c r="T5" s="69">
        <v>3590</v>
      </c>
      <c r="U5" s="69"/>
      <c r="V5" s="196"/>
    </row>
    <row r="6" spans="1:24" ht="16.5" thickBot="1" x14ac:dyDescent="0.3">
      <c r="A6" s="1564"/>
      <c r="B6" s="231" t="s">
        <v>765</v>
      </c>
      <c r="C6" s="462">
        <v>1300</v>
      </c>
      <c r="D6" s="463">
        <f t="shared" si="0"/>
        <v>650</v>
      </c>
      <c r="E6" s="60"/>
      <c r="F6" s="15" t="s">
        <v>3052</v>
      </c>
      <c r="G6" s="151"/>
      <c r="H6" s="15"/>
      <c r="I6" s="28">
        <v>3328</v>
      </c>
      <c r="J6" s="231"/>
      <c r="L6" s="60"/>
      <c r="M6" s="239" t="s">
        <v>768</v>
      </c>
      <c r="N6" s="239"/>
      <c r="O6" s="258">
        <v>61</v>
      </c>
      <c r="Q6" s="103"/>
      <c r="R6" s="98" t="s">
        <v>4640</v>
      </c>
      <c r="S6" s="2"/>
      <c r="T6" s="69">
        <v>3970</v>
      </c>
      <c r="U6" s="69"/>
      <c r="V6" s="196"/>
    </row>
    <row r="7" spans="1:24" ht="15.6" customHeight="1" thickBot="1" x14ac:dyDescent="0.3">
      <c r="A7" s="1560"/>
      <c r="B7" s="86" t="s">
        <v>770</v>
      </c>
      <c r="C7" s="32">
        <v>1400</v>
      </c>
      <c r="D7" s="27">
        <f t="shared" si="0"/>
        <v>700</v>
      </c>
      <c r="E7" s="60"/>
      <c r="F7" s="1561" t="s">
        <v>953</v>
      </c>
      <c r="G7" s="152" t="s">
        <v>946</v>
      </c>
      <c r="H7" s="15" t="s">
        <v>846</v>
      </c>
      <c r="I7" s="28">
        <v>390</v>
      </c>
      <c r="J7" s="231"/>
      <c r="L7" s="60"/>
      <c r="M7" s="1561" t="s">
        <v>773</v>
      </c>
      <c r="N7" s="169" t="s">
        <v>774</v>
      </c>
      <c r="O7" s="88">
        <f>75+8</f>
        <v>83</v>
      </c>
      <c r="Q7" s="103"/>
      <c r="R7" s="98" t="s">
        <v>929</v>
      </c>
      <c r="S7" s="2" t="s">
        <v>930</v>
      </c>
      <c r="T7" s="69">
        <v>790</v>
      </c>
      <c r="U7" s="69"/>
      <c r="V7" s="196"/>
    </row>
    <row r="8" spans="1:24" ht="16.5" thickBot="1" x14ac:dyDescent="0.3">
      <c r="A8" s="1561" t="s">
        <v>784</v>
      </c>
      <c r="B8" s="18" t="s">
        <v>785</v>
      </c>
      <c r="C8" s="31">
        <v>2800</v>
      </c>
      <c r="D8" s="26">
        <f t="shared" ref="D8:D12" si="1">C8/2</f>
        <v>1400</v>
      </c>
      <c r="E8" s="60"/>
      <c r="F8" s="1563"/>
      <c r="G8" s="153" t="s">
        <v>950</v>
      </c>
      <c r="H8" s="86" t="s">
        <v>935</v>
      </c>
      <c r="I8" s="27">
        <v>506</v>
      </c>
      <c r="J8" s="231"/>
      <c r="L8" s="60"/>
      <c r="M8" s="1562"/>
      <c r="N8" s="98" t="s">
        <v>778</v>
      </c>
      <c r="O8" s="89">
        <v>72</v>
      </c>
      <c r="Q8" s="103"/>
      <c r="R8" s="24" t="s">
        <v>938</v>
      </c>
      <c r="S8" s="230" t="s">
        <v>761</v>
      </c>
      <c r="T8" s="378">
        <v>481</v>
      </c>
      <c r="U8" s="378"/>
      <c r="V8" s="1076"/>
    </row>
    <row r="9" spans="1:24" ht="16.5" thickBot="1" x14ac:dyDescent="0.3">
      <c r="A9" s="1562"/>
      <c r="B9" s="133" t="s">
        <v>789</v>
      </c>
      <c r="C9" s="31">
        <v>3000</v>
      </c>
      <c r="D9" s="29">
        <f t="shared" si="1"/>
        <v>1500</v>
      </c>
      <c r="E9" s="60"/>
      <c r="F9" s="21" t="s">
        <v>958</v>
      </c>
      <c r="G9" s="1" t="s">
        <v>959</v>
      </c>
      <c r="H9" s="231" t="s">
        <v>941</v>
      </c>
      <c r="I9" s="105">
        <v>435</v>
      </c>
      <c r="J9" s="231"/>
      <c r="L9" s="60"/>
      <c r="M9" s="1562"/>
      <c r="N9" s="98" t="s">
        <v>782</v>
      </c>
      <c r="O9" s="89">
        <f>103+11</f>
        <v>114</v>
      </c>
      <c r="Q9" s="103"/>
      <c r="R9" s="98" t="s">
        <v>945</v>
      </c>
      <c r="S9" s="2" t="s">
        <v>803</v>
      </c>
      <c r="T9" s="69">
        <v>231</v>
      </c>
      <c r="U9" s="69"/>
      <c r="V9" s="196"/>
    </row>
    <row r="10" spans="1:24" ht="16.5" thickBot="1" x14ac:dyDescent="0.3">
      <c r="A10" s="1562"/>
      <c r="B10" s="133" t="s">
        <v>792</v>
      </c>
      <c r="C10" s="31">
        <v>1600</v>
      </c>
      <c r="D10" s="29">
        <f t="shared" si="1"/>
        <v>800</v>
      </c>
      <c r="E10" s="60"/>
      <c r="F10" s="1559" t="s">
        <v>3253</v>
      </c>
      <c r="G10" s="151" t="s">
        <v>946</v>
      </c>
      <c r="H10" s="15" t="s">
        <v>772</v>
      </c>
      <c r="I10" s="28">
        <v>165</v>
      </c>
      <c r="J10" s="231"/>
      <c r="M10" s="1562"/>
      <c r="N10" s="98" t="s">
        <v>787</v>
      </c>
      <c r="O10" s="89">
        <f>84+9</f>
        <v>93</v>
      </c>
      <c r="Q10" s="103"/>
      <c r="R10" s="98" t="s">
        <v>3050</v>
      </c>
      <c r="S10" s="2" t="s">
        <v>803</v>
      </c>
      <c r="T10" s="69">
        <v>1000</v>
      </c>
      <c r="U10" s="69"/>
      <c r="V10" s="196"/>
    </row>
    <row r="11" spans="1:24" ht="16.5" thickBot="1" x14ac:dyDescent="0.3">
      <c r="A11" s="1562"/>
      <c r="B11" s="164" t="s">
        <v>797</v>
      </c>
      <c r="C11" s="31">
        <v>1600</v>
      </c>
      <c r="D11" s="29">
        <f t="shared" si="1"/>
        <v>800</v>
      </c>
      <c r="E11" s="60"/>
      <c r="F11" s="1564"/>
      <c r="G11" s="151" t="s">
        <v>950</v>
      </c>
      <c r="H11" s="15" t="s">
        <v>772</v>
      </c>
      <c r="I11" s="28">
        <v>956</v>
      </c>
      <c r="J11" s="231"/>
      <c r="M11" s="1563"/>
      <c r="N11" s="170" t="s">
        <v>790</v>
      </c>
      <c r="O11" s="93">
        <v>240</v>
      </c>
      <c r="Q11" s="103"/>
      <c r="R11" s="98" t="s">
        <v>952</v>
      </c>
      <c r="S11" s="2" t="s">
        <v>935</v>
      </c>
      <c r="T11" s="69">
        <v>380</v>
      </c>
      <c r="U11" s="69"/>
      <c r="V11" s="196"/>
    </row>
    <row r="12" spans="1:24" ht="16.5" thickBot="1" x14ac:dyDescent="0.3">
      <c r="A12" s="1563"/>
      <c r="B12" s="86" t="s">
        <v>765</v>
      </c>
      <c r="C12" s="31">
        <v>1600</v>
      </c>
      <c r="D12" s="27">
        <f t="shared" si="1"/>
        <v>800</v>
      </c>
      <c r="E12" s="60"/>
      <c r="F12" s="1560"/>
      <c r="G12" s="15" t="s">
        <v>959</v>
      </c>
      <c r="H12" s="15" t="s">
        <v>772</v>
      </c>
      <c r="I12" s="240">
        <v>436</v>
      </c>
      <c r="J12" s="231"/>
      <c r="L12" s="60"/>
      <c r="M12" s="1561" t="s">
        <v>794</v>
      </c>
      <c r="N12" s="875" t="s">
        <v>795</v>
      </c>
      <c r="O12" s="93">
        <v>88</v>
      </c>
      <c r="Q12" s="103"/>
      <c r="R12" s="98" t="s">
        <v>956</v>
      </c>
      <c r="S12" s="2"/>
      <c r="T12" s="69">
        <v>820</v>
      </c>
      <c r="U12" s="69"/>
      <c r="V12" s="196"/>
    </row>
    <row r="13" spans="1:24" ht="16.5" thickBot="1" x14ac:dyDescent="0.3">
      <c r="A13" s="1561" t="s">
        <v>811</v>
      </c>
      <c r="B13" s="15" t="s">
        <v>789</v>
      </c>
      <c r="C13" s="33">
        <v>1380</v>
      </c>
      <c r="D13" s="28">
        <f t="shared" ref="D13:D36" si="2">C13/2</f>
        <v>690</v>
      </c>
      <c r="E13" s="60"/>
      <c r="F13" s="15" t="s">
        <v>961</v>
      </c>
      <c r="G13" s="151" t="s">
        <v>950</v>
      </c>
      <c r="H13" s="15"/>
      <c r="I13" s="28">
        <v>666</v>
      </c>
      <c r="J13" s="231"/>
      <c r="L13" s="60"/>
      <c r="M13" s="1563"/>
      <c r="N13" s="324" t="s">
        <v>799</v>
      </c>
      <c r="O13" s="17">
        <v>88</v>
      </c>
      <c r="Q13" s="103"/>
      <c r="R13" s="98" t="s">
        <v>3051</v>
      </c>
      <c r="S13" s="2"/>
      <c r="T13" s="69">
        <v>1138</v>
      </c>
      <c r="U13" s="69"/>
      <c r="V13" s="196"/>
    </row>
    <row r="14" spans="1:24" ht="16.5" thickBot="1" x14ac:dyDescent="0.3">
      <c r="A14" s="1562"/>
      <c r="B14" s="87" t="s">
        <v>759</v>
      </c>
      <c r="C14" s="34">
        <v>1392</v>
      </c>
      <c r="D14" s="30">
        <f t="shared" si="2"/>
        <v>696</v>
      </c>
      <c r="E14" s="60"/>
      <c r="F14" s="87" t="s">
        <v>963</v>
      </c>
      <c r="G14" s="134" t="s">
        <v>950</v>
      </c>
      <c r="H14" s="15"/>
      <c r="I14" s="533">
        <f>242+25</f>
        <v>267</v>
      </c>
      <c r="J14" s="231"/>
      <c r="L14" s="60"/>
      <c r="M14" s="21" t="s">
        <v>804</v>
      </c>
      <c r="N14" s="324" t="s">
        <v>805</v>
      </c>
      <c r="O14" s="17">
        <v>72</v>
      </c>
      <c r="Q14" s="103"/>
      <c r="R14" s="98" t="s">
        <v>957</v>
      </c>
      <c r="S14" s="2"/>
      <c r="T14" s="69">
        <f>1317</f>
        <v>1317</v>
      </c>
      <c r="U14" s="69"/>
      <c r="V14" s="196"/>
      <c r="W14" s="1" t="s">
        <v>4937</v>
      </c>
      <c r="X14" s="1" t="s">
        <v>4938</v>
      </c>
    </row>
    <row r="15" spans="1:24" ht="15.6" customHeight="1" thickBot="1" x14ac:dyDescent="0.3">
      <c r="A15" s="1562"/>
      <c r="B15" s="87" t="s">
        <v>765</v>
      </c>
      <c r="C15" s="34">
        <v>1410</v>
      </c>
      <c r="D15" s="30">
        <f t="shared" si="2"/>
        <v>705</v>
      </c>
      <c r="E15" s="60"/>
      <c r="F15" s="15" t="s">
        <v>966</v>
      </c>
      <c r="G15" s="151" t="s">
        <v>959</v>
      </c>
      <c r="H15" s="15" t="s">
        <v>803</v>
      </c>
      <c r="I15" s="28">
        <v>352</v>
      </c>
      <c r="J15" s="231"/>
      <c r="L15" s="60"/>
      <c r="M15" s="86" t="s">
        <v>810</v>
      </c>
      <c r="N15" s="324"/>
      <c r="O15" s="17">
        <v>88</v>
      </c>
      <c r="Q15" s="103"/>
      <c r="R15" s="98" t="s">
        <v>4568</v>
      </c>
      <c r="S15" s="2" t="s">
        <v>1022</v>
      </c>
      <c r="T15" s="69">
        <v>3100</v>
      </c>
      <c r="U15" s="69">
        <v>4477</v>
      </c>
      <c r="V15" s="196">
        <f>T15+U15</f>
        <v>7577</v>
      </c>
      <c r="W15" s="1">
        <v>36</v>
      </c>
      <c r="X15" s="60">
        <f>V15/W15</f>
        <v>210.47222222222223</v>
      </c>
    </row>
    <row r="16" spans="1:24" ht="16.5" thickBot="1" x14ac:dyDescent="0.3">
      <c r="A16" s="1562"/>
      <c r="B16" s="87" t="s">
        <v>770</v>
      </c>
      <c r="C16" s="34">
        <v>1000</v>
      </c>
      <c r="D16" s="30">
        <f t="shared" si="2"/>
        <v>500</v>
      </c>
      <c r="E16" s="60"/>
      <c r="F16" s="1561" t="s">
        <v>938</v>
      </c>
      <c r="G16" s="15" t="s">
        <v>946</v>
      </c>
      <c r="H16" s="15" t="s">
        <v>969</v>
      </c>
      <c r="I16" s="26">
        <v>135</v>
      </c>
      <c r="J16" s="239"/>
      <c r="L16" s="60"/>
      <c r="M16" s="21" t="s">
        <v>812</v>
      </c>
      <c r="N16" s="15"/>
      <c r="O16" s="1418">
        <v>72</v>
      </c>
      <c r="Q16" s="103"/>
      <c r="R16" s="98" t="s">
        <v>4569</v>
      </c>
      <c r="S16" s="2" t="s">
        <v>1022</v>
      </c>
      <c r="T16" s="69">
        <v>3100</v>
      </c>
      <c r="U16" s="69">
        <v>1936</v>
      </c>
      <c r="V16" s="196">
        <f>U16+T16</f>
        <v>5036</v>
      </c>
      <c r="W16" s="1">
        <v>36</v>
      </c>
      <c r="X16" s="60">
        <f>V16/W16</f>
        <v>139.88888888888889</v>
      </c>
    </row>
    <row r="17" spans="1:26" ht="16.5" thickBot="1" x14ac:dyDescent="0.3">
      <c r="A17" s="1563"/>
      <c r="B17" s="87" t="s">
        <v>826</v>
      </c>
      <c r="C17" s="34">
        <v>1050</v>
      </c>
      <c r="D17" s="30">
        <f t="shared" si="2"/>
        <v>525</v>
      </c>
      <c r="E17" s="60"/>
      <c r="F17" s="1563"/>
      <c r="G17" s="151" t="s">
        <v>950</v>
      </c>
      <c r="H17" s="15" t="s">
        <v>969</v>
      </c>
      <c r="I17" s="105">
        <v>218</v>
      </c>
      <c r="J17" s="231"/>
      <c r="L17" s="60"/>
      <c r="M17" s="87" t="s">
        <v>816</v>
      </c>
      <c r="N17" s="160"/>
      <c r="O17" s="167">
        <v>92</v>
      </c>
      <c r="Q17" s="103"/>
      <c r="R17" s="98" t="s">
        <v>4000</v>
      </c>
      <c r="S17" s="2" t="s">
        <v>777</v>
      </c>
      <c r="T17" s="69">
        <v>5098</v>
      </c>
      <c r="U17" s="69"/>
      <c r="V17" s="196"/>
    </row>
    <row r="18" spans="1:26" ht="16.5" thickBot="1" x14ac:dyDescent="0.3">
      <c r="A18" s="15" t="s">
        <v>2223</v>
      </c>
      <c r="B18" s="15" t="s">
        <v>759</v>
      </c>
      <c r="C18" s="33">
        <v>213</v>
      </c>
      <c r="D18" s="28">
        <f t="shared" si="2"/>
        <v>106.5</v>
      </c>
      <c r="E18" s="60"/>
      <c r="F18" s="15" t="s">
        <v>974</v>
      </c>
      <c r="G18" s="151" t="s">
        <v>975</v>
      </c>
      <c r="H18" s="15" t="s">
        <v>777</v>
      </c>
      <c r="I18" s="28">
        <v>217</v>
      </c>
      <c r="J18" s="231"/>
      <c r="L18" s="60"/>
      <c r="M18" s="1559" t="s">
        <v>59</v>
      </c>
      <c r="N18" s="169" t="s">
        <v>820</v>
      </c>
      <c r="O18" s="88">
        <v>72</v>
      </c>
      <c r="Q18" s="103"/>
      <c r="R18" s="168" t="s">
        <v>4493</v>
      </c>
      <c r="S18" s="4"/>
      <c r="T18" s="1484"/>
      <c r="U18" s="1484">
        <v>1950</v>
      </c>
      <c r="V18" s="198"/>
      <c r="Z18" s="887"/>
    </row>
    <row r="19" spans="1:26" ht="16.5" thickBot="1" x14ac:dyDescent="0.3">
      <c r="A19" s="87" t="s">
        <v>2220</v>
      </c>
      <c r="B19" s="87"/>
      <c r="C19" s="34">
        <v>1209</v>
      </c>
      <c r="D19" s="30">
        <f t="shared" si="2"/>
        <v>604.5</v>
      </c>
      <c r="E19" s="60"/>
      <c r="F19" s="15" t="s">
        <v>978</v>
      </c>
      <c r="G19" s="151" t="s">
        <v>946</v>
      </c>
      <c r="H19" s="15" t="s">
        <v>969</v>
      </c>
      <c r="I19" s="28">
        <v>290</v>
      </c>
      <c r="J19" s="231"/>
      <c r="M19" s="1564"/>
      <c r="N19" s="98" t="s">
        <v>824</v>
      </c>
      <c r="O19" s="89">
        <v>72</v>
      </c>
      <c r="Z19" s="887"/>
    </row>
    <row r="20" spans="1:26" ht="16.5" thickBot="1" x14ac:dyDescent="0.3">
      <c r="A20" s="87" t="s">
        <v>2217</v>
      </c>
      <c r="B20" s="87"/>
      <c r="C20" s="34">
        <v>3746</v>
      </c>
      <c r="D20" s="30">
        <f t="shared" si="2"/>
        <v>1873</v>
      </c>
      <c r="E20" s="60"/>
      <c r="F20" s="15" t="s">
        <v>982</v>
      </c>
      <c r="G20" s="151" t="s">
        <v>946</v>
      </c>
      <c r="H20" s="15" t="s">
        <v>983</v>
      </c>
      <c r="I20" s="28">
        <v>3300</v>
      </c>
      <c r="J20" s="447"/>
      <c r="M20" s="1564"/>
      <c r="N20" s="98" t="s">
        <v>3199</v>
      </c>
      <c r="O20" s="89">
        <v>780</v>
      </c>
      <c r="R20" s="1565" t="s">
        <v>605</v>
      </c>
      <c r="S20" s="1566"/>
      <c r="T20" s="1567"/>
      <c r="Z20" s="887"/>
    </row>
    <row r="21" spans="1:26" ht="16.5" thickBot="1" x14ac:dyDescent="0.3">
      <c r="A21" s="87" t="s">
        <v>2218</v>
      </c>
      <c r="B21" s="87"/>
      <c r="C21" s="34">
        <f>C20</f>
        <v>3746</v>
      </c>
      <c r="D21" s="30">
        <f t="shared" si="2"/>
        <v>1873</v>
      </c>
      <c r="E21" s="60"/>
      <c r="F21" s="15" t="s">
        <v>985</v>
      </c>
      <c r="G21" s="151" t="s">
        <v>946</v>
      </c>
      <c r="H21" s="15" t="s">
        <v>941</v>
      </c>
      <c r="I21" s="28">
        <v>388</v>
      </c>
      <c r="J21" s="231"/>
      <c r="M21" s="1564"/>
      <c r="N21" s="98" t="s">
        <v>833</v>
      </c>
      <c r="O21" s="89">
        <f>94+10</f>
        <v>104</v>
      </c>
      <c r="R21" s="10" t="s">
        <v>742</v>
      </c>
      <c r="S21" s="12" t="s">
        <v>743</v>
      </c>
      <c r="T21" s="11" t="s">
        <v>747</v>
      </c>
      <c r="Z21" s="887"/>
    </row>
    <row r="22" spans="1:26" ht="16.5" thickBot="1" x14ac:dyDescent="0.3">
      <c r="A22" s="87" t="s">
        <v>2219</v>
      </c>
      <c r="B22" s="87"/>
      <c r="C22" s="34">
        <v>4893</v>
      </c>
      <c r="D22" s="30">
        <f t="shared" si="2"/>
        <v>2446.5</v>
      </c>
      <c r="E22" s="60"/>
      <c r="F22" s="15" t="s">
        <v>988</v>
      </c>
      <c r="G22" s="151" t="s">
        <v>950</v>
      </c>
      <c r="H22" s="15" t="s">
        <v>969</v>
      </c>
      <c r="I22" s="28">
        <v>388</v>
      </c>
      <c r="J22" s="231"/>
      <c r="M22" s="1560"/>
      <c r="N22" s="170" t="s">
        <v>837</v>
      </c>
      <c r="O22" s="90">
        <f>251+25</f>
        <v>276</v>
      </c>
      <c r="R22" s="13" t="s">
        <v>2269</v>
      </c>
      <c r="S22" s="9"/>
      <c r="T22" s="92">
        <v>3088</v>
      </c>
      <c r="Z22" s="23"/>
    </row>
    <row r="23" spans="1:26" ht="16.5" thickBot="1" x14ac:dyDescent="0.3">
      <c r="A23" s="1559" t="s">
        <v>3273</v>
      </c>
      <c r="B23" s="87" t="s">
        <v>937</v>
      </c>
      <c r="C23" s="34">
        <v>5627</v>
      </c>
      <c r="D23" s="30">
        <f>C23/2</f>
        <v>2813.5</v>
      </c>
      <c r="E23" s="60"/>
      <c r="F23" s="1561" t="s">
        <v>990</v>
      </c>
      <c r="G23" s="38" t="s">
        <v>940</v>
      </c>
      <c r="H23" s="87" t="s">
        <v>969</v>
      </c>
      <c r="I23" s="30">
        <v>1100</v>
      </c>
      <c r="J23" s="231"/>
      <c r="M23" s="15" t="s">
        <v>755</v>
      </c>
      <c r="N23" s="875"/>
      <c r="O23" s="93">
        <f>75+8</f>
        <v>83</v>
      </c>
      <c r="R23" s="13" t="s">
        <v>1039</v>
      </c>
      <c r="S23" s="9"/>
      <c r="T23" s="92">
        <v>3088</v>
      </c>
      <c r="V23" s="23"/>
      <c r="Z23" s="23"/>
    </row>
    <row r="24" spans="1:26" ht="16.5" thickBot="1" x14ac:dyDescent="0.3">
      <c r="A24" s="1560"/>
      <c r="B24" s="87" t="s">
        <v>3113</v>
      </c>
      <c r="C24" s="34">
        <v>5627</v>
      </c>
      <c r="D24" s="30">
        <f>C24/2</f>
        <v>2813.5</v>
      </c>
      <c r="E24" s="60"/>
      <c r="F24" s="1562"/>
      <c r="G24" s="38" t="s">
        <v>946</v>
      </c>
      <c r="H24" s="87" t="s">
        <v>969</v>
      </c>
      <c r="I24" s="30">
        <v>1100</v>
      </c>
      <c r="J24" s="231"/>
      <c r="M24" s="1559" t="s">
        <v>847</v>
      </c>
      <c r="N24" s="324"/>
      <c r="O24" s="17">
        <f>84+9</f>
        <v>93</v>
      </c>
      <c r="R24" s="13" t="s">
        <v>965</v>
      </c>
      <c r="S24" s="9"/>
      <c r="T24" s="92">
        <v>725</v>
      </c>
      <c r="Z24" s="23"/>
    </row>
    <row r="25" spans="1:26" ht="16.5" thickBot="1" x14ac:dyDescent="0.3">
      <c r="A25" s="87" t="s">
        <v>2216</v>
      </c>
      <c r="B25" s="87"/>
      <c r="C25" s="34">
        <v>6800</v>
      </c>
      <c r="D25" s="30">
        <f t="shared" si="2"/>
        <v>3400</v>
      </c>
      <c r="E25" s="60"/>
      <c r="F25" s="1563"/>
      <c r="G25" s="154" t="s">
        <v>950</v>
      </c>
      <c r="H25" s="86" t="s">
        <v>969</v>
      </c>
      <c r="I25" s="30">
        <v>1100</v>
      </c>
      <c r="J25" s="231"/>
      <c r="M25" s="1560"/>
      <c r="N25" s="324" t="s">
        <v>851</v>
      </c>
      <c r="O25" s="17">
        <v>52</v>
      </c>
      <c r="R25" s="13" t="s">
        <v>968</v>
      </c>
      <c r="S25" s="9"/>
      <c r="T25" s="92">
        <v>3140</v>
      </c>
      <c r="Z25" s="23"/>
    </row>
    <row r="26" spans="1:26" ht="16.5" thickBot="1" x14ac:dyDescent="0.3">
      <c r="A26" s="87" t="s">
        <v>2277</v>
      </c>
      <c r="B26" s="87"/>
      <c r="C26" s="34">
        <v>7300</v>
      </c>
      <c r="D26" s="30">
        <f t="shared" si="2"/>
        <v>3650</v>
      </c>
      <c r="E26" s="60"/>
      <c r="F26" s="87" t="s">
        <v>993</v>
      </c>
      <c r="G26" s="38" t="s">
        <v>994</v>
      </c>
      <c r="H26" s="87" t="s">
        <v>941</v>
      </c>
      <c r="I26" s="30">
        <v>275</v>
      </c>
      <c r="J26" s="231"/>
      <c r="M26" s="1559" t="s">
        <v>856</v>
      </c>
      <c r="N26" s="324" t="s">
        <v>857</v>
      </c>
      <c r="O26" s="17">
        <v>72</v>
      </c>
      <c r="R26" s="13" t="s">
        <v>971</v>
      </c>
      <c r="S26" s="9"/>
      <c r="T26" s="92">
        <v>792</v>
      </c>
      <c r="Z26" s="23"/>
    </row>
    <row r="27" spans="1:26" ht="16.5" thickBot="1" x14ac:dyDescent="0.3">
      <c r="A27" s="231" t="s">
        <v>2278</v>
      </c>
      <c r="B27" s="87"/>
      <c r="C27" s="34">
        <v>7620</v>
      </c>
      <c r="D27" s="30">
        <f>C27/2</f>
        <v>3810</v>
      </c>
      <c r="E27" s="60"/>
      <c r="F27" s="1559" t="s">
        <v>996</v>
      </c>
      <c r="G27" s="38" t="s">
        <v>940</v>
      </c>
      <c r="H27" s="87" t="s">
        <v>772</v>
      </c>
      <c r="I27" s="30">
        <v>176</v>
      </c>
      <c r="J27" s="231"/>
      <c r="M27" s="1564"/>
      <c r="N27" s="324" t="s">
        <v>862</v>
      </c>
      <c r="O27" s="17">
        <v>110</v>
      </c>
      <c r="R27" s="13" t="s">
        <v>973</v>
      </c>
      <c r="S27" s="9"/>
      <c r="T27" s="92">
        <v>792</v>
      </c>
      <c r="Z27" s="23"/>
    </row>
    <row r="28" spans="1:26" ht="16.5" thickBot="1" x14ac:dyDescent="0.3">
      <c r="A28" s="1559" t="s">
        <v>2221</v>
      </c>
      <c r="B28" s="15" t="s">
        <v>776</v>
      </c>
      <c r="C28" s="33">
        <f>285+29</f>
        <v>314</v>
      </c>
      <c r="D28" s="28">
        <f>C28/2</f>
        <v>157</v>
      </c>
      <c r="E28" s="60"/>
      <c r="F28" s="1560"/>
      <c r="G28" s="38" t="s">
        <v>950</v>
      </c>
      <c r="H28" s="87" t="s">
        <v>772</v>
      </c>
      <c r="I28" s="30">
        <v>193</v>
      </c>
      <c r="J28" s="231"/>
      <c r="M28" s="1560"/>
      <c r="N28" s="324" t="s">
        <v>753</v>
      </c>
      <c r="O28" s="17">
        <v>72</v>
      </c>
      <c r="R28" s="13" t="s">
        <v>977</v>
      </c>
      <c r="S28" s="9"/>
      <c r="T28" s="92">
        <v>792</v>
      </c>
      <c r="Z28" s="23"/>
    </row>
    <row r="29" spans="1:26" ht="16.5" thickBot="1" x14ac:dyDescent="0.3">
      <c r="A29" s="1560"/>
      <c r="B29" s="15" t="s">
        <v>780</v>
      </c>
      <c r="C29" s="33">
        <f>340+34</f>
        <v>374</v>
      </c>
      <c r="D29" s="28">
        <f>C29/2</f>
        <v>187</v>
      </c>
      <c r="E29" s="60"/>
      <c r="F29" s="1561" t="s">
        <v>999</v>
      </c>
      <c r="G29" s="38" t="s">
        <v>1000</v>
      </c>
      <c r="H29" s="87" t="s">
        <v>983</v>
      </c>
      <c r="I29" s="30">
        <v>171</v>
      </c>
      <c r="J29" s="231"/>
      <c r="M29" s="1559" t="s">
        <v>867</v>
      </c>
      <c r="N29" s="324"/>
      <c r="O29" s="17">
        <v>65</v>
      </c>
      <c r="R29" s="13" t="s">
        <v>981</v>
      </c>
      <c r="S29" s="9"/>
      <c r="T29" s="92">
        <v>3300</v>
      </c>
      <c r="Z29" s="23"/>
    </row>
    <row r="30" spans="1:26" ht="16.5" thickBot="1" x14ac:dyDescent="0.3">
      <c r="A30" s="87" t="s">
        <v>3555</v>
      </c>
      <c r="B30" s="87"/>
      <c r="C30" s="34">
        <v>6599</v>
      </c>
      <c r="D30" s="30">
        <f t="shared" si="2"/>
        <v>3299.5</v>
      </c>
      <c r="F30" s="1562"/>
      <c r="G30" s="151" t="s">
        <v>950</v>
      </c>
      <c r="H30" s="15" t="s">
        <v>803</v>
      </c>
      <c r="I30" s="376">
        <v>780</v>
      </c>
      <c r="J30" s="231"/>
      <c r="M30" s="1564"/>
      <c r="N30" s="324" t="s">
        <v>870</v>
      </c>
      <c r="O30" s="17">
        <v>589</v>
      </c>
      <c r="R30" s="13" t="s">
        <v>984</v>
      </c>
      <c r="S30" s="9"/>
      <c r="T30" s="92">
        <v>3300</v>
      </c>
    </row>
    <row r="31" spans="1:26" ht="16.5" thickBot="1" x14ac:dyDescent="0.3">
      <c r="A31" s="15" t="s">
        <v>3735</v>
      </c>
      <c r="B31" s="87" t="s">
        <v>3577</v>
      </c>
      <c r="C31" s="34">
        <v>1675</v>
      </c>
      <c r="D31" s="30">
        <f t="shared" si="2"/>
        <v>837.5</v>
      </c>
      <c r="E31" s="60"/>
      <c r="F31" s="1562"/>
      <c r="G31" s="151" t="s">
        <v>950</v>
      </c>
      <c r="H31" s="15" t="s">
        <v>983</v>
      </c>
      <c r="I31" s="376">
        <v>200</v>
      </c>
      <c r="J31" s="231"/>
      <c r="M31" s="1560"/>
      <c r="N31" s="324" t="s">
        <v>873</v>
      </c>
      <c r="O31" s="17">
        <v>269</v>
      </c>
      <c r="R31" s="13" t="s">
        <v>987</v>
      </c>
      <c r="S31" s="9"/>
      <c r="T31" s="92">
        <v>2993</v>
      </c>
    </row>
    <row r="32" spans="1:26" ht="16.5" thickBot="1" x14ac:dyDescent="0.3">
      <c r="A32" s="15" t="s">
        <v>3735</v>
      </c>
      <c r="B32" s="87" t="s">
        <v>3578</v>
      </c>
      <c r="C32" s="34">
        <v>1675</v>
      </c>
      <c r="D32" s="30">
        <f t="shared" si="2"/>
        <v>837.5</v>
      </c>
      <c r="E32" s="60"/>
      <c r="F32" s="1563"/>
      <c r="G32" s="38" t="s">
        <v>959</v>
      </c>
      <c r="H32" s="87" t="s">
        <v>803</v>
      </c>
      <c r="I32" s="137">
        <v>2000</v>
      </c>
      <c r="J32" s="231"/>
      <c r="M32" s="15" t="s">
        <v>875</v>
      </c>
      <c r="N32" s="324"/>
      <c r="O32" s="17">
        <v>89</v>
      </c>
      <c r="R32" s="13" t="s">
        <v>3664</v>
      </c>
      <c r="S32" s="9"/>
      <c r="T32" s="92">
        <v>8230</v>
      </c>
      <c r="Z32" s="91"/>
    </row>
    <row r="33" spans="1:31" ht="16.5" thickBot="1" x14ac:dyDescent="0.3">
      <c r="A33" s="15" t="s">
        <v>3735</v>
      </c>
      <c r="B33" s="87" t="s">
        <v>3576</v>
      </c>
      <c r="C33" s="34">
        <v>2936</v>
      </c>
      <c r="D33" s="30">
        <f t="shared" si="2"/>
        <v>1468</v>
      </c>
      <c r="E33" s="60"/>
      <c r="F33" s="1561" t="s">
        <v>1005</v>
      </c>
      <c r="G33" s="38" t="s">
        <v>940</v>
      </c>
      <c r="H33" s="87" t="s">
        <v>1006</v>
      </c>
      <c r="I33" s="137">
        <f>380+38</f>
        <v>418</v>
      </c>
      <c r="J33" s="231"/>
      <c r="M33" s="1573" t="s">
        <v>877</v>
      </c>
      <c r="N33" s="169" t="s">
        <v>59</v>
      </c>
      <c r="O33" s="88">
        <v>61</v>
      </c>
      <c r="R33" s="13" t="s">
        <v>3665</v>
      </c>
      <c r="S33" s="9"/>
      <c r="T33" s="92">
        <v>8230</v>
      </c>
      <c r="Z33" s="91"/>
    </row>
    <row r="34" spans="1:31" ht="16.5" thickBot="1" x14ac:dyDescent="0.3">
      <c r="A34" s="15" t="s">
        <v>3765</v>
      </c>
      <c r="B34" s="87" t="s">
        <v>3766</v>
      </c>
      <c r="C34" s="34">
        <v>3695</v>
      </c>
      <c r="D34" s="30">
        <f t="shared" si="2"/>
        <v>1847.5</v>
      </c>
      <c r="E34" s="60"/>
      <c r="F34" s="1562"/>
      <c r="G34" s="38" t="s">
        <v>950</v>
      </c>
      <c r="H34" s="87" t="s">
        <v>1006</v>
      </c>
      <c r="I34" s="137">
        <v>440</v>
      </c>
      <c r="J34" s="231"/>
      <c r="M34" s="1574"/>
      <c r="N34" s="98" t="s">
        <v>881</v>
      </c>
      <c r="O34" s="89">
        <v>61</v>
      </c>
      <c r="R34" s="13" t="s">
        <v>3666</v>
      </c>
      <c r="S34" s="9"/>
      <c r="T34" s="92">
        <v>8230</v>
      </c>
      <c r="Z34" s="91"/>
    </row>
    <row r="35" spans="1:31" ht="16.5" thickBot="1" x14ac:dyDescent="0.3">
      <c r="A35" s="15" t="s">
        <v>4324</v>
      </c>
      <c r="B35" s="87" t="s">
        <v>3642</v>
      </c>
      <c r="C35" s="34">
        <v>3924</v>
      </c>
      <c r="D35" s="30">
        <f t="shared" si="2"/>
        <v>1962</v>
      </c>
      <c r="E35" s="60"/>
      <c r="F35" s="1562"/>
      <c r="G35" s="38" t="s">
        <v>950</v>
      </c>
      <c r="H35" s="87" t="s">
        <v>1009</v>
      </c>
      <c r="I35" s="137">
        <v>215</v>
      </c>
      <c r="J35" s="231"/>
      <c r="M35" s="1575"/>
      <c r="N35" s="170" t="s">
        <v>885</v>
      </c>
      <c r="O35" s="90">
        <v>61</v>
      </c>
      <c r="R35" s="13" t="s">
        <v>3669</v>
      </c>
      <c r="S35" s="9"/>
      <c r="T35" s="92">
        <v>8960</v>
      </c>
      <c r="Z35" s="91"/>
    </row>
    <row r="36" spans="1:31" ht="16.5" thickBot="1" x14ac:dyDescent="0.3">
      <c r="A36" s="15" t="s">
        <v>3839</v>
      </c>
      <c r="B36" s="87"/>
      <c r="C36" s="34">
        <v>7978</v>
      </c>
      <c r="D36" s="30">
        <f t="shared" si="2"/>
        <v>3989</v>
      </c>
      <c r="E36" s="60"/>
      <c r="F36" s="1562"/>
      <c r="G36" s="38" t="s">
        <v>959</v>
      </c>
      <c r="H36" s="87" t="s">
        <v>1011</v>
      </c>
      <c r="I36" s="137">
        <v>302</v>
      </c>
      <c r="J36" s="231"/>
      <c r="M36" s="15" t="s">
        <v>890</v>
      </c>
      <c r="N36" s="324" t="s">
        <v>891</v>
      </c>
      <c r="O36" s="17">
        <v>43</v>
      </c>
      <c r="R36" s="13" t="s">
        <v>914</v>
      </c>
      <c r="S36" s="9"/>
      <c r="T36" s="92">
        <v>8230</v>
      </c>
      <c r="Z36" s="91"/>
    </row>
    <row r="37" spans="1:31" ht="16.5" thickBot="1" x14ac:dyDescent="0.3">
      <c r="A37" s="15" t="s">
        <v>3245</v>
      </c>
      <c r="B37" s="87" t="s">
        <v>3931</v>
      </c>
      <c r="C37" s="34">
        <v>3923</v>
      </c>
      <c r="D37" s="30">
        <f t="shared" ref="D37:D47" si="3">C37/2</f>
        <v>1961.5</v>
      </c>
      <c r="E37" s="60"/>
      <c r="F37" s="1563"/>
      <c r="G37" s="38" t="s">
        <v>959</v>
      </c>
      <c r="H37" s="87" t="s">
        <v>846</v>
      </c>
      <c r="I37" s="137">
        <v>275</v>
      </c>
      <c r="J37" s="231"/>
      <c r="M37" s="86" t="s">
        <v>894</v>
      </c>
      <c r="N37" s="324"/>
      <c r="O37" s="17">
        <v>50</v>
      </c>
      <c r="R37" s="13" t="s">
        <v>3667</v>
      </c>
      <c r="S37" s="9"/>
      <c r="T37" s="92">
        <v>5413</v>
      </c>
    </row>
    <row r="38" spans="1:31" ht="16.5" thickBot="1" x14ac:dyDescent="0.3">
      <c r="A38" s="15" t="s">
        <v>4232</v>
      </c>
      <c r="B38" s="87" t="s">
        <v>4233</v>
      </c>
      <c r="C38" s="34">
        <v>4690</v>
      </c>
      <c r="D38" s="30">
        <f t="shared" si="3"/>
        <v>2345</v>
      </c>
      <c r="E38" s="60"/>
      <c r="F38" s="182" t="s">
        <v>1013</v>
      </c>
      <c r="G38" s="1425" t="s">
        <v>1014</v>
      </c>
      <c r="H38" s="137"/>
      <c r="I38" s="137">
        <v>3630</v>
      </c>
      <c r="J38" s="231"/>
      <c r="M38" s="86" t="s">
        <v>897</v>
      </c>
      <c r="N38" s="324"/>
      <c r="O38" s="17">
        <v>50</v>
      </c>
      <c r="R38" s="13" t="s">
        <v>3668</v>
      </c>
      <c r="S38" s="9"/>
      <c r="T38" s="92">
        <v>8574</v>
      </c>
    </row>
    <row r="39" spans="1:31" ht="16.5" thickBot="1" x14ac:dyDescent="0.3">
      <c r="A39" s="15" t="s">
        <v>4340</v>
      </c>
      <c r="B39" s="87" t="s">
        <v>4341</v>
      </c>
      <c r="C39" s="34">
        <v>3615</v>
      </c>
      <c r="D39" s="30">
        <f t="shared" si="3"/>
        <v>1807.5</v>
      </c>
      <c r="E39" s="60"/>
      <c r="F39" s="15" t="s">
        <v>1016</v>
      </c>
      <c r="G39" s="38" t="s">
        <v>950</v>
      </c>
      <c r="H39" s="87" t="s">
        <v>1017</v>
      </c>
      <c r="I39" s="377">
        <v>605</v>
      </c>
      <c r="J39" s="231"/>
      <c r="M39" s="86" t="s">
        <v>900</v>
      </c>
      <c r="N39" s="324"/>
      <c r="O39" s="17">
        <v>1800</v>
      </c>
      <c r="R39" s="13" t="s">
        <v>3731</v>
      </c>
      <c r="S39" s="9"/>
      <c r="T39" s="92">
        <v>5413</v>
      </c>
    </row>
    <row r="40" spans="1:31" ht="16.5" thickBot="1" x14ac:dyDescent="0.3">
      <c r="A40" s="15" t="s">
        <v>4497</v>
      </c>
      <c r="B40" s="87" t="s">
        <v>4498</v>
      </c>
      <c r="C40" s="34">
        <v>7230</v>
      </c>
      <c r="D40" s="30">
        <f t="shared" si="3"/>
        <v>3615</v>
      </c>
      <c r="E40" s="60"/>
      <c r="F40" s="87" t="s">
        <v>1019</v>
      </c>
      <c r="G40" s="38" t="s">
        <v>975</v>
      </c>
      <c r="H40" s="87" t="s">
        <v>781</v>
      </c>
      <c r="I40" s="377">
        <v>1100</v>
      </c>
      <c r="J40" s="231"/>
      <c r="M40" s="86" t="s">
        <v>903</v>
      </c>
      <c r="N40" s="324" t="s">
        <v>795</v>
      </c>
      <c r="O40" s="17">
        <v>2485</v>
      </c>
      <c r="R40" s="13" t="s">
        <v>3730</v>
      </c>
      <c r="S40" s="9"/>
      <c r="T40" s="92">
        <v>7342</v>
      </c>
    </row>
    <row r="41" spans="1:31" ht="16.5" thickBot="1" x14ac:dyDescent="0.3">
      <c r="A41" s="15" t="s">
        <v>4510</v>
      </c>
      <c r="B41" s="87" t="s">
        <v>4511</v>
      </c>
      <c r="C41" s="34">
        <v>3501</v>
      </c>
      <c r="D41" s="30">
        <f t="shared" si="3"/>
        <v>1750.5</v>
      </c>
      <c r="E41" s="60"/>
      <c r="F41" s="87" t="s">
        <v>1021</v>
      </c>
      <c r="G41" s="38" t="s">
        <v>950</v>
      </c>
      <c r="H41" s="87" t="s">
        <v>1022</v>
      </c>
      <c r="I41" s="377">
        <v>765</v>
      </c>
      <c r="J41" s="231"/>
      <c r="M41" s="1559" t="s">
        <v>909</v>
      </c>
      <c r="N41" s="373" t="s">
        <v>910</v>
      </c>
      <c r="O41" s="16">
        <v>300</v>
      </c>
      <c r="R41" s="13" t="s">
        <v>961</v>
      </c>
      <c r="S41" s="9"/>
      <c r="T41" s="92">
        <v>2993</v>
      </c>
    </row>
    <row r="42" spans="1:31" ht="16.5" thickBot="1" x14ac:dyDescent="0.3">
      <c r="A42" s="15" t="s">
        <v>4834</v>
      </c>
      <c r="B42" s="87" t="s">
        <v>4833</v>
      </c>
      <c r="C42" s="34">
        <v>4298</v>
      </c>
      <c r="D42" s="30">
        <f t="shared" si="3"/>
        <v>2149</v>
      </c>
      <c r="E42" s="60"/>
      <c r="F42" s="87" t="s">
        <v>3206</v>
      </c>
      <c r="G42" s="38" t="s">
        <v>959</v>
      </c>
      <c r="H42" s="87" t="s">
        <v>935</v>
      </c>
      <c r="I42" s="377">
        <v>2800</v>
      </c>
      <c r="J42" s="231"/>
      <c r="M42" s="1560"/>
      <c r="N42" s="324" t="s">
        <v>807</v>
      </c>
      <c r="O42" s="17">
        <v>300</v>
      </c>
      <c r="R42" s="13" t="s">
        <v>3789</v>
      </c>
      <c r="S42" s="9"/>
      <c r="T42" s="92">
        <v>5400</v>
      </c>
      <c r="AE42" s="480"/>
    </row>
    <row r="43" spans="1:31" ht="16.5" thickBot="1" x14ac:dyDescent="0.3">
      <c r="A43" s="15" t="s">
        <v>4812</v>
      </c>
      <c r="B43" s="87" t="s">
        <v>4785</v>
      </c>
      <c r="C43" s="34">
        <v>4478</v>
      </c>
      <c r="D43" s="30">
        <f t="shared" si="3"/>
        <v>2239</v>
      </c>
      <c r="E43" s="60"/>
      <c r="F43" s="87" t="s">
        <v>1025</v>
      </c>
      <c r="G43" s="38" t="s">
        <v>950</v>
      </c>
      <c r="H43" s="87" t="s">
        <v>1022</v>
      </c>
      <c r="I43" s="137">
        <v>870</v>
      </c>
      <c r="J43" s="182">
        <f>I43/K43</f>
        <v>23.513513513513512</v>
      </c>
      <c r="K43" s="373">
        <v>37</v>
      </c>
      <c r="M43" s="86" t="s">
        <v>918</v>
      </c>
      <c r="N43" s="86"/>
      <c r="O43" s="17">
        <v>109</v>
      </c>
      <c r="R43" s="13" t="s">
        <v>4499</v>
      </c>
      <c r="S43" s="9"/>
      <c r="T43" s="92">
        <v>4040</v>
      </c>
    </row>
    <row r="44" spans="1:31" ht="16.5" thickBot="1" x14ac:dyDescent="0.3">
      <c r="A44" s="15" t="s">
        <v>4813</v>
      </c>
      <c r="B44" s="87" t="s">
        <v>4786</v>
      </c>
      <c r="C44" s="34">
        <v>4600</v>
      </c>
      <c r="D44" s="30">
        <f t="shared" si="3"/>
        <v>2300</v>
      </c>
      <c r="F44" s="87" t="s">
        <v>1027</v>
      </c>
      <c r="G44" s="38" t="s">
        <v>940</v>
      </c>
      <c r="H44" s="87"/>
      <c r="I44" s="137">
        <v>138</v>
      </c>
      <c r="J44" s="231"/>
      <c r="M44" s="86" t="s">
        <v>921</v>
      </c>
      <c r="N44" s="86"/>
      <c r="O44" s="17">
        <v>569</v>
      </c>
      <c r="R44" s="13" t="s">
        <v>4500</v>
      </c>
      <c r="S44" s="9"/>
      <c r="T44" s="92">
        <v>4470</v>
      </c>
    </row>
    <row r="45" spans="1:31" ht="16.5" thickBot="1" x14ac:dyDescent="0.3">
      <c r="A45" s="15" t="s">
        <v>4792</v>
      </c>
      <c r="B45" s="87" t="s">
        <v>4793</v>
      </c>
      <c r="C45" s="34">
        <v>4304</v>
      </c>
      <c r="D45" s="30">
        <f t="shared" si="3"/>
        <v>2152</v>
      </c>
      <c r="F45" s="87" t="s">
        <v>1029</v>
      </c>
      <c r="G45" s="38" t="s">
        <v>1014</v>
      </c>
      <c r="H45" s="87"/>
      <c r="I45" s="137">
        <v>2000</v>
      </c>
      <c r="J45" s="231"/>
      <c r="M45" s="86" t="s">
        <v>924</v>
      </c>
      <c r="N45" s="86"/>
      <c r="O45" s="17">
        <v>333</v>
      </c>
      <c r="R45" s="13" t="s">
        <v>4936</v>
      </c>
      <c r="S45" s="9"/>
      <c r="T45" s="92">
        <v>4820</v>
      </c>
    </row>
    <row r="46" spans="1:31" ht="16.5" thickBot="1" x14ac:dyDescent="0.3">
      <c r="A46" s="15" t="s">
        <v>5098</v>
      </c>
      <c r="B46" s="87" t="s">
        <v>5100</v>
      </c>
      <c r="C46" s="34">
        <v>2295</v>
      </c>
      <c r="D46" s="30">
        <f t="shared" si="3"/>
        <v>1147.5</v>
      </c>
      <c r="F46" s="87" t="s">
        <v>1030</v>
      </c>
      <c r="G46" s="38" t="s">
        <v>1014</v>
      </c>
      <c r="H46" s="87"/>
      <c r="I46" s="137">
        <f>1260+130</f>
        <v>1390</v>
      </c>
      <c r="J46" s="231"/>
      <c r="M46" s="86" t="s">
        <v>927</v>
      </c>
      <c r="N46" s="86"/>
      <c r="O46" s="17">
        <f>70-7</f>
        <v>63</v>
      </c>
    </row>
    <row r="47" spans="1:31" ht="16.5" thickBot="1" x14ac:dyDescent="0.3">
      <c r="A47" s="15" t="s">
        <v>5099</v>
      </c>
      <c r="B47" s="87" t="s">
        <v>5101</v>
      </c>
      <c r="C47" s="34">
        <v>2530</v>
      </c>
      <c r="D47" s="30">
        <f t="shared" si="3"/>
        <v>1265</v>
      </c>
      <c r="F47" s="87" t="s">
        <v>1032</v>
      </c>
      <c r="G47" s="38" t="s">
        <v>1033</v>
      </c>
      <c r="H47" s="87"/>
      <c r="I47" s="137">
        <v>660</v>
      </c>
      <c r="J47" s="87"/>
      <c r="M47" s="86" t="s">
        <v>934</v>
      </c>
      <c r="N47" s="86" t="s">
        <v>935</v>
      </c>
      <c r="O47" s="17">
        <v>68</v>
      </c>
    </row>
    <row r="48" spans="1:31" ht="16.5" thickBot="1" x14ac:dyDescent="0.3">
      <c r="A48" s="1568" t="s">
        <v>2222</v>
      </c>
      <c r="B48" s="1569"/>
      <c r="C48" s="1569"/>
      <c r="D48" s="1570"/>
      <c r="F48" s="87" t="s">
        <v>6</v>
      </c>
      <c r="G48" s="38" t="s">
        <v>1036</v>
      </c>
      <c r="H48" s="87"/>
      <c r="I48" s="137">
        <v>1019</v>
      </c>
      <c r="J48" s="425">
        <f>I48/K48</f>
        <v>50.95</v>
      </c>
      <c r="K48" s="373">
        <v>20</v>
      </c>
      <c r="M48" s="86" t="s">
        <v>942</v>
      </c>
      <c r="N48" s="86"/>
      <c r="O48" s="17">
        <f>92+10</f>
        <v>102</v>
      </c>
    </row>
    <row r="49" spans="1:30" ht="16.5" thickBot="1" x14ac:dyDescent="0.3">
      <c r="A49" s="14" t="s">
        <v>742</v>
      </c>
      <c r="B49" s="14" t="s">
        <v>743</v>
      </c>
      <c r="C49" s="14" t="s">
        <v>744</v>
      </c>
      <c r="D49" s="25" t="s">
        <v>745</v>
      </c>
      <c r="F49" s="87" t="s">
        <v>1038</v>
      </c>
      <c r="G49" s="38" t="s">
        <v>950</v>
      </c>
      <c r="H49" s="87"/>
      <c r="I49" s="137">
        <f>470+47</f>
        <v>517</v>
      </c>
      <c r="J49" s="447"/>
      <c r="M49" s="86" t="s">
        <v>947</v>
      </c>
      <c r="N49" s="86"/>
      <c r="O49" s="17">
        <v>130</v>
      </c>
    </row>
    <row r="50" spans="1:30" ht="15.95" customHeight="1" thickBot="1" x14ac:dyDescent="0.3">
      <c r="A50" s="87" t="s">
        <v>2224</v>
      </c>
      <c r="B50" s="87" t="s">
        <v>879</v>
      </c>
      <c r="C50" s="34">
        <v>4185</v>
      </c>
      <c r="D50" s="30">
        <f t="shared" ref="D50:D76" si="4">C50/2</f>
        <v>2092.5</v>
      </c>
      <c r="F50" s="87" t="s">
        <v>1039</v>
      </c>
      <c r="G50" s="38" t="s">
        <v>946</v>
      </c>
      <c r="H50" s="87"/>
      <c r="I50" s="137">
        <v>900</v>
      </c>
      <c r="J50" s="447"/>
      <c r="M50" s="86" t="s">
        <v>951</v>
      </c>
      <c r="N50" s="86"/>
      <c r="O50" s="17">
        <v>92</v>
      </c>
    </row>
    <row r="51" spans="1:30" ht="16.5" thickBot="1" x14ac:dyDescent="0.3">
      <c r="A51" s="87" t="s">
        <v>2225</v>
      </c>
      <c r="B51" s="87" t="s">
        <v>883</v>
      </c>
      <c r="C51" s="34">
        <v>4350</v>
      </c>
      <c r="D51" s="30">
        <f t="shared" si="4"/>
        <v>2175</v>
      </c>
      <c r="F51" s="87" t="s">
        <v>1041</v>
      </c>
      <c r="G51" s="38" t="s">
        <v>959</v>
      </c>
      <c r="H51" s="87" t="s">
        <v>772</v>
      </c>
      <c r="I51" s="137">
        <f>261+26</f>
        <v>287</v>
      </c>
      <c r="J51" s="447"/>
      <c r="M51" s="86" t="s">
        <v>954</v>
      </c>
      <c r="N51" s="86" t="s">
        <v>955</v>
      </c>
      <c r="O51" s="17">
        <f>252-37</f>
        <v>215</v>
      </c>
      <c r="AD51" s="60"/>
    </row>
    <row r="52" spans="1:30" ht="16.5" thickBot="1" x14ac:dyDescent="0.3">
      <c r="A52" s="87" t="s">
        <v>2226</v>
      </c>
      <c r="B52" s="87" t="s">
        <v>887</v>
      </c>
      <c r="C52" s="34">
        <v>4772</v>
      </c>
      <c r="D52" s="30">
        <f t="shared" si="4"/>
        <v>2386</v>
      </c>
      <c r="F52" s="87" t="s">
        <v>1042</v>
      </c>
      <c r="G52" s="38" t="s">
        <v>959</v>
      </c>
      <c r="H52" s="87" t="s">
        <v>772</v>
      </c>
      <c r="I52" s="137">
        <f>230+23</f>
        <v>253</v>
      </c>
      <c r="J52" s="231"/>
      <c r="M52" s="86" t="s">
        <v>3035</v>
      </c>
      <c r="N52" s="86" t="s">
        <v>3034</v>
      </c>
      <c r="O52" s="17">
        <v>4079</v>
      </c>
      <c r="AD52" s="60"/>
    </row>
    <row r="53" spans="1:30" ht="16.5" thickBot="1" x14ac:dyDescent="0.3">
      <c r="A53" s="87" t="s">
        <v>2227</v>
      </c>
      <c r="B53" s="87" t="s">
        <v>893</v>
      </c>
      <c r="C53" s="34">
        <v>4920</v>
      </c>
      <c r="D53" s="30">
        <f t="shared" si="4"/>
        <v>2460</v>
      </c>
      <c r="F53" s="87" t="s">
        <v>12</v>
      </c>
      <c r="G53" s="38" t="s">
        <v>1043</v>
      </c>
      <c r="H53" s="87" t="s">
        <v>761</v>
      </c>
      <c r="I53" s="137">
        <v>585</v>
      </c>
      <c r="J53" s="231"/>
      <c r="M53" s="15" t="s">
        <v>3294</v>
      </c>
      <c r="N53" s="15" t="s">
        <v>944</v>
      </c>
      <c r="O53" s="93">
        <v>1815</v>
      </c>
      <c r="AD53" s="60"/>
    </row>
    <row r="54" spans="1:30" ht="16.5" thickBot="1" x14ac:dyDescent="0.3">
      <c r="A54" s="87" t="s">
        <v>3774</v>
      </c>
      <c r="B54" s="87" t="s">
        <v>3767</v>
      </c>
      <c r="C54" s="34">
        <v>3628</v>
      </c>
      <c r="D54" s="30">
        <f t="shared" si="4"/>
        <v>1814</v>
      </c>
      <c r="F54" s="87" t="s">
        <v>1005</v>
      </c>
      <c r="G54" s="38" t="s">
        <v>959</v>
      </c>
      <c r="H54" s="87" t="s">
        <v>803</v>
      </c>
      <c r="I54" s="137">
        <v>440</v>
      </c>
      <c r="J54" s="231"/>
      <c r="M54" s="15" t="s">
        <v>3429</v>
      </c>
      <c r="N54" s="15"/>
      <c r="O54" s="93">
        <v>2920</v>
      </c>
      <c r="AD54" s="60"/>
    </row>
    <row r="55" spans="1:30" ht="16.5" thickBot="1" x14ac:dyDescent="0.3">
      <c r="A55" s="87" t="s">
        <v>3775</v>
      </c>
      <c r="B55" s="87" t="s">
        <v>3764</v>
      </c>
      <c r="C55" s="34">
        <v>4366</v>
      </c>
      <c r="D55" s="30">
        <f t="shared" si="4"/>
        <v>2183</v>
      </c>
      <c r="F55" s="1559" t="s">
        <v>1046</v>
      </c>
      <c r="G55" s="38" t="s">
        <v>950</v>
      </c>
      <c r="H55" s="87" t="s">
        <v>803</v>
      </c>
      <c r="I55" s="377">
        <v>690</v>
      </c>
      <c r="J55" s="231" t="s">
        <v>1047</v>
      </c>
      <c r="M55" s="15" t="s">
        <v>3430</v>
      </c>
      <c r="N55" s="15"/>
      <c r="O55" s="93">
        <v>2665</v>
      </c>
    </row>
    <row r="56" spans="1:30" ht="16.5" thickBot="1" x14ac:dyDescent="0.3">
      <c r="A56" s="38" t="s">
        <v>3831</v>
      </c>
      <c r="B56" s="87" t="s">
        <v>3768</v>
      </c>
      <c r="C56" s="34">
        <v>7366</v>
      </c>
      <c r="D56" s="30">
        <f t="shared" si="4"/>
        <v>3683</v>
      </c>
      <c r="F56" s="1560"/>
      <c r="G56" s="38" t="s">
        <v>950</v>
      </c>
      <c r="H56" s="87" t="s">
        <v>781</v>
      </c>
      <c r="I56" s="137">
        <v>2614</v>
      </c>
      <c r="J56" s="87" t="s">
        <v>1049</v>
      </c>
      <c r="M56" s="15" t="s">
        <v>3696</v>
      </c>
      <c r="N56" s="15"/>
      <c r="O56" s="93">
        <v>8538</v>
      </c>
    </row>
    <row r="57" spans="1:30" ht="16.5" thickBot="1" x14ac:dyDescent="0.3">
      <c r="A57" s="38" t="s">
        <v>3832</v>
      </c>
      <c r="B57" s="87" t="s">
        <v>3769</v>
      </c>
      <c r="C57" s="34">
        <v>7596</v>
      </c>
      <c r="D57" s="30">
        <f t="shared" si="4"/>
        <v>3798</v>
      </c>
      <c r="F57" s="87" t="s">
        <v>5062</v>
      </c>
      <c r="G57" s="38" t="s">
        <v>940</v>
      </c>
      <c r="H57" s="87" t="s">
        <v>1022</v>
      </c>
      <c r="I57" s="137">
        <v>5590</v>
      </c>
      <c r="J57" s="15"/>
      <c r="M57" s="15" t="s">
        <v>3697</v>
      </c>
      <c r="N57" s="15"/>
      <c r="O57" s="93">
        <v>3754</v>
      </c>
    </row>
    <row r="58" spans="1:30" ht="16.5" thickBot="1" x14ac:dyDescent="0.3">
      <c r="A58" s="151" t="s">
        <v>3274</v>
      </c>
      <c r="B58" s="15" t="s">
        <v>3275</v>
      </c>
      <c r="C58" s="33">
        <v>5193</v>
      </c>
      <c r="D58" s="28">
        <f t="shared" si="4"/>
        <v>2596.5</v>
      </c>
      <c r="M58" s="15" t="s">
        <v>3873</v>
      </c>
      <c r="N58" s="15"/>
      <c r="O58" s="93">
        <v>1500</v>
      </c>
    </row>
    <row r="59" spans="1:30" ht="16.5" thickBot="1" x14ac:dyDescent="0.3">
      <c r="A59" s="151" t="s">
        <v>3788</v>
      </c>
      <c r="B59" s="15"/>
      <c r="C59" s="33">
        <v>6550</v>
      </c>
      <c r="D59" s="28">
        <f t="shared" si="4"/>
        <v>3275</v>
      </c>
      <c r="F59" s="1576" t="s">
        <v>2250</v>
      </c>
      <c r="G59" s="1577"/>
      <c r="H59" s="1577"/>
      <c r="I59" s="1577"/>
      <c r="J59" s="1577"/>
      <c r="K59" s="1578"/>
      <c r="M59" s="15" t="s">
        <v>3398</v>
      </c>
      <c r="N59" s="15"/>
      <c r="O59" s="93">
        <v>5599</v>
      </c>
    </row>
    <row r="60" spans="1:30" ht="16.5" thickBot="1" x14ac:dyDescent="0.3">
      <c r="A60" s="151" t="s">
        <v>3787</v>
      </c>
      <c r="B60" s="15"/>
      <c r="C60" s="33">
        <v>5450</v>
      </c>
      <c r="D60" s="28">
        <f t="shared" si="4"/>
        <v>2725</v>
      </c>
      <c r="F60" s="68" t="s">
        <v>916</v>
      </c>
      <c r="G60" s="10" t="s">
        <v>931</v>
      </c>
      <c r="H60" s="10" t="s">
        <v>932</v>
      </c>
      <c r="I60" s="10" t="s">
        <v>2032</v>
      </c>
      <c r="J60" s="10" t="s">
        <v>4096</v>
      </c>
      <c r="K60" s="10" t="s">
        <v>1052</v>
      </c>
      <c r="M60" s="1559" t="s">
        <v>4094</v>
      </c>
      <c r="N60" s="15" t="s">
        <v>4093</v>
      </c>
      <c r="O60" s="93">
        <v>1195</v>
      </c>
    </row>
    <row r="61" spans="1:30" ht="16.5" thickBot="1" x14ac:dyDescent="0.3">
      <c r="A61" s="151" t="s">
        <v>3926</v>
      </c>
      <c r="B61" s="15" t="s">
        <v>3923</v>
      </c>
      <c r="C61" s="33">
        <v>5175</v>
      </c>
      <c r="D61" s="28">
        <f t="shared" si="4"/>
        <v>2587.5</v>
      </c>
      <c r="F61" s="1427" t="s">
        <v>4061</v>
      </c>
      <c r="G61" s="1428" t="s">
        <v>3893</v>
      </c>
      <c r="H61" s="1428" t="s">
        <v>3590</v>
      </c>
      <c r="I61" s="1428">
        <v>390</v>
      </c>
      <c r="J61" s="1428"/>
      <c r="K61" s="1429"/>
      <c r="M61" s="1560"/>
      <c r="N61" s="15" t="s">
        <v>4879</v>
      </c>
      <c r="O61" s="93">
        <v>1195</v>
      </c>
    </row>
    <row r="62" spans="1:30" ht="16.5" thickBot="1" x14ac:dyDescent="0.3">
      <c r="A62" s="151" t="s">
        <v>3927</v>
      </c>
      <c r="B62" s="15" t="s">
        <v>3924</v>
      </c>
      <c r="C62" s="33">
        <v>5337</v>
      </c>
      <c r="D62" s="28">
        <f t="shared" si="4"/>
        <v>2668.5</v>
      </c>
      <c r="F62" s="1427" t="s">
        <v>3463</v>
      </c>
      <c r="G62" s="1428" t="s">
        <v>3893</v>
      </c>
      <c r="H62" s="1428" t="s">
        <v>781</v>
      </c>
      <c r="I62" s="1428">
        <v>2154</v>
      </c>
      <c r="J62" s="1428"/>
      <c r="K62" s="1429"/>
      <c r="M62" s="15" t="s">
        <v>1389</v>
      </c>
      <c r="N62" s="15"/>
      <c r="O62" s="93">
        <v>2761</v>
      </c>
    </row>
    <row r="63" spans="1:30" ht="16.5" thickBot="1" x14ac:dyDescent="0.3">
      <c r="A63" s="151" t="s">
        <v>3928</v>
      </c>
      <c r="B63" s="15" t="s">
        <v>3925</v>
      </c>
      <c r="C63" s="33">
        <v>4453</v>
      </c>
      <c r="D63" s="28">
        <f t="shared" si="4"/>
        <v>2226.5</v>
      </c>
      <c r="F63" s="13" t="s">
        <v>4536</v>
      </c>
      <c r="G63" s="38" t="s">
        <v>975</v>
      </c>
      <c r="H63" s="38"/>
      <c r="I63" s="38">
        <v>1742</v>
      </c>
      <c r="J63" s="38">
        <v>4700</v>
      </c>
      <c r="K63" s="87">
        <f>J63+I63</f>
        <v>6442</v>
      </c>
      <c r="M63" s="15" t="s">
        <v>3949</v>
      </c>
      <c r="N63" s="15"/>
      <c r="O63" s="93">
        <v>2590</v>
      </c>
    </row>
    <row r="64" spans="1:30" ht="16.5" thickBot="1" x14ac:dyDescent="0.3">
      <c r="A64" s="151" t="s">
        <v>3930</v>
      </c>
      <c r="B64" s="15" t="s">
        <v>3929</v>
      </c>
      <c r="C64" s="33">
        <v>6385</v>
      </c>
      <c r="D64" s="28">
        <f t="shared" si="4"/>
        <v>3192.5</v>
      </c>
      <c r="F64" s="1428" t="s">
        <v>5072</v>
      </c>
      <c r="G64" s="1428" t="s">
        <v>5073</v>
      </c>
      <c r="H64" s="1428" t="s">
        <v>803</v>
      </c>
      <c r="I64" s="1428">
        <v>1500</v>
      </c>
      <c r="J64" s="1428">
        <v>6292</v>
      </c>
      <c r="K64" s="1429">
        <f>J64+I64</f>
        <v>7792</v>
      </c>
      <c r="M64" s="15" t="s">
        <v>4846</v>
      </c>
      <c r="N64" s="15"/>
      <c r="O64" s="93">
        <v>2390</v>
      </c>
    </row>
    <row r="65" spans="1:15" ht="16.5" thickBot="1" x14ac:dyDescent="0.3">
      <c r="A65" s="151" t="s">
        <v>4513</v>
      </c>
      <c r="B65" s="15" t="s">
        <v>4512</v>
      </c>
      <c r="C65" s="33">
        <v>3073</v>
      </c>
      <c r="D65" s="28">
        <f t="shared" si="4"/>
        <v>1536.5</v>
      </c>
      <c r="F65" s="1428" t="s">
        <v>4527</v>
      </c>
      <c r="G65" s="1428" t="s">
        <v>950</v>
      </c>
      <c r="H65" s="1428" t="s">
        <v>781</v>
      </c>
      <c r="I65" s="1428">
        <v>2386</v>
      </c>
      <c r="J65" s="1428">
        <v>8712</v>
      </c>
      <c r="K65" s="1429">
        <f>J65+I65</f>
        <v>11098</v>
      </c>
      <c r="M65" s="15" t="s">
        <v>4010</v>
      </c>
      <c r="N65" s="15"/>
      <c r="O65" s="93">
        <v>1290</v>
      </c>
    </row>
    <row r="66" spans="1:15" ht="16.5" thickBot="1" x14ac:dyDescent="0.3">
      <c r="A66" s="151" t="s">
        <v>4515</v>
      </c>
      <c r="B66" s="15" t="s">
        <v>4514</v>
      </c>
      <c r="C66" s="33">
        <v>3973</v>
      </c>
      <c r="D66" s="28">
        <f t="shared" si="4"/>
        <v>1986.5</v>
      </c>
      <c r="F66" s="1428" t="s">
        <v>4527</v>
      </c>
      <c r="G66" s="1428" t="s">
        <v>3893</v>
      </c>
      <c r="H66" s="1428" t="s">
        <v>781</v>
      </c>
      <c r="I66" s="1428">
        <v>2386</v>
      </c>
      <c r="J66" s="1428"/>
      <c r="K66" s="1429"/>
      <c r="M66" s="15" t="s">
        <v>4055</v>
      </c>
      <c r="N66" s="15"/>
      <c r="O66" s="93">
        <v>7819</v>
      </c>
    </row>
    <row r="67" spans="1:15" ht="16.5" thickBot="1" x14ac:dyDescent="0.3">
      <c r="A67" s="151" t="s">
        <v>4627</v>
      </c>
      <c r="B67" s="15" t="s">
        <v>4628</v>
      </c>
      <c r="C67" s="33">
        <v>5570</v>
      </c>
      <c r="D67" s="28">
        <f t="shared" si="4"/>
        <v>2785</v>
      </c>
      <c r="F67" s="87" t="s">
        <v>3293</v>
      </c>
      <c r="G67" s="38" t="s">
        <v>3893</v>
      </c>
      <c r="H67" s="87" t="s">
        <v>912</v>
      </c>
      <c r="I67" s="38">
        <v>1840</v>
      </c>
      <c r="J67" s="38">
        <v>8107</v>
      </c>
      <c r="K67" s="87">
        <f>J67+I67</f>
        <v>9947</v>
      </c>
      <c r="M67" s="15" t="s">
        <v>4056</v>
      </c>
      <c r="N67" s="15"/>
      <c r="O67" s="93">
        <v>3186</v>
      </c>
    </row>
    <row r="68" spans="1:15" ht="16.5" thickBot="1" x14ac:dyDescent="0.3">
      <c r="A68" s="151" t="s">
        <v>4787</v>
      </c>
      <c r="B68" s="15" t="s">
        <v>4789</v>
      </c>
      <c r="C68" s="33">
        <v>3881</v>
      </c>
      <c r="D68" s="28">
        <f t="shared" si="4"/>
        <v>1940.5</v>
      </c>
      <c r="F68" s="1429" t="s">
        <v>4528</v>
      </c>
      <c r="G68" s="1428" t="s">
        <v>3893</v>
      </c>
      <c r="H68" s="1429" t="s">
        <v>4062</v>
      </c>
      <c r="I68" s="1427">
        <v>1040</v>
      </c>
      <c r="J68" s="1428"/>
      <c r="K68" s="1429"/>
      <c r="M68" s="15" t="s">
        <v>4253</v>
      </c>
      <c r="N68" s="15"/>
      <c r="O68" s="93">
        <v>888</v>
      </c>
    </row>
    <row r="69" spans="1:15" ht="16.5" thickBot="1" x14ac:dyDescent="0.3">
      <c r="A69" s="151" t="s">
        <v>4788</v>
      </c>
      <c r="B69" s="15" t="s">
        <v>4790</v>
      </c>
      <c r="C69" s="33">
        <v>4132</v>
      </c>
      <c r="D69" s="28">
        <f t="shared" si="4"/>
        <v>2066</v>
      </c>
      <c r="F69" s="1429" t="s">
        <v>4063</v>
      </c>
      <c r="G69" s="1428" t="s">
        <v>3893</v>
      </c>
      <c r="H69" s="1429" t="s">
        <v>4064</v>
      </c>
      <c r="I69" s="1428">
        <v>1100</v>
      </c>
      <c r="J69" s="1428"/>
      <c r="K69" s="1429"/>
      <c r="M69" s="15" t="s">
        <v>4354</v>
      </c>
      <c r="N69" s="15" t="s">
        <v>4355</v>
      </c>
      <c r="O69" s="232">
        <v>3331</v>
      </c>
    </row>
    <row r="70" spans="1:15" ht="16.5" thickBot="1" x14ac:dyDescent="0.3">
      <c r="A70" s="151" t="s">
        <v>4816</v>
      </c>
      <c r="B70" s="15" t="s">
        <v>4791</v>
      </c>
      <c r="C70" s="33">
        <v>7563</v>
      </c>
      <c r="D70" s="28">
        <f t="shared" si="4"/>
        <v>3781.5</v>
      </c>
      <c r="F70" s="1429" t="s">
        <v>4534</v>
      </c>
      <c r="G70" s="1428" t="s">
        <v>3893</v>
      </c>
      <c r="H70" s="1429" t="s">
        <v>803</v>
      </c>
      <c r="I70" s="1428">
        <v>783</v>
      </c>
      <c r="J70" s="1428">
        <v>5203</v>
      </c>
      <c r="K70" s="1429">
        <f>J70+I70</f>
        <v>5986</v>
      </c>
      <c r="M70" s="15" t="s">
        <v>4487</v>
      </c>
      <c r="N70" s="15"/>
      <c r="O70" s="232">
        <v>8955</v>
      </c>
    </row>
    <row r="71" spans="1:15" ht="16.5" thickBot="1" x14ac:dyDescent="0.3">
      <c r="A71" s="151" t="s">
        <v>4798</v>
      </c>
      <c r="B71" s="15" t="s">
        <v>4799</v>
      </c>
      <c r="C71" s="33">
        <v>5414</v>
      </c>
      <c r="D71" s="28">
        <f t="shared" si="4"/>
        <v>2707</v>
      </c>
      <c r="F71" s="1429" t="s">
        <v>4535</v>
      </c>
      <c r="G71" s="1428" t="s">
        <v>3893</v>
      </c>
      <c r="H71" s="1429" t="s">
        <v>805</v>
      </c>
      <c r="I71" s="1428">
        <v>1500</v>
      </c>
      <c r="J71" s="1428">
        <v>5687</v>
      </c>
      <c r="K71" s="1429">
        <f>I71+J71</f>
        <v>7187</v>
      </c>
      <c r="M71" s="15" t="s">
        <v>4488</v>
      </c>
      <c r="N71" s="15"/>
      <c r="O71" s="232">
        <v>7605</v>
      </c>
    </row>
    <row r="72" spans="1:15" ht="16.5" thickBot="1" x14ac:dyDescent="0.3">
      <c r="A72" s="151" t="s">
        <v>4803</v>
      </c>
      <c r="B72" s="15" t="s">
        <v>4800</v>
      </c>
      <c r="C72" s="33">
        <v>5699</v>
      </c>
      <c r="D72" s="28">
        <f t="shared" si="4"/>
        <v>2849.5</v>
      </c>
      <c r="F72" s="1429" t="s">
        <v>4533</v>
      </c>
      <c r="G72" s="1430" t="s">
        <v>3893</v>
      </c>
      <c r="H72" s="1429" t="s">
        <v>4060</v>
      </c>
      <c r="I72" s="1428">
        <v>1355</v>
      </c>
      <c r="J72" s="1428"/>
      <c r="K72" s="1429"/>
      <c r="M72" s="15" t="s">
        <v>4848</v>
      </c>
      <c r="N72" s="15" t="s">
        <v>4849</v>
      </c>
      <c r="O72" s="232">
        <v>1965</v>
      </c>
    </row>
    <row r="73" spans="1:15" ht="16.5" thickBot="1" x14ac:dyDescent="0.3">
      <c r="A73" s="151" t="s">
        <v>4804</v>
      </c>
      <c r="B73" s="15" t="s">
        <v>4801</v>
      </c>
      <c r="C73" s="33">
        <v>5883</v>
      </c>
      <c r="D73" s="28">
        <f t="shared" si="4"/>
        <v>2941.5</v>
      </c>
      <c r="F73" s="1429" t="s">
        <v>4533</v>
      </c>
      <c r="G73" s="1430" t="s">
        <v>4369</v>
      </c>
      <c r="H73" s="1429" t="s">
        <v>4060</v>
      </c>
      <c r="I73" s="1428">
        <v>67665</v>
      </c>
      <c r="J73" s="1428"/>
      <c r="K73" s="1429"/>
      <c r="M73" s="15" t="s">
        <v>4850</v>
      </c>
      <c r="N73" s="15" t="s">
        <v>4851</v>
      </c>
      <c r="O73" s="232">
        <v>1820</v>
      </c>
    </row>
    <row r="74" spans="1:15" ht="16.5" thickBot="1" x14ac:dyDescent="0.3">
      <c r="A74" s="151" t="s">
        <v>4805</v>
      </c>
      <c r="B74" s="15" t="s">
        <v>4802</v>
      </c>
      <c r="C74" s="33">
        <v>6067</v>
      </c>
      <c r="D74" s="28">
        <f t="shared" si="4"/>
        <v>3033.5</v>
      </c>
      <c r="F74" s="1429" t="s">
        <v>4976</v>
      </c>
      <c r="G74" s="1430" t="s">
        <v>5022</v>
      </c>
      <c r="H74" s="1429" t="s">
        <v>4980</v>
      </c>
      <c r="I74" s="1428">
        <v>1350</v>
      </c>
      <c r="J74" s="1428">
        <v>7865</v>
      </c>
      <c r="K74" s="1429">
        <f>I74+J74</f>
        <v>9215</v>
      </c>
      <c r="M74" s="15" t="s">
        <v>5007</v>
      </c>
      <c r="N74" s="15" t="s">
        <v>4932</v>
      </c>
      <c r="O74" s="232">
        <v>3093</v>
      </c>
    </row>
    <row r="75" spans="1:15" ht="16.5" thickBot="1" x14ac:dyDescent="0.3">
      <c r="A75" s="151" t="s">
        <v>4854</v>
      </c>
      <c r="B75" s="15" t="s">
        <v>4852</v>
      </c>
      <c r="C75" s="33">
        <v>3310</v>
      </c>
      <c r="D75" s="28">
        <f t="shared" si="4"/>
        <v>1655</v>
      </c>
      <c r="F75" s="1429" t="s">
        <v>4977</v>
      </c>
      <c r="G75" s="1430" t="s">
        <v>4978</v>
      </c>
      <c r="H75" s="1429" t="s">
        <v>4979</v>
      </c>
      <c r="I75" s="1428">
        <v>5500</v>
      </c>
      <c r="J75" s="1428"/>
      <c r="K75" s="1429"/>
      <c r="M75" s="15" t="s">
        <v>5008</v>
      </c>
      <c r="N75" s="15" t="s">
        <v>4913</v>
      </c>
      <c r="O75" s="232">
        <v>3036</v>
      </c>
    </row>
    <row r="76" spans="1:15" ht="16.5" thickBot="1" x14ac:dyDescent="0.3">
      <c r="A76" s="151" t="s">
        <v>4853</v>
      </c>
      <c r="B76" s="15" t="s">
        <v>4855</v>
      </c>
      <c r="C76" s="33">
        <v>4350</v>
      </c>
      <c r="D76" s="28">
        <f t="shared" si="4"/>
        <v>2175</v>
      </c>
      <c r="F76" s="1429" t="s">
        <v>4981</v>
      </c>
      <c r="G76" s="1430" t="s">
        <v>4978</v>
      </c>
      <c r="H76" s="1429" t="s">
        <v>4982</v>
      </c>
      <c r="I76" s="1428">
        <v>5300</v>
      </c>
      <c r="J76" s="1428"/>
      <c r="K76" s="1429"/>
      <c r="M76" s="15" t="s">
        <v>5009</v>
      </c>
      <c r="N76" s="15"/>
      <c r="O76" s="232">
        <v>2550</v>
      </c>
    </row>
    <row r="77" spans="1:15" ht="16.5" thickBot="1" x14ac:dyDescent="0.3">
      <c r="F77" s="1429" t="s">
        <v>4983</v>
      </c>
      <c r="G77" s="1430" t="s">
        <v>4984</v>
      </c>
      <c r="H77" s="1429" t="s">
        <v>4985</v>
      </c>
      <c r="I77" s="1428">
        <v>3900</v>
      </c>
      <c r="J77" s="1428">
        <v>6292</v>
      </c>
      <c r="K77" s="1429">
        <f>J77+I77</f>
        <v>10192</v>
      </c>
      <c r="M77" s="15" t="s">
        <v>4933</v>
      </c>
      <c r="N77" s="15"/>
      <c r="O77" s="232">
        <v>2885</v>
      </c>
    </row>
    <row r="78" spans="1:15" ht="16.5" thickBot="1" x14ac:dyDescent="0.3">
      <c r="F78" s="1429" t="s">
        <v>5070</v>
      </c>
      <c r="G78" s="1430" t="s">
        <v>5067</v>
      </c>
      <c r="H78" s="1429" t="s">
        <v>5068</v>
      </c>
      <c r="I78" s="1428">
        <v>1447</v>
      </c>
      <c r="J78" s="1428"/>
      <c r="K78" s="1429"/>
      <c r="M78" s="15" t="s">
        <v>4963</v>
      </c>
      <c r="N78" s="15" t="s">
        <v>4962</v>
      </c>
      <c r="O78" s="232">
        <v>2791</v>
      </c>
    </row>
    <row r="79" spans="1:15" ht="16.5" thickBot="1" x14ac:dyDescent="0.3">
      <c r="A79" s="1568" t="s">
        <v>2207</v>
      </c>
      <c r="B79" s="1569"/>
      <c r="C79" s="1569"/>
      <c r="D79" s="1570"/>
      <c r="F79" s="1429" t="s">
        <v>5069</v>
      </c>
      <c r="G79" s="1430" t="s">
        <v>5067</v>
      </c>
      <c r="H79" s="1429" t="s">
        <v>5068</v>
      </c>
      <c r="I79" s="1428">
        <v>1437</v>
      </c>
      <c r="J79" s="1428"/>
      <c r="K79" s="1429"/>
      <c r="M79" s="15" t="s">
        <v>4964</v>
      </c>
      <c r="N79" s="15" t="s">
        <v>4961</v>
      </c>
      <c r="O79" s="232">
        <v>5441</v>
      </c>
    </row>
    <row r="80" spans="1:15" ht="16.5" thickBot="1" x14ac:dyDescent="0.3">
      <c r="A80" s="14" t="s">
        <v>742</v>
      </c>
      <c r="B80" s="14" t="s">
        <v>743</v>
      </c>
      <c r="C80" s="14" t="s">
        <v>744</v>
      </c>
      <c r="D80" s="25" t="s">
        <v>745</v>
      </c>
      <c r="F80" s="1429" t="s">
        <v>5071</v>
      </c>
      <c r="G80" s="1430"/>
      <c r="H80" s="1429"/>
      <c r="I80" s="1428">
        <v>1700</v>
      </c>
      <c r="J80" s="1428"/>
      <c r="K80" s="1429"/>
      <c r="M80" s="15" t="s">
        <v>5006</v>
      </c>
      <c r="N80" s="15"/>
      <c r="O80" s="232">
        <v>4460</v>
      </c>
    </row>
    <row r="81" spans="1:15" ht="16.5" thickBot="1" x14ac:dyDescent="0.3">
      <c r="A81" s="87" t="s">
        <v>843</v>
      </c>
      <c r="B81" s="87" t="s">
        <v>844</v>
      </c>
      <c r="C81" s="34">
        <v>1970</v>
      </c>
      <c r="D81" s="30">
        <f t="shared" ref="D81" si="5">C81/2</f>
        <v>985</v>
      </c>
      <c r="F81" s="1429" t="s">
        <v>5074</v>
      </c>
      <c r="G81" s="1430"/>
      <c r="H81" s="1429"/>
      <c r="I81" s="1428">
        <v>2450</v>
      </c>
      <c r="J81" s="1428"/>
      <c r="K81" s="1429"/>
      <c r="M81" s="15" t="s">
        <v>5063</v>
      </c>
      <c r="N81" s="15" t="s">
        <v>5064</v>
      </c>
      <c r="O81" s="232">
        <v>8105</v>
      </c>
    </row>
    <row r="82" spans="1:15" ht="16.5" thickBot="1" x14ac:dyDescent="0.3">
      <c r="A82" s="87" t="s">
        <v>849</v>
      </c>
      <c r="B82" s="87" t="s">
        <v>850</v>
      </c>
      <c r="C82" s="34">
        <v>1970</v>
      </c>
      <c r="D82" s="30">
        <f t="shared" ref="D82:D92" si="6">C82/2</f>
        <v>985</v>
      </c>
      <c r="M82" s="15" t="s">
        <v>5005</v>
      </c>
      <c r="N82" s="15"/>
      <c r="O82" s="232">
        <v>3339</v>
      </c>
    </row>
    <row r="83" spans="1:15" ht="16.5" thickBot="1" x14ac:dyDescent="0.3">
      <c r="A83" s="87" t="s">
        <v>3844</v>
      </c>
      <c r="B83" s="87" t="s">
        <v>853</v>
      </c>
      <c r="C83" s="34">
        <v>2049</v>
      </c>
      <c r="D83" s="30">
        <f t="shared" si="6"/>
        <v>1024.5</v>
      </c>
      <c r="F83" s="1582" t="s">
        <v>4489</v>
      </c>
      <c r="G83" s="1583"/>
      <c r="H83" s="1583"/>
      <c r="I83" s="1583"/>
      <c r="J83" s="1583"/>
      <c r="K83" s="1584"/>
      <c r="M83" s="15" t="s">
        <v>4969</v>
      </c>
      <c r="N83" s="15" t="s">
        <v>4970</v>
      </c>
      <c r="O83" s="232">
        <v>4097</v>
      </c>
    </row>
    <row r="84" spans="1:15" ht="16.5" thickBot="1" x14ac:dyDescent="0.3">
      <c r="A84" s="87" t="s">
        <v>830</v>
      </c>
      <c r="B84" s="87"/>
      <c r="C84" s="34">
        <v>1319</v>
      </c>
      <c r="D84" s="30">
        <f t="shared" si="6"/>
        <v>659.5</v>
      </c>
      <c r="F84" s="14" t="s">
        <v>916</v>
      </c>
      <c r="G84" s="10" t="s">
        <v>931</v>
      </c>
      <c r="H84" s="10" t="s">
        <v>932</v>
      </c>
      <c r="I84" s="10" t="s">
        <v>2032</v>
      </c>
      <c r="J84" s="10" t="s">
        <v>4096</v>
      </c>
      <c r="K84" s="14" t="s">
        <v>1052</v>
      </c>
    </row>
    <row r="85" spans="1:15" ht="16.5" thickBot="1" x14ac:dyDescent="0.3">
      <c r="A85" s="87" t="s">
        <v>835</v>
      </c>
      <c r="B85" s="87"/>
      <c r="C85" s="34">
        <v>1445</v>
      </c>
      <c r="D85" s="30">
        <f t="shared" si="6"/>
        <v>722.5</v>
      </c>
      <c r="F85" s="13" t="s">
        <v>4490</v>
      </c>
      <c r="G85" s="38">
        <v>0.83</v>
      </c>
      <c r="H85" s="87" t="s">
        <v>4060</v>
      </c>
      <c r="I85" s="38">
        <v>1124</v>
      </c>
      <c r="J85" s="38">
        <v>7865</v>
      </c>
      <c r="K85" s="87">
        <f>J85+I85</f>
        <v>8989</v>
      </c>
    </row>
    <row r="86" spans="1:15" ht="16.5" thickBot="1" x14ac:dyDescent="0.3">
      <c r="A86" s="15" t="s">
        <v>866</v>
      </c>
      <c r="B86" s="15"/>
      <c r="C86" s="33">
        <v>2115</v>
      </c>
      <c r="D86" s="28">
        <f>C86/2</f>
        <v>1057.5</v>
      </c>
      <c r="F86" s="13" t="s">
        <v>4531</v>
      </c>
      <c r="G86" s="13">
        <v>0.45</v>
      </c>
      <c r="H86" s="13" t="s">
        <v>3590</v>
      </c>
      <c r="I86" s="13">
        <v>176</v>
      </c>
      <c r="J86" s="13">
        <v>5445</v>
      </c>
      <c r="K86" s="15">
        <f>J86+I86</f>
        <v>5621</v>
      </c>
    </row>
    <row r="87" spans="1:15" ht="16.5" thickBot="1" x14ac:dyDescent="0.3">
      <c r="A87" s="87" t="s">
        <v>839</v>
      </c>
      <c r="B87" s="87"/>
      <c r="C87" s="34">
        <v>1185</v>
      </c>
      <c r="D87" s="30">
        <f t="shared" si="6"/>
        <v>592.5</v>
      </c>
      <c r="F87" s="13" t="s">
        <v>4530</v>
      </c>
      <c r="G87" s="13">
        <v>0.45</v>
      </c>
      <c r="H87" s="13" t="s">
        <v>781</v>
      </c>
      <c r="I87" s="13">
        <v>970</v>
      </c>
      <c r="J87" s="13">
        <v>8833</v>
      </c>
      <c r="K87" s="15">
        <f t="shared" ref="K87" si="7">J87+I87</f>
        <v>9803</v>
      </c>
      <c r="M87" s="1565" t="s">
        <v>741</v>
      </c>
      <c r="N87" s="1566"/>
      <c r="O87" s="1567"/>
    </row>
    <row r="88" spans="1:15" ht="16.5" thickBot="1" x14ac:dyDescent="0.3">
      <c r="A88" s="87" t="s">
        <v>3838</v>
      </c>
      <c r="B88" s="87" t="s">
        <v>3837</v>
      </c>
      <c r="C88" s="34">
        <v>6385</v>
      </c>
      <c r="D88" s="30">
        <f t="shared" si="6"/>
        <v>3192.5</v>
      </c>
      <c r="F88" s="13" t="s">
        <v>4532</v>
      </c>
      <c r="G88" s="13">
        <v>0.6</v>
      </c>
      <c r="H88" s="87" t="s">
        <v>4062</v>
      </c>
      <c r="I88" s="13">
        <v>624</v>
      </c>
      <c r="J88" s="13">
        <v>5566</v>
      </c>
      <c r="K88" s="15">
        <f>J88+I88</f>
        <v>6190</v>
      </c>
      <c r="M88" s="14" t="s">
        <v>746</v>
      </c>
      <c r="N88" s="19" t="s">
        <v>742</v>
      </c>
      <c r="O88" s="14" t="s">
        <v>747</v>
      </c>
    </row>
    <row r="89" spans="1:15" ht="16.5" thickBot="1" x14ac:dyDescent="0.3">
      <c r="A89" s="87" t="s">
        <v>3843</v>
      </c>
      <c r="B89" s="87"/>
      <c r="C89" s="34">
        <v>4700</v>
      </c>
      <c r="D89" s="30">
        <f t="shared" si="6"/>
        <v>2350</v>
      </c>
      <c r="F89" s="87" t="s">
        <v>4063</v>
      </c>
      <c r="G89" s="13">
        <v>0.75</v>
      </c>
      <c r="H89" s="87" t="s">
        <v>4064</v>
      </c>
      <c r="I89" s="13">
        <v>825</v>
      </c>
      <c r="J89" s="13">
        <v>4901</v>
      </c>
      <c r="K89" s="15">
        <f>J89+I89</f>
        <v>5726</v>
      </c>
      <c r="M89" s="15" t="s">
        <v>752</v>
      </c>
      <c r="N89" s="15" t="s">
        <v>753</v>
      </c>
      <c r="O89" s="16">
        <v>879</v>
      </c>
    </row>
    <row r="90" spans="1:15" ht="16.5" thickBot="1" x14ac:dyDescent="0.3">
      <c r="A90" s="87" t="s">
        <v>3849</v>
      </c>
      <c r="B90" s="87"/>
      <c r="C90" s="34">
        <v>6950</v>
      </c>
      <c r="D90" s="30">
        <f t="shared" si="6"/>
        <v>3475</v>
      </c>
      <c r="F90" s="87" t="s">
        <v>4914</v>
      </c>
      <c r="G90" s="13">
        <v>0.42</v>
      </c>
      <c r="H90" s="87"/>
      <c r="I90" s="13">
        <v>1003</v>
      </c>
      <c r="J90" s="13">
        <v>8228</v>
      </c>
      <c r="K90" s="15">
        <f>J90+I90</f>
        <v>9231</v>
      </c>
      <c r="M90" s="15" t="s">
        <v>752</v>
      </c>
      <c r="N90" s="15" t="s">
        <v>758</v>
      </c>
      <c r="O90" s="16">
        <v>775</v>
      </c>
    </row>
    <row r="91" spans="1:15" ht="16.5" thickBot="1" x14ac:dyDescent="0.3">
      <c r="A91" s="87" t="s">
        <v>3872</v>
      </c>
      <c r="B91" s="87"/>
      <c r="C91" s="34">
        <v>6550</v>
      </c>
      <c r="D91" s="30">
        <f t="shared" si="6"/>
        <v>3275</v>
      </c>
      <c r="M91" s="15" t="s">
        <v>763</v>
      </c>
      <c r="N91" s="15" t="s">
        <v>764</v>
      </c>
      <c r="O91" s="16">
        <v>815</v>
      </c>
    </row>
    <row r="92" spans="1:15" ht="16.5" thickBot="1" x14ac:dyDescent="0.3">
      <c r="A92" s="87" t="s">
        <v>4087</v>
      </c>
      <c r="B92" s="87" t="s">
        <v>4088</v>
      </c>
      <c r="C92" s="34">
        <v>6196</v>
      </c>
      <c r="D92" s="30">
        <f t="shared" si="6"/>
        <v>3098</v>
      </c>
      <c r="F92" s="1582" t="s">
        <v>4549</v>
      </c>
      <c r="G92" s="1583"/>
      <c r="H92" s="1583"/>
      <c r="I92" s="1583"/>
      <c r="J92" s="1583"/>
      <c r="K92" s="1584"/>
      <c r="M92" s="15" t="s">
        <v>769</v>
      </c>
      <c r="N92" s="15" t="s">
        <v>59</v>
      </c>
      <c r="O92" s="16">
        <v>345</v>
      </c>
    </row>
    <row r="93" spans="1:15" ht="16.5" thickBot="1" x14ac:dyDescent="0.3">
      <c r="F93" s="14" t="s">
        <v>916</v>
      </c>
      <c r="G93" s="10" t="s">
        <v>931</v>
      </c>
      <c r="H93" s="10" t="s">
        <v>932</v>
      </c>
      <c r="I93" s="10" t="s">
        <v>2032</v>
      </c>
      <c r="J93" s="10" t="s">
        <v>4096</v>
      </c>
      <c r="K93" s="14" t="s">
        <v>1052</v>
      </c>
      <c r="M93" s="15" t="s">
        <v>775</v>
      </c>
      <c r="N93" s="15"/>
      <c r="O93" s="16">
        <v>720</v>
      </c>
    </row>
    <row r="94" spans="1:15" ht="16.5" thickBot="1" x14ac:dyDescent="0.3">
      <c r="A94" s="1568" t="s">
        <v>2206</v>
      </c>
      <c r="B94" s="1569"/>
      <c r="C94" s="1569"/>
      <c r="D94" s="1570"/>
      <c r="F94" s="13" t="s">
        <v>4548</v>
      </c>
      <c r="G94" s="38">
        <v>0.17</v>
      </c>
      <c r="H94" s="87" t="s">
        <v>4060</v>
      </c>
      <c r="I94" s="38">
        <v>231</v>
      </c>
      <c r="J94" s="38">
        <v>3025</v>
      </c>
      <c r="K94" s="87">
        <f>J94+I94</f>
        <v>3256</v>
      </c>
      <c r="M94" s="15" t="s">
        <v>779</v>
      </c>
      <c r="N94" s="15"/>
      <c r="O94" s="16">
        <v>545</v>
      </c>
    </row>
    <row r="95" spans="1:15" ht="16.5" thickBot="1" x14ac:dyDescent="0.3">
      <c r="A95" s="14" t="s">
        <v>742</v>
      </c>
      <c r="B95" s="14" t="s">
        <v>743</v>
      </c>
      <c r="C95" s="14" t="s">
        <v>744</v>
      </c>
      <c r="D95" s="25" t="s">
        <v>745</v>
      </c>
      <c r="F95" s="13" t="s">
        <v>5107</v>
      </c>
      <c r="G95" s="38">
        <v>0.17499999999999999</v>
      </c>
      <c r="H95" s="87" t="s">
        <v>4980</v>
      </c>
      <c r="I95" s="38">
        <v>400</v>
      </c>
      <c r="J95" s="38">
        <v>4235</v>
      </c>
      <c r="K95" s="87">
        <f>J95+I95</f>
        <v>4635</v>
      </c>
      <c r="M95" s="15" t="s">
        <v>783</v>
      </c>
      <c r="N95" s="15"/>
      <c r="O95" s="16">
        <v>555</v>
      </c>
    </row>
    <row r="96" spans="1:15" ht="16.5" thickBot="1" x14ac:dyDescent="0.3">
      <c r="A96" s="87" t="s">
        <v>859</v>
      </c>
      <c r="B96" s="87"/>
      <c r="C96" s="34">
        <v>2390</v>
      </c>
      <c r="D96" s="30">
        <f t="shared" ref="D96:D103" si="8">C96/2</f>
        <v>1195</v>
      </c>
      <c r="M96" s="15" t="s">
        <v>788</v>
      </c>
      <c r="N96" s="15"/>
      <c r="O96" s="16">
        <v>509</v>
      </c>
    </row>
    <row r="97" spans="1:15" ht="16.5" thickBot="1" x14ac:dyDescent="0.3">
      <c r="A97" s="87" t="s">
        <v>4935</v>
      </c>
      <c r="B97" s="87"/>
      <c r="C97" s="34">
        <v>3735</v>
      </c>
      <c r="D97" s="30">
        <f t="shared" si="8"/>
        <v>1867.5</v>
      </c>
      <c r="M97" s="15" t="s">
        <v>791</v>
      </c>
      <c r="N97" s="15"/>
      <c r="O97" s="16">
        <v>459</v>
      </c>
    </row>
    <row r="98" spans="1:15" ht="16.5" thickBot="1" x14ac:dyDescent="0.3">
      <c r="A98" s="87" t="s">
        <v>896</v>
      </c>
      <c r="B98" s="87"/>
      <c r="C98" s="34">
        <v>2400</v>
      </c>
      <c r="D98" s="30">
        <f t="shared" si="8"/>
        <v>1200</v>
      </c>
      <c r="M98" s="15" t="s">
        <v>796</v>
      </c>
      <c r="N98" s="15"/>
      <c r="O98" s="16">
        <v>865</v>
      </c>
    </row>
    <row r="99" spans="1:15" ht="16.5" thickBot="1" x14ac:dyDescent="0.3">
      <c r="A99" s="87" t="s">
        <v>899</v>
      </c>
      <c r="B99" s="87"/>
      <c r="C99" s="34">
        <v>924</v>
      </c>
      <c r="D99" s="30">
        <f t="shared" si="8"/>
        <v>462</v>
      </c>
      <c r="I99" s="1" t="s">
        <v>4524</v>
      </c>
      <c r="M99" s="15" t="s">
        <v>800</v>
      </c>
      <c r="N99" s="15" t="s">
        <v>801</v>
      </c>
      <c r="O99" s="16">
        <v>6220</v>
      </c>
    </row>
    <row r="100" spans="1:15" ht="16.5" thickBot="1" x14ac:dyDescent="0.3">
      <c r="A100" s="87" t="s">
        <v>3884</v>
      </c>
      <c r="B100" s="87" t="s">
        <v>3885</v>
      </c>
      <c r="C100" s="34">
        <v>4570</v>
      </c>
      <c r="D100" s="30">
        <f t="shared" si="8"/>
        <v>2285</v>
      </c>
      <c r="F100" s="1582" t="s">
        <v>3909</v>
      </c>
      <c r="G100" s="1583"/>
      <c r="H100" s="1583"/>
      <c r="I100" s="1583"/>
      <c r="J100" s="1583"/>
      <c r="K100" s="1584"/>
      <c r="M100" s="15" t="s">
        <v>806</v>
      </c>
      <c r="N100" s="15" t="s">
        <v>807</v>
      </c>
      <c r="O100" s="16">
        <v>490</v>
      </c>
    </row>
    <row r="101" spans="1:15" ht="16.5" thickBot="1" x14ac:dyDescent="0.3">
      <c r="A101" s="87" t="s">
        <v>3884</v>
      </c>
      <c r="B101" s="87" t="s">
        <v>3113</v>
      </c>
      <c r="C101" s="34">
        <v>5010</v>
      </c>
      <c r="D101" s="30">
        <f t="shared" si="8"/>
        <v>2505</v>
      </c>
      <c r="F101" s="68" t="s">
        <v>916</v>
      </c>
      <c r="G101" s="10" t="s">
        <v>743</v>
      </c>
      <c r="H101" s="10" t="s">
        <v>3554</v>
      </c>
      <c r="I101" s="10" t="s">
        <v>2245</v>
      </c>
      <c r="J101" s="10" t="s">
        <v>1052</v>
      </c>
      <c r="K101" s="14" t="s">
        <v>745</v>
      </c>
      <c r="M101" s="15" t="s">
        <v>3945</v>
      </c>
      <c r="N101" s="15"/>
      <c r="O101" s="16">
        <v>1828</v>
      </c>
    </row>
    <row r="102" spans="1:15" ht="16.5" thickBot="1" x14ac:dyDescent="0.3">
      <c r="A102" s="87" t="s">
        <v>2205</v>
      </c>
      <c r="B102" s="87"/>
      <c r="C102" s="34">
        <v>3238</v>
      </c>
      <c r="D102" s="30">
        <f t="shared" si="8"/>
        <v>1619</v>
      </c>
      <c r="F102" s="13" t="s">
        <v>3736</v>
      </c>
      <c r="G102" s="87" t="s">
        <v>3577</v>
      </c>
      <c r="H102" s="38">
        <v>1225</v>
      </c>
      <c r="I102" s="38">
        <v>2542</v>
      </c>
      <c r="J102" s="87">
        <f t="shared" ref="J102:J107" si="9">I102+H102</f>
        <v>3767</v>
      </c>
      <c r="K102" s="87">
        <f t="shared" ref="K102:K107" si="10">J102/2</f>
        <v>1883.5</v>
      </c>
      <c r="M102" s="15" t="s">
        <v>813</v>
      </c>
      <c r="N102" s="15" t="s">
        <v>814</v>
      </c>
      <c r="O102" s="16">
        <v>3715</v>
      </c>
    </row>
    <row r="103" spans="1:15" ht="16.5" thickBot="1" x14ac:dyDescent="0.3">
      <c r="A103" s="87" t="s">
        <v>3933</v>
      </c>
      <c r="B103" s="87"/>
      <c r="C103" s="34">
        <v>4520</v>
      </c>
      <c r="D103" s="30">
        <f t="shared" si="8"/>
        <v>2260</v>
      </c>
      <c r="F103" s="13" t="s">
        <v>3736</v>
      </c>
      <c r="G103" s="87" t="s">
        <v>4372</v>
      </c>
      <c r="H103" s="38">
        <v>2750</v>
      </c>
      <c r="I103" s="38">
        <v>3630</v>
      </c>
      <c r="J103" s="87">
        <f t="shared" si="9"/>
        <v>6380</v>
      </c>
      <c r="K103" s="87">
        <f t="shared" si="10"/>
        <v>3190</v>
      </c>
      <c r="M103" s="15" t="s">
        <v>817</v>
      </c>
      <c r="N103" s="15"/>
      <c r="O103" s="16">
        <v>2400</v>
      </c>
    </row>
    <row r="104" spans="1:15" ht="16.5" thickBot="1" x14ac:dyDescent="0.3">
      <c r="F104" s="13" t="s">
        <v>3736</v>
      </c>
      <c r="G104" s="87" t="s">
        <v>3578</v>
      </c>
      <c r="H104" s="38">
        <v>1225</v>
      </c>
      <c r="I104" s="38">
        <v>3630</v>
      </c>
      <c r="J104" s="87">
        <f t="shared" si="9"/>
        <v>4855</v>
      </c>
      <c r="K104" s="87">
        <f t="shared" si="10"/>
        <v>2427.5</v>
      </c>
      <c r="M104" s="15" t="s">
        <v>821</v>
      </c>
      <c r="N104" s="15"/>
      <c r="O104" s="16">
        <v>2774</v>
      </c>
    </row>
    <row r="105" spans="1:15" ht="16.5" thickBot="1" x14ac:dyDescent="0.3">
      <c r="A105" s="1565" t="s">
        <v>740</v>
      </c>
      <c r="B105" s="1566"/>
      <c r="C105" s="1566"/>
      <c r="D105" s="1567"/>
      <c r="F105" s="13" t="s">
        <v>3736</v>
      </c>
      <c r="G105" s="87" t="s">
        <v>4371</v>
      </c>
      <c r="H105" s="38">
        <v>2750</v>
      </c>
      <c r="I105" s="38">
        <v>3630</v>
      </c>
      <c r="J105" s="87">
        <f t="shared" si="9"/>
        <v>6380</v>
      </c>
      <c r="K105" s="87">
        <f t="shared" si="10"/>
        <v>3190</v>
      </c>
      <c r="M105" s="15" t="s">
        <v>825</v>
      </c>
      <c r="N105" s="15"/>
      <c r="O105" s="16">
        <v>2795</v>
      </c>
    </row>
    <row r="106" spans="1:15" ht="16.5" thickBot="1" x14ac:dyDescent="0.3">
      <c r="A106" s="14" t="s">
        <v>742</v>
      </c>
      <c r="B106" s="165" t="s">
        <v>743</v>
      </c>
      <c r="C106" s="1247" t="s">
        <v>744</v>
      </c>
      <c r="D106" s="14" t="s">
        <v>745</v>
      </c>
      <c r="F106" s="87" t="s">
        <v>3736</v>
      </c>
      <c r="G106" s="87" t="s">
        <v>3576</v>
      </c>
      <c r="H106" s="38">
        <v>2486</v>
      </c>
      <c r="I106" s="38">
        <v>3630</v>
      </c>
      <c r="J106" s="87">
        <f t="shared" si="9"/>
        <v>6116</v>
      </c>
      <c r="K106" s="87">
        <f t="shared" si="10"/>
        <v>3058</v>
      </c>
      <c r="M106" s="15" t="s">
        <v>829</v>
      </c>
      <c r="N106" s="15"/>
      <c r="O106" s="16">
        <v>597</v>
      </c>
    </row>
    <row r="107" spans="1:15" ht="16.5" thickBot="1" x14ac:dyDescent="0.3">
      <c r="A107" s="15" t="s">
        <v>750</v>
      </c>
      <c r="B107" s="152" t="s">
        <v>749</v>
      </c>
      <c r="C107" s="1478">
        <v>143</v>
      </c>
      <c r="D107" s="1477">
        <f>C107/2</f>
        <v>71.5</v>
      </c>
      <c r="F107" s="87" t="s">
        <v>3736</v>
      </c>
      <c r="G107" s="87" t="s">
        <v>4008</v>
      </c>
      <c r="H107" s="38">
        <v>2486</v>
      </c>
      <c r="I107" s="38">
        <v>3630</v>
      </c>
      <c r="J107" s="87">
        <f t="shared" si="9"/>
        <v>6116</v>
      </c>
      <c r="K107" s="87">
        <f t="shared" si="10"/>
        <v>3058</v>
      </c>
      <c r="M107" s="15" t="s">
        <v>834</v>
      </c>
      <c r="N107" s="15"/>
      <c r="O107" s="16">
        <v>493</v>
      </c>
    </row>
    <row r="108" spans="1:15" ht="16.5" thickBot="1" x14ac:dyDescent="0.3">
      <c r="A108" s="15" t="s">
        <v>755</v>
      </c>
      <c r="B108" s="152" t="s">
        <v>756</v>
      </c>
      <c r="C108" s="1478">
        <v>185</v>
      </c>
      <c r="D108" s="1477">
        <f t="shared" ref="D108:D120" si="11">C108/2</f>
        <v>92.5</v>
      </c>
      <c r="M108" s="15" t="s">
        <v>752</v>
      </c>
      <c r="N108" s="15" t="s">
        <v>838</v>
      </c>
      <c r="O108" s="16">
        <v>590</v>
      </c>
    </row>
    <row r="109" spans="1:15" ht="16.5" thickBot="1" x14ac:dyDescent="0.3">
      <c r="A109" s="15" t="s">
        <v>760</v>
      </c>
      <c r="B109" s="152" t="s">
        <v>761</v>
      </c>
      <c r="C109" s="1478">
        <v>26</v>
      </c>
      <c r="D109" s="1477">
        <f t="shared" si="11"/>
        <v>13</v>
      </c>
      <c r="M109" s="15" t="s">
        <v>842</v>
      </c>
      <c r="N109" s="15"/>
      <c r="O109" s="16">
        <f>700-70</f>
        <v>630</v>
      </c>
    </row>
    <row r="110" spans="1:15" ht="16.5" thickBot="1" x14ac:dyDescent="0.3">
      <c r="A110" s="21" t="s">
        <v>766</v>
      </c>
      <c r="B110" s="152" t="s">
        <v>767</v>
      </c>
      <c r="C110" s="1478">
        <v>29</v>
      </c>
      <c r="D110" s="1477">
        <f t="shared" si="11"/>
        <v>14.5</v>
      </c>
      <c r="M110" s="15" t="s">
        <v>3943</v>
      </c>
      <c r="N110" s="15"/>
      <c r="O110" s="16">
        <v>4410</v>
      </c>
    </row>
    <row r="111" spans="1:15" ht="16.5" thickBot="1" x14ac:dyDescent="0.3">
      <c r="A111" s="1561" t="s">
        <v>771</v>
      </c>
      <c r="B111" s="152" t="s">
        <v>772</v>
      </c>
      <c r="C111" s="1478">
        <v>64</v>
      </c>
      <c r="D111" s="1477">
        <f t="shared" si="11"/>
        <v>32</v>
      </c>
      <c r="M111" s="15" t="s">
        <v>852</v>
      </c>
      <c r="N111" s="15"/>
      <c r="O111" s="16">
        <v>432</v>
      </c>
    </row>
    <row r="112" spans="1:15" ht="16.5" thickBot="1" x14ac:dyDescent="0.3">
      <c r="A112" s="1562"/>
      <c r="B112" s="152" t="s">
        <v>777</v>
      </c>
      <c r="C112" s="1478">
        <v>255</v>
      </c>
      <c r="D112" s="1477">
        <f t="shared" si="11"/>
        <v>127.5</v>
      </c>
      <c r="M112" s="15" t="s">
        <v>858</v>
      </c>
      <c r="N112" s="15"/>
      <c r="O112" s="16">
        <v>2000</v>
      </c>
    </row>
    <row r="113" spans="1:15" ht="16.5" thickBot="1" x14ac:dyDescent="0.3">
      <c r="A113" s="1562"/>
      <c r="B113" s="152" t="s">
        <v>846</v>
      </c>
      <c r="C113" s="1478">
        <v>2410</v>
      </c>
      <c r="D113" s="1477">
        <f t="shared" si="11"/>
        <v>1205</v>
      </c>
      <c r="M113" s="15" t="s">
        <v>3205</v>
      </c>
      <c r="N113" s="15"/>
      <c r="O113" s="16">
        <v>2220</v>
      </c>
    </row>
    <row r="114" spans="1:15" ht="16.5" thickBot="1" x14ac:dyDescent="0.3">
      <c r="A114" s="1562"/>
      <c r="B114" s="152" t="s">
        <v>3494</v>
      </c>
      <c r="C114" s="1478">
        <v>2984</v>
      </c>
      <c r="D114" s="1477">
        <f t="shared" si="11"/>
        <v>1492</v>
      </c>
      <c r="M114" s="15" t="s">
        <v>865</v>
      </c>
      <c r="N114" s="15"/>
      <c r="O114" s="16">
        <v>410</v>
      </c>
    </row>
    <row r="115" spans="1:15" ht="16.5" thickBot="1" x14ac:dyDescent="0.3">
      <c r="A115" s="1563"/>
      <c r="B115" s="152" t="s">
        <v>781</v>
      </c>
      <c r="C115" s="1478">
        <v>4562</v>
      </c>
      <c r="D115" s="1477">
        <f t="shared" si="11"/>
        <v>2281</v>
      </c>
      <c r="M115" s="15" t="s">
        <v>868</v>
      </c>
      <c r="N115" s="15" t="s">
        <v>869</v>
      </c>
      <c r="O115" s="16">
        <v>1909</v>
      </c>
    </row>
    <row r="116" spans="1:15" ht="16.5" thickBot="1" x14ac:dyDescent="0.3">
      <c r="A116" s="15" t="s">
        <v>786</v>
      </c>
      <c r="B116" s="152"/>
      <c r="C116" s="1478">
        <f>400-40</f>
        <v>360</v>
      </c>
      <c r="D116" s="1477">
        <f t="shared" si="11"/>
        <v>180</v>
      </c>
      <c r="M116" s="15" t="s">
        <v>871</v>
      </c>
      <c r="N116" s="15" t="s">
        <v>872</v>
      </c>
      <c r="O116" s="16">
        <v>900</v>
      </c>
    </row>
    <row r="117" spans="1:15" ht="16.5" thickBot="1" x14ac:dyDescent="0.3">
      <c r="A117" s="22" t="s">
        <v>3396</v>
      </c>
      <c r="B117" s="152"/>
      <c r="C117" s="1478">
        <v>4027</v>
      </c>
      <c r="D117" s="1477">
        <f t="shared" si="11"/>
        <v>2013.5</v>
      </c>
      <c r="M117" s="15" t="s">
        <v>874</v>
      </c>
      <c r="N117" s="15"/>
      <c r="O117" s="16">
        <v>780</v>
      </c>
    </row>
    <row r="118" spans="1:15" ht="16.5" thickBot="1" x14ac:dyDescent="0.3">
      <c r="A118" s="22" t="s">
        <v>793</v>
      </c>
      <c r="B118" s="152"/>
      <c r="C118" s="1478">
        <v>3088</v>
      </c>
      <c r="D118" s="1477">
        <f t="shared" si="11"/>
        <v>1544</v>
      </c>
      <c r="M118" s="15" t="s">
        <v>876</v>
      </c>
      <c r="N118" s="15"/>
      <c r="O118" s="16">
        <v>1218</v>
      </c>
    </row>
    <row r="119" spans="1:15" ht="16.5" thickBot="1" x14ac:dyDescent="0.3">
      <c r="A119" s="15" t="s">
        <v>798</v>
      </c>
      <c r="B119" s="180" t="s">
        <v>761</v>
      </c>
      <c r="C119" s="1478">
        <v>131</v>
      </c>
      <c r="D119" s="1477">
        <f t="shared" si="11"/>
        <v>65.5</v>
      </c>
      <c r="M119" s="15" t="s">
        <v>3014</v>
      </c>
      <c r="N119" s="15"/>
      <c r="O119" s="16">
        <v>860</v>
      </c>
    </row>
    <row r="120" spans="1:15" ht="16.5" thickBot="1" x14ac:dyDescent="0.3">
      <c r="A120" s="15" t="s">
        <v>802</v>
      </c>
      <c r="B120" s="152" t="s">
        <v>803</v>
      </c>
      <c r="C120" s="1478">
        <v>64</v>
      </c>
      <c r="D120" s="1477">
        <f t="shared" si="11"/>
        <v>32</v>
      </c>
      <c r="M120" s="15" t="s">
        <v>886</v>
      </c>
      <c r="N120" s="15"/>
      <c r="O120" s="16">
        <f>555-83</f>
        <v>472</v>
      </c>
    </row>
    <row r="121" spans="1:15" ht="16.5" thickBot="1" x14ac:dyDescent="0.3">
      <c r="A121" s="15" t="s">
        <v>809</v>
      </c>
      <c r="B121" s="152"/>
      <c r="C121" s="1478">
        <v>1308</v>
      </c>
      <c r="D121" s="1477">
        <f t="shared" ref="D121:D128" si="12">C121/2</f>
        <v>654</v>
      </c>
      <c r="M121" s="15" t="s">
        <v>892</v>
      </c>
      <c r="N121" s="15"/>
      <c r="O121" s="16">
        <f>393-39</f>
        <v>354</v>
      </c>
    </row>
    <row r="122" spans="1:15" ht="16.5" thickBot="1" x14ac:dyDescent="0.3">
      <c r="A122" s="15" t="s">
        <v>4007</v>
      </c>
      <c r="B122" s="152"/>
      <c r="C122" s="1478">
        <v>3737</v>
      </c>
      <c r="D122" s="1477">
        <f t="shared" si="12"/>
        <v>1868.5</v>
      </c>
      <c r="M122" s="86" t="s">
        <v>904</v>
      </c>
      <c r="N122" s="86" t="s">
        <v>846</v>
      </c>
      <c r="O122" s="17">
        <v>116</v>
      </c>
    </row>
    <row r="123" spans="1:15" ht="16.5" thickBot="1" x14ac:dyDescent="0.3">
      <c r="A123" s="15" t="s">
        <v>815</v>
      </c>
      <c r="B123" s="152"/>
      <c r="C123" s="1478">
        <v>3737</v>
      </c>
      <c r="D123" s="1477">
        <f t="shared" si="12"/>
        <v>1868.5</v>
      </c>
      <c r="M123" s="86" t="s">
        <v>3428</v>
      </c>
      <c r="N123" s="86"/>
      <c r="O123" s="17">
        <v>1000</v>
      </c>
    </row>
    <row r="124" spans="1:15" ht="16.5" thickBot="1" x14ac:dyDescent="0.3">
      <c r="A124" s="15" t="s">
        <v>818</v>
      </c>
      <c r="B124" s="152" t="s">
        <v>819</v>
      </c>
      <c r="C124" s="1478">
        <v>700</v>
      </c>
      <c r="D124" s="1477">
        <f t="shared" si="12"/>
        <v>350</v>
      </c>
      <c r="M124" s="86" t="s">
        <v>907</v>
      </c>
      <c r="N124" s="86" t="s">
        <v>846</v>
      </c>
      <c r="O124" s="17">
        <v>510</v>
      </c>
    </row>
    <row r="125" spans="1:15" ht="16.5" thickBot="1" x14ac:dyDescent="0.3">
      <c r="A125" s="15" t="s">
        <v>822</v>
      </c>
      <c r="B125" s="152" t="s">
        <v>823</v>
      </c>
      <c r="C125" s="1478">
        <v>540</v>
      </c>
      <c r="D125" s="1477">
        <f t="shared" si="12"/>
        <v>270</v>
      </c>
      <c r="M125" s="86" t="s">
        <v>911</v>
      </c>
      <c r="N125" s="86" t="s">
        <v>912</v>
      </c>
      <c r="O125" s="17">
        <f>685-68</f>
        <v>617</v>
      </c>
    </row>
    <row r="126" spans="1:15" ht="16.5" thickBot="1" x14ac:dyDescent="0.3">
      <c r="A126" s="15" t="s">
        <v>827</v>
      </c>
      <c r="B126" s="152" t="s">
        <v>828</v>
      </c>
      <c r="C126" s="1478">
        <v>702</v>
      </c>
      <c r="D126" s="1477">
        <f t="shared" si="12"/>
        <v>351</v>
      </c>
      <c r="M126" s="86" t="s">
        <v>915</v>
      </c>
      <c r="N126" s="86" t="s">
        <v>902</v>
      </c>
      <c r="O126" s="17">
        <v>550</v>
      </c>
    </row>
    <row r="127" spans="1:15" ht="16.5" thickBot="1" x14ac:dyDescent="0.3">
      <c r="A127" s="15" t="s">
        <v>831</v>
      </c>
      <c r="B127" s="152" t="s">
        <v>832</v>
      </c>
      <c r="C127" s="1478">
        <v>414</v>
      </c>
      <c r="D127" s="1477">
        <f t="shared" si="12"/>
        <v>207</v>
      </c>
      <c r="M127" s="86" t="s">
        <v>919</v>
      </c>
      <c r="N127" s="86" t="s">
        <v>902</v>
      </c>
      <c r="O127" s="17">
        <v>1880</v>
      </c>
    </row>
    <row r="128" spans="1:15" ht="16.5" thickBot="1" x14ac:dyDescent="0.3">
      <c r="A128" s="15" t="s">
        <v>840</v>
      </c>
      <c r="B128" s="152" t="s">
        <v>841</v>
      </c>
      <c r="C128" s="1478">
        <v>5732</v>
      </c>
      <c r="D128" s="1477">
        <f t="shared" si="12"/>
        <v>2866</v>
      </c>
      <c r="M128" s="86" t="s">
        <v>922</v>
      </c>
      <c r="N128" s="86"/>
      <c r="O128" s="17">
        <v>2820</v>
      </c>
    </row>
    <row r="129" spans="1:15" ht="16.5" thickBot="1" x14ac:dyDescent="0.3">
      <c r="A129" s="1559" t="s">
        <v>845</v>
      </c>
      <c r="B129" s="152" t="s">
        <v>846</v>
      </c>
      <c r="C129" s="1478">
        <v>1420</v>
      </c>
      <c r="D129" s="1477">
        <f t="shared" ref="D129:D171" si="13">C129/2</f>
        <v>710</v>
      </c>
      <c r="M129" s="86" t="s">
        <v>925</v>
      </c>
      <c r="N129" s="86"/>
      <c r="O129" s="17">
        <v>1728</v>
      </c>
    </row>
    <row r="130" spans="1:15" ht="16.5" thickBot="1" x14ac:dyDescent="0.3">
      <c r="A130" s="1560"/>
      <c r="B130" s="152" t="s">
        <v>803</v>
      </c>
      <c r="C130" s="1478">
        <v>1540</v>
      </c>
      <c r="D130" s="1477">
        <f t="shared" si="13"/>
        <v>770</v>
      </c>
      <c r="M130" s="86" t="s">
        <v>928</v>
      </c>
      <c r="N130" s="86"/>
      <c r="O130" s="17">
        <f>845-84</f>
        <v>761</v>
      </c>
    </row>
    <row r="131" spans="1:15" ht="16.5" thickBot="1" x14ac:dyDescent="0.3">
      <c r="A131" s="15" t="s">
        <v>854</v>
      </c>
      <c r="B131" s="152" t="s">
        <v>855</v>
      </c>
      <c r="C131" s="1478">
        <v>1030</v>
      </c>
      <c r="D131" s="1477">
        <f t="shared" si="13"/>
        <v>515</v>
      </c>
      <c r="M131" s="86" t="s">
        <v>936</v>
      </c>
      <c r="N131" s="86" t="s">
        <v>937</v>
      </c>
      <c r="O131" s="17">
        <v>830</v>
      </c>
    </row>
    <row r="132" spans="1:15" ht="16.5" thickBot="1" x14ac:dyDescent="0.3">
      <c r="A132" s="15" t="s">
        <v>860</v>
      </c>
      <c r="B132" s="152" t="s">
        <v>861</v>
      </c>
      <c r="C132" s="1478">
        <v>1141</v>
      </c>
      <c r="D132" s="1477">
        <f t="shared" si="13"/>
        <v>570.5</v>
      </c>
      <c r="M132" s="86" t="s">
        <v>943</v>
      </c>
      <c r="N132" s="86" t="s">
        <v>944</v>
      </c>
      <c r="O132" s="17">
        <v>4397</v>
      </c>
    </row>
    <row r="133" spans="1:15" ht="16.5" thickBot="1" x14ac:dyDescent="0.3">
      <c r="A133" s="87" t="s">
        <v>863</v>
      </c>
      <c r="B133" s="134" t="s">
        <v>864</v>
      </c>
      <c r="C133" s="1481">
        <f>984-147</f>
        <v>837</v>
      </c>
      <c r="D133" s="1480">
        <f t="shared" si="13"/>
        <v>418.5</v>
      </c>
      <c r="M133" s="86" t="s">
        <v>948</v>
      </c>
      <c r="N133" s="86" t="s">
        <v>949</v>
      </c>
      <c r="O133" s="17">
        <v>3200</v>
      </c>
    </row>
    <row r="134" spans="1:15" ht="16.5" thickBot="1" x14ac:dyDescent="0.3">
      <c r="A134" s="1303" t="s">
        <v>3980</v>
      </c>
      <c r="B134" s="152"/>
      <c r="C134" s="1478">
        <v>3000</v>
      </c>
      <c r="D134" s="1477">
        <f t="shared" si="13"/>
        <v>1500</v>
      </c>
      <c r="M134" s="86" t="s">
        <v>3033</v>
      </c>
      <c r="N134" s="86" t="s">
        <v>949</v>
      </c>
      <c r="O134" s="17">
        <v>4234</v>
      </c>
    </row>
    <row r="135" spans="1:15" ht="16.5" thickBot="1" x14ac:dyDescent="0.3">
      <c r="A135" s="15" t="s">
        <v>2215</v>
      </c>
      <c r="B135" s="152"/>
      <c r="C135" s="1478">
        <v>11997</v>
      </c>
      <c r="D135" s="1477">
        <f t="shared" si="13"/>
        <v>5998.5</v>
      </c>
      <c r="M135" s="86" t="s">
        <v>3755</v>
      </c>
      <c r="N135" s="86"/>
      <c r="O135" s="17">
        <v>1572</v>
      </c>
    </row>
    <row r="136" spans="1:15" ht="16.5" thickBot="1" x14ac:dyDescent="0.3">
      <c r="A136" s="15" t="s">
        <v>2279</v>
      </c>
      <c r="B136" s="134"/>
      <c r="C136" s="1478">
        <v>10961</v>
      </c>
      <c r="D136" s="1480">
        <f t="shared" si="13"/>
        <v>5480.5</v>
      </c>
      <c r="M136" s="86" t="s">
        <v>3756</v>
      </c>
      <c r="N136" s="86"/>
      <c r="O136" s="17">
        <v>2075</v>
      </c>
    </row>
    <row r="137" spans="1:15" ht="16.5" thickBot="1" x14ac:dyDescent="0.3">
      <c r="A137" s="15" t="s">
        <v>3562</v>
      </c>
      <c r="B137" s="134"/>
      <c r="C137" s="1478">
        <v>13274</v>
      </c>
      <c r="D137" s="1480">
        <f t="shared" si="13"/>
        <v>6637</v>
      </c>
      <c r="M137" s="86" t="s">
        <v>3757</v>
      </c>
      <c r="N137" s="86"/>
      <c r="O137" s="17">
        <v>1210</v>
      </c>
    </row>
    <row r="138" spans="1:15" ht="16.5" thickBot="1" x14ac:dyDescent="0.3">
      <c r="A138" s="15" t="s">
        <v>3397</v>
      </c>
      <c r="B138" s="134"/>
      <c r="C138" s="1478">
        <v>13274</v>
      </c>
      <c r="D138" s="1480">
        <f t="shared" si="13"/>
        <v>6637</v>
      </c>
      <c r="M138" s="86" t="s">
        <v>3758</v>
      </c>
      <c r="N138" s="86"/>
      <c r="O138" s="17">
        <v>2914</v>
      </c>
    </row>
    <row r="139" spans="1:15" ht="16.5" thickBot="1" x14ac:dyDescent="0.3">
      <c r="A139" s="15" t="s">
        <v>3561</v>
      </c>
      <c r="B139" s="134"/>
      <c r="C139" s="1478">
        <v>12666</v>
      </c>
      <c r="D139" s="1480">
        <f t="shared" si="13"/>
        <v>6333</v>
      </c>
      <c r="L139" s="103"/>
      <c r="M139" s="86" t="s">
        <v>3776</v>
      </c>
      <c r="N139" s="86" t="s">
        <v>805</v>
      </c>
      <c r="O139" s="17">
        <v>1478</v>
      </c>
    </row>
    <row r="140" spans="1:15" ht="16.5" thickBot="1" x14ac:dyDescent="0.3">
      <c r="A140" s="15" t="s">
        <v>3560</v>
      </c>
      <c r="B140" s="134"/>
      <c r="C140" s="1478">
        <v>8799</v>
      </c>
      <c r="D140" s="1480">
        <f t="shared" si="13"/>
        <v>4399.5</v>
      </c>
      <c r="M140" s="86" t="s">
        <v>3777</v>
      </c>
      <c r="N140" s="86" t="s">
        <v>805</v>
      </c>
      <c r="O140" s="17">
        <v>3003</v>
      </c>
    </row>
    <row r="141" spans="1:15" ht="16.5" thickBot="1" x14ac:dyDescent="0.3">
      <c r="A141" s="15" t="s">
        <v>3335</v>
      </c>
      <c r="B141" s="134"/>
      <c r="C141" s="1478">
        <v>8281</v>
      </c>
      <c r="D141" s="1480">
        <f t="shared" si="13"/>
        <v>4140.5</v>
      </c>
      <c r="M141" s="86" t="s">
        <v>3841</v>
      </c>
      <c r="N141" s="86"/>
      <c r="O141" s="17">
        <v>1820</v>
      </c>
    </row>
    <row r="142" spans="1:15" ht="16.5" thickBot="1" x14ac:dyDescent="0.3">
      <c r="A142" s="15" t="s">
        <v>3399</v>
      </c>
      <c r="B142" s="134"/>
      <c r="C142" s="1478">
        <v>10960</v>
      </c>
      <c r="D142" s="1480">
        <f t="shared" si="13"/>
        <v>5480</v>
      </c>
      <c r="M142" s="86" t="s">
        <v>3698</v>
      </c>
      <c r="N142" s="86"/>
      <c r="O142" s="17">
        <v>3921</v>
      </c>
    </row>
    <row r="143" spans="1:15" ht="16.5" thickBot="1" x14ac:dyDescent="0.3">
      <c r="A143" s="15" t="s">
        <v>3493</v>
      </c>
      <c r="B143" s="134" t="s">
        <v>3548</v>
      </c>
      <c r="C143" s="1478">
        <v>7682</v>
      </c>
      <c r="D143" s="1480">
        <f t="shared" si="13"/>
        <v>3841</v>
      </c>
      <c r="M143" s="86" t="s">
        <v>3842</v>
      </c>
      <c r="N143" s="86"/>
      <c r="O143" s="17">
        <v>5300</v>
      </c>
    </row>
    <row r="144" spans="1:15" ht="16.5" thickBot="1" x14ac:dyDescent="0.3">
      <c r="A144" s="15" t="s">
        <v>3693</v>
      </c>
      <c r="B144" s="134"/>
      <c r="C144" s="1478">
        <v>5732</v>
      </c>
      <c r="D144" s="1480">
        <f t="shared" si="13"/>
        <v>2866</v>
      </c>
      <c r="M144" s="86" t="s">
        <v>3866</v>
      </c>
      <c r="N144" s="86"/>
      <c r="O144" s="17">
        <v>4626</v>
      </c>
    </row>
    <row r="145" spans="1:16" ht="16.5" thickBot="1" x14ac:dyDescent="0.3">
      <c r="A145" s="15" t="s">
        <v>3846</v>
      </c>
      <c r="B145" s="134"/>
      <c r="C145" s="1478">
        <v>5732</v>
      </c>
      <c r="D145" s="1480">
        <f t="shared" si="13"/>
        <v>2866</v>
      </c>
      <c r="M145" s="87" t="s">
        <v>3848</v>
      </c>
      <c r="N145" s="87"/>
      <c r="O145" s="93">
        <v>4500</v>
      </c>
    </row>
    <row r="146" spans="1:16" ht="16.5" thickBot="1" x14ac:dyDescent="0.3">
      <c r="A146" s="15" t="s">
        <v>3694</v>
      </c>
      <c r="B146" s="134"/>
      <c r="C146" s="1478">
        <v>5732</v>
      </c>
      <c r="D146" s="1480">
        <f t="shared" si="13"/>
        <v>2866</v>
      </c>
      <c r="M146" s="87" t="s">
        <v>3851</v>
      </c>
      <c r="N146" s="87"/>
      <c r="O146" s="93">
        <v>7650</v>
      </c>
    </row>
    <row r="147" spans="1:16" ht="16.5" thickBot="1" x14ac:dyDescent="0.3">
      <c r="A147" s="15" t="s">
        <v>836</v>
      </c>
      <c r="B147" s="152" t="s">
        <v>805</v>
      </c>
      <c r="C147" s="1478">
        <v>5732</v>
      </c>
      <c r="D147" s="1477">
        <f>C147/2</f>
        <v>2866</v>
      </c>
      <c r="M147" s="87" t="s">
        <v>3850</v>
      </c>
      <c r="N147" s="87"/>
      <c r="O147" s="93">
        <v>5550</v>
      </c>
    </row>
    <row r="148" spans="1:16" ht="16.5" thickBot="1" x14ac:dyDescent="0.3">
      <c r="A148" s="15" t="s">
        <v>3695</v>
      </c>
      <c r="B148" s="134"/>
      <c r="C148" s="1478">
        <v>5732</v>
      </c>
      <c r="D148" s="1480">
        <f t="shared" si="13"/>
        <v>2866</v>
      </c>
      <c r="M148" s="15" t="s">
        <v>3836</v>
      </c>
      <c r="N148" s="15"/>
      <c r="O148" s="16">
        <v>1828</v>
      </c>
    </row>
    <row r="149" spans="1:16" ht="16.5" thickBot="1" x14ac:dyDescent="0.3">
      <c r="A149" s="1303" t="s">
        <v>3772</v>
      </c>
      <c r="B149" s="134" t="s">
        <v>3771</v>
      </c>
      <c r="C149" s="1478">
        <v>3300</v>
      </c>
      <c r="D149" s="1480">
        <f t="shared" si="13"/>
        <v>1650</v>
      </c>
      <c r="M149" s="15" t="s">
        <v>878</v>
      </c>
      <c r="N149" s="15"/>
      <c r="O149" s="16">
        <v>3047</v>
      </c>
    </row>
    <row r="150" spans="1:16" ht="16.5" thickBot="1" x14ac:dyDescent="0.3">
      <c r="A150" s="1303" t="s">
        <v>3773</v>
      </c>
      <c r="B150" s="134" t="s">
        <v>3770</v>
      </c>
      <c r="C150" s="1478">
        <v>1568</v>
      </c>
      <c r="D150" s="1480">
        <f t="shared" si="13"/>
        <v>784</v>
      </c>
      <c r="M150" s="15" t="s">
        <v>3948</v>
      </c>
      <c r="N150" s="15"/>
      <c r="O150" s="16">
        <v>1820</v>
      </c>
    </row>
    <row r="151" spans="1:16" ht="16.5" thickBot="1" x14ac:dyDescent="0.3">
      <c r="A151" s="15" t="s">
        <v>3112</v>
      </c>
      <c r="B151" s="151"/>
      <c r="C151" s="1478">
        <v>10354</v>
      </c>
      <c r="D151" s="1477">
        <f t="shared" si="13"/>
        <v>5177</v>
      </c>
      <c r="M151" s="15" t="s">
        <v>3932</v>
      </c>
      <c r="N151" s="15"/>
      <c r="O151" s="16">
        <v>1295</v>
      </c>
      <c r="P151" s="194"/>
    </row>
    <row r="152" spans="1:16" ht="16.5" thickBot="1" x14ac:dyDescent="0.3">
      <c r="A152" s="1303" t="s">
        <v>3987</v>
      </c>
      <c r="B152" s="151" t="s">
        <v>3847</v>
      </c>
      <c r="C152" s="1478">
        <v>4960</v>
      </c>
      <c r="D152" s="1477">
        <f t="shared" si="13"/>
        <v>2480</v>
      </c>
      <c r="M152" s="15" t="s">
        <v>4011</v>
      </c>
      <c r="N152" s="15"/>
      <c r="O152" s="16">
        <v>1930</v>
      </c>
    </row>
    <row r="153" spans="1:16" ht="16.5" thickBot="1" x14ac:dyDescent="0.3">
      <c r="A153" s="15" t="s">
        <v>3845</v>
      </c>
      <c r="B153" s="151"/>
      <c r="C153" s="1478">
        <v>4840</v>
      </c>
      <c r="D153" s="1477">
        <f t="shared" si="13"/>
        <v>2420</v>
      </c>
      <c r="M153" s="239" t="s">
        <v>4325</v>
      </c>
      <c r="N153" s="239"/>
      <c r="O153" s="258">
        <v>2095</v>
      </c>
    </row>
    <row r="154" spans="1:16" ht="16.5" thickBot="1" x14ac:dyDescent="0.3">
      <c r="A154" s="15" t="s">
        <v>3910</v>
      </c>
      <c r="B154" s="151" t="s">
        <v>3911</v>
      </c>
      <c r="C154" s="1478">
        <v>3815</v>
      </c>
      <c r="D154" s="1477">
        <f t="shared" si="13"/>
        <v>1907.5</v>
      </c>
      <c r="M154" s="151" t="s">
        <v>4342</v>
      </c>
      <c r="N154" s="15" t="s">
        <v>4343</v>
      </c>
      <c r="O154" s="232">
        <v>3590</v>
      </c>
    </row>
    <row r="155" spans="1:16" ht="16.5" thickBot="1" x14ac:dyDescent="0.3">
      <c r="A155" s="1303" t="s">
        <v>3913</v>
      </c>
      <c r="B155" s="151" t="s">
        <v>3912</v>
      </c>
      <c r="C155" s="1478">
        <v>2456</v>
      </c>
      <c r="D155" s="1477">
        <f t="shared" si="13"/>
        <v>1228</v>
      </c>
      <c r="M155" s="239" t="s">
        <v>4344</v>
      </c>
      <c r="N155" s="239" t="s">
        <v>4345</v>
      </c>
      <c r="O155" s="232">
        <v>2868</v>
      </c>
    </row>
    <row r="156" spans="1:16" ht="16.5" thickBot="1" x14ac:dyDescent="0.3">
      <c r="A156" s="1303" t="s">
        <v>3918</v>
      </c>
      <c r="B156" s="151" t="s">
        <v>3914</v>
      </c>
      <c r="C156" s="1478">
        <v>2239</v>
      </c>
      <c r="D156" s="1477">
        <f t="shared" si="13"/>
        <v>1119.5</v>
      </c>
      <c r="M156" s="239" t="s">
        <v>4352</v>
      </c>
      <c r="N156" s="239" t="s">
        <v>4353</v>
      </c>
      <c r="O156" s="232">
        <v>3294</v>
      </c>
    </row>
    <row r="157" spans="1:16" ht="16.5" thickBot="1" x14ac:dyDescent="0.3">
      <c r="A157" s="1303" t="s">
        <v>3917</v>
      </c>
      <c r="B157" s="151" t="s">
        <v>3915</v>
      </c>
      <c r="C157" s="1478">
        <v>1421</v>
      </c>
      <c r="D157" s="1477">
        <f t="shared" si="13"/>
        <v>710.5</v>
      </c>
      <c r="M157" s="15" t="s">
        <v>4365</v>
      </c>
      <c r="N157" s="15"/>
      <c r="O157" s="232">
        <v>2200</v>
      </c>
    </row>
    <row r="158" spans="1:16" ht="16.5" thickBot="1" x14ac:dyDescent="0.3">
      <c r="A158" s="1303" t="s">
        <v>3979</v>
      </c>
      <c r="B158" s="151" t="s">
        <v>3916</v>
      </c>
      <c r="C158" s="1478">
        <v>482</v>
      </c>
      <c r="D158" s="1477">
        <f t="shared" si="13"/>
        <v>241</v>
      </c>
      <c r="M158" s="15" t="s">
        <v>4366</v>
      </c>
      <c r="N158" s="15"/>
      <c r="O158" s="232">
        <v>2200</v>
      </c>
    </row>
    <row r="159" spans="1:16" ht="16.5" thickBot="1" x14ac:dyDescent="0.3">
      <c r="A159" s="1303" t="s">
        <v>3920</v>
      </c>
      <c r="B159" s="151" t="s">
        <v>3919</v>
      </c>
      <c r="C159" s="1478">
        <v>2721</v>
      </c>
      <c r="D159" s="1477">
        <f t="shared" si="13"/>
        <v>1360.5</v>
      </c>
      <c r="M159" s="134"/>
      <c r="N159" s="134"/>
      <c r="O159" s="134"/>
    </row>
    <row r="160" spans="1:16" ht="16.5" thickBot="1" x14ac:dyDescent="0.3">
      <c r="A160" s="15" t="s">
        <v>3922</v>
      </c>
      <c r="B160" s="151" t="s">
        <v>3921</v>
      </c>
      <c r="C160" s="1478">
        <v>4534</v>
      </c>
      <c r="D160" s="1477">
        <f t="shared" si="13"/>
        <v>2267</v>
      </c>
      <c r="M160" s="1565" t="s">
        <v>960</v>
      </c>
      <c r="N160" s="1566"/>
      <c r="O160" s="1567"/>
    </row>
    <row r="161" spans="1:15" ht="16.5" thickBot="1" x14ac:dyDescent="0.3">
      <c r="A161" s="15" t="s">
        <v>4053</v>
      </c>
      <c r="B161" s="151" t="s">
        <v>4054</v>
      </c>
      <c r="C161" s="1478">
        <v>1361</v>
      </c>
      <c r="D161" s="1477">
        <f t="shared" si="13"/>
        <v>680.5</v>
      </c>
      <c r="M161" s="14" t="s">
        <v>746</v>
      </c>
      <c r="N161" s="19" t="s">
        <v>742</v>
      </c>
      <c r="O161" s="14" t="s">
        <v>747</v>
      </c>
    </row>
    <row r="162" spans="1:15" ht="16.5" thickBot="1" x14ac:dyDescent="0.3">
      <c r="A162" s="15" t="s">
        <v>4089</v>
      </c>
      <c r="B162" s="151" t="s">
        <v>4090</v>
      </c>
      <c r="C162" s="1478">
        <v>2920</v>
      </c>
      <c r="D162" s="1477">
        <f t="shared" si="13"/>
        <v>1460</v>
      </c>
      <c r="M162" s="86" t="s">
        <v>964</v>
      </c>
      <c r="N162" s="86"/>
      <c r="O162" s="17">
        <v>290</v>
      </c>
    </row>
    <row r="163" spans="1:15" ht="16.5" thickBot="1" x14ac:dyDescent="0.3">
      <c r="A163" s="15" t="s">
        <v>4091</v>
      </c>
      <c r="B163" s="151" t="s">
        <v>4092</v>
      </c>
      <c r="C163" s="1478">
        <v>4819</v>
      </c>
      <c r="D163" s="1477">
        <f t="shared" si="13"/>
        <v>2409.5</v>
      </c>
      <c r="M163" s="86" t="s">
        <v>967</v>
      </c>
      <c r="N163" s="86" t="s">
        <v>930</v>
      </c>
      <c r="O163" s="17">
        <v>134</v>
      </c>
    </row>
    <row r="164" spans="1:15" ht="16.5" thickBot="1" x14ac:dyDescent="0.3">
      <c r="A164" s="15" t="s">
        <v>4330</v>
      </c>
      <c r="B164" s="151" t="s">
        <v>4327</v>
      </c>
      <c r="C164" s="1478">
        <v>4801</v>
      </c>
      <c r="D164" s="1477">
        <f t="shared" si="13"/>
        <v>2400.5</v>
      </c>
      <c r="M164" s="15" t="s">
        <v>970</v>
      </c>
      <c r="N164" s="15"/>
      <c r="O164" s="16">
        <v>70</v>
      </c>
    </row>
    <row r="165" spans="1:15" ht="16.5" thickBot="1" x14ac:dyDescent="0.3">
      <c r="A165" s="15" t="s">
        <v>4335</v>
      </c>
      <c r="B165" s="151" t="s">
        <v>4328</v>
      </c>
      <c r="C165" s="1478">
        <v>4801</v>
      </c>
      <c r="D165" s="1477">
        <f t="shared" si="13"/>
        <v>2400.5</v>
      </c>
      <c r="M165" s="86" t="s">
        <v>972</v>
      </c>
      <c r="N165" s="86"/>
      <c r="O165" s="17">
        <v>239</v>
      </c>
    </row>
    <row r="166" spans="1:15" ht="16.5" thickBot="1" x14ac:dyDescent="0.3">
      <c r="A166" s="15" t="s">
        <v>4331</v>
      </c>
      <c r="B166" s="151" t="s">
        <v>4329</v>
      </c>
      <c r="C166" s="1478">
        <v>4801</v>
      </c>
      <c r="D166" s="1477">
        <f t="shared" si="13"/>
        <v>2400.5</v>
      </c>
      <c r="M166" s="86" t="s">
        <v>3017</v>
      </c>
      <c r="N166" s="86" t="s">
        <v>3018</v>
      </c>
      <c r="O166" s="17">
        <v>357</v>
      </c>
    </row>
    <row r="167" spans="1:15" ht="16.5" thickBot="1" x14ac:dyDescent="0.3">
      <c r="A167" s="15" t="s">
        <v>4516</v>
      </c>
      <c r="B167" s="151" t="s">
        <v>4517</v>
      </c>
      <c r="C167" s="1478">
        <v>2200</v>
      </c>
      <c r="D167" s="1477">
        <f t="shared" si="13"/>
        <v>1100</v>
      </c>
      <c r="M167" s="1559" t="s">
        <v>979</v>
      </c>
      <c r="N167" s="15" t="s">
        <v>980</v>
      </c>
      <c r="O167" s="16">
        <v>620</v>
      </c>
    </row>
    <row r="168" spans="1:15" ht="16.5" thickBot="1" x14ac:dyDescent="0.3">
      <c r="A168" s="15" t="s">
        <v>4795</v>
      </c>
      <c r="B168" s="151" t="s">
        <v>4794</v>
      </c>
      <c r="C168" s="1478">
        <v>5160</v>
      </c>
      <c r="D168" s="1477">
        <f t="shared" si="13"/>
        <v>2580</v>
      </c>
      <c r="M168" s="1564"/>
      <c r="N168" s="86" t="s">
        <v>790</v>
      </c>
      <c r="O168" s="17">
        <v>110</v>
      </c>
    </row>
    <row r="169" spans="1:15" ht="16.5" thickBot="1" x14ac:dyDescent="0.3">
      <c r="A169" s="15" t="s">
        <v>4796</v>
      </c>
      <c r="B169" s="151" t="s">
        <v>4797</v>
      </c>
      <c r="C169" s="1478">
        <v>2639</v>
      </c>
      <c r="D169" s="1477">
        <f t="shared" si="13"/>
        <v>1319.5</v>
      </c>
      <c r="M169" s="1564"/>
      <c r="N169" s="86" t="s">
        <v>986</v>
      </c>
      <c r="O169" s="17">
        <v>88</v>
      </c>
    </row>
    <row r="170" spans="1:15" ht="16.5" thickBot="1" x14ac:dyDescent="0.3">
      <c r="A170" s="15" t="s">
        <v>4844</v>
      </c>
      <c r="B170" s="151" t="s">
        <v>4845</v>
      </c>
      <c r="C170" s="1478">
        <v>2650</v>
      </c>
      <c r="D170" s="1477">
        <f t="shared" si="13"/>
        <v>1325</v>
      </c>
      <c r="M170" s="1560"/>
      <c r="N170" s="86" t="s">
        <v>989</v>
      </c>
      <c r="O170" s="17">
        <v>195</v>
      </c>
    </row>
    <row r="171" spans="1:15" ht="16.5" thickBot="1" x14ac:dyDescent="0.3">
      <c r="A171" s="15" t="s">
        <v>4911</v>
      </c>
      <c r="B171" s="151" t="s">
        <v>4912</v>
      </c>
      <c r="C171" s="1478">
        <v>6598</v>
      </c>
      <c r="D171" s="1477">
        <f t="shared" si="13"/>
        <v>3299</v>
      </c>
      <c r="M171" s="86" t="s">
        <v>991</v>
      </c>
      <c r="N171" s="86" t="s">
        <v>989</v>
      </c>
      <c r="O171" s="17">
        <v>415</v>
      </c>
    </row>
    <row r="172" spans="1:15" ht="16.5" thickBot="1" x14ac:dyDescent="0.3">
      <c r="M172" s="15" t="s">
        <v>4476</v>
      </c>
      <c r="N172" s="15" t="s">
        <v>4477</v>
      </c>
      <c r="O172" s="232">
        <v>1458</v>
      </c>
    </row>
    <row r="173" spans="1:15" ht="16.5" thickBot="1" x14ac:dyDescent="0.3">
      <c r="A173" s="1579" t="s">
        <v>565</v>
      </c>
      <c r="B173" s="1580"/>
      <c r="C173" s="1580"/>
      <c r="D173" s="1581"/>
      <c r="M173" s="86" t="s">
        <v>4478</v>
      </c>
      <c r="N173" s="86" t="s">
        <v>4479</v>
      </c>
      <c r="O173" s="17">
        <v>4775</v>
      </c>
    </row>
    <row r="174" spans="1:15" ht="16.5" thickBot="1" x14ac:dyDescent="0.3">
      <c r="A174" s="1247" t="s">
        <v>742</v>
      </c>
      <c r="B174" s="14" t="s">
        <v>743</v>
      </c>
      <c r="C174" s="14" t="s">
        <v>744</v>
      </c>
      <c r="D174" s="25" t="s">
        <v>745</v>
      </c>
      <c r="M174" s="86" t="s">
        <v>4481</v>
      </c>
      <c r="N174" s="86" t="s">
        <v>4480</v>
      </c>
      <c r="O174" s="17">
        <v>2972</v>
      </c>
    </row>
    <row r="175" spans="1:15" ht="16.5" thickBot="1" x14ac:dyDescent="0.3">
      <c r="A175" s="15" t="s">
        <v>880</v>
      </c>
      <c r="B175" s="15" t="s">
        <v>761</v>
      </c>
      <c r="C175" s="1478">
        <v>200</v>
      </c>
      <c r="D175" s="1477">
        <f>C175/2</f>
        <v>100</v>
      </c>
      <c r="M175" s="86" t="s">
        <v>4837</v>
      </c>
      <c r="N175" s="86" t="s">
        <v>4838</v>
      </c>
      <c r="O175" s="17">
        <v>3261</v>
      </c>
    </row>
    <row r="176" spans="1:15" ht="16.5" thickBot="1" x14ac:dyDescent="0.3">
      <c r="A176" s="15" t="s">
        <v>884</v>
      </c>
      <c r="B176" s="15" t="s">
        <v>789</v>
      </c>
      <c r="C176" s="1478">
        <v>133</v>
      </c>
      <c r="D176" s="1477">
        <f>C176/2</f>
        <v>66.5</v>
      </c>
    </row>
    <row r="177" spans="1:18" ht="16.5" thickBot="1" x14ac:dyDescent="0.3">
      <c r="A177" s="15" t="s">
        <v>888</v>
      </c>
      <c r="B177" s="15" t="s">
        <v>889</v>
      </c>
      <c r="C177" s="1478">
        <v>115</v>
      </c>
      <c r="D177" s="1477">
        <f>C177/2</f>
        <v>57.5</v>
      </c>
      <c r="M177" s="1576" t="s">
        <v>2249</v>
      </c>
      <c r="N177" s="1577"/>
      <c r="O177" s="1577"/>
      <c r="P177" s="1577"/>
      <c r="Q177" s="1577"/>
      <c r="R177" s="1577"/>
    </row>
    <row r="178" spans="1:18" ht="16.5" thickBot="1" x14ac:dyDescent="0.3">
      <c r="D178" s="91"/>
      <c r="M178" s="942" t="s">
        <v>916</v>
      </c>
      <c r="N178" s="941" t="s">
        <v>2246</v>
      </c>
      <c r="O178" s="941" t="s">
        <v>4096</v>
      </c>
      <c r="P178" s="1351" t="s">
        <v>4097</v>
      </c>
      <c r="Q178" s="1347" t="s">
        <v>4098</v>
      </c>
      <c r="R178" s="943" t="s">
        <v>4099</v>
      </c>
    </row>
    <row r="179" spans="1:18" ht="16.5" thickBot="1" x14ac:dyDescent="0.3">
      <c r="A179" s="1568" t="s">
        <v>2208</v>
      </c>
      <c r="B179" s="1569"/>
      <c r="C179" s="1570"/>
      <c r="M179" s="331" t="s">
        <v>3252</v>
      </c>
      <c r="N179" s="1458">
        <v>300</v>
      </c>
      <c r="O179" s="1348">
        <v>2662</v>
      </c>
      <c r="P179" s="1462">
        <f t="shared" ref="P179:P209" si="14">N179+O179</f>
        <v>2962</v>
      </c>
      <c r="Q179" s="1464"/>
      <c r="R179" s="1468">
        <f t="shared" ref="R179:R209" si="15">N179+Q179</f>
        <v>300</v>
      </c>
    </row>
    <row r="180" spans="1:18" ht="16.5" thickBot="1" x14ac:dyDescent="0.3">
      <c r="A180" s="1247" t="s">
        <v>742</v>
      </c>
      <c r="B180" s="10" t="s">
        <v>743</v>
      </c>
      <c r="C180" s="11" t="s">
        <v>3031</v>
      </c>
      <c r="M180" s="184" t="s">
        <v>2247</v>
      </c>
      <c r="N180" s="1459">
        <v>1500</v>
      </c>
      <c r="O180" s="1349">
        <v>185</v>
      </c>
      <c r="P180" s="1462">
        <f t="shared" si="14"/>
        <v>1685</v>
      </c>
      <c r="Q180" s="1465"/>
      <c r="R180" s="1468">
        <f t="shared" si="15"/>
        <v>1500</v>
      </c>
    </row>
    <row r="181" spans="1:18" ht="16.5" thickBot="1" x14ac:dyDescent="0.3">
      <c r="A181" s="15" t="s">
        <v>987</v>
      </c>
      <c r="B181" s="373" t="s">
        <v>902</v>
      </c>
      <c r="C181" s="1479">
        <v>3568</v>
      </c>
      <c r="M181" s="184" t="s">
        <v>4182</v>
      </c>
      <c r="N181" s="1459">
        <v>1450</v>
      </c>
      <c r="O181" s="1349">
        <v>2600</v>
      </c>
      <c r="P181" s="1462">
        <f t="shared" si="14"/>
        <v>4050</v>
      </c>
      <c r="Q181" s="1465">
        <v>932</v>
      </c>
      <c r="R181" s="1468">
        <f t="shared" si="15"/>
        <v>2382</v>
      </c>
    </row>
    <row r="182" spans="1:18" ht="16.5" thickBot="1" x14ac:dyDescent="0.3">
      <c r="A182" s="15" t="s">
        <v>905</v>
      </c>
      <c r="B182" s="373" t="s">
        <v>902</v>
      </c>
      <c r="C182" s="1479">
        <v>3181</v>
      </c>
      <c r="M182" s="184" t="s">
        <v>954</v>
      </c>
      <c r="N182" s="1459">
        <v>625</v>
      </c>
      <c r="O182" s="1349">
        <v>3630</v>
      </c>
      <c r="P182" s="1462">
        <f t="shared" si="14"/>
        <v>4255</v>
      </c>
      <c r="Q182" s="1465"/>
      <c r="R182" s="1468">
        <f t="shared" si="15"/>
        <v>625</v>
      </c>
    </row>
    <row r="183" spans="1:18" ht="16.5" thickBot="1" x14ac:dyDescent="0.3">
      <c r="A183" s="15" t="s">
        <v>961</v>
      </c>
      <c r="B183" s="373" t="s">
        <v>902</v>
      </c>
      <c r="C183" s="1479">
        <v>3181</v>
      </c>
      <c r="M183" s="184" t="s">
        <v>3902</v>
      </c>
      <c r="N183" s="1459">
        <v>469</v>
      </c>
      <c r="O183" s="1349">
        <v>3388</v>
      </c>
      <c r="P183" s="1462">
        <f t="shared" si="14"/>
        <v>3857</v>
      </c>
      <c r="Q183" s="1465"/>
      <c r="R183" s="1468">
        <f t="shared" si="15"/>
        <v>469</v>
      </c>
    </row>
    <row r="184" spans="1:18" ht="16.5" thickBot="1" x14ac:dyDescent="0.3">
      <c r="A184" s="15" t="s">
        <v>3285</v>
      </c>
      <c r="B184" s="373" t="s">
        <v>902</v>
      </c>
      <c r="C184" s="1479">
        <v>3690</v>
      </c>
      <c r="M184" s="184" t="s">
        <v>3904</v>
      </c>
      <c r="N184" s="1459">
        <v>1676</v>
      </c>
      <c r="O184" s="1349">
        <v>3388</v>
      </c>
      <c r="P184" s="1462">
        <f t="shared" si="14"/>
        <v>5064</v>
      </c>
      <c r="Q184" s="1465"/>
      <c r="R184" s="1468">
        <f t="shared" si="15"/>
        <v>1676</v>
      </c>
    </row>
    <row r="185" spans="1:18" ht="16.5" thickBot="1" x14ac:dyDescent="0.3">
      <c r="A185" s="15" t="s">
        <v>3290</v>
      </c>
      <c r="B185" s="373"/>
      <c r="C185" s="1479">
        <v>4029</v>
      </c>
      <c r="M185" s="184" t="s">
        <v>4041</v>
      </c>
      <c r="N185" s="1459">
        <v>700</v>
      </c>
      <c r="O185" s="1349">
        <v>3146</v>
      </c>
      <c r="P185" s="1462">
        <f t="shared" si="14"/>
        <v>3846</v>
      </c>
      <c r="Q185" s="1465">
        <v>1029</v>
      </c>
      <c r="R185" s="1468">
        <f t="shared" si="15"/>
        <v>1729</v>
      </c>
    </row>
    <row r="186" spans="1:18" ht="16.5" thickBot="1" x14ac:dyDescent="0.3">
      <c r="A186" s="15" t="s">
        <v>3286</v>
      </c>
      <c r="B186" s="373" t="s">
        <v>902</v>
      </c>
      <c r="C186" s="1479">
        <v>3568</v>
      </c>
      <c r="M186" s="184" t="s">
        <v>3905</v>
      </c>
      <c r="N186" s="1459">
        <v>200</v>
      </c>
      <c r="O186" s="1349">
        <v>2800</v>
      </c>
      <c r="P186" s="1462">
        <f t="shared" si="14"/>
        <v>3000</v>
      </c>
      <c r="Q186" s="1465"/>
      <c r="R186" s="1468">
        <f t="shared" si="15"/>
        <v>200</v>
      </c>
    </row>
    <row r="187" spans="1:18" ht="16.5" thickBot="1" x14ac:dyDescent="0.3">
      <c r="A187" s="15" t="s">
        <v>3330</v>
      </c>
      <c r="B187" s="373" t="s">
        <v>777</v>
      </c>
      <c r="C187" s="1479">
        <v>5450</v>
      </c>
      <c r="M187" s="184" t="s">
        <v>4032</v>
      </c>
      <c r="N187" s="1459">
        <v>300</v>
      </c>
      <c r="O187" s="1349">
        <v>2500</v>
      </c>
      <c r="P187" s="1462">
        <f t="shared" si="14"/>
        <v>2800</v>
      </c>
      <c r="Q187" s="1465"/>
      <c r="R187" s="1468">
        <f t="shared" si="15"/>
        <v>300</v>
      </c>
    </row>
    <row r="188" spans="1:18" ht="16.5" thickBot="1" x14ac:dyDescent="0.3">
      <c r="A188" s="15" t="s">
        <v>3400</v>
      </c>
      <c r="B188" s="373" t="s">
        <v>1181</v>
      </c>
      <c r="C188" s="1479">
        <v>6172</v>
      </c>
      <c r="M188" s="184" t="s">
        <v>4106</v>
      </c>
      <c r="N188" s="1459">
        <v>1676</v>
      </c>
      <c r="O188" s="1349">
        <v>2904</v>
      </c>
      <c r="P188" s="1462">
        <f t="shared" si="14"/>
        <v>4580</v>
      </c>
      <c r="Q188" s="1465">
        <v>932</v>
      </c>
      <c r="R188" s="1468">
        <f t="shared" si="15"/>
        <v>2608</v>
      </c>
    </row>
    <row r="189" spans="1:18" ht="16.5" thickBot="1" x14ac:dyDescent="0.3">
      <c r="A189" s="15" t="s">
        <v>4495</v>
      </c>
      <c r="B189" s="373"/>
      <c r="C189" s="1479">
        <v>4635</v>
      </c>
      <c r="M189" s="3" t="s">
        <v>4105</v>
      </c>
      <c r="N189" s="1459">
        <v>1975</v>
      </c>
      <c r="O189" s="1349">
        <v>4000</v>
      </c>
      <c r="P189" s="1463">
        <f t="shared" si="14"/>
        <v>5975</v>
      </c>
      <c r="Q189" s="1465"/>
      <c r="R189" s="1468">
        <f t="shared" si="15"/>
        <v>1975</v>
      </c>
    </row>
    <row r="190" spans="1:18" ht="16.5" thickBot="1" x14ac:dyDescent="0.3">
      <c r="A190" s="15" t="s">
        <v>4501</v>
      </c>
      <c r="B190" s="373"/>
      <c r="C190" s="1479">
        <v>4278</v>
      </c>
      <c r="M190" s="184" t="s">
        <v>5081</v>
      </c>
      <c r="N190" s="1459">
        <v>1676</v>
      </c>
      <c r="O190" s="1349"/>
      <c r="P190" s="1463"/>
      <c r="Q190" s="1465"/>
      <c r="R190" s="1468">
        <f t="shared" si="15"/>
        <v>1676</v>
      </c>
    </row>
    <row r="191" spans="1:18" ht="16.5" thickBot="1" x14ac:dyDescent="0.3">
      <c r="A191" s="15" t="s">
        <v>4502</v>
      </c>
      <c r="B191" s="373"/>
      <c r="C191" s="1479">
        <v>6370</v>
      </c>
      <c r="M191" s="184" t="s">
        <v>3907</v>
      </c>
      <c r="N191" s="1459">
        <v>550</v>
      </c>
      <c r="O191" s="1349">
        <v>2150</v>
      </c>
      <c r="P191" s="1462">
        <f t="shared" si="14"/>
        <v>2700</v>
      </c>
      <c r="Q191" s="1465"/>
      <c r="R191" s="1468">
        <f t="shared" si="15"/>
        <v>550</v>
      </c>
    </row>
    <row r="192" spans="1:18" ht="16.5" thickBot="1" x14ac:dyDescent="0.3">
      <c r="A192" s="15" t="s">
        <v>4847</v>
      </c>
      <c r="B192" s="373"/>
      <c r="C192" s="1479">
        <v>3690</v>
      </c>
      <c r="M192" s="184" t="s">
        <v>3903</v>
      </c>
      <c r="N192" s="1459">
        <v>1676</v>
      </c>
      <c r="O192" s="1349">
        <v>2844</v>
      </c>
      <c r="P192" s="1462">
        <f t="shared" si="14"/>
        <v>4520</v>
      </c>
      <c r="Q192" s="1465"/>
      <c r="R192" s="1468">
        <f t="shared" si="15"/>
        <v>1676</v>
      </c>
    </row>
    <row r="193" spans="1:18" ht="16.5" thickBot="1" x14ac:dyDescent="0.3">
      <c r="A193" s="15" t="s">
        <v>5012</v>
      </c>
      <c r="B193" s="373"/>
      <c r="C193" s="1479">
        <v>6400</v>
      </c>
      <c r="M193" s="184" t="s">
        <v>4019</v>
      </c>
      <c r="N193" s="1459">
        <v>2239</v>
      </c>
      <c r="O193" s="1350">
        <v>4235</v>
      </c>
      <c r="P193" s="1462">
        <f t="shared" si="14"/>
        <v>6474</v>
      </c>
      <c r="Q193" s="1466"/>
      <c r="R193" s="1468">
        <f t="shared" si="15"/>
        <v>2239</v>
      </c>
    </row>
    <row r="194" spans="1:18" x14ac:dyDescent="0.25">
      <c r="M194" s="184" t="s">
        <v>4033</v>
      </c>
      <c r="N194" s="1459">
        <v>255</v>
      </c>
      <c r="O194" s="1349"/>
      <c r="P194" s="1462">
        <f t="shared" si="14"/>
        <v>255</v>
      </c>
      <c r="Q194" s="1465">
        <v>1029</v>
      </c>
      <c r="R194" s="1468">
        <f t="shared" si="15"/>
        <v>1284</v>
      </c>
    </row>
    <row r="195" spans="1:18" x14ac:dyDescent="0.25">
      <c r="M195" s="184" t="s">
        <v>4035</v>
      </c>
      <c r="N195" s="1459">
        <v>400</v>
      </c>
      <c r="O195" s="1349"/>
      <c r="P195" s="1462">
        <f t="shared" si="14"/>
        <v>400</v>
      </c>
      <c r="Q195" s="1465">
        <v>932</v>
      </c>
      <c r="R195" s="1468">
        <f t="shared" si="15"/>
        <v>1332</v>
      </c>
    </row>
    <row r="196" spans="1:18" x14ac:dyDescent="0.25">
      <c r="M196" s="184" t="s">
        <v>4034</v>
      </c>
      <c r="N196" s="1459">
        <v>200</v>
      </c>
      <c r="O196" s="1349"/>
      <c r="P196" s="1462">
        <f t="shared" si="14"/>
        <v>200</v>
      </c>
      <c r="Q196" s="1465"/>
      <c r="R196" s="1468">
        <f t="shared" si="15"/>
        <v>200</v>
      </c>
    </row>
    <row r="197" spans="1:18" x14ac:dyDescent="0.25">
      <c r="M197" s="3" t="s">
        <v>4036</v>
      </c>
      <c r="N197" s="1459">
        <v>100</v>
      </c>
      <c r="O197" s="1349">
        <v>2299</v>
      </c>
      <c r="P197" s="1462">
        <f t="shared" si="14"/>
        <v>2399</v>
      </c>
      <c r="Q197" s="1465"/>
      <c r="R197" s="1468">
        <f t="shared" si="15"/>
        <v>100</v>
      </c>
    </row>
    <row r="198" spans="1:18" x14ac:dyDescent="0.25">
      <c r="M198" s="331" t="s">
        <v>4039</v>
      </c>
      <c r="N198" s="1460">
        <v>362</v>
      </c>
      <c r="O198" s="1350">
        <v>3267</v>
      </c>
      <c r="P198" s="1462">
        <f t="shared" si="14"/>
        <v>3629</v>
      </c>
      <c r="Q198" s="1465">
        <v>787</v>
      </c>
      <c r="R198" s="1468">
        <f t="shared" si="15"/>
        <v>1149</v>
      </c>
    </row>
    <row r="199" spans="1:18" x14ac:dyDescent="0.25">
      <c r="M199" s="184" t="s">
        <v>4040</v>
      </c>
      <c r="N199" s="1459">
        <v>148</v>
      </c>
      <c r="O199" s="1349">
        <v>3025</v>
      </c>
      <c r="P199" s="1462">
        <f t="shared" si="14"/>
        <v>3173</v>
      </c>
      <c r="Q199" s="1465"/>
      <c r="R199" s="1468">
        <f t="shared" si="15"/>
        <v>148</v>
      </c>
    </row>
    <row r="200" spans="1:18" x14ac:dyDescent="0.25">
      <c r="M200" s="184" t="s">
        <v>4043</v>
      </c>
      <c r="N200" s="1459">
        <v>1975</v>
      </c>
      <c r="O200" s="1349"/>
      <c r="P200" s="1462">
        <f t="shared" si="14"/>
        <v>1975</v>
      </c>
      <c r="Q200" s="1465">
        <v>1200</v>
      </c>
      <c r="R200" s="1468">
        <f t="shared" si="15"/>
        <v>3175</v>
      </c>
    </row>
    <row r="201" spans="1:18" x14ac:dyDescent="0.25">
      <c r="M201" s="184" t="s">
        <v>4042</v>
      </c>
      <c r="N201" s="1459">
        <v>217</v>
      </c>
      <c r="O201" s="1349">
        <v>2783</v>
      </c>
      <c r="P201" s="1462">
        <f t="shared" si="14"/>
        <v>3000</v>
      </c>
      <c r="Q201" s="1465">
        <v>726</v>
      </c>
      <c r="R201" s="1468">
        <f t="shared" si="15"/>
        <v>943</v>
      </c>
    </row>
    <row r="202" spans="1:18" x14ac:dyDescent="0.25">
      <c r="M202" s="184" t="s">
        <v>4044</v>
      </c>
      <c r="N202" s="1459">
        <v>850</v>
      </c>
      <c r="O202" s="1349"/>
      <c r="P202" s="1462">
        <f t="shared" si="14"/>
        <v>850</v>
      </c>
      <c r="Q202" s="1465"/>
      <c r="R202" s="1468">
        <f t="shared" si="15"/>
        <v>850</v>
      </c>
    </row>
    <row r="203" spans="1:18" x14ac:dyDescent="0.25">
      <c r="M203" s="3" t="s">
        <v>3153</v>
      </c>
      <c r="N203" s="1459">
        <v>325</v>
      </c>
      <c r="O203" s="1349">
        <v>2662</v>
      </c>
      <c r="P203" s="1462">
        <f t="shared" si="14"/>
        <v>2987</v>
      </c>
      <c r="Q203" s="1465"/>
      <c r="R203" s="1468">
        <f t="shared" si="15"/>
        <v>325</v>
      </c>
    </row>
    <row r="204" spans="1:18" x14ac:dyDescent="0.25">
      <c r="M204" s="3" t="s">
        <v>4891</v>
      </c>
      <c r="N204" s="1459">
        <v>1350</v>
      </c>
      <c r="O204" s="1349">
        <v>2783</v>
      </c>
      <c r="P204" s="1462">
        <f t="shared" si="14"/>
        <v>4133</v>
      </c>
      <c r="Q204" s="1465"/>
      <c r="R204" s="1468">
        <f t="shared" si="15"/>
        <v>1350</v>
      </c>
    </row>
    <row r="205" spans="1:18" x14ac:dyDescent="0.25">
      <c r="M205" s="331" t="s">
        <v>4484</v>
      </c>
      <c r="N205" s="1460">
        <v>1500</v>
      </c>
      <c r="O205" s="1485">
        <v>4356</v>
      </c>
      <c r="P205" s="1462">
        <f t="shared" si="14"/>
        <v>5856</v>
      </c>
      <c r="Q205" s="1486"/>
      <c r="R205" s="1468">
        <f t="shared" si="15"/>
        <v>1500</v>
      </c>
    </row>
    <row r="206" spans="1:18" x14ac:dyDescent="0.25">
      <c r="M206" s="3" t="s">
        <v>4987</v>
      </c>
      <c r="N206" s="1459">
        <v>64</v>
      </c>
      <c r="O206" s="1349">
        <v>1815</v>
      </c>
      <c r="P206" s="1462">
        <f t="shared" si="14"/>
        <v>1879</v>
      </c>
      <c r="Q206" s="1465"/>
      <c r="R206" s="1468">
        <f t="shared" si="15"/>
        <v>64</v>
      </c>
    </row>
    <row r="207" spans="1:18" x14ac:dyDescent="0.25">
      <c r="M207" s="3" t="s">
        <v>4988</v>
      </c>
      <c r="N207" s="1459">
        <v>175</v>
      </c>
      <c r="O207" s="1349"/>
      <c r="P207" s="1462">
        <f t="shared" si="14"/>
        <v>175</v>
      </c>
      <c r="Q207" s="1465"/>
      <c r="R207" s="1468">
        <f t="shared" si="15"/>
        <v>175</v>
      </c>
    </row>
    <row r="208" spans="1:18" x14ac:dyDescent="0.25">
      <c r="M208" s="184" t="s">
        <v>5106</v>
      </c>
      <c r="N208" s="1459">
        <v>800</v>
      </c>
      <c r="O208" s="1349">
        <v>2420</v>
      </c>
      <c r="P208" s="1462">
        <f t="shared" si="14"/>
        <v>3220</v>
      </c>
      <c r="Q208" s="1465"/>
      <c r="R208" s="1468">
        <f t="shared" si="15"/>
        <v>800</v>
      </c>
    </row>
    <row r="209" spans="13:18" ht="16.5" thickBot="1" x14ac:dyDescent="0.3">
      <c r="M209" s="168" t="s">
        <v>4986</v>
      </c>
      <c r="N209" s="1461">
        <v>1676</v>
      </c>
      <c r="O209" s="1325"/>
      <c r="P209" s="1462">
        <f t="shared" si="14"/>
        <v>1676</v>
      </c>
      <c r="Q209" s="1467"/>
      <c r="R209" s="1469">
        <f t="shared" si="15"/>
        <v>1676</v>
      </c>
    </row>
  </sheetData>
  <sortState xmlns:xlrd2="http://schemas.microsoft.com/office/spreadsheetml/2017/richdata2" ref="G16:I16">
    <sortCondition ref="G16"/>
  </sortState>
  <mergeCells count="44">
    <mergeCell ref="M41:M42"/>
    <mergeCell ref="A179:C179"/>
    <mergeCell ref="A173:D173"/>
    <mergeCell ref="M167:M170"/>
    <mergeCell ref="A129:A130"/>
    <mergeCell ref="M160:O160"/>
    <mergeCell ref="M87:O87"/>
    <mergeCell ref="F100:K100"/>
    <mergeCell ref="F83:K83"/>
    <mergeCell ref="A111:A115"/>
    <mergeCell ref="A105:D105"/>
    <mergeCell ref="A94:D94"/>
    <mergeCell ref="F92:K92"/>
    <mergeCell ref="M60:M61"/>
    <mergeCell ref="M177:R177"/>
    <mergeCell ref="R1:V1"/>
    <mergeCell ref="A1:D1"/>
    <mergeCell ref="F55:F56"/>
    <mergeCell ref="A79:D79"/>
    <mergeCell ref="A48:D48"/>
    <mergeCell ref="A13:A17"/>
    <mergeCell ref="F7:F8"/>
    <mergeCell ref="A3:A7"/>
    <mergeCell ref="F33:F37"/>
    <mergeCell ref="F29:F32"/>
    <mergeCell ref="A8:A12"/>
    <mergeCell ref="A28:A29"/>
    <mergeCell ref="A23:A24"/>
    <mergeCell ref="M29:M31"/>
    <mergeCell ref="M33:M35"/>
    <mergeCell ref="F59:K59"/>
    <mergeCell ref="F1:J1"/>
    <mergeCell ref="M1:O1"/>
    <mergeCell ref="M7:M11"/>
    <mergeCell ref="M12:M13"/>
    <mergeCell ref="M18:M22"/>
    <mergeCell ref="F27:F28"/>
    <mergeCell ref="F23:F25"/>
    <mergeCell ref="F10:F12"/>
    <mergeCell ref="R20:T20"/>
    <mergeCell ref="F3:F5"/>
    <mergeCell ref="F16:F17"/>
    <mergeCell ref="M24:M25"/>
    <mergeCell ref="M26:M28"/>
  </mergeCells>
  <phoneticPr fontId="21"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5C91A-448A-4B54-BD72-41E4D93621B8}">
  <dimension ref="A1:W68"/>
  <sheetViews>
    <sheetView topLeftCell="A8" workbookViewId="0">
      <selection activeCell="I61" sqref="I61"/>
    </sheetView>
  </sheetViews>
  <sheetFormatPr baseColWidth="10" defaultRowHeight="15" x14ac:dyDescent="0.25"/>
  <cols>
    <col min="1" max="1" width="29.5703125" bestFit="1" customWidth="1"/>
    <col min="3" max="3" width="12.140625" bestFit="1" customWidth="1"/>
    <col min="4" max="4" width="15.140625" bestFit="1" customWidth="1"/>
    <col min="5" max="5" width="20.28515625" customWidth="1"/>
    <col min="6" max="6" width="38.5703125" customWidth="1"/>
    <col min="7" max="7" width="15.85546875" bestFit="1" customWidth="1"/>
    <col min="8" max="8" width="15.5703125" bestFit="1" customWidth="1"/>
    <col min="9" max="9" width="17.5703125" bestFit="1" customWidth="1"/>
    <col min="10" max="10" width="17.28515625" bestFit="1" customWidth="1"/>
    <col min="11" max="11" width="23.85546875" bestFit="1" customWidth="1"/>
    <col min="16" max="16" width="15.5703125" bestFit="1" customWidth="1"/>
    <col min="19" max="20" width="11.85546875" bestFit="1" customWidth="1"/>
  </cols>
  <sheetData>
    <row r="1" spans="1:23" ht="16.5" thickBot="1" x14ac:dyDescent="0.3">
      <c r="A1" s="1579" t="s">
        <v>4072</v>
      </c>
      <c r="B1" s="1580"/>
      <c r="C1" s="1580"/>
      <c r="D1" s="1580"/>
      <c r="E1" s="1"/>
      <c r="F1" s="1565" t="s">
        <v>1031</v>
      </c>
      <c r="G1" s="1566"/>
      <c r="H1" s="1566"/>
      <c r="I1" s="1567"/>
      <c r="J1" s="1"/>
      <c r="K1" s="1579" t="s">
        <v>4073</v>
      </c>
      <c r="L1" s="1580"/>
      <c r="M1" s="1580"/>
      <c r="N1" s="1580"/>
      <c r="O1" s="1580"/>
      <c r="P1" s="1580"/>
      <c r="Q1" s="1580"/>
      <c r="S1" s="1579" t="s">
        <v>1050</v>
      </c>
      <c r="T1" s="1580"/>
      <c r="U1" s="1580"/>
      <c r="V1" s="1580"/>
      <c r="W1" s="1580"/>
    </row>
    <row r="2" spans="1:23" ht="16.5" thickBot="1" x14ac:dyDescent="0.3">
      <c r="A2" s="10" t="s">
        <v>742</v>
      </c>
      <c r="B2" s="11" t="s">
        <v>747</v>
      </c>
      <c r="C2" s="11" t="s">
        <v>995</v>
      </c>
      <c r="D2" s="11" t="s">
        <v>4071</v>
      </c>
      <c r="E2" s="1"/>
      <c r="F2" s="14" t="s">
        <v>746</v>
      </c>
      <c r="G2" s="14" t="s">
        <v>1034</v>
      </c>
      <c r="H2" s="19" t="s">
        <v>747</v>
      </c>
      <c r="I2" s="14" t="s">
        <v>1035</v>
      </c>
      <c r="J2" s="1"/>
      <c r="K2" s="14" t="s">
        <v>746</v>
      </c>
      <c r="L2" s="14" t="s">
        <v>1058</v>
      </c>
      <c r="M2" s="14" t="s">
        <v>1034</v>
      </c>
      <c r="N2" s="14" t="s">
        <v>3554</v>
      </c>
      <c r="O2" s="14" t="s">
        <v>1035</v>
      </c>
      <c r="P2" s="14" t="s">
        <v>4781</v>
      </c>
      <c r="Q2" s="14" t="s">
        <v>1630</v>
      </c>
      <c r="S2" s="10" t="s">
        <v>742</v>
      </c>
      <c r="T2" s="165" t="s">
        <v>932</v>
      </c>
      <c r="U2" s="11" t="s">
        <v>1051</v>
      </c>
      <c r="V2" s="11" t="s">
        <v>1052</v>
      </c>
      <c r="W2" s="11" t="s">
        <v>1053</v>
      </c>
    </row>
    <row r="3" spans="1:23" ht="16.5" thickBot="1" x14ac:dyDescent="0.3">
      <c r="A3" s="13" t="s">
        <v>997</v>
      </c>
      <c r="B3" s="141">
        <v>963</v>
      </c>
      <c r="C3" s="15">
        <v>50</v>
      </c>
      <c r="D3" s="140">
        <f t="shared" ref="D3:D19" si="0">B3/C3</f>
        <v>19.260000000000002</v>
      </c>
      <c r="E3" s="1"/>
      <c r="F3" s="87" t="s">
        <v>3020</v>
      </c>
      <c r="G3" s="87">
        <v>40</v>
      </c>
      <c r="H3" s="17">
        <v>2644</v>
      </c>
      <c r="I3" s="17">
        <f t="shared" ref="I3:I4" si="1">H3/G3</f>
        <v>66.099999999999994</v>
      </c>
      <c r="J3" s="1"/>
      <c r="K3" s="15" t="s">
        <v>1061</v>
      </c>
      <c r="L3" s="234" t="s">
        <v>4083</v>
      </c>
      <c r="M3" s="234"/>
      <c r="N3" s="142">
        <v>141</v>
      </c>
      <c r="O3" s="142"/>
      <c r="P3" s="142"/>
      <c r="Q3" s="142"/>
      <c r="S3" s="15" t="s">
        <v>1054</v>
      </c>
      <c r="T3" s="15" t="s">
        <v>1055</v>
      </c>
      <c r="U3" s="163">
        <v>5</v>
      </c>
      <c r="V3" s="142">
        <v>11420</v>
      </c>
      <c r="W3" s="338">
        <f>V3/U3</f>
        <v>2284</v>
      </c>
    </row>
    <row r="4" spans="1:23" ht="16.5" thickBot="1" x14ac:dyDescent="0.3">
      <c r="A4" s="13" t="s">
        <v>998</v>
      </c>
      <c r="B4" s="141">
        <v>2435</v>
      </c>
      <c r="C4" s="15">
        <v>50</v>
      </c>
      <c r="D4" s="140">
        <f t="shared" si="0"/>
        <v>48.7</v>
      </c>
      <c r="E4" s="1"/>
      <c r="F4" s="86" t="s">
        <v>1037</v>
      </c>
      <c r="G4" s="86">
        <v>40</v>
      </c>
      <c r="H4" s="17">
        <v>2644</v>
      </c>
      <c r="I4" s="17">
        <f t="shared" si="1"/>
        <v>66.099999999999994</v>
      </c>
      <c r="J4" s="1"/>
      <c r="K4" s="15" t="s">
        <v>4082</v>
      </c>
      <c r="L4" s="234" t="s">
        <v>4083</v>
      </c>
      <c r="M4" s="234" t="s">
        <v>4077</v>
      </c>
      <c r="N4" s="142">
        <v>3000</v>
      </c>
      <c r="O4" s="142">
        <f>N4/M4</f>
        <v>600</v>
      </c>
      <c r="P4" s="142"/>
      <c r="Q4" s="142"/>
      <c r="S4" s="15" t="s">
        <v>1056</v>
      </c>
      <c r="T4" s="15" t="s">
        <v>1057</v>
      </c>
      <c r="U4" s="163">
        <v>11.2</v>
      </c>
      <c r="V4" s="142">
        <v>15735</v>
      </c>
      <c r="W4" s="338">
        <f>V4/U4</f>
        <v>1404.9107142857144</v>
      </c>
    </row>
    <row r="5" spans="1:23" ht="16.5" thickBot="1" x14ac:dyDescent="0.3">
      <c r="A5" s="13" t="s">
        <v>1001</v>
      </c>
      <c r="B5" s="141">
        <v>2340</v>
      </c>
      <c r="C5" s="15">
        <v>50</v>
      </c>
      <c r="D5" s="140">
        <f t="shared" si="0"/>
        <v>46.8</v>
      </c>
      <c r="E5" s="1"/>
      <c r="F5" s="86" t="s">
        <v>3203</v>
      </c>
      <c r="G5" s="86">
        <v>14</v>
      </c>
      <c r="H5" s="17">
        <v>2644</v>
      </c>
      <c r="I5" s="17">
        <f>H5/G5</f>
        <v>188.85714285714286</v>
      </c>
      <c r="J5" s="1"/>
      <c r="K5" s="15" t="s">
        <v>4080</v>
      </c>
      <c r="L5" s="234" t="s">
        <v>4081</v>
      </c>
      <c r="M5" s="234" t="s">
        <v>4077</v>
      </c>
      <c r="N5" s="142">
        <v>9000</v>
      </c>
      <c r="O5" s="142">
        <f t="shared" ref="O5:O11" si="2">N5/M5</f>
        <v>1800</v>
      </c>
      <c r="P5" s="142"/>
      <c r="Q5" s="142"/>
      <c r="S5" s="15" t="s">
        <v>1059</v>
      </c>
      <c r="T5" s="15" t="s">
        <v>1060</v>
      </c>
      <c r="U5" s="163">
        <v>14</v>
      </c>
      <c r="V5" s="142">
        <v>12690</v>
      </c>
      <c r="W5" s="338">
        <f>V5/U5</f>
        <v>906.42857142857144</v>
      </c>
    </row>
    <row r="6" spans="1:23" ht="16.5" thickBot="1" x14ac:dyDescent="0.3">
      <c r="A6" s="13" t="s">
        <v>3565</v>
      </c>
      <c r="B6" s="141">
        <v>1450</v>
      </c>
      <c r="C6" s="15">
        <v>11</v>
      </c>
      <c r="D6" s="140">
        <f t="shared" si="0"/>
        <v>131.81818181818181</v>
      </c>
      <c r="E6" s="1"/>
      <c r="F6" s="86" t="s">
        <v>3202</v>
      </c>
      <c r="G6" s="86">
        <v>17</v>
      </c>
      <c r="H6" s="17">
        <v>2644</v>
      </c>
      <c r="I6" s="17">
        <f t="shared" ref="I6:I15" si="3">H6/G6</f>
        <v>155.52941176470588</v>
      </c>
      <c r="J6" s="1"/>
      <c r="K6" s="15" t="s">
        <v>4079</v>
      </c>
      <c r="L6" s="234" t="s">
        <v>4084</v>
      </c>
      <c r="M6" s="234" t="s">
        <v>4077</v>
      </c>
      <c r="N6" s="142">
        <v>3000</v>
      </c>
      <c r="O6" s="142">
        <f t="shared" si="2"/>
        <v>600</v>
      </c>
      <c r="P6" s="142"/>
      <c r="Q6" s="142"/>
      <c r="S6" s="15" t="s">
        <v>1062</v>
      </c>
      <c r="T6" s="15" t="s">
        <v>1063</v>
      </c>
      <c r="U6" s="163">
        <v>26.5</v>
      </c>
      <c r="V6" s="142">
        <v>14340</v>
      </c>
      <c r="W6" s="338">
        <f>V6/U6</f>
        <v>541.13207547169816</v>
      </c>
    </row>
    <row r="7" spans="1:23" ht="16.5" thickBot="1" x14ac:dyDescent="0.3">
      <c r="A7" s="13" t="s">
        <v>1002</v>
      </c>
      <c r="B7" s="141">
        <v>2600</v>
      </c>
      <c r="C7" s="15">
        <v>50</v>
      </c>
      <c r="D7" s="140">
        <f t="shared" si="0"/>
        <v>52</v>
      </c>
      <c r="E7" s="1"/>
      <c r="F7" s="86" t="s">
        <v>1040</v>
      </c>
      <c r="G7" s="86">
        <v>20</v>
      </c>
      <c r="H7" s="17">
        <v>700</v>
      </c>
      <c r="I7" s="17">
        <f t="shared" si="3"/>
        <v>35</v>
      </c>
      <c r="J7" s="1"/>
      <c r="K7" s="15" t="s">
        <v>4078</v>
      </c>
      <c r="L7" s="234" t="s">
        <v>4084</v>
      </c>
      <c r="M7" s="234" t="s">
        <v>4077</v>
      </c>
      <c r="N7" s="142">
        <v>3000</v>
      </c>
      <c r="O7" s="142">
        <f t="shared" si="2"/>
        <v>600</v>
      </c>
      <c r="P7" s="142"/>
      <c r="Q7" s="142"/>
    </row>
    <row r="8" spans="1:23" ht="16.5" thickBot="1" x14ac:dyDescent="0.3">
      <c r="A8" s="13" t="s">
        <v>1003</v>
      </c>
      <c r="B8" s="141">
        <v>1735</v>
      </c>
      <c r="C8" s="15">
        <v>9</v>
      </c>
      <c r="D8" s="140">
        <f t="shared" si="0"/>
        <v>192.77777777777777</v>
      </c>
      <c r="E8" s="1"/>
      <c r="F8" s="86" t="s">
        <v>763</v>
      </c>
      <c r="G8" s="86">
        <v>1</v>
      </c>
      <c r="H8" s="17">
        <v>278</v>
      </c>
      <c r="I8" s="17">
        <f t="shared" si="3"/>
        <v>278</v>
      </c>
      <c r="J8" s="1"/>
      <c r="K8" s="15" t="s">
        <v>4051</v>
      </c>
      <c r="L8" s="234" t="s">
        <v>4085</v>
      </c>
      <c r="M8" s="234" t="s">
        <v>4077</v>
      </c>
      <c r="N8" s="142">
        <v>3500</v>
      </c>
      <c r="O8" s="142">
        <f t="shared" si="2"/>
        <v>700</v>
      </c>
      <c r="P8" s="142"/>
      <c r="Q8" s="142"/>
    </row>
    <row r="9" spans="1:23" ht="16.5" thickBot="1" x14ac:dyDescent="0.3">
      <c r="A9" s="13" t="s">
        <v>4934</v>
      </c>
      <c r="B9" s="141">
        <v>7420</v>
      </c>
      <c r="C9" s="15">
        <v>50</v>
      </c>
      <c r="D9" s="140">
        <f t="shared" si="0"/>
        <v>148.4</v>
      </c>
      <c r="E9" s="1"/>
      <c r="F9" s="86" t="s">
        <v>3419</v>
      </c>
      <c r="G9" s="86">
        <v>38</v>
      </c>
      <c r="H9" s="17">
        <v>2300</v>
      </c>
      <c r="I9" s="17">
        <f t="shared" si="3"/>
        <v>60.526315789473685</v>
      </c>
      <c r="J9" s="1"/>
      <c r="K9" s="15" t="s">
        <v>4069</v>
      </c>
      <c r="L9" s="234" t="s">
        <v>4070</v>
      </c>
      <c r="M9" s="234" t="s">
        <v>4077</v>
      </c>
      <c r="N9" s="142">
        <v>9000</v>
      </c>
      <c r="O9" s="142">
        <f t="shared" si="2"/>
        <v>1800</v>
      </c>
      <c r="P9" s="142"/>
      <c r="Q9" s="142"/>
    </row>
    <row r="10" spans="1:23" ht="16.5" thickBot="1" x14ac:dyDescent="0.3">
      <c r="A10" s="13" t="s">
        <v>1004</v>
      </c>
      <c r="B10" s="141">
        <f>W3</f>
        <v>2284</v>
      </c>
      <c r="C10" s="15">
        <v>70</v>
      </c>
      <c r="D10" s="140">
        <f t="shared" si="0"/>
        <v>32.628571428571426</v>
      </c>
      <c r="E10" s="1"/>
      <c r="F10" s="86" t="s">
        <v>3401</v>
      </c>
      <c r="G10" s="86">
        <v>1</v>
      </c>
      <c r="H10" s="17">
        <v>501</v>
      </c>
      <c r="I10" s="17">
        <f t="shared" si="3"/>
        <v>501</v>
      </c>
      <c r="J10" s="1"/>
      <c r="K10" s="15" t="s">
        <v>4075</v>
      </c>
      <c r="L10" s="234" t="s">
        <v>4076</v>
      </c>
      <c r="M10" s="234" t="s">
        <v>4077</v>
      </c>
      <c r="N10" s="142">
        <v>9000</v>
      </c>
      <c r="O10" s="142">
        <f t="shared" si="2"/>
        <v>1800</v>
      </c>
      <c r="P10" s="142">
        <v>847</v>
      </c>
      <c r="Q10" s="142">
        <f>O10+P10</f>
        <v>2647</v>
      </c>
    </row>
    <row r="11" spans="1:23" ht="16.5" thickBot="1" x14ac:dyDescent="0.3">
      <c r="A11" s="151" t="s">
        <v>1007</v>
      </c>
      <c r="B11" s="141">
        <v>1189</v>
      </c>
      <c r="C11" s="15">
        <v>12</v>
      </c>
      <c r="D11" s="877">
        <f t="shared" si="0"/>
        <v>99.083333333333329</v>
      </c>
      <c r="E11" s="1"/>
      <c r="F11" s="86" t="s">
        <v>2255</v>
      </c>
      <c r="G11" s="86">
        <v>7</v>
      </c>
      <c r="H11" s="17">
        <v>1088</v>
      </c>
      <c r="I11" s="17">
        <f>H11/G11</f>
        <v>155.42857142857142</v>
      </c>
      <c r="J11" s="1"/>
      <c r="K11" s="15" t="s">
        <v>4074</v>
      </c>
      <c r="L11" s="234" t="s">
        <v>4070</v>
      </c>
      <c r="M11" s="234" t="s">
        <v>4077</v>
      </c>
      <c r="N11" s="142">
        <v>9000</v>
      </c>
      <c r="O11" s="142">
        <f t="shared" si="2"/>
        <v>1800</v>
      </c>
      <c r="P11" s="142">
        <v>847</v>
      </c>
      <c r="Q11" s="142">
        <f>O11+P11</f>
        <v>2647</v>
      </c>
    </row>
    <row r="12" spans="1:23" ht="16.5" thickBot="1" x14ac:dyDescent="0.3">
      <c r="A12" s="151" t="s">
        <v>5097</v>
      </c>
      <c r="B12" s="141">
        <v>6595</v>
      </c>
      <c r="C12" s="15">
        <v>50</v>
      </c>
      <c r="D12" s="877">
        <f t="shared" si="0"/>
        <v>131.9</v>
      </c>
      <c r="E12" s="1"/>
      <c r="F12" s="86" t="s">
        <v>867</v>
      </c>
      <c r="G12" s="86">
        <v>1</v>
      </c>
      <c r="H12" s="17">
        <v>460</v>
      </c>
      <c r="I12" s="17">
        <f t="shared" si="3"/>
        <v>460</v>
      </c>
      <c r="J12" s="1"/>
      <c r="K12" s="15" t="s">
        <v>5066</v>
      </c>
      <c r="L12" s="234" t="s">
        <v>5065</v>
      </c>
      <c r="M12" s="234"/>
      <c r="N12" s="142">
        <v>2810</v>
      </c>
      <c r="O12" s="142"/>
      <c r="P12" s="142"/>
      <c r="Q12" s="142"/>
    </row>
    <row r="13" spans="1:23" ht="16.5" thickBot="1" x14ac:dyDescent="0.3">
      <c r="A13" s="151" t="s">
        <v>4417</v>
      </c>
      <c r="B13" s="141">
        <v>1185</v>
      </c>
      <c r="C13" s="15">
        <v>12</v>
      </c>
      <c r="D13" s="877">
        <f t="shared" si="0"/>
        <v>98.75</v>
      </c>
      <c r="E13" s="1"/>
      <c r="F13" s="86" t="s">
        <v>3426</v>
      </c>
      <c r="G13" s="86">
        <v>9</v>
      </c>
      <c r="H13" s="17">
        <v>2470</v>
      </c>
      <c r="I13" s="17">
        <f t="shared" si="3"/>
        <v>274.44444444444446</v>
      </c>
      <c r="J13" s="1"/>
    </row>
    <row r="14" spans="1:23" ht="16.5" thickBot="1" x14ac:dyDescent="0.3">
      <c r="A14" s="151" t="s">
        <v>1008</v>
      </c>
      <c r="B14" s="141">
        <v>4940</v>
      </c>
      <c r="C14" s="15">
        <v>50</v>
      </c>
      <c r="D14" s="877">
        <f t="shared" si="0"/>
        <v>98.8</v>
      </c>
      <c r="E14" s="1"/>
      <c r="F14" s="86" t="s">
        <v>3476</v>
      </c>
      <c r="G14" s="86">
        <v>16</v>
      </c>
      <c r="H14" s="17">
        <v>2326</v>
      </c>
      <c r="I14" s="17">
        <f t="shared" si="3"/>
        <v>145.375</v>
      </c>
      <c r="J14" s="1"/>
    </row>
    <row r="15" spans="1:23" ht="16.5" thickBot="1" x14ac:dyDescent="0.3">
      <c r="A15" s="151" t="s">
        <v>1010</v>
      </c>
      <c r="B15" s="141">
        <v>142</v>
      </c>
      <c r="C15" s="15">
        <v>1</v>
      </c>
      <c r="D15" s="877">
        <f t="shared" si="0"/>
        <v>142</v>
      </c>
      <c r="E15" s="1"/>
      <c r="F15" s="86" t="s">
        <v>4956</v>
      </c>
      <c r="G15" s="86">
        <v>6</v>
      </c>
      <c r="H15" s="17">
        <v>2326</v>
      </c>
      <c r="I15" s="17">
        <f t="shared" si="3"/>
        <v>387.66666666666669</v>
      </c>
      <c r="J15" s="1"/>
    </row>
    <row r="16" spans="1:23" ht="16.5" thickBot="1" x14ac:dyDescent="0.3">
      <c r="A16" s="151" t="s">
        <v>5096</v>
      </c>
      <c r="B16" s="141">
        <v>2703</v>
      </c>
      <c r="C16" s="15">
        <v>60</v>
      </c>
      <c r="D16" s="877">
        <f t="shared" si="0"/>
        <v>45.05</v>
      </c>
      <c r="E16" s="1"/>
      <c r="F16" s="86" t="s">
        <v>1045</v>
      </c>
      <c r="G16" s="86">
        <v>1</v>
      </c>
      <c r="H16" s="17">
        <v>2310</v>
      </c>
      <c r="I16" s="17">
        <f>H16</f>
        <v>2310</v>
      </c>
      <c r="J16" s="1"/>
    </row>
    <row r="17" spans="1:10" ht="16.5" thickBot="1" x14ac:dyDescent="0.3">
      <c r="A17" s="15" t="s">
        <v>1012</v>
      </c>
      <c r="B17" s="141">
        <v>2703</v>
      </c>
      <c r="C17" s="15">
        <v>60</v>
      </c>
      <c r="D17" s="878">
        <f t="shared" si="0"/>
        <v>45.05</v>
      </c>
      <c r="E17" s="1"/>
      <c r="F17" s="86" t="s">
        <v>1048</v>
      </c>
      <c r="G17" s="86">
        <v>1</v>
      </c>
      <c r="H17" s="17">
        <v>2310</v>
      </c>
      <c r="I17" s="17">
        <f>H17</f>
        <v>2310</v>
      </c>
      <c r="J17" s="1"/>
    </row>
    <row r="18" spans="1:10" ht="16.5" thickBot="1" x14ac:dyDescent="0.3">
      <c r="A18" s="15" t="s">
        <v>1015</v>
      </c>
      <c r="B18" s="142">
        <v>363</v>
      </c>
      <c r="C18" s="15">
        <v>1</v>
      </c>
      <c r="D18" s="878">
        <f t="shared" si="0"/>
        <v>363</v>
      </c>
      <c r="E18" s="1"/>
      <c r="F18" s="86" t="s">
        <v>4968</v>
      </c>
      <c r="G18" s="86">
        <v>4</v>
      </c>
      <c r="H18" s="17">
        <v>2110</v>
      </c>
      <c r="I18" s="17">
        <f>H18/G18</f>
        <v>527.5</v>
      </c>
      <c r="J18" s="1"/>
    </row>
    <row r="19" spans="1:10" ht="16.5" thickBot="1" x14ac:dyDescent="0.3">
      <c r="A19" s="15" t="s">
        <v>4373</v>
      </c>
      <c r="B19" s="142">
        <v>855</v>
      </c>
      <c r="C19" s="15">
        <v>1</v>
      </c>
      <c r="D19" s="878">
        <f t="shared" si="0"/>
        <v>855</v>
      </c>
      <c r="E19" s="1"/>
      <c r="F19" s="1"/>
      <c r="G19" s="1"/>
      <c r="H19" s="1"/>
      <c r="I19" s="1"/>
      <c r="J19" s="1"/>
    </row>
    <row r="20" spans="1:10" ht="16.5" thickBot="1" x14ac:dyDescent="0.3">
      <c r="A20" s="15" t="s">
        <v>3220</v>
      </c>
      <c r="B20" s="142">
        <v>1066</v>
      </c>
      <c r="C20" s="15">
        <v>1</v>
      </c>
      <c r="D20" s="878">
        <f>B20*C20</f>
        <v>1066</v>
      </c>
      <c r="E20" s="1"/>
      <c r="F20" s="1"/>
      <c r="G20" s="1"/>
      <c r="H20" s="1"/>
      <c r="I20" s="1"/>
      <c r="J20" s="1"/>
    </row>
    <row r="21" spans="1:10" ht="16.5" thickBot="1" x14ac:dyDescent="0.3">
      <c r="A21" s="15" t="s">
        <v>2141</v>
      </c>
      <c r="B21" s="142">
        <v>1500</v>
      </c>
      <c r="C21" s="15">
        <v>1</v>
      </c>
      <c r="D21" s="878">
        <f t="shared" ref="D21:D37" si="4">B21/C21</f>
        <v>1500</v>
      </c>
      <c r="E21" s="1"/>
      <c r="F21" s="1"/>
      <c r="G21" s="1"/>
      <c r="H21" s="1"/>
      <c r="I21" s="1"/>
      <c r="J21" s="1"/>
    </row>
    <row r="22" spans="1:10" ht="16.5" thickBot="1" x14ac:dyDescent="0.3">
      <c r="A22" s="15" t="s">
        <v>4965</v>
      </c>
      <c r="B22" s="142">
        <v>3494</v>
      </c>
      <c r="C22" s="15">
        <v>1</v>
      </c>
      <c r="D22" s="878">
        <f t="shared" si="4"/>
        <v>3494</v>
      </c>
      <c r="E22" s="1"/>
      <c r="F22" s="1"/>
      <c r="G22" s="1"/>
      <c r="H22" s="1"/>
      <c r="I22" s="1"/>
      <c r="J22" s="1"/>
    </row>
    <row r="23" spans="1:10" ht="16.5" thickBot="1" x14ac:dyDescent="0.3">
      <c r="A23" s="15" t="s">
        <v>4931</v>
      </c>
      <c r="B23" s="142">
        <v>1915</v>
      </c>
      <c r="C23" s="15">
        <v>80</v>
      </c>
      <c r="D23" s="878">
        <f t="shared" si="4"/>
        <v>23.9375</v>
      </c>
      <c r="E23" s="1"/>
      <c r="F23" s="1"/>
      <c r="G23" s="1"/>
      <c r="H23" s="1"/>
      <c r="I23" s="1"/>
      <c r="J23" s="1"/>
    </row>
    <row r="24" spans="1:10" ht="16.5" thickBot="1" x14ac:dyDescent="0.3">
      <c r="A24" s="15" t="s">
        <v>3445</v>
      </c>
      <c r="B24" s="142">
        <v>2080</v>
      </c>
      <c r="C24" s="15">
        <v>60</v>
      </c>
      <c r="D24" s="878">
        <f t="shared" si="4"/>
        <v>34.666666666666664</v>
      </c>
      <c r="E24" s="1"/>
      <c r="F24" s="1"/>
      <c r="G24" s="1"/>
      <c r="H24" s="1"/>
      <c r="I24" s="1"/>
      <c r="J24" s="1"/>
    </row>
    <row r="25" spans="1:10" ht="16.5" thickBot="1" x14ac:dyDescent="0.3">
      <c r="A25" s="15" t="s">
        <v>3443</v>
      </c>
      <c r="B25" s="142">
        <v>2080</v>
      </c>
      <c r="C25" s="15">
        <v>11</v>
      </c>
      <c r="D25" s="878">
        <f t="shared" si="4"/>
        <v>189.09090909090909</v>
      </c>
      <c r="E25" s="1"/>
      <c r="F25" s="1"/>
      <c r="G25" s="1"/>
      <c r="H25" s="1"/>
      <c r="I25" s="1"/>
      <c r="J25" s="1"/>
    </row>
    <row r="26" spans="1:10" ht="16.5" thickBot="1" x14ac:dyDescent="0.3">
      <c r="A26" s="15" t="s">
        <v>3444</v>
      </c>
      <c r="B26" s="142">
        <v>2080</v>
      </c>
      <c r="C26" s="15">
        <v>7</v>
      </c>
      <c r="D26" s="878">
        <f t="shared" si="4"/>
        <v>297.14285714285717</v>
      </c>
      <c r="E26" s="1"/>
      <c r="F26" s="1"/>
      <c r="G26" s="1"/>
      <c r="H26" s="1"/>
      <c r="I26" s="1"/>
      <c r="J26" s="1"/>
    </row>
    <row r="27" spans="1:10" ht="16.5" thickBot="1" x14ac:dyDescent="0.3">
      <c r="A27" s="15" t="s">
        <v>3643</v>
      </c>
      <c r="B27" s="142">
        <v>366</v>
      </c>
      <c r="C27" s="15">
        <v>1</v>
      </c>
      <c r="D27" s="878">
        <f>B27</f>
        <v>366</v>
      </c>
      <c r="E27" s="1"/>
      <c r="F27" s="1"/>
      <c r="G27" s="1"/>
      <c r="H27" s="1"/>
      <c r="I27" s="1"/>
      <c r="J27" s="1"/>
    </row>
    <row r="28" spans="1:10" ht="16.5" thickBot="1" x14ac:dyDescent="0.3">
      <c r="A28" s="15" t="s">
        <v>4966</v>
      </c>
      <c r="B28" s="142">
        <v>1280</v>
      </c>
      <c r="C28" s="15">
        <v>16</v>
      </c>
      <c r="D28" s="878">
        <f>B28/C28</f>
        <v>80</v>
      </c>
      <c r="E28" s="1"/>
      <c r="F28" s="1"/>
      <c r="G28" s="1"/>
      <c r="H28" s="1"/>
      <c r="I28" s="1"/>
      <c r="J28" s="1"/>
    </row>
    <row r="29" spans="1:10" ht="16.5" thickBot="1" x14ac:dyDescent="0.3">
      <c r="A29" s="15" t="s">
        <v>4967</v>
      </c>
      <c r="B29" s="142">
        <v>1280</v>
      </c>
      <c r="C29" s="15">
        <v>6</v>
      </c>
      <c r="D29" s="878">
        <f>B29/C29</f>
        <v>213.33333333333334</v>
      </c>
      <c r="E29" s="1"/>
      <c r="F29" s="1"/>
      <c r="G29" s="1"/>
      <c r="H29" s="1"/>
      <c r="I29" s="1"/>
      <c r="J29" s="1"/>
    </row>
    <row r="30" spans="1:10" ht="16.5" customHeight="1" thickBot="1" x14ac:dyDescent="0.3">
      <c r="A30" s="15" t="s">
        <v>1020</v>
      </c>
      <c r="B30" s="142">
        <v>255</v>
      </c>
      <c r="C30" s="15">
        <v>1</v>
      </c>
      <c r="D30" s="878">
        <f t="shared" si="4"/>
        <v>255</v>
      </c>
      <c r="E30" s="1"/>
      <c r="F30" s="1"/>
      <c r="G30" s="1"/>
      <c r="H30" s="1"/>
      <c r="I30" s="1"/>
      <c r="J30" s="1"/>
    </row>
    <row r="31" spans="1:10" ht="16.5" thickBot="1" x14ac:dyDescent="0.3">
      <c r="A31" s="15" t="s">
        <v>1023</v>
      </c>
      <c r="B31" s="142">
        <v>470</v>
      </c>
      <c r="C31" s="15">
        <v>2</v>
      </c>
      <c r="D31" s="878">
        <f t="shared" si="4"/>
        <v>235</v>
      </c>
      <c r="E31" s="1"/>
      <c r="F31" s="1"/>
      <c r="G31" s="1"/>
      <c r="H31" s="1"/>
      <c r="I31" s="1"/>
      <c r="J31" s="1"/>
    </row>
    <row r="32" spans="1:10" ht="32.25" customHeight="1" thickBot="1" x14ac:dyDescent="0.3">
      <c r="A32" s="15" t="s">
        <v>1024</v>
      </c>
      <c r="B32" s="142">
        <v>2110</v>
      </c>
      <c r="C32" s="15">
        <v>5</v>
      </c>
      <c r="D32" s="878">
        <f t="shared" si="4"/>
        <v>422</v>
      </c>
      <c r="E32" s="1"/>
      <c r="F32" s="1"/>
      <c r="G32" s="1"/>
      <c r="H32" s="1"/>
      <c r="I32" s="1"/>
      <c r="J32" s="1"/>
    </row>
    <row r="33" spans="1:14" ht="15.75" customHeight="1" thickBot="1" x14ac:dyDescent="0.3">
      <c r="A33" s="15" t="s">
        <v>1026</v>
      </c>
      <c r="B33" s="142">
        <v>813</v>
      </c>
      <c r="C33" s="15">
        <v>1</v>
      </c>
      <c r="D33" s="878">
        <f t="shared" si="4"/>
        <v>813</v>
      </c>
      <c r="E33" s="1"/>
      <c r="F33" s="1"/>
      <c r="G33" s="1"/>
      <c r="H33" s="1"/>
      <c r="I33" s="1"/>
      <c r="J33" s="1"/>
      <c r="K33" s="1"/>
      <c r="L33" s="1"/>
      <c r="M33" s="1"/>
    </row>
    <row r="34" spans="1:14" ht="16.5" customHeight="1" thickBot="1" x14ac:dyDescent="0.3">
      <c r="A34" s="15" t="s">
        <v>2284</v>
      </c>
      <c r="B34" s="142">
        <v>2110</v>
      </c>
      <c r="C34" s="15">
        <v>7</v>
      </c>
      <c r="D34" s="878">
        <f t="shared" si="4"/>
        <v>301.42857142857144</v>
      </c>
      <c r="E34" s="1"/>
      <c r="F34" s="1"/>
      <c r="G34" s="1"/>
      <c r="H34" s="1"/>
      <c r="I34" s="1"/>
      <c r="J34" s="1"/>
      <c r="K34" s="1"/>
      <c r="L34" s="1"/>
      <c r="M34" s="1"/>
    </row>
    <row r="35" spans="1:14" ht="16.5" thickBot="1" x14ac:dyDescent="0.3">
      <c r="A35" s="15" t="s">
        <v>5010</v>
      </c>
      <c r="B35" s="142">
        <v>410</v>
      </c>
      <c r="C35" s="15">
        <v>1</v>
      </c>
      <c r="D35" s="878">
        <f t="shared" si="4"/>
        <v>410</v>
      </c>
      <c r="E35" s="1"/>
      <c r="F35" s="1"/>
      <c r="G35" s="1"/>
      <c r="H35" s="1"/>
      <c r="I35" s="1"/>
      <c r="J35" s="1"/>
      <c r="K35" s="1"/>
      <c r="L35" s="1"/>
      <c r="M35" s="1"/>
      <c r="N35" s="1"/>
    </row>
    <row r="36" spans="1:14" ht="16.5" thickBot="1" x14ac:dyDescent="0.3">
      <c r="A36" s="15" t="s">
        <v>5011</v>
      </c>
      <c r="B36" s="142">
        <v>1800</v>
      </c>
      <c r="C36" s="15">
        <v>1</v>
      </c>
      <c r="D36" s="878">
        <f t="shared" si="4"/>
        <v>1800</v>
      </c>
      <c r="E36" s="1"/>
      <c r="K36" s="1"/>
    </row>
    <row r="37" spans="1:14" ht="16.5" thickBot="1" x14ac:dyDescent="0.3">
      <c r="A37" s="15" t="s">
        <v>1028</v>
      </c>
      <c r="B37" s="142">
        <v>2995</v>
      </c>
      <c r="C37" s="15">
        <v>10</v>
      </c>
      <c r="D37" s="878">
        <f t="shared" si="4"/>
        <v>299.5</v>
      </c>
      <c r="E37" s="1"/>
      <c r="K37" s="1"/>
    </row>
    <row r="38" spans="1:14" ht="15" customHeight="1" x14ac:dyDescent="0.25">
      <c r="A38" s="1"/>
      <c r="B38" s="91"/>
      <c r="C38" s="1"/>
      <c r="D38" s="1"/>
      <c r="E38" s="1"/>
    </row>
    <row r="39" spans="1:14" ht="15.75" customHeight="1" x14ac:dyDescent="0.25">
      <c r="A39" s="1505" t="s">
        <v>4016</v>
      </c>
      <c r="B39" s="1505"/>
      <c r="C39" s="1505"/>
      <c r="D39" s="1505"/>
      <c r="E39" s="1505"/>
      <c r="F39" s="1505"/>
      <c r="G39" s="1505"/>
      <c r="H39" s="1505"/>
      <c r="I39" s="1505"/>
      <c r="J39" s="1505"/>
    </row>
    <row r="40" spans="1:14" ht="16.5" thickBot="1" x14ac:dyDescent="0.3">
      <c r="A40" s="1504"/>
      <c r="B40" s="1504"/>
      <c r="C40" s="1504"/>
      <c r="D40" s="1504"/>
      <c r="E40" s="1504"/>
      <c r="F40" s="1504"/>
      <c r="G40" s="1504"/>
      <c r="H40" s="1504"/>
      <c r="I40" s="1504"/>
      <c r="J40" s="1504"/>
    </row>
    <row r="41" spans="1:14" ht="16.5" thickBot="1" x14ac:dyDescent="0.3">
      <c r="A41" s="1216" t="s">
        <v>746</v>
      </c>
      <c r="B41" s="1305" t="s">
        <v>743</v>
      </c>
      <c r="C41" s="1326" t="s">
        <v>1162</v>
      </c>
      <c r="D41" s="1327" t="s">
        <v>747</v>
      </c>
      <c r="E41" s="1216" t="s">
        <v>4104</v>
      </c>
      <c r="F41" s="68" t="s">
        <v>745</v>
      </c>
      <c r="G41" s="1353" t="s">
        <v>4096</v>
      </c>
      <c r="H41" s="1353" t="s">
        <v>4097</v>
      </c>
      <c r="I41" s="1356" t="s">
        <v>4098</v>
      </c>
      <c r="J41" s="1356" t="s">
        <v>4099</v>
      </c>
    </row>
    <row r="42" spans="1:14" ht="16.5" thickBot="1" x14ac:dyDescent="0.3">
      <c r="A42" s="1215" t="s">
        <v>3908</v>
      </c>
      <c r="B42" s="1249"/>
      <c r="C42" s="1211"/>
      <c r="D42" s="1301">
        <v>7900</v>
      </c>
      <c r="E42" s="1210">
        <v>50</v>
      </c>
      <c r="F42" s="1301">
        <f>D42/E42</f>
        <v>158</v>
      </c>
      <c r="G42" s="1354">
        <v>267</v>
      </c>
      <c r="H42" s="1354">
        <f>G42+F42</f>
        <v>425</v>
      </c>
      <c r="I42" s="1361"/>
      <c r="J42" s="1361">
        <f t="shared" ref="J42:J52" si="5">F42+I42</f>
        <v>158</v>
      </c>
    </row>
    <row r="43" spans="1:14" ht="16.5" thickBot="1" x14ac:dyDescent="0.3">
      <c r="A43" s="1210" t="s">
        <v>4017</v>
      </c>
      <c r="B43" s="1249"/>
      <c r="C43" s="1211"/>
      <c r="D43" s="1301"/>
      <c r="E43" s="1210"/>
      <c r="F43" s="1301">
        <v>720</v>
      </c>
      <c r="G43" s="1354">
        <v>1513</v>
      </c>
      <c r="H43" s="1354">
        <f>G43+F43</f>
        <v>2233</v>
      </c>
      <c r="I43" s="1361"/>
      <c r="J43" s="1361">
        <f t="shared" si="5"/>
        <v>720</v>
      </c>
    </row>
    <row r="44" spans="1:14" ht="16.5" thickBot="1" x14ac:dyDescent="0.3">
      <c r="A44" s="1210" t="s">
        <v>3096</v>
      </c>
      <c r="B44" s="1249" t="s">
        <v>937</v>
      </c>
      <c r="C44" s="1211"/>
      <c r="D44" s="1301">
        <v>15800</v>
      </c>
      <c r="E44" s="1210">
        <v>100</v>
      </c>
      <c r="F44" s="1301">
        <f>D44/E44</f>
        <v>158</v>
      </c>
      <c r="G44" s="1354">
        <v>327</v>
      </c>
      <c r="H44" s="1354">
        <f t="shared" ref="H44:H49" si="6">G44+F44</f>
        <v>485</v>
      </c>
      <c r="I44" s="1361">
        <v>134</v>
      </c>
      <c r="J44" s="1361">
        <f t="shared" si="5"/>
        <v>292</v>
      </c>
    </row>
    <row r="45" spans="1:14" ht="16.5" thickBot="1" x14ac:dyDescent="0.3">
      <c r="A45" s="1210" t="s">
        <v>3096</v>
      </c>
      <c r="B45" s="1249" t="s">
        <v>930</v>
      </c>
      <c r="C45" s="1211"/>
      <c r="D45" s="1301">
        <v>20000</v>
      </c>
      <c r="E45" s="1210">
        <v>100</v>
      </c>
      <c r="F45" s="1301">
        <f>D45/E45</f>
        <v>200</v>
      </c>
      <c r="G45" s="1354">
        <v>363</v>
      </c>
      <c r="H45" s="1354">
        <f t="shared" si="6"/>
        <v>563</v>
      </c>
      <c r="I45" s="1361">
        <v>134</v>
      </c>
      <c r="J45" s="1361">
        <f t="shared" si="5"/>
        <v>334</v>
      </c>
    </row>
    <row r="46" spans="1:14" ht="16.5" thickBot="1" x14ac:dyDescent="0.3">
      <c r="A46" s="1210" t="s">
        <v>4183</v>
      </c>
      <c r="B46" s="1249" t="s">
        <v>759</v>
      </c>
      <c r="C46" s="1211"/>
      <c r="D46" s="1301">
        <v>330</v>
      </c>
      <c r="E46" s="1210"/>
      <c r="F46" s="1301">
        <v>330</v>
      </c>
      <c r="G46" s="1354"/>
      <c r="H46" s="1354"/>
      <c r="I46" s="1361"/>
      <c r="J46" s="1361"/>
    </row>
    <row r="47" spans="1:14" ht="16.5" thickBot="1" x14ac:dyDescent="0.3">
      <c r="A47" s="1210" t="s">
        <v>4183</v>
      </c>
      <c r="B47" s="1249" t="s">
        <v>5061</v>
      </c>
      <c r="C47" s="1211"/>
      <c r="D47" s="1301">
        <v>410</v>
      </c>
      <c r="E47" s="1210"/>
      <c r="F47" s="1301">
        <f>D47</f>
        <v>410</v>
      </c>
      <c r="G47" s="1354">
        <v>1936</v>
      </c>
      <c r="H47" s="1354">
        <f t="shared" si="6"/>
        <v>2346</v>
      </c>
      <c r="I47" s="1361">
        <v>750</v>
      </c>
      <c r="J47" s="1361">
        <f t="shared" si="5"/>
        <v>1160</v>
      </c>
    </row>
    <row r="48" spans="1:14" ht="16.5" thickBot="1" x14ac:dyDescent="0.3">
      <c r="A48" s="1210" t="s">
        <v>4018</v>
      </c>
      <c r="B48" s="1249" t="s">
        <v>3590</v>
      </c>
      <c r="C48" s="1211">
        <v>279</v>
      </c>
      <c r="D48" s="1301">
        <v>239</v>
      </c>
      <c r="E48" s="1210">
        <v>6</v>
      </c>
      <c r="F48" s="1301">
        <f>D48/E48</f>
        <v>39.833333333333336</v>
      </c>
      <c r="G48" s="1354"/>
      <c r="H48" s="1354">
        <f t="shared" si="6"/>
        <v>39.833333333333336</v>
      </c>
      <c r="I48" s="1361"/>
      <c r="J48" s="1361">
        <f t="shared" si="5"/>
        <v>39.833333333333336</v>
      </c>
    </row>
    <row r="49" spans="1:10" ht="16.5" thickBot="1" x14ac:dyDescent="0.3">
      <c r="A49" s="1210" t="s">
        <v>4018</v>
      </c>
      <c r="B49" s="1249" t="s">
        <v>1022</v>
      </c>
      <c r="C49" s="1211">
        <v>657</v>
      </c>
      <c r="D49" s="1301">
        <v>389</v>
      </c>
      <c r="E49" s="1210">
        <v>6</v>
      </c>
      <c r="F49" s="1301">
        <f>D49/E49</f>
        <v>64.833333333333329</v>
      </c>
      <c r="G49" s="1354"/>
      <c r="H49" s="1354">
        <f t="shared" si="6"/>
        <v>64.833333333333329</v>
      </c>
      <c r="I49" s="1361"/>
      <c r="J49" s="1361">
        <f t="shared" si="5"/>
        <v>64.833333333333329</v>
      </c>
    </row>
    <row r="50" spans="1:10" ht="16.5" thickBot="1" x14ac:dyDescent="0.3">
      <c r="A50" s="1210" t="s">
        <v>4018</v>
      </c>
      <c r="B50" s="1249" t="s">
        <v>781</v>
      </c>
      <c r="C50" s="1211">
        <v>658</v>
      </c>
      <c r="D50" s="1301">
        <v>636</v>
      </c>
      <c r="E50" s="1210">
        <v>6</v>
      </c>
      <c r="F50" s="1301">
        <f>D50/E50</f>
        <v>106</v>
      </c>
      <c r="G50" s="1354">
        <v>1210</v>
      </c>
      <c r="H50" s="1354">
        <f>G50+F50</f>
        <v>1316</v>
      </c>
      <c r="I50" s="1361"/>
      <c r="J50" s="1361">
        <f t="shared" si="5"/>
        <v>106</v>
      </c>
    </row>
    <row r="51" spans="1:10" ht="16.5" thickBot="1" x14ac:dyDescent="0.3">
      <c r="A51" s="1210" t="s">
        <v>1020</v>
      </c>
      <c r="B51" s="1249" t="s">
        <v>4100</v>
      </c>
      <c r="C51" s="1211"/>
      <c r="D51" s="1301">
        <v>1870</v>
      </c>
      <c r="E51" s="1210">
        <v>25</v>
      </c>
      <c r="F51" s="1301">
        <f>D51/E51</f>
        <v>74.8</v>
      </c>
      <c r="G51" s="1354"/>
      <c r="H51" s="1354">
        <f t="shared" ref="H51:H52" si="7">G51+F51</f>
        <v>74.8</v>
      </c>
      <c r="I51" s="1361"/>
      <c r="J51" s="1361">
        <f t="shared" si="5"/>
        <v>74.8</v>
      </c>
    </row>
    <row r="52" spans="1:10" ht="16.5" thickBot="1" x14ac:dyDescent="0.3">
      <c r="A52" s="1210" t="s">
        <v>1020</v>
      </c>
      <c r="B52" s="1249" t="s">
        <v>4101</v>
      </c>
      <c r="C52" s="1211"/>
      <c r="D52" s="1301">
        <v>7500</v>
      </c>
      <c r="E52" s="1210">
        <v>200</v>
      </c>
      <c r="F52" s="1301">
        <f>D52/E52</f>
        <v>37.5</v>
      </c>
      <c r="G52" s="1354">
        <v>787</v>
      </c>
      <c r="H52" s="1354">
        <f t="shared" si="7"/>
        <v>824.5</v>
      </c>
      <c r="I52" s="1361">
        <v>194</v>
      </c>
      <c r="J52" s="1361">
        <f t="shared" si="5"/>
        <v>231.5</v>
      </c>
    </row>
    <row r="53" spans="1:10" ht="15.75" thickBot="1" x14ac:dyDescent="0.3"/>
    <row r="54" spans="1:10" ht="16.5" thickBot="1" x14ac:dyDescent="0.3">
      <c r="A54" s="1501" t="s">
        <v>992</v>
      </c>
      <c r="B54" s="1502"/>
      <c r="C54" s="1502"/>
      <c r="D54" s="1502"/>
      <c r="E54" s="1502"/>
      <c r="F54" s="1502"/>
      <c r="G54" s="1502"/>
      <c r="H54" s="1502"/>
      <c r="I54" s="1502"/>
      <c r="J54" s="1503"/>
    </row>
    <row r="55" spans="1:10" ht="16.5" thickBot="1" x14ac:dyDescent="0.3">
      <c r="A55" s="1216" t="s">
        <v>746</v>
      </c>
      <c r="B55" s="479" t="s">
        <v>743</v>
      </c>
      <c r="C55" s="1328" t="s">
        <v>1162</v>
      </c>
      <c r="D55" s="1216" t="s">
        <v>747</v>
      </c>
      <c r="E55" s="40" t="s">
        <v>4104</v>
      </c>
      <c r="F55" s="1216" t="s">
        <v>1399</v>
      </c>
      <c r="G55" s="1358" t="s">
        <v>4096</v>
      </c>
      <c r="H55" s="1359" t="s">
        <v>4097</v>
      </c>
      <c r="I55" s="1360" t="s">
        <v>4098</v>
      </c>
      <c r="J55" s="1360" t="s">
        <v>4099</v>
      </c>
    </row>
    <row r="56" spans="1:10" ht="16.5" thickBot="1" x14ac:dyDescent="0.3">
      <c r="A56" s="1210" t="s">
        <v>4102</v>
      </c>
      <c r="B56" s="1249" t="s">
        <v>781</v>
      </c>
      <c r="C56" s="1211">
        <v>9083</v>
      </c>
      <c r="D56" s="1301">
        <v>5190</v>
      </c>
      <c r="E56" s="1329">
        <v>50</v>
      </c>
      <c r="F56" s="1301">
        <f t="shared" ref="F56:F65" si="8">D56/E56</f>
        <v>103.8</v>
      </c>
      <c r="G56" s="1354">
        <v>1513</v>
      </c>
      <c r="H56" s="1355">
        <v>1694</v>
      </c>
      <c r="I56" s="1357">
        <v>932</v>
      </c>
      <c r="J56" s="1357">
        <f t="shared" ref="J56:J64" si="9">F56+I56</f>
        <v>1035.8</v>
      </c>
    </row>
    <row r="57" spans="1:10" ht="16.5" thickBot="1" x14ac:dyDescent="0.3">
      <c r="A57" s="1248" t="s">
        <v>4103</v>
      </c>
      <c r="B57" s="1249" t="s">
        <v>805</v>
      </c>
      <c r="C57" s="1211">
        <v>12801</v>
      </c>
      <c r="D57" s="1301">
        <v>2507</v>
      </c>
      <c r="E57" s="1329">
        <v>10</v>
      </c>
      <c r="F57" s="1301">
        <f t="shared" si="8"/>
        <v>250.7</v>
      </c>
      <c r="G57" s="1354">
        <v>1513</v>
      </c>
      <c r="H57" s="1355">
        <v>2178</v>
      </c>
      <c r="I57" s="1357">
        <v>1029</v>
      </c>
      <c r="J57" s="1357">
        <f t="shared" si="9"/>
        <v>1279.7</v>
      </c>
    </row>
    <row r="58" spans="1:10" ht="16.5" thickBot="1" x14ac:dyDescent="0.3">
      <c r="A58" s="1343" t="s">
        <v>4178</v>
      </c>
      <c r="B58" s="1249" t="s">
        <v>1022</v>
      </c>
      <c r="C58" s="1211"/>
      <c r="D58" s="1301">
        <v>2300</v>
      </c>
      <c r="E58" s="1329">
        <v>38</v>
      </c>
      <c r="F58" s="1301">
        <f t="shared" si="8"/>
        <v>60.526315789473685</v>
      </c>
      <c r="G58" s="1354">
        <v>1513</v>
      </c>
      <c r="H58" s="1355">
        <f>F58+G58</f>
        <v>1573.5263157894738</v>
      </c>
      <c r="I58" s="1357">
        <v>847</v>
      </c>
      <c r="J58" s="1357">
        <f t="shared" si="9"/>
        <v>907.52631578947364</v>
      </c>
    </row>
    <row r="59" spans="1:10" ht="16.5" thickBot="1" x14ac:dyDescent="0.3">
      <c r="A59" s="1343" t="s">
        <v>4178</v>
      </c>
      <c r="B59" s="1249" t="s">
        <v>781</v>
      </c>
      <c r="C59" s="1249">
        <v>2772</v>
      </c>
      <c r="D59" s="1301">
        <v>9431</v>
      </c>
      <c r="E59" s="1346">
        <v>1000</v>
      </c>
      <c r="F59" s="1301">
        <f t="shared" si="8"/>
        <v>9.4309999999999992</v>
      </c>
      <c r="G59" s="1354">
        <v>1513</v>
      </c>
      <c r="H59" s="1355">
        <f t="shared" ref="H59:H60" si="10">F59+G59</f>
        <v>1522.431</v>
      </c>
      <c r="I59" s="1357">
        <v>871</v>
      </c>
      <c r="J59" s="1357">
        <f t="shared" si="9"/>
        <v>880.43100000000004</v>
      </c>
    </row>
    <row r="60" spans="1:10" ht="16.5" thickBot="1" x14ac:dyDescent="0.3">
      <c r="A60" s="1343" t="s">
        <v>4178</v>
      </c>
      <c r="B60" s="1344" t="s">
        <v>937</v>
      </c>
      <c r="C60" s="1344">
        <v>3380</v>
      </c>
      <c r="D60" s="1345">
        <v>3754</v>
      </c>
      <c r="E60" s="1210">
        <v>100</v>
      </c>
      <c r="F60" s="1301">
        <f t="shared" si="8"/>
        <v>37.54</v>
      </c>
      <c r="G60" s="1354">
        <v>2904</v>
      </c>
      <c r="H60" s="1355">
        <f t="shared" si="10"/>
        <v>2941.54</v>
      </c>
      <c r="I60" s="1357">
        <v>1235</v>
      </c>
      <c r="J60" s="1357">
        <f t="shared" si="9"/>
        <v>1272.54</v>
      </c>
    </row>
    <row r="61" spans="1:10" ht="16.5" thickBot="1" x14ac:dyDescent="0.3">
      <c r="A61" s="1343" t="s">
        <v>4151</v>
      </c>
      <c r="B61" s="1344" t="s">
        <v>5003</v>
      </c>
      <c r="C61" s="1344"/>
      <c r="D61" s="1345">
        <v>1756</v>
      </c>
      <c r="E61" s="1210">
        <v>136</v>
      </c>
      <c r="F61" s="1301">
        <f t="shared" si="8"/>
        <v>12.911764705882353</v>
      </c>
      <c r="G61" s="1354"/>
      <c r="H61" s="1355"/>
      <c r="I61" s="1357"/>
      <c r="J61" s="1357"/>
    </row>
    <row r="62" spans="1:10" ht="16.5" thickBot="1" x14ac:dyDescent="0.3">
      <c r="A62" s="154" t="s">
        <v>4151</v>
      </c>
      <c r="B62" s="151" t="s">
        <v>4149</v>
      </c>
      <c r="C62" s="151"/>
      <c r="D62" s="1340">
        <v>1600</v>
      </c>
      <c r="E62" s="15">
        <v>260</v>
      </c>
      <c r="F62" s="1301">
        <f t="shared" si="8"/>
        <v>6.1538461538461542</v>
      </c>
      <c r="G62" s="1354">
        <v>460</v>
      </c>
      <c r="H62" s="1355">
        <f t="shared" ref="H62" si="11">F62+G62</f>
        <v>466.15384615384613</v>
      </c>
      <c r="I62" s="1357">
        <v>158</v>
      </c>
      <c r="J62" s="1357">
        <f t="shared" si="9"/>
        <v>164.15384615384616</v>
      </c>
    </row>
    <row r="63" spans="1:10" ht="16.5" thickBot="1" x14ac:dyDescent="0.3">
      <c r="A63" s="154" t="s">
        <v>4151</v>
      </c>
      <c r="B63" s="151" t="s">
        <v>4150</v>
      </c>
      <c r="C63" s="15"/>
      <c r="D63" s="1341">
        <v>1600</v>
      </c>
      <c r="E63" s="151">
        <v>230</v>
      </c>
      <c r="F63" s="1301">
        <f t="shared" si="8"/>
        <v>6.9565217391304346</v>
      </c>
      <c r="G63" s="1354">
        <v>460</v>
      </c>
      <c r="H63" s="1355">
        <f>F63+G63</f>
        <v>466.95652173913044</v>
      </c>
      <c r="I63" s="1357">
        <v>158</v>
      </c>
      <c r="J63" s="1357">
        <f t="shared" si="9"/>
        <v>164.95652173913044</v>
      </c>
    </row>
    <row r="64" spans="1:10" ht="16.5" thickBot="1" x14ac:dyDescent="0.3">
      <c r="A64" s="154" t="s">
        <v>4482</v>
      </c>
      <c r="B64" s="151" t="s">
        <v>846</v>
      </c>
      <c r="C64" s="15" t="s">
        <v>4483</v>
      </c>
      <c r="D64" s="1341">
        <v>1580</v>
      </c>
      <c r="E64" s="151">
        <v>6</v>
      </c>
      <c r="F64" s="1301">
        <f t="shared" si="8"/>
        <v>263.33333333333331</v>
      </c>
      <c r="G64" s="1354"/>
      <c r="H64" s="1355"/>
      <c r="I64" s="1357">
        <v>605</v>
      </c>
      <c r="J64" s="1357">
        <f t="shared" si="9"/>
        <v>868.33333333333326</v>
      </c>
    </row>
    <row r="65" spans="1:10" ht="16.5" thickBot="1" x14ac:dyDescent="0.3">
      <c r="A65" s="154" t="s">
        <v>5080</v>
      </c>
      <c r="B65" s="151"/>
      <c r="C65" s="15"/>
      <c r="D65" s="1341">
        <v>4600</v>
      </c>
      <c r="E65" s="151">
        <v>18</v>
      </c>
      <c r="F65" s="1301">
        <f t="shared" si="8"/>
        <v>255.55555555555554</v>
      </c>
      <c r="G65" s="1354"/>
      <c r="H65" s="1355"/>
      <c r="I65" s="1357"/>
      <c r="J65" s="1357"/>
    </row>
    <row r="66" spans="1:10" ht="15.75" x14ac:dyDescent="0.25">
      <c r="E66" s="1"/>
    </row>
    <row r="67" spans="1:10" ht="15.75" x14ac:dyDescent="0.25">
      <c r="E67" s="1"/>
    </row>
    <row r="68" spans="1:10" ht="15.75" x14ac:dyDescent="0.25">
      <c r="A68" s="1"/>
      <c r="B68" s="1"/>
      <c r="C68" s="1"/>
    </row>
  </sheetData>
  <mergeCells count="4">
    <mergeCell ref="A1:D1"/>
    <mergeCell ref="S1:W1"/>
    <mergeCell ref="F1:I1"/>
    <mergeCell ref="K1:Q1"/>
  </mergeCells>
  <phoneticPr fontId="21" type="noConversion"/>
  <pageMargins left="0.7" right="0.7" top="0.75" bottom="0.75" header="0.3" footer="0.3"/>
  <pageSetup orientation="portrait" r:id="rId1"/>
  <ignoredErrors>
    <ignoredError sqref="D20 D27" formula="1"/>
    <ignoredError sqref="M4:M11 L3:L11"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1498C-8AFA-496C-91AC-823C8D2DC1C3}">
  <sheetPr codeName="Hoja34"/>
  <dimension ref="A1:V79"/>
  <sheetViews>
    <sheetView zoomScale="70" zoomScaleNormal="70" workbookViewId="0">
      <selection activeCell="I57" sqref="I57"/>
    </sheetView>
  </sheetViews>
  <sheetFormatPr baseColWidth="10" defaultColWidth="11.42578125" defaultRowHeight="15" x14ac:dyDescent="0.25"/>
  <cols>
    <col min="1" max="1" width="36.28515625" bestFit="1" customWidth="1"/>
    <col min="2" max="2" width="16" bestFit="1" customWidth="1"/>
    <col min="3" max="3" width="16.85546875" customWidth="1"/>
    <col min="4" max="4" width="16.7109375" bestFit="1" customWidth="1"/>
    <col min="5" max="5" width="14.42578125" customWidth="1"/>
    <col min="6" max="6" width="13.140625" customWidth="1"/>
    <col min="8" max="8" width="29.28515625" bestFit="1" customWidth="1"/>
    <col min="9" max="9" width="21.140625" customWidth="1"/>
    <col min="10" max="10" width="15.140625" bestFit="1" customWidth="1"/>
    <col min="11" max="11" width="15" bestFit="1" customWidth="1"/>
    <col min="12" max="12" width="12.140625" bestFit="1" customWidth="1"/>
    <col min="13" max="13" width="13.140625" bestFit="1" customWidth="1"/>
    <col min="16" max="16" width="21.42578125" bestFit="1" customWidth="1"/>
    <col min="17" max="17" width="38.5703125" bestFit="1" customWidth="1"/>
    <col min="18" max="18" width="15" bestFit="1" customWidth="1"/>
    <col min="19" max="20" width="13.5703125" bestFit="1" customWidth="1"/>
    <col min="21" max="21" width="13" bestFit="1" customWidth="1"/>
  </cols>
  <sheetData>
    <row r="1" spans="1:20" ht="16.5" thickBot="1" x14ac:dyDescent="0.3">
      <c r="A1" s="1589" t="s">
        <v>1064</v>
      </c>
      <c r="B1" s="1590"/>
      <c r="H1" s="1568" t="s">
        <v>474</v>
      </c>
      <c r="I1" s="1586"/>
      <c r="J1" s="1586"/>
      <c r="K1" s="1586"/>
      <c r="L1" s="1570"/>
      <c r="Q1" s="1568" t="s">
        <v>1088</v>
      </c>
      <c r="R1" s="1569"/>
      <c r="S1" s="1569"/>
      <c r="T1" s="1570"/>
    </row>
    <row r="2" spans="1:20" ht="15.75" customHeight="1" thickBot="1" x14ac:dyDescent="0.3">
      <c r="A2" s="932" t="s">
        <v>1066</v>
      </c>
      <c r="B2" s="178" t="s">
        <v>747</v>
      </c>
      <c r="H2" s="453"/>
      <c r="I2" s="41"/>
      <c r="J2" s="41" t="s">
        <v>1069</v>
      </c>
      <c r="K2" s="41" t="s">
        <v>1070</v>
      </c>
      <c r="L2" s="1310" t="s">
        <v>1035</v>
      </c>
      <c r="Q2" s="933"/>
      <c r="R2" s="532" t="s">
        <v>742</v>
      </c>
      <c r="S2" s="933" t="s">
        <v>1089</v>
      </c>
      <c r="T2" s="532" t="s">
        <v>747</v>
      </c>
    </row>
    <row r="3" spans="1:20" ht="16.5" thickBot="1" x14ac:dyDescent="0.3">
      <c r="A3" s="465">
        <v>45505</v>
      </c>
      <c r="B3" s="90">
        <v>3500</v>
      </c>
      <c r="G3" s="1236"/>
      <c r="H3" s="1594" t="s">
        <v>474</v>
      </c>
      <c r="I3" s="148" t="s">
        <v>1071</v>
      </c>
      <c r="J3" s="190">
        <v>24</v>
      </c>
      <c r="K3" s="1308">
        <v>5000</v>
      </c>
      <c r="L3" s="94">
        <f t="shared" ref="L3:L13" si="0">K3/J3</f>
        <v>208.33333333333334</v>
      </c>
      <c r="Q3" s="13" t="s">
        <v>952</v>
      </c>
      <c r="R3" s="228" t="s">
        <v>1091</v>
      </c>
      <c r="S3" s="13">
        <v>1</v>
      </c>
      <c r="T3" s="67">
        <v>50</v>
      </c>
    </row>
    <row r="4" spans="1:20" ht="16.5" thickBot="1" x14ac:dyDescent="0.3">
      <c r="G4" s="1236"/>
      <c r="H4" s="1594"/>
      <c r="I4" s="169" t="s">
        <v>1072</v>
      </c>
      <c r="J4" s="5">
        <v>66</v>
      </c>
      <c r="K4" s="166">
        <v>10000</v>
      </c>
      <c r="L4" s="88">
        <f t="shared" si="0"/>
        <v>151.5151515151515</v>
      </c>
      <c r="Q4" s="13" t="s">
        <v>1095</v>
      </c>
      <c r="R4" s="228" t="s">
        <v>1096</v>
      </c>
      <c r="S4" s="13">
        <v>1</v>
      </c>
      <c r="T4" s="67">
        <v>140</v>
      </c>
    </row>
    <row r="5" spans="1:20" ht="16.5" thickBot="1" x14ac:dyDescent="0.3">
      <c r="A5" s="1589" t="s">
        <v>1216</v>
      </c>
      <c r="B5" s="1590"/>
      <c r="G5" s="1236"/>
      <c r="H5" s="1594"/>
      <c r="I5" s="169" t="s">
        <v>1075</v>
      </c>
      <c r="J5" s="5">
        <v>73</v>
      </c>
      <c r="K5" s="166">
        <v>1045</v>
      </c>
      <c r="L5" s="88">
        <f t="shared" si="0"/>
        <v>14.315068493150685</v>
      </c>
      <c r="Q5" s="13" t="s">
        <v>1098</v>
      </c>
      <c r="R5" s="144" t="s">
        <v>1099</v>
      </c>
      <c r="S5" s="13">
        <v>1</v>
      </c>
      <c r="T5" s="67">
        <v>45</v>
      </c>
    </row>
    <row r="6" spans="1:20" ht="16.5" thickBot="1" x14ac:dyDescent="0.3">
      <c r="A6" s="932" t="s">
        <v>743</v>
      </c>
      <c r="B6" s="178" t="s">
        <v>747</v>
      </c>
      <c r="G6" s="1236"/>
      <c r="H6" s="1594"/>
      <c r="I6" s="169" t="s">
        <v>1077</v>
      </c>
      <c r="J6" s="5">
        <v>35</v>
      </c>
      <c r="K6" s="166">
        <v>830</v>
      </c>
      <c r="L6" s="88">
        <f t="shared" si="0"/>
        <v>23.714285714285715</v>
      </c>
      <c r="Q6" s="13" t="s">
        <v>1101</v>
      </c>
      <c r="R6" s="144" t="s">
        <v>1099</v>
      </c>
      <c r="S6" s="13">
        <v>1</v>
      </c>
      <c r="T6" s="67">
        <v>105</v>
      </c>
    </row>
    <row r="7" spans="1:20" ht="16.5" thickBot="1" x14ac:dyDescent="0.3">
      <c r="A7" s="168" t="s">
        <v>1169</v>
      </c>
      <c r="B7" s="90">
        <v>5</v>
      </c>
      <c r="G7" s="1236"/>
      <c r="H7" s="1594"/>
      <c r="I7" s="169" t="s">
        <v>1079</v>
      </c>
      <c r="J7" s="5">
        <v>35</v>
      </c>
      <c r="K7" s="166">
        <v>830</v>
      </c>
      <c r="L7" s="88">
        <f t="shared" si="0"/>
        <v>23.714285714285715</v>
      </c>
      <c r="Q7" s="13" t="s">
        <v>1103</v>
      </c>
      <c r="R7" s="144" t="s">
        <v>1104</v>
      </c>
      <c r="S7" s="13">
        <v>1</v>
      </c>
      <c r="T7" s="67">
        <v>171</v>
      </c>
    </row>
    <row r="8" spans="1:20" ht="16.5" thickBot="1" x14ac:dyDescent="0.3">
      <c r="G8" s="1236"/>
      <c r="H8" s="1594"/>
      <c r="I8" s="169" t="s">
        <v>1080</v>
      </c>
      <c r="J8" s="5">
        <v>7</v>
      </c>
      <c r="K8" s="166">
        <v>185</v>
      </c>
      <c r="L8" s="88">
        <f t="shared" si="0"/>
        <v>26.428571428571427</v>
      </c>
      <c r="Q8" s="13" t="s">
        <v>1106</v>
      </c>
      <c r="R8" s="144" t="s">
        <v>1107</v>
      </c>
      <c r="S8" s="13">
        <v>1</v>
      </c>
      <c r="T8" s="67">
        <v>110</v>
      </c>
    </row>
    <row r="9" spans="1:20" ht="16.5" thickBot="1" x14ac:dyDescent="0.3">
      <c r="A9" s="1589" t="s">
        <v>561</v>
      </c>
      <c r="B9" s="1590"/>
      <c r="G9" s="1236"/>
      <c r="H9" s="1594"/>
      <c r="I9" s="169" t="s">
        <v>1081</v>
      </c>
      <c r="J9" s="5">
        <v>12</v>
      </c>
      <c r="K9" s="166">
        <v>120</v>
      </c>
      <c r="L9" s="88">
        <f t="shared" si="0"/>
        <v>10</v>
      </c>
      <c r="Q9" s="13" t="s">
        <v>1109</v>
      </c>
      <c r="R9" s="144" t="s">
        <v>935</v>
      </c>
      <c r="S9" s="13">
        <v>1</v>
      </c>
      <c r="T9" s="67">
        <v>132</v>
      </c>
    </row>
    <row r="10" spans="1:20" ht="16.5" thickBot="1" x14ac:dyDescent="0.3">
      <c r="A10" s="932" t="s">
        <v>1066</v>
      </c>
      <c r="B10" s="178" t="s">
        <v>747</v>
      </c>
      <c r="G10" s="1236"/>
      <c r="H10" s="1594"/>
      <c r="I10" s="169" t="s">
        <v>1082</v>
      </c>
      <c r="J10" s="5">
        <v>24</v>
      </c>
      <c r="K10" s="166">
        <v>290</v>
      </c>
      <c r="L10" s="88">
        <f t="shared" si="0"/>
        <v>12.083333333333334</v>
      </c>
      <c r="Q10" s="13" t="s">
        <v>1110</v>
      </c>
      <c r="R10" s="144" t="s">
        <v>846</v>
      </c>
      <c r="S10" s="13">
        <v>1</v>
      </c>
      <c r="T10" s="67">
        <v>190</v>
      </c>
    </row>
    <row r="11" spans="1:20" ht="16.5" thickBot="1" x14ac:dyDescent="0.3">
      <c r="A11" s="168" t="s">
        <v>1068</v>
      </c>
      <c r="B11" s="90">
        <v>97</v>
      </c>
      <c r="G11" s="1236"/>
      <c r="H11" s="1594"/>
      <c r="I11" s="169" t="s">
        <v>1084</v>
      </c>
      <c r="J11" s="5">
        <v>32</v>
      </c>
      <c r="K11" s="166">
        <v>270</v>
      </c>
      <c r="L11" s="88">
        <f t="shared" si="0"/>
        <v>8.4375</v>
      </c>
    </row>
    <row r="12" spans="1:20" ht="16.5" thickBot="1" x14ac:dyDescent="0.3">
      <c r="G12" s="1236"/>
      <c r="H12" s="1594"/>
      <c r="I12" s="1109" t="s">
        <v>1085</v>
      </c>
      <c r="J12" s="9">
        <v>48</v>
      </c>
      <c r="K12" s="909">
        <v>650</v>
      </c>
      <c r="L12" s="67">
        <f t="shared" si="0"/>
        <v>13.541666666666666</v>
      </c>
      <c r="Q12" s="1568" t="s">
        <v>1116</v>
      </c>
      <c r="R12" s="1569"/>
      <c r="S12" s="1569"/>
      <c r="T12" s="1570"/>
    </row>
    <row r="13" spans="1:20" ht="12.75" customHeight="1" thickBot="1" x14ac:dyDescent="0.3">
      <c r="A13" s="1589" t="s">
        <v>570</v>
      </c>
      <c r="B13" s="1590"/>
      <c r="G13" s="1236"/>
      <c r="H13" s="1595"/>
      <c r="I13" s="9" t="s">
        <v>1087</v>
      </c>
      <c r="J13" s="149">
        <v>48</v>
      </c>
      <c r="K13" s="912">
        <v>610</v>
      </c>
      <c r="L13" s="161">
        <f t="shared" si="0"/>
        <v>12.708333333333334</v>
      </c>
      <c r="Q13" s="933" t="s">
        <v>742</v>
      </c>
      <c r="R13" s="532" t="s">
        <v>1112</v>
      </c>
      <c r="S13" s="933" t="s">
        <v>1118</v>
      </c>
      <c r="T13" s="532" t="s">
        <v>747</v>
      </c>
    </row>
    <row r="14" spans="1:20" ht="16.5" thickBot="1" x14ac:dyDescent="0.3">
      <c r="A14" s="932" t="s">
        <v>1066</v>
      </c>
      <c r="B14" s="178" t="s">
        <v>747</v>
      </c>
      <c r="Q14" s="13" t="s">
        <v>1119</v>
      </c>
      <c r="R14" s="67">
        <v>483</v>
      </c>
      <c r="S14" s="13">
        <v>100</v>
      </c>
      <c r="T14" s="67">
        <f t="shared" ref="T14:T19" si="1">R14/S14</f>
        <v>4.83</v>
      </c>
    </row>
    <row r="15" spans="1:20" ht="16.5" thickBot="1" x14ac:dyDescent="0.3">
      <c r="A15" s="955" t="s">
        <v>2276</v>
      </c>
      <c r="B15" s="195">
        <v>4490</v>
      </c>
      <c r="H15" s="1588" t="s">
        <v>1111</v>
      </c>
      <c r="I15" s="1588"/>
      <c r="J15" s="1588"/>
      <c r="K15" s="1588"/>
      <c r="Q15" s="13" t="s">
        <v>1121</v>
      </c>
      <c r="R15" s="67">
        <v>1617</v>
      </c>
      <c r="S15" s="13">
        <v>150</v>
      </c>
      <c r="T15" s="67">
        <f t="shared" si="1"/>
        <v>10.78</v>
      </c>
    </row>
    <row r="16" spans="1:20" ht="16.5" thickBot="1" x14ac:dyDescent="0.3">
      <c r="A16" s="465" t="s">
        <v>2275</v>
      </c>
      <c r="B16" s="90">
        <v>2760</v>
      </c>
      <c r="H16" s="143" t="s">
        <v>742</v>
      </c>
      <c r="I16" s="143" t="s">
        <v>1074</v>
      </c>
      <c r="J16" s="143" t="s">
        <v>1112</v>
      </c>
      <c r="K16" s="143" t="s">
        <v>747</v>
      </c>
      <c r="Q16" s="13" t="s">
        <v>1122</v>
      </c>
      <c r="R16" s="67">
        <v>1617</v>
      </c>
      <c r="S16" s="13">
        <v>150</v>
      </c>
      <c r="T16" s="67">
        <f t="shared" si="1"/>
        <v>10.78</v>
      </c>
    </row>
    <row r="17" spans="1:22" ht="16.5" thickBot="1" x14ac:dyDescent="0.3">
      <c r="H17" s="2" t="s">
        <v>1113</v>
      </c>
      <c r="I17" s="2">
        <v>917</v>
      </c>
      <c r="J17" s="106">
        <v>1650</v>
      </c>
      <c r="K17" s="106">
        <f>J17/I17</f>
        <v>1.7993456924754634</v>
      </c>
      <c r="Q17" s="13" t="s">
        <v>1124</v>
      </c>
      <c r="R17" s="67">
        <v>25</v>
      </c>
      <c r="S17" s="13">
        <v>2</v>
      </c>
      <c r="T17" s="67">
        <f t="shared" si="1"/>
        <v>12.5</v>
      </c>
    </row>
    <row r="18" spans="1:22" ht="16.5" thickBot="1" x14ac:dyDescent="0.3">
      <c r="A18" s="1589" t="s">
        <v>1083</v>
      </c>
      <c r="B18" s="1590"/>
      <c r="H18" s="2" t="s">
        <v>1114</v>
      </c>
      <c r="I18" s="2">
        <v>797</v>
      </c>
      <c r="J18" s="106">
        <v>1434</v>
      </c>
      <c r="K18" s="106">
        <f>J18/I18</f>
        <v>1.7992471769134253</v>
      </c>
      <c r="Q18" s="13" t="s">
        <v>1126</v>
      </c>
      <c r="R18" s="67">
        <v>242</v>
      </c>
      <c r="S18" s="13">
        <v>161</v>
      </c>
      <c r="T18" s="67">
        <f t="shared" si="1"/>
        <v>1.5031055900621118</v>
      </c>
    </row>
    <row r="19" spans="1:22" ht="16.5" thickBot="1" x14ac:dyDescent="0.3">
      <c r="A19" s="932" t="s">
        <v>1066</v>
      </c>
      <c r="B19" s="178" t="s">
        <v>747</v>
      </c>
      <c r="H19" s="2" t="s">
        <v>1115</v>
      </c>
      <c r="I19" s="2">
        <v>1076</v>
      </c>
      <c r="J19" s="106">
        <v>1936</v>
      </c>
      <c r="K19" s="106">
        <f>J19/I19</f>
        <v>1.7992565055762082</v>
      </c>
      <c r="Q19" s="13" t="s">
        <v>1128</v>
      </c>
      <c r="R19" s="67">
        <v>150</v>
      </c>
      <c r="S19" s="13">
        <v>150</v>
      </c>
      <c r="T19" s="67">
        <f t="shared" si="1"/>
        <v>1</v>
      </c>
    </row>
    <row r="20" spans="1:22" ht="16.5" thickBot="1" x14ac:dyDescent="0.3">
      <c r="A20" s="168" t="s">
        <v>1086</v>
      </c>
      <c r="B20" s="90">
        <f>439+43.9</f>
        <v>482.9</v>
      </c>
      <c r="H20" s="2" t="s">
        <v>1117</v>
      </c>
      <c r="I20" s="2">
        <v>1024</v>
      </c>
      <c r="J20" s="106">
        <v>1843</v>
      </c>
      <c r="K20" s="106">
        <f>J20/I20</f>
        <v>1.7998046875</v>
      </c>
    </row>
    <row r="21" spans="1:22" ht="16.5" thickBot="1" x14ac:dyDescent="0.3">
      <c r="Q21" s="1589" t="s">
        <v>1184</v>
      </c>
      <c r="R21" s="1590"/>
    </row>
    <row r="22" spans="1:22" ht="15.75" x14ac:dyDescent="0.25">
      <c r="A22" s="1589" t="s">
        <v>2244</v>
      </c>
      <c r="B22" s="1596"/>
      <c r="C22" s="1596"/>
      <c r="D22" s="1596"/>
      <c r="E22" s="1590"/>
      <c r="H22" s="1589" t="s">
        <v>3761</v>
      </c>
      <c r="I22" s="1596"/>
      <c r="J22" s="1596"/>
      <c r="K22" s="1590"/>
      <c r="Q22" s="932" t="s">
        <v>742</v>
      </c>
      <c r="R22" s="178" t="s">
        <v>747</v>
      </c>
    </row>
    <row r="23" spans="1:22" ht="16.5" thickBot="1" x14ac:dyDescent="0.3">
      <c r="A23" s="934" t="s">
        <v>742</v>
      </c>
      <c r="B23" s="147" t="s">
        <v>1092</v>
      </c>
      <c r="C23" s="147" t="s">
        <v>1093</v>
      </c>
      <c r="D23" s="147" t="s">
        <v>1094</v>
      </c>
      <c r="E23" s="935" t="s">
        <v>747</v>
      </c>
      <c r="H23" s="934" t="s">
        <v>1073</v>
      </c>
      <c r="I23" s="147" t="s">
        <v>1074</v>
      </c>
      <c r="J23" s="147" t="s">
        <v>747</v>
      </c>
      <c r="K23" s="935" t="s">
        <v>747</v>
      </c>
      <c r="Q23" s="168" t="s">
        <v>1188</v>
      </c>
      <c r="R23" s="90">
        <v>0.5</v>
      </c>
    </row>
    <row r="24" spans="1:22" ht="16.5" thickBot="1" x14ac:dyDescent="0.3">
      <c r="A24" s="15" t="s">
        <v>1097</v>
      </c>
      <c r="B24" s="15">
        <v>0.39</v>
      </c>
      <c r="C24" s="9">
        <v>22</v>
      </c>
      <c r="D24" s="16">
        <v>1300</v>
      </c>
      <c r="E24" s="358">
        <f>D24/C24</f>
        <v>59.090909090909093</v>
      </c>
      <c r="H24" s="3" t="s">
        <v>1076</v>
      </c>
      <c r="I24" s="2">
        <v>10</v>
      </c>
      <c r="J24" s="106">
        <v>4315</v>
      </c>
      <c r="K24" s="89">
        <f>J24/I24</f>
        <v>431.5</v>
      </c>
      <c r="Q24" s="168" t="s">
        <v>1191</v>
      </c>
      <c r="R24" s="90">
        <v>0.5</v>
      </c>
    </row>
    <row r="25" spans="1:22" ht="16.5" thickBot="1" x14ac:dyDescent="0.3">
      <c r="A25" s="15" t="s">
        <v>1100</v>
      </c>
      <c r="B25" s="15">
        <v>0.4</v>
      </c>
      <c r="C25" s="9">
        <v>25</v>
      </c>
      <c r="D25" s="16">
        <v>1300</v>
      </c>
      <c r="E25" s="358">
        <f>D25/C25</f>
        <v>52</v>
      </c>
      <c r="H25" s="3" t="s">
        <v>1078</v>
      </c>
      <c r="I25" s="2">
        <v>10</v>
      </c>
      <c r="J25" s="106">
        <v>4315</v>
      </c>
      <c r="K25" s="89">
        <f>J25/I25</f>
        <v>431.5</v>
      </c>
    </row>
    <row r="26" spans="1:22" ht="16.5" thickBot="1" x14ac:dyDescent="0.3">
      <c r="A26" s="15" t="s">
        <v>1102</v>
      </c>
      <c r="B26" s="15">
        <v>0.39500000000000002</v>
      </c>
      <c r="C26" s="9">
        <v>111</v>
      </c>
      <c r="D26" s="16">
        <v>1300</v>
      </c>
      <c r="E26" s="358">
        <f>D26/C26</f>
        <v>11.711711711711711</v>
      </c>
      <c r="H26" s="3" t="s">
        <v>3763</v>
      </c>
      <c r="I26" s="2">
        <v>18</v>
      </c>
      <c r="J26" s="106">
        <v>6552</v>
      </c>
      <c r="K26" s="89">
        <f t="shared" ref="K26:K29" si="2">J26/I26</f>
        <v>364</v>
      </c>
    </row>
    <row r="27" spans="1:22" ht="16.5" thickBot="1" x14ac:dyDescent="0.3">
      <c r="A27" s="15" t="s">
        <v>1105</v>
      </c>
      <c r="B27" s="15">
        <v>0.38500000000000001</v>
      </c>
      <c r="C27" s="9">
        <v>15</v>
      </c>
      <c r="D27" s="16">
        <v>1300</v>
      </c>
      <c r="E27" s="358">
        <f>D27/C27</f>
        <v>86.666666666666671</v>
      </c>
      <c r="H27" s="3" t="s">
        <v>3784</v>
      </c>
      <c r="I27" s="2">
        <v>1</v>
      </c>
      <c r="J27" s="106">
        <v>1800</v>
      </c>
      <c r="K27" s="89">
        <f t="shared" si="2"/>
        <v>1800</v>
      </c>
      <c r="Q27" s="1585" t="s">
        <v>4045</v>
      </c>
      <c r="R27" s="1586"/>
      <c r="S27" s="1586"/>
      <c r="T27" s="1586"/>
      <c r="U27" s="1586"/>
      <c r="V27" s="1587"/>
    </row>
    <row r="28" spans="1:22" ht="16.5" thickBot="1" x14ac:dyDescent="0.3">
      <c r="A28" s="154" t="s">
        <v>1108</v>
      </c>
      <c r="B28" s="936"/>
      <c r="C28" s="170">
        <v>8</v>
      </c>
      <c r="D28" s="167">
        <v>110</v>
      </c>
      <c r="E28" s="90">
        <f>D28/C28</f>
        <v>13.75</v>
      </c>
      <c r="H28" s="3" t="s">
        <v>3785</v>
      </c>
      <c r="I28" s="2">
        <v>1</v>
      </c>
      <c r="J28" s="106">
        <v>4000</v>
      </c>
      <c r="K28" s="89">
        <f t="shared" si="2"/>
        <v>4000</v>
      </c>
      <c r="Q28" s="932" t="s">
        <v>742</v>
      </c>
      <c r="R28" s="1132" t="s">
        <v>1162</v>
      </c>
      <c r="S28" s="143" t="s">
        <v>1112</v>
      </c>
      <c r="T28" s="143" t="s">
        <v>3262</v>
      </c>
      <c r="U28" s="143" t="s">
        <v>1074</v>
      </c>
      <c r="V28" s="266" t="s">
        <v>747</v>
      </c>
    </row>
    <row r="29" spans="1:22" ht="16.5" thickBot="1" x14ac:dyDescent="0.3">
      <c r="H29" s="3" t="s">
        <v>3762</v>
      </c>
      <c r="I29" s="2">
        <v>25</v>
      </c>
      <c r="J29" s="106">
        <v>6552</v>
      </c>
      <c r="K29" s="89">
        <f t="shared" si="2"/>
        <v>262.08</v>
      </c>
      <c r="Q29" s="168" t="s">
        <v>3187</v>
      </c>
      <c r="R29" s="153">
        <v>2431</v>
      </c>
      <c r="S29" s="4"/>
      <c r="T29" s="4"/>
      <c r="U29" s="4"/>
      <c r="V29" s="90">
        <v>35.46</v>
      </c>
    </row>
    <row r="30" spans="1:22" ht="16.5" thickBot="1" x14ac:dyDescent="0.3">
      <c r="A30" s="1588" t="s">
        <v>1090</v>
      </c>
      <c r="B30" s="1588"/>
      <c r="C30" s="1588"/>
      <c r="D30" s="1588"/>
      <c r="Q30" s="168" t="s">
        <v>3254</v>
      </c>
      <c r="R30" s="153"/>
      <c r="S30" s="4">
        <v>1600</v>
      </c>
      <c r="T30" s="4">
        <v>100</v>
      </c>
      <c r="U30" s="4">
        <v>260</v>
      </c>
      <c r="V30" s="90">
        <f>S30/U30</f>
        <v>6.1538461538461542</v>
      </c>
    </row>
    <row r="31" spans="1:22" ht="16.5" thickBot="1" x14ac:dyDescent="0.3">
      <c r="A31" s="143" t="s">
        <v>742</v>
      </c>
      <c r="B31" s="143" t="s">
        <v>1074</v>
      </c>
      <c r="C31" s="143" t="s">
        <v>1112</v>
      </c>
      <c r="D31" s="143" t="s">
        <v>747</v>
      </c>
      <c r="H31" s="1568" t="s">
        <v>1120</v>
      </c>
      <c r="I31" s="1569"/>
      <c r="J31" s="1569"/>
      <c r="K31" s="1570"/>
      <c r="Q31" s="168" t="s">
        <v>3255</v>
      </c>
      <c r="R31" s="153"/>
      <c r="S31" s="4">
        <v>1600</v>
      </c>
      <c r="T31" s="4">
        <v>100</v>
      </c>
      <c r="U31" s="4">
        <v>230</v>
      </c>
      <c r="V31" s="90">
        <f>S31/U31</f>
        <v>6.9565217391304346</v>
      </c>
    </row>
    <row r="32" spans="1:22" ht="16.5" thickBot="1" x14ac:dyDescent="0.3">
      <c r="A32" s="2" t="s">
        <v>3189</v>
      </c>
      <c r="B32" s="2">
        <v>100</v>
      </c>
      <c r="C32" s="106">
        <v>2000</v>
      </c>
      <c r="D32" s="106">
        <f>C32/B32</f>
        <v>20</v>
      </c>
      <c r="H32" s="938" t="s">
        <v>916</v>
      </c>
      <c r="I32" s="939" t="s">
        <v>1074</v>
      </c>
      <c r="J32" s="939" t="s">
        <v>747</v>
      </c>
      <c r="K32" s="940" t="s">
        <v>747</v>
      </c>
      <c r="Q32" s="168" t="s">
        <v>3188</v>
      </c>
      <c r="R32" s="153">
        <v>13292</v>
      </c>
      <c r="S32" s="4"/>
      <c r="T32" s="4"/>
      <c r="U32" s="4"/>
      <c r="V32" s="90">
        <v>287</v>
      </c>
    </row>
    <row r="33" spans="1:22" ht="16.5" thickBot="1" x14ac:dyDescent="0.3">
      <c r="A33" s="2" t="s">
        <v>4367</v>
      </c>
      <c r="B33" s="2">
        <v>10</v>
      </c>
      <c r="C33" s="106">
        <v>2568</v>
      </c>
      <c r="D33" s="106">
        <f>C33/B33</f>
        <v>256.8</v>
      </c>
      <c r="H33" s="355" t="s">
        <v>1125</v>
      </c>
      <c r="I33" s="5">
        <v>12</v>
      </c>
      <c r="J33" s="166">
        <v>475</v>
      </c>
      <c r="K33" s="166">
        <f t="shared" ref="K33:K46" si="3">J33/I33</f>
        <v>39.583333333333336</v>
      </c>
      <c r="L33" s="1591" t="s">
        <v>1123</v>
      </c>
      <c r="Q33" s="168" t="s">
        <v>4030</v>
      </c>
      <c r="R33" s="153"/>
      <c r="S33" s="4"/>
      <c r="T33" s="4"/>
      <c r="U33" s="4"/>
      <c r="V33" s="90">
        <v>410</v>
      </c>
    </row>
    <row r="34" spans="1:22" ht="16.5" thickBot="1" x14ac:dyDescent="0.3">
      <c r="H34" s="3" t="s">
        <v>1127</v>
      </c>
      <c r="I34" s="2">
        <v>12</v>
      </c>
      <c r="J34" s="106">
        <v>249</v>
      </c>
      <c r="K34" s="106">
        <f t="shared" si="3"/>
        <v>20.75</v>
      </c>
      <c r="L34" s="1592"/>
      <c r="Q34" s="168" t="s">
        <v>4046</v>
      </c>
      <c r="R34" s="153"/>
      <c r="S34" s="4">
        <v>1580</v>
      </c>
      <c r="T34" s="4">
        <v>50</v>
      </c>
      <c r="U34" s="4">
        <v>90</v>
      </c>
      <c r="V34" s="90">
        <f>S34/U34</f>
        <v>17.555555555555557</v>
      </c>
    </row>
    <row r="35" spans="1:22" ht="15.75" x14ac:dyDescent="0.25">
      <c r="A35" s="1588" t="s">
        <v>3193</v>
      </c>
      <c r="B35" s="1588"/>
      <c r="C35" s="1588"/>
      <c r="D35" s="1588"/>
      <c r="E35" s="1588"/>
      <c r="H35" s="3" t="s">
        <v>1129</v>
      </c>
      <c r="I35" s="2">
        <v>18</v>
      </c>
      <c r="J35" s="106">
        <v>329</v>
      </c>
      <c r="K35" s="106">
        <f t="shared" si="3"/>
        <v>18.277777777777779</v>
      </c>
      <c r="L35" s="1592"/>
    </row>
    <row r="36" spans="1:22" ht="16.5" thickBot="1" x14ac:dyDescent="0.3">
      <c r="A36" s="143" t="s">
        <v>742</v>
      </c>
      <c r="B36" s="147" t="s">
        <v>1092</v>
      </c>
      <c r="C36" s="147" t="s">
        <v>1069</v>
      </c>
      <c r="D36" s="143" t="s">
        <v>1167</v>
      </c>
      <c r="E36" s="143" t="s">
        <v>747</v>
      </c>
      <c r="H36" s="184" t="s">
        <v>1130</v>
      </c>
      <c r="I36" s="230">
        <v>18</v>
      </c>
      <c r="J36" s="907">
        <v>329</v>
      </c>
      <c r="K36" s="907">
        <f t="shared" si="3"/>
        <v>18.277777777777779</v>
      </c>
      <c r="L36" s="1592"/>
    </row>
    <row r="37" spans="1:22" ht="16.5" thickBot="1" x14ac:dyDescent="0.3">
      <c r="A37" s="330" t="s">
        <v>3248</v>
      </c>
      <c r="B37" s="1151">
        <v>0.4</v>
      </c>
      <c r="C37" s="1151">
        <v>150</v>
      </c>
      <c r="D37" s="1152">
        <v>700</v>
      </c>
      <c r="E37" s="1153">
        <f>D37/C37</f>
        <v>4.666666666666667</v>
      </c>
      <c r="H37" s="355" t="s">
        <v>1132</v>
      </c>
      <c r="I37" s="5">
        <v>40</v>
      </c>
      <c r="J37" s="166">
        <v>1775</v>
      </c>
      <c r="K37" s="166">
        <f t="shared" si="3"/>
        <v>44.375</v>
      </c>
      <c r="L37" s="1591" t="s">
        <v>1131</v>
      </c>
    </row>
    <row r="38" spans="1:22" ht="16.5" thickBot="1" x14ac:dyDescent="0.3">
      <c r="A38" s="2" t="s">
        <v>3194</v>
      </c>
      <c r="B38" s="2">
        <v>0.38</v>
      </c>
      <c r="C38" s="2">
        <v>110</v>
      </c>
      <c r="D38" s="106">
        <v>1300</v>
      </c>
      <c r="E38" s="106">
        <f>D38/C38</f>
        <v>11.818181818181818</v>
      </c>
      <c r="H38" s="3" t="s">
        <v>1133</v>
      </c>
      <c r="I38" s="2">
        <v>40</v>
      </c>
      <c r="J38" s="166">
        <v>1775</v>
      </c>
      <c r="K38" s="106">
        <f t="shared" si="3"/>
        <v>44.375</v>
      </c>
      <c r="L38" s="1592"/>
    </row>
    <row r="39" spans="1:22" ht="16.5" thickBot="1" x14ac:dyDescent="0.3">
      <c r="H39" s="3" t="s">
        <v>1134</v>
      </c>
      <c r="I39" s="2">
        <v>40</v>
      </c>
      <c r="J39" s="166">
        <v>1775</v>
      </c>
      <c r="K39" s="106">
        <f t="shared" si="3"/>
        <v>44.375</v>
      </c>
      <c r="L39" s="1592"/>
    </row>
    <row r="40" spans="1:22" ht="16.5" thickBot="1" x14ac:dyDescent="0.3">
      <c r="A40" s="1588" t="s">
        <v>2229</v>
      </c>
      <c r="B40" s="1588"/>
      <c r="C40" s="1588"/>
      <c r="D40" s="1588"/>
      <c r="E40" s="1588"/>
      <c r="H40" s="3" t="s">
        <v>1134</v>
      </c>
      <c r="I40" s="2">
        <v>40</v>
      </c>
      <c r="J40" s="166">
        <v>1775</v>
      </c>
      <c r="K40" s="106">
        <f t="shared" si="3"/>
        <v>44.375</v>
      </c>
      <c r="L40" s="1592"/>
    </row>
    <row r="41" spans="1:22" ht="16.5" thickBot="1" x14ac:dyDescent="0.3">
      <c r="A41" s="147" t="s">
        <v>742</v>
      </c>
      <c r="B41" s="147" t="s">
        <v>1092</v>
      </c>
      <c r="C41" s="147" t="s">
        <v>1093</v>
      </c>
      <c r="D41" s="147" t="s">
        <v>1094</v>
      </c>
      <c r="E41" s="147" t="s">
        <v>747</v>
      </c>
      <c r="H41" s="3" t="s">
        <v>1135</v>
      </c>
      <c r="I41" s="2">
        <v>40</v>
      </c>
      <c r="J41" s="166">
        <v>1775</v>
      </c>
      <c r="K41" s="106">
        <f t="shared" si="3"/>
        <v>44.375</v>
      </c>
      <c r="L41" s="1592"/>
    </row>
    <row r="42" spans="1:22" ht="16.5" thickBot="1" x14ac:dyDescent="0.3">
      <c r="A42" s="15" t="s">
        <v>1172</v>
      </c>
      <c r="B42" s="15"/>
      <c r="C42" s="9"/>
      <c r="D42" s="16"/>
      <c r="E42" s="358">
        <v>300</v>
      </c>
      <c r="H42" s="3" t="s">
        <v>1027</v>
      </c>
      <c r="I42" s="2">
        <v>40</v>
      </c>
      <c r="J42" s="166">
        <v>1775</v>
      </c>
      <c r="K42" s="106">
        <f t="shared" si="3"/>
        <v>44.375</v>
      </c>
      <c r="L42" s="1592"/>
    </row>
    <row r="43" spans="1:22" ht="16.5" thickBot="1" x14ac:dyDescent="0.3">
      <c r="A43" s="15" t="s">
        <v>1173</v>
      </c>
      <c r="B43" s="15"/>
      <c r="C43" s="9"/>
      <c r="D43" s="16"/>
      <c r="E43" s="358">
        <v>300</v>
      </c>
      <c r="H43" s="3" t="s">
        <v>10</v>
      </c>
      <c r="I43" s="2">
        <v>40</v>
      </c>
      <c r="J43" s="166">
        <v>1775</v>
      </c>
      <c r="K43" s="106">
        <f t="shared" si="3"/>
        <v>44.375</v>
      </c>
      <c r="L43" s="1592"/>
    </row>
    <row r="44" spans="1:22" ht="16.5" thickBot="1" x14ac:dyDescent="0.3">
      <c r="A44" s="15" t="s">
        <v>1176</v>
      </c>
      <c r="B44" s="15"/>
      <c r="C44" s="9"/>
      <c r="D44" s="16"/>
      <c r="E44" s="358">
        <v>300</v>
      </c>
      <c r="H44" s="3" t="s">
        <v>1136</v>
      </c>
      <c r="I44" s="2">
        <v>40</v>
      </c>
      <c r="J44" s="166">
        <v>1775</v>
      </c>
      <c r="K44" s="106">
        <f t="shared" si="3"/>
        <v>44.375</v>
      </c>
      <c r="L44" s="1592"/>
    </row>
    <row r="45" spans="1:22" ht="16.5" thickBot="1" x14ac:dyDescent="0.3">
      <c r="A45" s="15" t="s">
        <v>1178</v>
      </c>
      <c r="B45" s="15"/>
      <c r="C45" s="9"/>
      <c r="D45" s="16"/>
      <c r="E45" s="358">
        <v>300</v>
      </c>
      <c r="H45" s="3" t="s">
        <v>1137</v>
      </c>
      <c r="I45" s="2">
        <v>40</v>
      </c>
      <c r="J45" s="166">
        <v>1775</v>
      </c>
      <c r="K45" s="106">
        <f t="shared" si="3"/>
        <v>44.375</v>
      </c>
      <c r="L45" s="1592"/>
    </row>
    <row r="46" spans="1:22" ht="16.5" thickBot="1" x14ac:dyDescent="0.3">
      <c r="A46" s="15" t="s">
        <v>1182</v>
      </c>
      <c r="B46" s="15"/>
      <c r="C46" s="9"/>
      <c r="D46" s="16"/>
      <c r="E46" s="358">
        <v>300</v>
      </c>
      <c r="H46" s="3" t="s">
        <v>1138</v>
      </c>
      <c r="I46" s="2">
        <v>40</v>
      </c>
      <c r="J46" s="166">
        <v>1775</v>
      </c>
      <c r="K46" s="106">
        <f t="shared" si="3"/>
        <v>44.375</v>
      </c>
      <c r="L46" s="1592"/>
    </row>
    <row r="47" spans="1:22" ht="16.5" thickBot="1" x14ac:dyDescent="0.3">
      <c r="A47" s="15" t="s">
        <v>1183</v>
      </c>
      <c r="B47" s="15"/>
      <c r="C47" s="9"/>
      <c r="D47" s="16"/>
      <c r="E47" s="358">
        <v>300</v>
      </c>
      <c r="H47" s="159" t="s">
        <v>1205</v>
      </c>
      <c r="I47" s="149">
        <v>100</v>
      </c>
      <c r="J47" s="912">
        <f>750+75</f>
        <v>825</v>
      </c>
      <c r="K47" s="912">
        <f>J47/I47</f>
        <v>8.25</v>
      </c>
      <c r="L47" s="1593"/>
    </row>
    <row r="48" spans="1:22" ht="16.5" thickBot="1" x14ac:dyDescent="0.3">
      <c r="A48" s="15" t="s">
        <v>1185</v>
      </c>
      <c r="B48" s="15"/>
      <c r="C48" s="9"/>
      <c r="D48" s="16"/>
      <c r="E48" s="358">
        <v>227</v>
      </c>
      <c r="H48" s="13" t="s">
        <v>10</v>
      </c>
      <c r="I48" s="9">
        <v>40</v>
      </c>
      <c r="J48" s="909">
        <v>310</v>
      </c>
      <c r="K48" s="909">
        <f>J48/I48</f>
        <v>7.75</v>
      </c>
      <c r="L48" s="1300" t="s">
        <v>1862</v>
      </c>
    </row>
    <row r="49" spans="1:13" ht="16.5" thickBot="1" x14ac:dyDescent="0.3">
      <c r="A49" s="1413" t="s">
        <v>4386</v>
      </c>
      <c r="B49" s="38"/>
      <c r="C49" s="13"/>
      <c r="D49" s="93"/>
      <c r="E49" s="358">
        <v>700</v>
      </c>
    </row>
    <row r="50" spans="1:13" ht="16.5" thickBot="1" x14ac:dyDescent="0.3">
      <c r="A50" s="1413" t="s">
        <v>4385</v>
      </c>
      <c r="B50" s="38"/>
      <c r="C50" s="13"/>
      <c r="D50" s="93"/>
      <c r="E50" s="358">
        <v>3500</v>
      </c>
      <c r="H50" s="1295" t="s">
        <v>2143</v>
      </c>
      <c r="I50" s="1296"/>
      <c r="J50" s="1296"/>
      <c r="K50" s="1296"/>
      <c r="L50" s="1296"/>
      <c r="M50" s="1297"/>
    </row>
    <row r="51" spans="1:13" ht="16.5" thickBot="1" x14ac:dyDescent="0.3">
      <c r="H51" s="937" t="s">
        <v>742</v>
      </c>
      <c r="I51" s="265" t="s">
        <v>743</v>
      </c>
      <c r="J51" s="265" t="s">
        <v>932</v>
      </c>
      <c r="K51" s="265" t="s">
        <v>1213</v>
      </c>
      <c r="L51" s="265" t="s">
        <v>1214</v>
      </c>
      <c r="M51" s="266" t="s">
        <v>1070</v>
      </c>
    </row>
    <row r="52" spans="1:13" ht="16.5" thickBot="1" x14ac:dyDescent="0.3">
      <c r="A52" s="1588" t="s">
        <v>464</v>
      </c>
      <c r="B52" s="1588"/>
      <c r="C52" s="1588"/>
      <c r="D52" s="1588"/>
      <c r="E52" s="1588"/>
      <c r="H52" s="13" t="s">
        <v>1131</v>
      </c>
      <c r="I52" s="9">
        <v>0.39</v>
      </c>
      <c r="J52" s="144" t="s">
        <v>1022</v>
      </c>
      <c r="K52" s="144">
        <v>1</v>
      </c>
      <c r="L52" s="67">
        <v>132</v>
      </c>
      <c r="M52" s="67">
        <f>L52/K52</f>
        <v>132</v>
      </c>
    </row>
    <row r="53" spans="1:13" ht="16.5" thickBot="1" x14ac:dyDescent="0.3">
      <c r="A53" s="147" t="s">
        <v>742</v>
      </c>
      <c r="B53" s="147" t="s">
        <v>1092</v>
      </c>
      <c r="C53" s="147" t="s">
        <v>1093</v>
      </c>
      <c r="D53" s="147" t="s">
        <v>1094</v>
      </c>
      <c r="E53" s="147" t="s">
        <v>747</v>
      </c>
      <c r="H53" s="13" t="s">
        <v>1217</v>
      </c>
      <c r="I53" s="9">
        <v>0.39</v>
      </c>
      <c r="J53" s="144" t="s">
        <v>1022</v>
      </c>
      <c r="K53" s="144">
        <v>10</v>
      </c>
      <c r="L53" s="67">
        <f>1458+146</f>
        <v>1604</v>
      </c>
      <c r="M53" s="67">
        <f>L53/K53</f>
        <v>160.4</v>
      </c>
    </row>
    <row r="54" spans="1:13" ht="16.5" thickBot="1" x14ac:dyDescent="0.3">
      <c r="A54" s="15" t="s">
        <v>1153</v>
      </c>
      <c r="B54" s="15" t="s">
        <v>4192</v>
      </c>
      <c r="C54" s="9">
        <v>5</v>
      </c>
      <c r="D54" s="16">
        <v>887.5</v>
      </c>
      <c r="E54" s="358">
        <f>D54/C54</f>
        <v>177.5</v>
      </c>
    </row>
    <row r="55" spans="1:13" ht="16.5" thickBot="1" x14ac:dyDescent="0.3">
      <c r="A55" s="15" t="s">
        <v>1156</v>
      </c>
      <c r="B55" s="15"/>
      <c r="C55" s="9">
        <v>30</v>
      </c>
      <c r="D55" s="16">
        <v>286</v>
      </c>
      <c r="E55" s="358">
        <f>D55/C55</f>
        <v>9.5333333333333332</v>
      </c>
      <c r="H55" s="1589" t="s">
        <v>1067</v>
      </c>
      <c r="I55" s="1590"/>
    </row>
    <row r="56" spans="1:13" ht="16.5" thickBot="1" x14ac:dyDescent="0.3">
      <c r="A56" s="15" t="s">
        <v>1158</v>
      </c>
      <c r="B56" s="15"/>
      <c r="C56" s="9"/>
      <c r="D56" s="16"/>
      <c r="E56" s="358">
        <v>6</v>
      </c>
      <c r="H56" s="932"/>
      <c r="I56" s="178" t="s">
        <v>747</v>
      </c>
    </row>
    <row r="57" spans="1:13" ht="16.5" thickBot="1" x14ac:dyDescent="0.3">
      <c r="A57" s="15" t="s">
        <v>2230</v>
      </c>
      <c r="B57" s="15">
        <v>1.5</v>
      </c>
      <c r="C57" s="9">
        <v>95</v>
      </c>
      <c r="D57" s="16">
        <v>1540</v>
      </c>
      <c r="E57" s="358">
        <f>D57/C57</f>
        <v>16.210526315789473</v>
      </c>
      <c r="H57" s="168" t="s">
        <v>848</v>
      </c>
      <c r="I57" s="90">
        <v>2800</v>
      </c>
    </row>
    <row r="58" spans="1:13" ht="16.5" thickBot="1" x14ac:dyDescent="0.3">
      <c r="A58" s="15" t="s">
        <v>1164</v>
      </c>
      <c r="B58" s="15">
        <v>0.435</v>
      </c>
      <c r="C58" s="9"/>
      <c r="D58" s="16"/>
      <c r="E58" s="358">
        <v>220</v>
      </c>
    </row>
    <row r="59" spans="1:13" ht="16.5" thickBot="1" x14ac:dyDescent="0.3">
      <c r="A59" s="15" t="s">
        <v>1168</v>
      </c>
      <c r="B59" s="15" t="s">
        <v>1169</v>
      </c>
      <c r="C59" s="9">
        <v>160</v>
      </c>
      <c r="D59" s="16">
        <v>1008</v>
      </c>
      <c r="E59" s="358">
        <f>D59/C59</f>
        <v>6.3</v>
      </c>
      <c r="H59" s="1589" t="s">
        <v>3749</v>
      </c>
      <c r="I59" s="1590"/>
    </row>
    <row r="60" spans="1:13" ht="16.5" thickBot="1" x14ac:dyDescent="0.3">
      <c r="A60" s="15" t="s">
        <v>1168</v>
      </c>
      <c r="B60" s="15" t="s">
        <v>753</v>
      </c>
      <c r="C60" s="9">
        <v>60</v>
      </c>
      <c r="D60" s="16">
        <v>1008</v>
      </c>
      <c r="E60" s="358">
        <f>D60/C60</f>
        <v>16.8</v>
      </c>
      <c r="H60" s="932"/>
      <c r="I60" s="178" t="s">
        <v>747</v>
      </c>
    </row>
    <row r="61" spans="1:13" ht="16.5" thickBot="1" x14ac:dyDescent="0.3">
      <c r="A61" s="15" t="s">
        <v>1186</v>
      </c>
      <c r="B61" s="15" t="s">
        <v>1187</v>
      </c>
      <c r="C61" s="9">
        <v>160</v>
      </c>
      <c r="D61" s="16">
        <v>1450</v>
      </c>
      <c r="E61" s="358">
        <f>D61/C61</f>
        <v>9.0625</v>
      </c>
      <c r="H61" s="168" t="s">
        <v>3750</v>
      </c>
      <c r="I61" s="90">
        <v>1350</v>
      </c>
    </row>
    <row r="62" spans="1:13" ht="16.5" thickBot="1" x14ac:dyDescent="0.3">
      <c r="A62" s="15" t="s">
        <v>1189</v>
      </c>
      <c r="B62" s="15" t="s">
        <v>1190</v>
      </c>
      <c r="C62" s="9">
        <v>560</v>
      </c>
      <c r="D62" s="16">
        <v>28800</v>
      </c>
      <c r="E62" s="358">
        <f>D62/C62</f>
        <v>51.428571428571431</v>
      </c>
    </row>
    <row r="63" spans="1:13" ht="16.5" thickBot="1" x14ac:dyDescent="0.3">
      <c r="A63" s="239" t="s">
        <v>4198</v>
      </c>
      <c r="B63" s="239"/>
      <c r="C63" s="135">
        <v>18</v>
      </c>
      <c r="D63" s="258">
        <v>30000</v>
      </c>
      <c r="E63" s="358">
        <f>D63/C63</f>
        <v>1666.6666666666667</v>
      </c>
      <c r="H63" s="1568" t="s">
        <v>4612</v>
      </c>
      <c r="I63" s="1569"/>
      <c r="J63" s="1569"/>
    </row>
    <row r="64" spans="1:13" ht="16.5" thickBot="1" x14ac:dyDescent="0.3">
      <c r="A64" s="239" t="s">
        <v>1192</v>
      </c>
      <c r="B64" s="239"/>
      <c r="C64" s="135"/>
      <c r="D64" s="258"/>
      <c r="E64" s="358">
        <v>600</v>
      </c>
      <c r="H64" s="937" t="s">
        <v>1066</v>
      </c>
      <c r="I64" s="265" t="s">
        <v>743</v>
      </c>
      <c r="J64" s="265" t="s">
        <v>747</v>
      </c>
    </row>
    <row r="65" spans="1:10" ht="16.5" thickBot="1" x14ac:dyDescent="0.3">
      <c r="A65" s="15" t="s">
        <v>3153</v>
      </c>
      <c r="B65" s="373">
        <v>500</v>
      </c>
      <c r="C65" s="883"/>
      <c r="D65" s="67">
        <v>22100</v>
      </c>
      <c r="E65" s="358">
        <f>D65/B65</f>
        <v>44.2</v>
      </c>
      <c r="H65" s="138" t="s">
        <v>4613</v>
      </c>
      <c r="I65" s="5" t="s">
        <v>4615</v>
      </c>
      <c r="J65" s="356">
        <v>8151</v>
      </c>
    </row>
    <row r="66" spans="1:10" ht="16.5" thickBot="1" x14ac:dyDescent="0.3">
      <c r="A66" s="87" t="s">
        <v>3358</v>
      </c>
      <c r="B66" s="134"/>
      <c r="C66" s="13"/>
      <c r="D66" s="67">
        <v>1500</v>
      </c>
      <c r="E66" s="358"/>
      <c r="H66" s="3" t="s">
        <v>4614</v>
      </c>
      <c r="I66" s="2" t="s">
        <v>4616</v>
      </c>
      <c r="J66" s="1451">
        <v>9438</v>
      </c>
    </row>
    <row r="67" spans="1:10" ht="16.5" thickBot="1" x14ac:dyDescent="0.3">
      <c r="A67" s="87" t="s">
        <v>4020</v>
      </c>
      <c r="B67" s="134"/>
      <c r="C67" s="13"/>
      <c r="D67" s="93">
        <v>400</v>
      </c>
      <c r="E67" s="358">
        <f>D67</f>
        <v>400</v>
      </c>
      <c r="H67" s="159" t="s">
        <v>4618</v>
      </c>
      <c r="I67" s="149" t="s">
        <v>4619</v>
      </c>
      <c r="J67" s="638">
        <v>10721</v>
      </c>
    </row>
    <row r="68" spans="1:10" ht="16.5" thickBot="1" x14ac:dyDescent="0.3">
      <c r="A68" s="87" t="s">
        <v>3190</v>
      </c>
      <c r="B68" s="38"/>
      <c r="C68" s="13"/>
      <c r="D68" s="93">
        <v>1000</v>
      </c>
      <c r="E68" s="358">
        <v>50</v>
      </c>
    </row>
    <row r="69" spans="1:10" ht="16.5" thickBot="1" x14ac:dyDescent="0.3">
      <c r="A69" s="87" t="s">
        <v>3894</v>
      </c>
      <c r="B69" s="38"/>
      <c r="C69" s="13">
        <v>2</v>
      </c>
      <c r="D69" s="93">
        <v>3600</v>
      </c>
      <c r="E69" s="358">
        <f>D69/C69</f>
        <v>1800</v>
      </c>
    </row>
    <row r="70" spans="1:10" ht="16.5" thickBot="1" x14ac:dyDescent="0.3">
      <c r="A70" s="87" t="s">
        <v>3895</v>
      </c>
      <c r="B70" s="38"/>
      <c r="C70" s="13">
        <v>4</v>
      </c>
      <c r="D70" s="93">
        <v>4656</v>
      </c>
      <c r="E70" s="358">
        <f>D70/C70</f>
        <v>1164</v>
      </c>
    </row>
    <row r="71" spans="1:10" ht="16.5" thickBot="1" x14ac:dyDescent="0.3">
      <c r="A71" s="87" t="s">
        <v>4194</v>
      </c>
      <c r="B71" s="38"/>
      <c r="C71" s="13">
        <v>20</v>
      </c>
      <c r="D71" s="93">
        <v>2295</v>
      </c>
      <c r="E71" s="358">
        <f>D71/C71</f>
        <v>114.75</v>
      </c>
    </row>
    <row r="72" spans="1:10" ht="16.5" thickBot="1" x14ac:dyDescent="0.3">
      <c r="A72" s="87" t="s">
        <v>4193</v>
      </c>
      <c r="B72" s="38"/>
      <c r="C72" s="13"/>
      <c r="D72" s="93"/>
      <c r="E72" s="358">
        <v>1500</v>
      </c>
    </row>
    <row r="73" spans="1:10" ht="16.5" thickBot="1" x14ac:dyDescent="0.3">
      <c r="A73" s="87" t="s">
        <v>2072</v>
      </c>
      <c r="B73" s="38"/>
      <c r="C73" s="13"/>
      <c r="D73" s="93"/>
      <c r="E73" s="358">
        <v>500</v>
      </c>
    </row>
    <row r="74" spans="1:10" ht="16.5" thickBot="1" x14ac:dyDescent="0.3">
      <c r="A74" s="87" t="s">
        <v>4196</v>
      </c>
      <c r="B74" s="38"/>
      <c r="C74" s="13"/>
      <c r="D74" s="93"/>
      <c r="E74" s="358">
        <v>1000</v>
      </c>
    </row>
    <row r="75" spans="1:10" ht="16.5" thickBot="1" x14ac:dyDescent="0.3">
      <c r="A75" s="87" t="s">
        <v>4197</v>
      </c>
      <c r="B75" s="38"/>
      <c r="C75" s="13"/>
      <c r="D75" s="93"/>
      <c r="E75" s="358">
        <v>1000</v>
      </c>
    </row>
    <row r="76" spans="1:10" ht="16.5" thickBot="1" x14ac:dyDescent="0.3">
      <c r="A76" s="87" t="s">
        <v>4195</v>
      </c>
      <c r="B76" s="38"/>
      <c r="C76" s="13"/>
      <c r="D76" s="93"/>
      <c r="E76" s="358">
        <v>3000</v>
      </c>
    </row>
    <row r="77" spans="1:10" ht="16.5" thickBot="1" x14ac:dyDescent="0.3">
      <c r="A77" s="87" t="s">
        <v>4227</v>
      </c>
      <c r="B77" s="38"/>
      <c r="C77" s="13"/>
      <c r="D77" s="93"/>
      <c r="E77" s="358">
        <v>200</v>
      </c>
    </row>
    <row r="78" spans="1:10" ht="16.5" thickBot="1" x14ac:dyDescent="0.3">
      <c r="A78" s="87" t="s">
        <v>4228</v>
      </c>
      <c r="B78" s="38"/>
      <c r="C78" s="13"/>
      <c r="D78" s="93"/>
      <c r="E78" s="358">
        <v>300</v>
      </c>
    </row>
    <row r="79" spans="1:10" ht="16.5" thickBot="1" x14ac:dyDescent="0.3">
      <c r="A79" s="1413" t="s">
        <v>4386</v>
      </c>
      <c r="B79" s="38">
        <v>0.39</v>
      </c>
      <c r="C79" s="13">
        <v>24</v>
      </c>
      <c r="D79" s="93">
        <v>4250</v>
      </c>
      <c r="E79" s="358">
        <f>D79/C79</f>
        <v>177.08333333333334</v>
      </c>
    </row>
  </sheetData>
  <mergeCells count="24">
    <mergeCell ref="H63:J63"/>
    <mergeCell ref="H3:H13"/>
    <mergeCell ref="A30:D30"/>
    <mergeCell ref="Q1:T1"/>
    <mergeCell ref="Q12:T12"/>
    <mergeCell ref="A22:E22"/>
    <mergeCell ref="H15:K15"/>
    <mergeCell ref="A13:B13"/>
    <mergeCell ref="Q21:R21"/>
    <mergeCell ref="A1:B1"/>
    <mergeCell ref="H1:L1"/>
    <mergeCell ref="A5:B5"/>
    <mergeCell ref="A9:B9"/>
    <mergeCell ref="H22:K22"/>
    <mergeCell ref="A18:B18"/>
    <mergeCell ref="H59:I59"/>
    <mergeCell ref="Q27:V27"/>
    <mergeCell ref="A35:E35"/>
    <mergeCell ref="H55:I55"/>
    <mergeCell ref="L33:L36"/>
    <mergeCell ref="L37:L47"/>
    <mergeCell ref="A52:E52"/>
    <mergeCell ref="H31:K31"/>
    <mergeCell ref="A40:E40"/>
  </mergeCells>
  <pageMargins left="0.7" right="0.7" top="0.75" bottom="0.75" header="0.3" footer="0.3"/>
  <pageSetup paperSize="0" orientation="portrait" horizontalDpi="180" verticalDpi="18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8 2 8 0 c 1 2 - 0 4 b c - 4 6 b e - a b 0 8 - 1 b 6 c 1 3 b 0 e d 8 c "   x m l n s = " h t t p : / / s c h e m a s . m i c r o s o f t . c o m / D a t a M a s h u p " > A A A A A H 8 E A A B Q S w M E F A A C A A g A 0 V a d V 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N F W n V 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V p 1 V A P U Z u X U B A A B Z A w A A E w A c A E Z v c m 1 1 b G F z L 1 N l Y 3 R p b 2 4 x L m 0 g o h g A K K A U A A A A A A A A A A A A A A A A A A A A A A A A A A A A v Z J R S 8 M w F I X f C / 0 P o b 5 s U A o T 8 U H Z Q + 0 m F j d a 2 k 4 Z 2 5 C 0 u 7 r Q N B l J J p 1 l / 9 3 U u k 3 n V H w x L w n 3 X O 7 5 u C c S M k U 4 Q 3 F z d y 5 N w z T k A g u Y o x N r 4 M e J i 8 K o 7 / l B b K E u o q B M A + k T C P I E T F f 6 Z Q b U u e c i T z n P W 9 e E g u N x p o A p 2 b K 8 i + l I g p D T Z 5 L l 6 2 k P Z K 7 4 c j p 0 o z E a 9 P 0 7 1 y m p L K 2 2 j d i K U h s p s Y K 2 3 V g c 2 D / E C w B V Q z T e 1 c R X U H Q P G O 1 b w u Z d q + m d b S Y 9 r P B s N 7 D P M p z C C 5 5 z i Z a C F / y Z 6 G c 9 M 8 G p B g / r m o I b w H M N 3 T p O Y K P J e 5 9 L a Z x h i o X s 1 u C z P X l C l h x l u E i J 9 t r P T w R m 8 p G L w u N 0 V b B k v Y T a 5 R s s u 6 q s M A p 6 I y 8 J t K v S 3 U h B q T Y 2 q i w v i J O g P N 3 W 2 a p I Q b w p Y R C h o T s O I q 3 5 T J 2 f O b V P I 4 2 u B r 6 3 G 4 b Z e r N p m w Z h x 7 k / f o Y t S P z P v 2 D n 2 2 z / S / w 7 / Z f o / 5 L I g W e d Q y N 3 P s X w 4 + p e A V B L A Q I t A B Q A A g A I A N F W n V V i z 8 / f q A A A A P g A A A A S A A A A A A A A A A A A A A A A A A A A A A B D b 2 5 m a W c v U G F j a 2 F n Z S 5 4 b W x Q S w E C L Q A U A A I A C A D R V p 1 V D 8 r p q 6 Q A A A D p A A A A E w A A A A A A A A A A A A A A A A D 0 A A A A W 0 N v b n R l b n R f V H l w Z X N d L n h t b F B L A Q I t A B Q A A g A I A N F W n V U A 9 R m 5 d Q E A A F k D A A A T A A A A A A A A A A A A A A A A A O U B A A B G b 3 J t d W x h c y 9 T Z W N 0 a W 9 u M S 5 t U E s F B g A A A A A D A A M A w g A A A K c 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Q T A A A A A A A A Y h 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x J U 1 R B J T I w U F J F Q 0 l P U 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T m F t Z V V w Z G F 0 Z W R B Z n R l c k Z p b G w i I F Z h b H V l P S J s M C I g L z 4 8 R W 5 0 c n k g V H l w Z T 0 i R m l s b G V k Q 2 9 t c G x l d G V S Z X N 1 b H R U b 1 d v c m t z a G V l d C I g V m F s d W U 9 I m w x I i A v P j x F b n R y e S B U e X B l P S J S Z W N v d m V y e V R h c m d l d F N o Z W V 0 I i B W Y W x 1 Z T 0 i c 0 h v a m E 2 I i A v P j x F b n R y e S B U e X B l P S J S Z W N v d m V y e V R h c m d l d E N v b H V t b i I g V m F s d W U 9 I m w x I i A v P j x F b n R y e S B U e X B l P S J S Z W N v d m V y e V R h c m d l d F J v d y I g V m F s d W U 9 I m w x I i A v P j x F b n R y e S B U e X B l P S J B Z G R l Z F R v R G F 0 Y U 1 v Z G V s I i B W Y W x 1 Z T 0 i b D A i I C 8 + P E V u d H J 5 I F R 5 c G U 9 I k Z p b G x D b 3 V u d C I g V m F s d W U 9 I m w x M j M i I C 8 + P E V u d H J 5 I F R 5 c G U 9 I k Z p b G x F c n J v c k N v Z G U i I F Z h b H V l P S J z V W 5 r b m 9 3 b i I g L z 4 8 R W 5 0 c n k g V H l w Z T 0 i R m l s b E V y c m 9 y Q 2 9 1 b n Q i I F Z h b H V l P S J s M C I g L z 4 8 R W 5 0 c n k g V H l w Z T 0 i R m l s b E x h c 3 R V c G R h d G V k I i B W Y W x 1 Z T 0 i Z D I w M j E t M D Q t M j h U M T M 6 M z c 6 M D U u N z A 1 M D g 3 O F o i I C 8 + P E V u d H J 5 I F R 5 c G U 9 I k Z p b G x D b 2 x 1 b W 5 U e X B l c y I g V m F s d W U 9 I n N C Z 1 V E Q U E 9 P S I g L z 4 8 R W 5 0 c n k g V H l w Z T 0 i R m l s b E N v b H V t b k 5 h b W V z I i B W Y W x 1 Z T 0 i c 1 s m c X V v d D t Q U k 9 E V U N U T y Z x d W 9 0 O y w m c X V v d D t D T 1 N U T 3 g y J n F 1 b 3 Q 7 L C Z x d W 9 0 O 1 B P U i B N Q V l P U i Z x d W 9 0 O y w m c X V v d D t Q V U J M S U N P 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T E l T V E E g U F J F Q 0 l P U y 9 U a X B v I G N h b W J p Y W R v L n t Q U k 9 E V U N U T y w w f S Z x d W 9 0 O y w m c X V v d D t T Z W N 0 a W 9 u M S 9 M S V N U Q S B Q U k V D S U 9 T L 1 R p c G 8 g Y 2 F t Y m l h Z G 8 u e 0 N P U 1 R P e D I s M X 0 m c X V v d D s s J n F 1 b 3 Q 7 U 2 V j d G l v b j E v T E l T V E E g U F J F Q 0 l P U y 9 U a X B v I G N h b W J p Y W R v L n t Q T 1 I g T U F Z T 1 I s M n 0 m c X V v d D s s J n F 1 b 3 Q 7 U 2 V j d G l v b j E v T E l T V E E g U F J F Q 0 l P U y 9 U a X B v I G N h b W J p Y W R v L n t Q V U J M S U N P L D N 9 J n F 1 b 3 Q 7 X S w m c X V v d D t D b 2 x 1 b W 5 D b 3 V u d C Z x d W 9 0 O z o 0 L C Z x d W 9 0 O 0 t l e U N v b H V t b k 5 h b W V z J n F 1 b 3 Q 7 O l t d L C Z x d W 9 0 O 0 N v b H V t b k l k Z W 5 0 a X R p Z X M m c X V v d D s 6 W y Z x d W 9 0 O 1 N l Y 3 R p b 2 4 x L 0 x J U 1 R B I F B S R U N J T 1 M v V G l w b y B j Y W 1 i a W F k b y 5 7 U F J P R F V D V E 8 s M H 0 m c X V v d D s s J n F 1 b 3 Q 7 U 2 V j d G l v b j E v T E l T V E E g U F J F Q 0 l P U y 9 U a X B v I G N h b W J p Y W R v L n t D T 1 N U T 3 g y L D F 9 J n F 1 b 3 Q 7 L C Z x d W 9 0 O 1 N l Y 3 R p b 2 4 x L 0 x J U 1 R B I F B S R U N J T 1 M v V G l w b y B j Y W 1 i a W F k b y 5 7 U E 9 S I E 1 B W U 9 S L D J 9 J n F 1 b 3 Q 7 L C Z x d W 9 0 O 1 N l Y 3 R p b 2 4 x L 0 x J U 1 R B I F B S R U N J T 1 M v V G l w b y B j Y W 1 i a W F k b y 5 7 U F V C T E l D T y w z f S Z x d W 9 0 O 1 0 s J n F 1 b 3 Q 7 U m V s Y X R p b 2 5 z a G l w S W 5 m b y Z x d W 9 0 O z p b X X 0 i I C 8 + P E V u d H J 5 I F R 5 c G U 9 I l F 1 Z X J 5 S U Q i I F Z h b H V l P S J z Y 2 M 3 M j Q 0 M z U t Y 2 J m N y 0 0 Y z g z L T l h Z T k t N T N m Y j F i N T k x O G U 0 I i A v P j w v U 3 R h Y m x l R W 5 0 c m l l c z 4 8 L 0 l 0 Z W 0 + P E l 0 Z W 0 + P E l 0 Z W 1 M b 2 N h d G l v b j 4 8 S X R l b V R 5 c G U + R m 9 y b X V s Y T w v S X R l b V R 5 c G U + P E l 0 Z W 1 Q Y X R o P l N l Y 3 R p b 2 4 x L 0 x J U 1 R B J T I w U F J F Q 0 l P U y 9 P c m l n Z W 4 8 L 0 l 0 Z W 1 Q Y X R o P j w v S X R l b U x v Y 2 F 0 a W 9 u P j x T d G F i b G V F b n R y a W V z I C 8 + P C 9 J d G V t P j x J d G V t P j x J d G V t T G 9 j Y X R p b 2 4 + P E l 0 Z W 1 U e X B l P k Z v c m 1 1 b G E 8 L 0 l 0 Z W 1 U e X B l P j x J d G V t U G F 0 a D 5 T Z W N 0 a W 9 u M S 9 M S V N U Q S U y M F B S R U N J T 1 M v T E l T V E E l M j B Q U k V D S U 9 T X 1 N o Z W V 0 P C 9 J d G V t U G F 0 a D 4 8 L 0 l 0 Z W 1 M b 2 N h d G l v b j 4 8 U 3 R h Y m x l R W 5 0 c m l l c y A v P j w v S X R l b T 4 8 S X R l b T 4 8 S X R l b U x v Y 2 F 0 a W 9 u P j x J d G V t V H l w Z T 5 G b 3 J t d W x h P C 9 J d G V t V H l w Z T 4 8 S X R l b V B h d G g + U 2 V j d G l v b j E v T E l T V E E l M j B Q U k V D S U 9 T L 0 V u Y 2 F i Z X p h Z G 9 z J T I w c H J v b W 9 2 a W R v c z w v S X R l b V B h d G g + P C 9 J d G V t T G 9 j Y X R p b 2 4 + P F N 0 Y W J s Z U V u d H J p Z X M g L z 4 8 L 0 l 0 Z W 0 + P E l 0 Z W 0 + P E l 0 Z W 1 M b 2 N h d G l v b j 4 8 S X R l b V R 5 c G U + R m 9 y b X V s Y T w v S X R l b V R 5 c G U + P E l 0 Z W 1 Q Y X R o P l N l Y 3 R p b 2 4 x L 0 x J U 1 R B J T I w U F J F Q 0 l P U y 9 U a X B v J T I w Y 2 F t Y m l h Z G 8 8 L 0 l 0 Z W 1 Q Y X R o P j w v S X R l b U x v Y 2 F 0 a W 9 u P j x T d G F i b G V F b n R y a W V z I C 8 + P C 9 J d G V t P j x J d G V t P j x J d G V t T G 9 j Y X R p b 2 4 + P E l 0 Z W 1 U e X B l P k Z v c m 1 1 b G E 8 L 0 l 0 Z W 1 U e X B l P j x J d G V t U G F 0 a D 5 T Z W N 0 a W 9 u M S 9 Q U k 9 E V U N U T 1 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b W V V c G R h d G V k Q W Z 0 Z X J G a W x s I i B W Y W x 1 Z T 0 i b D A i I C 8 + P E V u d H J 5 I F R 5 c G U 9 I k Z p b G x U Y X J n Z X Q i I F Z h b H V l P S J z U F J P R F V D V E 9 T I i A v P j x F b n R y e S B U e X B l P S J G a W x s Z W R D b 2 1 w b G V 0 Z V J l c 3 V s d F R v V 2 9 y a 3 N o Z W V 0 I i B W Y W x 1 Z T 0 i b D E i I C 8 + P E V u d H J 5 I F R 5 c G U 9 I l J l Y 2 9 2 Z X J 5 V G F y Z 2 V 0 U 2 h l Z X Q i I F Z h b H V l P S J z S G 9 q Y T c i I C 8 + P E V u d H J 5 I F R 5 c G U 9 I l J l Y 2 9 2 Z X J 5 V G F y Z 2 V 0 Q 2 9 s d W 1 u I i B W Y W x 1 Z T 0 i b D E i I C 8 + P E V u d H J 5 I F R 5 c G U 9 I l J l Y 2 9 2 Z X J 5 V G F y Z 2 V 0 U m 9 3 I i B W Y W x 1 Z T 0 i b D E i I C 8 + P E V u d H J 5 I F R 5 c G U 9 I k Z p b G x D b 2 x 1 b W 5 O Y W 1 l c y I g V m F s d W U 9 I n N b J n F 1 b 3 Q 7 Q 2 9 s d W 1 u M S Z x d W 9 0 O 1 0 i I C 8 + P E V u d H J 5 I F R 5 c G U 9 I k Z p b G x D b 2 x 1 b W 5 U e X B l c y I g V m F s d W U 9 I n N C Z z 0 9 I i A v P j x F b n R y e S B U e X B l P S J G a W x s T G F z d F V w Z G F 0 Z W Q i I F Z h b H V l P S J k M j A y M i 0 x M i 0 y O V Q x M z o 1 N D o z M S 4 w M z k 5 N D E x W i I g L z 4 8 R W 5 0 c n k g V H l w Z T 0 i R m l s b E V y c m 9 y Q 2 9 1 b n Q i I F Z h b H V l P S J s M C I g L z 4 8 R W 5 0 c n k g V H l w Z T 0 i R m l s b E V y c m 9 y Q 2 9 k Z S I g V m F s d W U 9 I n N V b m t u b 3 d u I i A v P j x F b n R y e S B U e X B l P S J G a W x s Q 2 9 1 b n Q i I F Z h b H V l P S J s M C I g L z 4 8 R W 5 0 c n k g V H l w Z T 0 i U X V l c n l J R C I g V m F s d W U 9 I n N h N m N k M T M x Y i 0 z M T g 0 L T Q w M 2 M t O T V l M C 1 l N j h m M W U 4 Z G Z k O T A i I C 8 + P E V u d H J 5 I F R 5 c G U 9 I k F k Z G V k V G 9 E Y X R h T W 9 k Z W w i I F Z h b H V l P S J s M C I g L z 4 8 R W 5 0 c n k g V H l w Z T 0 i R m l s b F N 0 Y X R 1 c y I g V m F s d W U 9 I n N X Y W l 0 a W 5 n R m 9 y R X h j Z W x S Z W Z y Z X N o I i A v P j x F b n R y e S B U e X B l P S J S Z W x h d G l v b n N o a X B J b m Z v Q 2 9 u d G F p b m V y I i B W Y W x 1 Z T 0 i c 3 s m c X V v d D t j b 2 x 1 b W 5 D b 3 V u d C Z x d W 9 0 O z o x L C Z x d W 9 0 O 2 t l e U N v b H V t b k 5 h b W V z J n F 1 b 3 Q 7 O l t d L C Z x d W 9 0 O 3 F 1 Z X J 5 U m V s Y X R p b 2 5 z a G l w c y Z x d W 9 0 O z p b X S w m c X V v d D t j b 2 x 1 b W 5 J Z G V u d G l 0 a W V z J n F 1 b 3 Q 7 O l s m c X V v d D t T Z W N 0 a W 9 u M S 9 Q U k 9 E V U N U T 1 M v V G l w b y B j Y W 1 i a W F k b y 5 7 Q 2 9 s d W 1 u M S w w f S Z x d W 9 0 O 1 0 s J n F 1 b 3 Q 7 Q 2 9 s d W 1 u Q 2 9 1 b n Q m c X V v d D s 6 M S w m c X V v d D t L Z X l D b 2 x 1 b W 5 O Y W 1 l c y Z x d W 9 0 O z p b X S w m c X V v d D t D b 2 x 1 b W 5 J Z G V u d G l 0 a W V z J n F 1 b 3 Q 7 O l s m c X V v d D t T Z W N 0 a W 9 u M S 9 Q U k 9 E V U N U T 1 M v V G l w b y B j Y W 1 i a W F k b y 5 7 Q 2 9 s d W 1 u M S w w f S Z x d W 9 0 O 1 0 s J n F 1 b 3 Q 7 U m V s Y X R p b 2 5 z a G l w S W 5 m b y Z x d W 9 0 O z p b X X 0 i I C 8 + P C 9 T d G F i b G V F b n R y a W V z P j w v S X R l b T 4 8 S X R l b T 4 8 S X R l b U x v Y 2 F 0 a W 9 u P j x J d G V t V H l w Z T 5 G b 3 J t d W x h P C 9 J d G V t V H l w Z T 4 8 S X R l b V B h d G g + U 2 V j d G l v b j E v U F J P R F V D V E 9 T L 0 9 y a W d l b j w v S X R l b V B h d G g + P C 9 J d G V t T G 9 j Y X R p b 2 4 + P F N 0 Y W J s Z U V u d H J p Z X M g L z 4 8 L 0 l 0 Z W 0 + P E l 0 Z W 0 + P E l 0 Z W 1 M b 2 N h d G l v b j 4 8 S X R l b V R 5 c G U + R m 9 y b X V s Y T w v S X R l b V R 5 c G U + P E l 0 Z W 1 Q Y X R o P l N l Y 3 R p b 2 4 x L 1 B S T 0 R V Q 1 R P U y 9 Q U k 9 E V U N U T 1 N f U 2 h l Z X Q 8 L 0 l 0 Z W 1 Q Y X R o P j w v S X R l b U x v Y 2 F 0 a W 9 u P j x T d G F i b G V F b n R y a W V z I C 8 + P C 9 J d G V t P j x J d G V t P j x J d G V t T G 9 j Y X R p b 2 4 + P E l 0 Z W 1 U e X B l P k Z v c m 1 1 b G E 8 L 0 l 0 Z W 1 U e X B l P j x J d G V t U G F 0 a D 5 T Z W N 0 a W 9 u M S 9 Q U k 9 E V U N U T 1 M v V G l w b y U y M G N h b W J p Y W R v P C 9 J d G V t U G F 0 a D 4 8 L 0 l 0 Z W 1 M b 2 N h d G l v b j 4 8 U 3 R h Y m x l R W 5 0 c m l l c y A v P j w v S X R l b T 4 8 L 0 l 0 Z W 1 z P j w v T G 9 j Y W x Q Y W N r Y W d l T W V 0 Y W R h d G F G a W x l P h Y A A A B Q S w U G A A A A A A A A A A A A A A A A A A A A A A A A J g E A A A E A A A D Q j J 3 f A R X R E Y x 6 A M B P w p f r A Q A A A O p E w a w U H F d B m u A r N V w P V T g A A A A A A g A A A A A A E G Y A A A A B A A A g A A A A i 9 e 4 j A M a U f S o 7 d B Y A n 9 U w R N h F Z l 1 P x e Q U i 7 x g T f c M / o A A A A A D o A A A A A C A A A g A A A A m c x 3 x G y M N i V K F S y 5 4 n L 6 Y l q v y Y a g R E Q w k p f 1 t F Y T W a d Q A A A A Y o P 8 2 + l 7 0 e P x q s d 0 A 8 6 5 w 6 e 4 v Y 4 / k f Y Z c G c v 7 e M / 8 3 0 W l R 2 5 R V Z J 2 4 M m K E R f A Q P 0 p Z D x 0 g M T / 4 3 6 O N a 7 J Z P + w G L f w Q t M / / + R U e 1 O Q K W b m 7 9 A A A A A 9 2 9 V U P f J M C f d i N 3 N N R A a D k M u z N i J a c Z I q A r 5 B j C j X g Y 2 6 X d k J I v M R N A 5 C k k B I E K 6 i I b T F y H 8 i z 6 Z i n e 4 n L r B k Q = = < / D a t a M a s h u p > 
</file>

<file path=customXml/itemProps1.xml><?xml version="1.0" encoding="utf-8"?>
<ds:datastoreItem xmlns:ds="http://schemas.openxmlformats.org/officeDocument/2006/customXml" ds:itemID="{54720E30-3FD6-49F9-AB6D-F3D3416E68F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54</vt:i4>
      </vt:variant>
      <vt:variant>
        <vt:lpstr>Rangos con nombre</vt:lpstr>
      </vt:variant>
      <vt:variant>
        <vt:i4>31</vt:i4>
      </vt:variant>
    </vt:vector>
  </HeadingPairs>
  <TitlesOfParts>
    <vt:vector size="85" baseType="lpstr">
      <vt:lpstr>GEMAS</vt:lpstr>
      <vt:lpstr>PRODUCTOS</vt:lpstr>
      <vt:lpstr>HOLDERS ACRIL</vt:lpstr>
      <vt:lpstr>LISTA PRECIOS</vt:lpstr>
      <vt:lpstr>LISTA DE PRECIOS X MAYOR</vt:lpstr>
      <vt:lpstr>XMAYOR</vt:lpstr>
      <vt:lpstr>AROS, CADENAS, DIJES, ETC</vt:lpstr>
      <vt:lpstr>FORNITURAS</vt:lpstr>
      <vt:lpstr>INSUMOS VARIOS</vt:lpstr>
      <vt:lpstr>INS VARIOS</vt:lpstr>
      <vt:lpstr>PLATEADO</vt:lpstr>
      <vt:lpstr>HILOS-CORDONES-TANZA-CUERO</vt:lpstr>
      <vt:lpstr>PIEDRAS</vt:lpstr>
      <vt:lpstr>PERLAS</vt:lpstr>
      <vt:lpstr>PERLAS 2</vt:lpstr>
      <vt:lpstr>PALAIS DU BIJOU</vt:lpstr>
      <vt:lpstr>RESINA - ACRILICOS</vt:lpstr>
      <vt:lpstr>VIDRIOS</vt:lpstr>
      <vt:lpstr>PACKAGING</vt:lpstr>
      <vt:lpstr>PEDIDOS</vt:lpstr>
      <vt:lpstr>HOLDERS</vt:lpstr>
      <vt:lpstr>BEDOG</vt:lpstr>
      <vt:lpstr>CASA IKIGAI</vt:lpstr>
      <vt:lpstr>STRAPS</vt:lpstr>
      <vt:lpstr>OSITO</vt:lpstr>
      <vt:lpstr>CHARMS</vt:lpstr>
      <vt:lpstr>AROS</vt:lpstr>
      <vt:lpstr>CADENAS</vt:lpstr>
      <vt:lpstr>COLLAR INICIAL</vt:lpstr>
      <vt:lpstr>COLLARES</vt:lpstr>
      <vt:lpstr>LAZOS</vt:lpstr>
      <vt:lpstr>PULSERAS</vt:lpstr>
      <vt:lpstr>TOBILLERAS Y ANILLOS</vt:lpstr>
      <vt:lpstr>LLAVEROS</vt:lpstr>
      <vt:lpstr>VARIOS</vt:lpstr>
      <vt:lpstr>SOMBRERO</vt:lpstr>
      <vt:lpstr>CONTABILIUM</vt:lpstr>
      <vt:lpstr>SALE AROS</vt:lpstr>
      <vt:lpstr>SALE CADENAS</vt:lpstr>
      <vt:lpstr>SALE COLLARES</vt:lpstr>
      <vt:lpstr>PULSERAS FW21</vt:lpstr>
      <vt:lpstr>SALE PULSERAS</vt:lpstr>
      <vt:lpstr>AROS VER ´25</vt:lpstr>
      <vt:lpstr>COLLARES VER ´25</vt:lpstr>
      <vt:lpstr>CADENA VER ´25</vt:lpstr>
      <vt:lpstr>PULSERAS VER ´25</vt:lpstr>
      <vt:lpstr>LAZOS VER ´25</vt:lpstr>
      <vt:lpstr>CHARMS VER ´25</vt:lpstr>
      <vt:lpstr>BAG CHARM VER ´25</vt:lpstr>
      <vt:lpstr>ANILLOS VER ´25</vt:lpstr>
      <vt:lpstr>DIA DE LA MADRE</vt:lpstr>
      <vt:lpstr>EXHIBIDORES Y ALHAJEROS</vt:lpstr>
      <vt:lpstr>Hoja1</vt:lpstr>
      <vt:lpstr>CANASTOS</vt:lpstr>
      <vt:lpstr>ACRILICO</vt:lpstr>
      <vt:lpstr>ANILLO</vt:lpstr>
      <vt:lpstr>APLIQUEYCINTO</vt:lpstr>
      <vt:lpstr>'LISTA PRECIOS'!Área_de_impresión</vt:lpstr>
      <vt:lpstr>ARO</vt:lpstr>
      <vt:lpstr>ARO.G</vt:lpstr>
      <vt:lpstr>AROG</vt:lpstr>
      <vt:lpstr>CADENA</vt:lpstr>
      <vt:lpstr>CANASTO</vt:lpstr>
      <vt:lpstr>COLLAR</vt:lpstr>
      <vt:lpstr>COLLAR.G</vt:lpstr>
      <vt:lpstr>COLLARG</vt:lpstr>
      <vt:lpstr>CORAZONPIEDRA</vt:lpstr>
      <vt:lpstr>ESCARAPELA</vt:lpstr>
      <vt:lpstr>FVENTA</vt:lpstr>
      <vt:lpstr>GEMAS</vt:lpstr>
      <vt:lpstr>HEBILLA</vt:lpstr>
      <vt:lpstr>HOLDERS</vt:lpstr>
      <vt:lpstr>LAO</vt:lpstr>
      <vt:lpstr>LAOMIX</vt:lpstr>
      <vt:lpstr>LINEA</vt:lpstr>
      <vt:lpstr>MING</vt:lpstr>
      <vt:lpstr>NEO</vt:lpstr>
      <vt:lpstr>ORO</vt:lpstr>
      <vt:lpstr>PULSERA</vt:lpstr>
      <vt:lpstr>PULSERA.G</vt:lpstr>
      <vt:lpstr>PULSERAG</vt:lpstr>
      <vt:lpstr>TOBILLERA</vt:lpstr>
      <vt:lpstr>TOBILLERAS</vt:lpstr>
      <vt:lpstr>trebol</vt:lpstr>
      <vt:lpstr>VINCHA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Victoria Tribuiani</dc:creator>
  <cp:keywords/>
  <dc:description/>
  <cp:lastModifiedBy>MARY LEIVA</cp:lastModifiedBy>
  <cp:revision/>
  <cp:lastPrinted>2024-12-16T15:16:02Z</cp:lastPrinted>
  <dcterms:created xsi:type="dcterms:W3CDTF">2020-08-05T12:54:53Z</dcterms:created>
  <dcterms:modified xsi:type="dcterms:W3CDTF">2025-04-05T16:03:44Z</dcterms:modified>
  <cp:category/>
  <cp:contentStatus/>
</cp:coreProperties>
</file>